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029"/>
  <fileSharing readOnlyRecommended="1"/>
  <workbookPr showInkAnnotation="0" codeName="ThisWorkbook" defaultThemeVersion="124226"/>
  <mc:AlternateContent xmlns:mc="http://schemas.openxmlformats.org/markup-compatibility/2006">
    <mc:Choice Requires="x15">
      <x15ac:absPath xmlns:x15ac="http://schemas.microsoft.com/office/spreadsheetml/2010/11/ac" url="https://farrierswier.sharepoint.com/48417 PWC Modelling WACC/03. Working/Revenue Scenarios/IP13/Submission/"/>
    </mc:Choice>
  </mc:AlternateContent>
  <xr:revisionPtr revIDLastSave="57" documentId="DA371AB6C17684A08F142E18093CA9B66CDB076C" xr6:coauthVersionLast="28" xr6:coauthVersionMax="28" xr10:uidLastSave="{AF527422-3190-4988-8327-9904A37C9475}"/>
  <bookViews>
    <workbookView xWindow="0" yWindow="0" windowWidth="23040" windowHeight="7944" tabRatio="889" xr2:uid="{00000000-000D-0000-FFFF-FFFF00000000}"/>
  </bookViews>
  <sheets>
    <sheet name="Cover" sheetId="27" r:id="rId1"/>
    <sheet name="TOC" sheetId="28" r:id="rId2"/>
    <sheet name="Input_General" sheetId="34" r:id="rId3"/>
    <sheet name="Input_Meters" sheetId="107" r:id="rId4"/>
    <sheet name="Input_Meter_Movements" sheetId="125" r:id="rId5"/>
    <sheet name="Input_Comms" sheetId="109" r:id="rId6"/>
    <sheet name="Input_IT" sheetId="120" r:id="rId7"/>
    <sheet name="Input_Services" sheetId="121" r:id="rId8"/>
    <sheet name="Input_Other" sheetId="122" r:id="rId9"/>
    <sheet name="Input_RIN" sheetId="128" r:id="rId10"/>
    <sheet name="Input_Capex" sheetId="130" r:id="rId11"/>
    <sheet name="Calc_Scenario_1" sheetId="116" r:id="rId12"/>
    <sheet name="Calc_Scenario_2" sheetId="112" r:id="rId13"/>
    <sheet name="Calc_Scenario_3" sheetId="113" r:id="rId14"/>
    <sheet name="Calc_Scenario_4" sheetId="114" r:id="rId15"/>
    <sheet name="Calc_Scenario_5" sheetId="115" r:id="rId16"/>
    <sheet name="Calc_CF_Sum" sheetId="110" r:id="rId17"/>
    <sheet name="Output_NPV" sheetId="111" r:id="rId18"/>
    <sheet name="Output_Sensitivities" sheetId="119" r:id="rId19"/>
    <sheet name="Output_AER_Capex" sheetId="124" r:id="rId20"/>
    <sheet name="Output_AER_Step" sheetId="126" r:id="rId21"/>
    <sheet name="Output_Tariffs" sheetId="127" r:id="rId22"/>
    <sheet name="Output_RIN" sheetId="129" r:id="rId23"/>
    <sheet name="Output_AMP" sheetId="131" r:id="rId24"/>
    <sheet name="Lookup" sheetId="4" r:id="rId25"/>
    <sheet name="Checks" sheetId="25" r:id="rId26"/>
  </sheets>
  <externalReferences>
    <externalReference r:id="rId27"/>
    <externalReference r:id="rId28"/>
    <externalReference r:id="rId29"/>
    <externalReference r:id="rId30"/>
  </externalReferences>
  <definedNames>
    <definedName name="_xlnm._FilterDatabase" localSheetId="3" hidden="1">Input_Meters!$D$11:$P$42</definedName>
    <definedName name="Base_Year">Lookup!$E$11</definedName>
    <definedName name="Days_In_Wk">Lookup!$D$30</definedName>
    <definedName name="Days_In_Yr">Lookup!$D$31</definedName>
    <definedName name="Dollars">Lookup!$D$46</definedName>
    <definedName name="End_year">Lookup!$D$65</definedName>
    <definedName name="Error">Lookup!$D$36</definedName>
    <definedName name="Factor">Lookup!$D$49</definedName>
    <definedName name="Half">Lookup!$D$32</definedName>
    <definedName name="Kilometres">Lookup!$D$51</definedName>
    <definedName name="LU_AER_Expense_Classification">Lookup!$D$131:$D$133</definedName>
    <definedName name="LU_Basis">Lookup!$D$56:$D$59</definedName>
    <definedName name="LU_Cash_Flow_Type">Lookup!$D$96:$D$98</definedName>
    <definedName name="LU_Dollar_Basis">Lookup!$D$70:$D$70</definedName>
    <definedName name="LU_Meter_Description">Lookup!$D$89:$D$92</definedName>
    <definedName name="LU_Meter_Models">Input_Meters!$J$12:$J$41</definedName>
    <definedName name="LU_Meter_Type">Lookup!$D$76:$D$79</definedName>
    <definedName name="LU_Phase_Type">Lookup!$D$83:$D$85</definedName>
    <definedName name="LU_RAB_Asset_Class">Lookup!$D$111:$D$118</definedName>
    <definedName name="LU_RIN_Meter_Classification">Lookup!$D$122:$D$127</definedName>
    <definedName name="LU_Scenario_Name">Lookup!$D$102:$D$107</definedName>
    <definedName name="LU_Timing">Lookup!$D$63:$D$66</definedName>
    <definedName name="LU_Timing_Value">Lookup!$E$63:$E$66</definedName>
    <definedName name="LU_Units">Lookup!$D$45:$D$52</definedName>
    <definedName name="Mid_year">Lookup!$D$64</definedName>
    <definedName name="Million">Lookup!$D$33</definedName>
    <definedName name="Millions">Lookup!$D$47</definedName>
    <definedName name="Model_Name">Cover!$B$3</definedName>
    <definedName name="Model_Start_Date">Lookup!$E$10</definedName>
    <definedName name="Mths_In_Mth">Lookup!$D$26</definedName>
    <definedName name="Mths_In_Qtr">Lookup!$D$27</definedName>
    <definedName name="Mths_In_Yr">Lookup!$D$29</definedName>
    <definedName name="NA">Lookup!$D$35</definedName>
    <definedName name="No">Lookup!$D$41</definedName>
    <definedName name="Nominal">Lookup!$D$59</definedName>
    <definedName name="Number">Lookup!$D$50</definedName>
    <definedName name="Ok">Lookup!$D$34</definedName>
    <definedName name="Percent">Lookup!$D$45</definedName>
    <definedName name="Qtrs_In_Yr">Lookup!$D$28</definedName>
    <definedName name="RA_RY">Lookup!$J$20:$AW$20</definedName>
    <definedName name="Real2018">Lookup!$D$56</definedName>
    <definedName name="Real2019">Lookup!$D$57</definedName>
    <definedName name="Start_year">Lookup!$D$63</definedName>
    <definedName name="Thousands">Lookup!$D$48</definedName>
    <definedName name="Title_Msg">Checks!$H$10</definedName>
    <definedName name="Yes">Lookup!$D$40</definedName>
    <definedName name="Yes_No">Lookup!$D$40:$D$41</definedName>
  </definedNames>
  <calcPr calcId="171027"/>
</workbook>
</file>

<file path=xl/calcChain.xml><?xml version="1.0" encoding="utf-8"?>
<calcChain xmlns="http://schemas.openxmlformats.org/spreadsheetml/2006/main">
  <c r="M53" i="34" l="1"/>
  <c r="L53" i="34"/>
  <c r="K53" i="34"/>
  <c r="J53" i="34"/>
  <c r="P38" i="34"/>
  <c r="O38" i="34"/>
  <c r="N38" i="34"/>
  <c r="M38" i="34"/>
  <c r="L38" i="34"/>
  <c r="I36" i="34"/>
  <c r="I19" i="34"/>
  <c r="I18" i="34"/>
  <c r="H19" i="130" l="1"/>
  <c r="G19" i="130"/>
  <c r="F19" i="130"/>
  <c r="L49" i="34" l="1"/>
  <c r="K49" i="34"/>
  <c r="J49" i="34"/>
  <c r="H68" i="34" l="1"/>
  <c r="G68" i="34"/>
  <c r="F68" i="34"/>
  <c r="M66" i="34"/>
  <c r="L66" i="34"/>
  <c r="K66" i="34"/>
  <c r="J66" i="34"/>
  <c r="H53" i="34"/>
  <c r="G53" i="34"/>
  <c r="F53" i="34"/>
  <c r="O68" i="34" l="1"/>
  <c r="N68" i="34" s="1"/>
  <c r="M68" i="34" s="1"/>
  <c r="L68" i="34" s="1"/>
  <c r="K68" i="34" s="1"/>
  <c r="J68" i="34" s="1"/>
  <c r="J15" i="4" l="1"/>
  <c r="H37" i="25"/>
  <c r="H25" i="25"/>
  <c r="H24" i="25"/>
  <c r="D39" i="25"/>
  <c r="D38" i="25"/>
  <c r="D37" i="25"/>
  <c r="D36" i="25"/>
  <c r="D35" i="25"/>
  <c r="D34" i="25"/>
  <c r="D33" i="25"/>
  <c r="D32" i="25"/>
  <c r="D26" i="25"/>
  <c r="D25" i="25"/>
  <c r="D24" i="25"/>
  <c r="D23" i="25"/>
  <c r="D22" i="25"/>
  <c r="D21" i="25"/>
  <c r="D20" i="25"/>
  <c r="D19" i="25"/>
  <c r="D18" i="25"/>
  <c r="D37" i="28"/>
  <c r="D32" i="28"/>
  <c r="D31" i="28"/>
  <c r="D27" i="28"/>
  <c r="D18" i="28"/>
  <c r="D13" i="28"/>
  <c r="D12" i="28"/>
  <c r="D11" i="28"/>
  <c r="D10" i="28"/>
  <c r="B4" i="131" l="1"/>
  <c r="B6" i="131"/>
  <c r="B7" i="131"/>
  <c r="B8" i="131"/>
  <c r="B9" i="131"/>
  <c r="B10" i="131"/>
  <c r="J10" i="131"/>
  <c r="K10" i="131"/>
  <c r="L10" i="131"/>
  <c r="M10" i="131"/>
  <c r="N10" i="131"/>
  <c r="O10" i="131"/>
  <c r="P10" i="131"/>
  <c r="B11" i="131"/>
  <c r="E11" i="131"/>
  <c r="F11" i="131"/>
  <c r="G11" i="131"/>
  <c r="H11" i="131"/>
  <c r="H24" i="130" l="1"/>
  <c r="H23" i="130"/>
  <c r="H22" i="130"/>
  <c r="H21" i="130"/>
  <c r="H26" i="130" s="1"/>
  <c r="G24" i="130"/>
  <c r="F24" i="130"/>
  <c r="G23" i="130"/>
  <c r="F23" i="130"/>
  <c r="G22" i="130"/>
  <c r="F22" i="130"/>
  <c r="G21" i="130"/>
  <c r="F21" i="130"/>
  <c r="F26" i="130" s="1"/>
  <c r="L26" i="130"/>
  <c r="L28" i="130" s="1"/>
  <c r="B13" i="130"/>
  <c r="P26" i="130"/>
  <c r="O26" i="130"/>
  <c r="O28" i="130" s="1"/>
  <c r="N26" i="130"/>
  <c r="N28" i="130" s="1"/>
  <c r="M26" i="130"/>
  <c r="M28" i="130" s="1"/>
  <c r="K26" i="130"/>
  <c r="K28" i="130" s="1"/>
  <c r="J26" i="130"/>
  <c r="J28" i="130" s="1"/>
  <c r="E22" i="130"/>
  <c r="E23" i="130" s="1"/>
  <c r="E24" i="130" s="1"/>
  <c r="G26" i="130"/>
  <c r="H11" i="130"/>
  <c r="G11" i="130"/>
  <c r="F11" i="130"/>
  <c r="E11" i="130"/>
  <c r="B11" i="130"/>
  <c r="P10" i="130"/>
  <c r="O10" i="130"/>
  <c r="N10" i="130"/>
  <c r="M10" i="130"/>
  <c r="L10" i="130"/>
  <c r="K10" i="130"/>
  <c r="J10" i="130"/>
  <c r="B10" i="130"/>
  <c r="B9" i="130"/>
  <c r="B8" i="130"/>
  <c r="B7" i="130"/>
  <c r="B6" i="130"/>
  <c r="B4" i="130"/>
  <c r="A1" i="130"/>
  <c r="H26" i="25" s="1"/>
  <c r="P28" i="130" l="1"/>
  <c r="A28" i="130" s="1"/>
  <c r="H11" i="120"/>
  <c r="G11" i="120"/>
  <c r="F11" i="120"/>
  <c r="E11" i="120"/>
  <c r="B11" i="120"/>
  <c r="AW10" i="120"/>
  <c r="AV10" i="120"/>
  <c r="AU10" i="120"/>
  <c r="AT10" i="120"/>
  <c r="AS10" i="120"/>
  <c r="AR10" i="120"/>
  <c r="AQ10" i="120"/>
  <c r="AP10" i="120"/>
  <c r="AO10" i="120"/>
  <c r="AN10" i="120"/>
  <c r="AM10" i="120"/>
  <c r="AL10" i="120"/>
  <c r="AK10" i="120"/>
  <c r="AJ10" i="120"/>
  <c r="AI10" i="120"/>
  <c r="AH10" i="120"/>
  <c r="AG10" i="120"/>
  <c r="AF10" i="120"/>
  <c r="AE10" i="120"/>
  <c r="AD10" i="120"/>
  <c r="AC10" i="120"/>
  <c r="AB10" i="120"/>
  <c r="AA10" i="120"/>
  <c r="Z10" i="120"/>
  <c r="Y10" i="120"/>
  <c r="X10" i="120"/>
  <c r="W10" i="120"/>
  <c r="V10" i="120"/>
  <c r="U10" i="120"/>
  <c r="T10" i="120"/>
  <c r="S10" i="120"/>
  <c r="R10" i="120"/>
  <c r="Q10" i="120"/>
  <c r="P10" i="120"/>
  <c r="O10" i="120"/>
  <c r="N10" i="120"/>
  <c r="M10" i="120"/>
  <c r="L10" i="120"/>
  <c r="K10" i="120"/>
  <c r="J10" i="120"/>
  <c r="B10" i="120"/>
  <c r="B9" i="120"/>
  <c r="B8" i="120"/>
  <c r="B7" i="120"/>
  <c r="B6" i="120"/>
  <c r="Q44" i="128" l="1"/>
  <c r="Q45" i="128"/>
  <c r="Q46" i="128"/>
  <c r="Q47" i="128"/>
  <c r="Q48" i="128"/>
  <c r="Q49" i="128"/>
  <c r="Q50" i="128"/>
  <c r="R43" i="128" s="1"/>
  <c r="Q51" i="128"/>
  <c r="R44" i="128" s="1"/>
  <c r="Q52" i="128"/>
  <c r="Q53" i="128"/>
  <c r="Q54" i="128"/>
  <c r="Q55" i="128"/>
  <c r="Q56" i="128"/>
  <c r="Q57" i="128"/>
  <c r="Q58" i="128"/>
  <c r="Q59" i="128"/>
  <c r="Q60" i="128"/>
  <c r="Q61" i="128"/>
  <c r="Q62" i="128"/>
  <c r="Q63" i="128"/>
  <c r="Q64" i="128"/>
  <c r="Q65" i="128"/>
  <c r="Q66" i="128"/>
  <c r="Q67" i="128"/>
  <c r="Q68" i="128"/>
  <c r="Q69" i="128"/>
  <c r="Q70" i="128"/>
  <c r="Q71" i="128"/>
  <c r="Q72" i="128"/>
  <c r="R72" i="128"/>
  <c r="Q73" i="128"/>
  <c r="Q74" i="128"/>
  <c r="Q75" i="128"/>
  <c r="Q76" i="128"/>
  <c r="Q77" i="128"/>
  <c r="Q78" i="128"/>
  <c r="Q79" i="128"/>
  <c r="Q80" i="128"/>
  <c r="Q81" i="128"/>
  <c r="Q82" i="128"/>
  <c r="Q83" i="128"/>
  <c r="Q84" i="128"/>
  <c r="R84" i="128"/>
  <c r="Q85" i="128"/>
  <c r="Q86" i="128"/>
  <c r="Q87" i="128"/>
  <c r="Q88" i="128"/>
  <c r="Q89" i="128"/>
  <c r="Q90" i="128"/>
  <c r="Q91" i="128"/>
  <c r="Q92" i="128"/>
  <c r="Q93" i="128"/>
  <c r="Q94" i="128"/>
  <c r="Q95" i="128"/>
  <c r="Q96" i="128"/>
  <c r="R96" i="128"/>
  <c r="Q97" i="128"/>
  <c r="Q98" i="128"/>
  <c r="Q99" i="128"/>
  <c r="Q100" i="128"/>
  <c r="Q43" i="128"/>
  <c r="R64" i="128" l="1"/>
  <c r="R100" i="128"/>
  <c r="R76" i="128"/>
  <c r="R95" i="128"/>
  <c r="R88" i="128"/>
  <c r="R68" i="128"/>
  <c r="R80" i="128"/>
  <c r="R99" i="128"/>
  <c r="R92" i="128"/>
  <c r="R91" i="128"/>
  <c r="R87" i="128"/>
  <c r="R83" i="128"/>
  <c r="R79" i="128"/>
  <c r="R75" i="128"/>
  <c r="R71" i="128"/>
  <c r="R67" i="128"/>
  <c r="R63" i="128"/>
  <c r="R59" i="128"/>
  <c r="R55" i="128"/>
  <c r="R51" i="128"/>
  <c r="R47" i="128"/>
  <c r="R54" i="128"/>
  <c r="R94" i="128"/>
  <c r="R82" i="128"/>
  <c r="R66" i="128"/>
  <c r="R46" i="128"/>
  <c r="R86" i="128"/>
  <c r="R74" i="128"/>
  <c r="R62" i="128"/>
  <c r="R50" i="128"/>
  <c r="R93" i="128"/>
  <c r="R85" i="128"/>
  <c r="R73" i="128"/>
  <c r="R65" i="128"/>
  <c r="R57" i="128"/>
  <c r="R49" i="128"/>
  <c r="R45" i="128"/>
  <c r="R98" i="128"/>
  <c r="R90" i="128"/>
  <c r="R78" i="128"/>
  <c r="R70" i="128"/>
  <c r="R58" i="128"/>
  <c r="R97" i="128"/>
  <c r="R89" i="128"/>
  <c r="R81" i="128"/>
  <c r="R77" i="128"/>
  <c r="R69" i="128"/>
  <c r="R61" i="128"/>
  <c r="R53" i="128"/>
  <c r="R48" i="128"/>
  <c r="R60" i="128"/>
  <c r="R56" i="128"/>
  <c r="R52" i="128"/>
  <c r="D17" i="28" l="1"/>
  <c r="D36" i="28"/>
  <c r="B4" i="129"/>
  <c r="A1" i="129"/>
  <c r="H38" i="25" s="1"/>
  <c r="A1" i="128"/>
  <c r="B6" i="128" l="1"/>
  <c r="B4" i="128"/>
  <c r="D35" i="28" l="1"/>
  <c r="D34" i="28"/>
  <c r="H11" i="126"/>
  <c r="G11" i="126"/>
  <c r="F11" i="126"/>
  <c r="E11" i="126"/>
  <c r="B11" i="126"/>
  <c r="P10" i="126"/>
  <c r="O10" i="126"/>
  <c r="N10" i="126"/>
  <c r="M10" i="126"/>
  <c r="L10" i="126"/>
  <c r="K10" i="126"/>
  <c r="J10" i="126"/>
  <c r="B10" i="126"/>
  <c r="B9" i="126"/>
  <c r="B8" i="126"/>
  <c r="B7" i="126"/>
  <c r="B6" i="126"/>
  <c r="B4" i="126"/>
  <c r="A1" i="125"/>
  <c r="H20" i="25" s="1"/>
  <c r="H11" i="125"/>
  <c r="G11" i="125"/>
  <c r="F11" i="125"/>
  <c r="E11" i="125"/>
  <c r="B11" i="125"/>
  <c r="AW10" i="125"/>
  <c r="AV10" i="125"/>
  <c r="AU10" i="125"/>
  <c r="AT10" i="125"/>
  <c r="AS10" i="125"/>
  <c r="AR10" i="125"/>
  <c r="AQ10" i="125"/>
  <c r="AP10" i="125"/>
  <c r="AO10" i="125"/>
  <c r="AN10" i="125"/>
  <c r="AM10" i="125"/>
  <c r="AL10" i="125"/>
  <c r="AK10" i="125"/>
  <c r="AJ10" i="125"/>
  <c r="AI10" i="125"/>
  <c r="AH10" i="125"/>
  <c r="AG10" i="125"/>
  <c r="AF10" i="125"/>
  <c r="AE10" i="125"/>
  <c r="AD10" i="125"/>
  <c r="AC10" i="125"/>
  <c r="AB10" i="125"/>
  <c r="AA10" i="125"/>
  <c r="Z10" i="125"/>
  <c r="Y10" i="125"/>
  <c r="X10" i="125"/>
  <c r="W10" i="125"/>
  <c r="V10" i="125"/>
  <c r="U10" i="125"/>
  <c r="T10" i="125"/>
  <c r="S10" i="125"/>
  <c r="R10" i="125"/>
  <c r="Q10" i="125"/>
  <c r="P10" i="125"/>
  <c r="O10" i="125"/>
  <c r="N10" i="125"/>
  <c r="M10" i="125"/>
  <c r="L10" i="125"/>
  <c r="K10" i="125"/>
  <c r="J10" i="125"/>
  <c r="B10" i="125"/>
  <c r="B9" i="125"/>
  <c r="B8" i="125"/>
  <c r="B7" i="125"/>
  <c r="B6" i="125"/>
  <c r="B4" i="125"/>
  <c r="D33" i="28" l="1"/>
  <c r="K21" i="122" l="1"/>
  <c r="K20" i="122"/>
  <c r="H36" i="34"/>
  <c r="G36" i="34"/>
  <c r="F36" i="34"/>
  <c r="J21" i="122"/>
  <c r="H21" i="122"/>
  <c r="G21" i="122"/>
  <c r="F21" i="122"/>
  <c r="H20" i="122"/>
  <c r="G20" i="122"/>
  <c r="F20" i="122"/>
  <c r="J18" i="122"/>
  <c r="F31" i="122" l="1"/>
  <c r="F30" i="122"/>
  <c r="H31" i="122"/>
  <c r="G31" i="122"/>
  <c r="H30" i="122"/>
  <c r="G30" i="122"/>
  <c r="K13" i="122" l="1"/>
  <c r="K14" i="122"/>
  <c r="H11" i="115" l="1"/>
  <c r="G11" i="115"/>
  <c r="F11" i="115"/>
  <c r="E11" i="115"/>
  <c r="B11" i="115"/>
  <c r="AW10" i="115"/>
  <c r="AV10" i="115"/>
  <c r="AU10" i="115"/>
  <c r="AT10" i="115"/>
  <c r="AS10" i="115"/>
  <c r="AR10" i="115"/>
  <c r="AQ10" i="115"/>
  <c r="AP10" i="115"/>
  <c r="AO10" i="115"/>
  <c r="AN10" i="115"/>
  <c r="AM10" i="115"/>
  <c r="AL10" i="115"/>
  <c r="AK10" i="115"/>
  <c r="AJ10" i="115"/>
  <c r="AI10" i="115"/>
  <c r="AH10" i="115"/>
  <c r="AG10" i="115"/>
  <c r="AF10" i="115"/>
  <c r="AE10" i="115"/>
  <c r="AD10" i="115"/>
  <c r="AC10" i="115"/>
  <c r="AB10" i="115"/>
  <c r="AA10" i="115"/>
  <c r="Z10" i="115"/>
  <c r="Y10" i="115"/>
  <c r="X10" i="115"/>
  <c r="W10" i="115"/>
  <c r="V10" i="115"/>
  <c r="U10" i="115"/>
  <c r="T10" i="115"/>
  <c r="S10" i="115"/>
  <c r="R10" i="115"/>
  <c r="Q10" i="115"/>
  <c r="P10" i="115"/>
  <c r="O10" i="115"/>
  <c r="N10" i="115"/>
  <c r="M10" i="115"/>
  <c r="L10" i="115"/>
  <c r="K10" i="115"/>
  <c r="J10" i="115"/>
  <c r="B10" i="115"/>
  <c r="B9" i="115"/>
  <c r="B8" i="115"/>
  <c r="B7" i="115"/>
  <c r="B6" i="115"/>
  <c r="B4" i="115"/>
  <c r="B1" i="115"/>
  <c r="D31" i="25" s="1"/>
  <c r="H11" i="114"/>
  <c r="G11" i="114"/>
  <c r="F11" i="114"/>
  <c r="E11" i="114"/>
  <c r="B11" i="114"/>
  <c r="AW10" i="114"/>
  <c r="AV10" i="114"/>
  <c r="AU10" i="114"/>
  <c r="AT10" i="114"/>
  <c r="AS10" i="114"/>
  <c r="AR10" i="114"/>
  <c r="AQ10" i="114"/>
  <c r="AP10" i="114"/>
  <c r="AO10" i="114"/>
  <c r="AN10" i="114"/>
  <c r="AM10" i="114"/>
  <c r="AL10" i="114"/>
  <c r="AK10" i="114"/>
  <c r="AJ10" i="114"/>
  <c r="AI10" i="114"/>
  <c r="AH10" i="114"/>
  <c r="AG10" i="114"/>
  <c r="AF10" i="114"/>
  <c r="AE10" i="114"/>
  <c r="AD10" i="114"/>
  <c r="AC10" i="114"/>
  <c r="AB10" i="114"/>
  <c r="AA10" i="114"/>
  <c r="Z10" i="114"/>
  <c r="Y10" i="114"/>
  <c r="X10" i="114"/>
  <c r="W10" i="114"/>
  <c r="V10" i="114"/>
  <c r="U10" i="114"/>
  <c r="T10" i="114"/>
  <c r="S10" i="114"/>
  <c r="R10" i="114"/>
  <c r="Q10" i="114"/>
  <c r="P10" i="114"/>
  <c r="O10" i="114"/>
  <c r="N10" i="114"/>
  <c r="M10" i="114"/>
  <c r="L10" i="114"/>
  <c r="K10" i="114"/>
  <c r="J10" i="114"/>
  <c r="B10" i="114"/>
  <c r="B9" i="114"/>
  <c r="B8" i="114"/>
  <c r="B7" i="114"/>
  <c r="B6" i="114"/>
  <c r="B4" i="114"/>
  <c r="B1" i="114"/>
  <c r="D30" i="25" s="1"/>
  <c r="H11" i="113"/>
  <c r="G11" i="113"/>
  <c r="F11" i="113"/>
  <c r="E11" i="113"/>
  <c r="B11" i="113"/>
  <c r="AW10" i="113"/>
  <c r="AV10" i="113"/>
  <c r="AU10" i="113"/>
  <c r="AT10" i="113"/>
  <c r="AS10" i="113"/>
  <c r="AR10" i="113"/>
  <c r="AQ10" i="113"/>
  <c r="AP10" i="113"/>
  <c r="AO10" i="113"/>
  <c r="AN10" i="113"/>
  <c r="AM10" i="113"/>
  <c r="AL10" i="113"/>
  <c r="AK10" i="113"/>
  <c r="AJ10" i="113"/>
  <c r="AI10" i="113"/>
  <c r="AH10" i="113"/>
  <c r="AG10" i="113"/>
  <c r="AF10" i="113"/>
  <c r="AE10" i="113"/>
  <c r="AD10" i="113"/>
  <c r="AC10" i="113"/>
  <c r="AB10" i="113"/>
  <c r="AA10" i="113"/>
  <c r="Z10" i="113"/>
  <c r="Y10" i="113"/>
  <c r="X10" i="113"/>
  <c r="W10" i="113"/>
  <c r="V10" i="113"/>
  <c r="U10" i="113"/>
  <c r="T10" i="113"/>
  <c r="S10" i="113"/>
  <c r="R10" i="113"/>
  <c r="Q10" i="113"/>
  <c r="P10" i="113"/>
  <c r="O10" i="113"/>
  <c r="N10" i="113"/>
  <c r="M10" i="113"/>
  <c r="L10" i="113"/>
  <c r="K10" i="113"/>
  <c r="J10" i="113"/>
  <c r="B10" i="113"/>
  <c r="B9" i="113"/>
  <c r="B8" i="113"/>
  <c r="B7" i="113"/>
  <c r="B6" i="113"/>
  <c r="B4" i="113"/>
  <c r="B1" i="113"/>
  <c r="D29" i="25" s="1"/>
  <c r="H11" i="112"/>
  <c r="G11" i="112"/>
  <c r="F11" i="112"/>
  <c r="E11" i="112"/>
  <c r="B11" i="112"/>
  <c r="AW10" i="112"/>
  <c r="AV10" i="112"/>
  <c r="AU10" i="112"/>
  <c r="AT10" i="112"/>
  <c r="AS10" i="112"/>
  <c r="AR10" i="112"/>
  <c r="AQ10" i="112"/>
  <c r="AP10" i="112"/>
  <c r="AO10" i="112"/>
  <c r="AN10" i="112"/>
  <c r="AM10" i="112"/>
  <c r="AL10" i="112"/>
  <c r="AK10" i="112"/>
  <c r="AJ10" i="112"/>
  <c r="AI10" i="112"/>
  <c r="AH10" i="112"/>
  <c r="AG10" i="112"/>
  <c r="AF10" i="112"/>
  <c r="AE10" i="112"/>
  <c r="AD10" i="112"/>
  <c r="AC10" i="112"/>
  <c r="AB10" i="112"/>
  <c r="AA10" i="112"/>
  <c r="Z10" i="112"/>
  <c r="Y10" i="112"/>
  <c r="X10" i="112"/>
  <c r="W10" i="112"/>
  <c r="V10" i="112"/>
  <c r="U10" i="112"/>
  <c r="T10" i="112"/>
  <c r="S10" i="112"/>
  <c r="R10" i="112"/>
  <c r="Q10" i="112"/>
  <c r="P10" i="112"/>
  <c r="O10" i="112"/>
  <c r="N10" i="112"/>
  <c r="M10" i="112"/>
  <c r="L10" i="112"/>
  <c r="K10" i="112"/>
  <c r="J10" i="112"/>
  <c r="B10" i="112"/>
  <c r="B9" i="112"/>
  <c r="B8" i="112"/>
  <c r="B7" i="112"/>
  <c r="B6" i="112"/>
  <c r="B4" i="112"/>
  <c r="B1" i="112"/>
  <c r="H11" i="116"/>
  <c r="G11" i="116"/>
  <c r="F11" i="116"/>
  <c r="E11" i="116"/>
  <c r="B11" i="116"/>
  <c r="AW10" i="116"/>
  <c r="AV10" i="116"/>
  <c r="AU10" i="116"/>
  <c r="AT10" i="116"/>
  <c r="AS10" i="116"/>
  <c r="AR10" i="116"/>
  <c r="AQ10" i="116"/>
  <c r="AP10" i="116"/>
  <c r="AO10" i="116"/>
  <c r="AN10" i="116"/>
  <c r="AM10" i="116"/>
  <c r="AL10" i="116"/>
  <c r="AK10" i="116"/>
  <c r="AJ10" i="116"/>
  <c r="AI10" i="116"/>
  <c r="AH10" i="116"/>
  <c r="AG10" i="116"/>
  <c r="AF10" i="116"/>
  <c r="AE10" i="116"/>
  <c r="AD10" i="116"/>
  <c r="AC10" i="116"/>
  <c r="AB10" i="116"/>
  <c r="AA10" i="116"/>
  <c r="Z10" i="116"/>
  <c r="Y10" i="116"/>
  <c r="X10" i="116"/>
  <c r="W10" i="116"/>
  <c r="V10" i="116"/>
  <c r="U10" i="116"/>
  <c r="T10" i="116"/>
  <c r="S10" i="116"/>
  <c r="R10" i="116"/>
  <c r="Q10" i="116"/>
  <c r="P10" i="116"/>
  <c r="O10" i="116"/>
  <c r="N10" i="116"/>
  <c r="M10" i="116"/>
  <c r="L10" i="116"/>
  <c r="K10" i="116"/>
  <c r="J10" i="116"/>
  <c r="B10" i="116"/>
  <c r="B9" i="116"/>
  <c r="B8" i="116"/>
  <c r="B7" i="116"/>
  <c r="B6" i="116"/>
  <c r="B4" i="116"/>
  <c r="B1" i="116"/>
  <c r="O14" i="122"/>
  <c r="N14" i="122"/>
  <c r="D14" i="122"/>
  <c r="G14" i="122"/>
  <c r="H14" i="122"/>
  <c r="D13" i="122"/>
  <c r="D23" i="28" l="1"/>
  <c r="D28" i="25"/>
  <c r="D27" i="25"/>
  <c r="D22" i="28"/>
  <c r="D16" i="28"/>
  <c r="D15" i="28"/>
  <c r="D14" i="28"/>
  <c r="A1" i="109"/>
  <c r="H21" i="25" s="1"/>
  <c r="A1" i="120"/>
  <c r="H22" i="25" s="1"/>
  <c r="A1" i="121"/>
  <c r="H23" i="25" s="1"/>
  <c r="A1" i="122"/>
  <c r="H13" i="122"/>
  <c r="G13" i="122"/>
  <c r="O11" i="122"/>
  <c r="N11" i="122"/>
  <c r="M11" i="122"/>
  <c r="L11" i="122"/>
  <c r="K11" i="122"/>
  <c r="J28" i="122"/>
  <c r="H28" i="122"/>
  <c r="G28" i="122"/>
  <c r="F28" i="122"/>
  <c r="H27" i="122"/>
  <c r="G27" i="122"/>
  <c r="J25" i="122"/>
  <c r="B6" i="122"/>
  <c r="B4" i="122"/>
  <c r="B4" i="121"/>
  <c r="B4" i="120"/>
  <c r="AC9" i="34" l="1"/>
  <c r="AD9" i="34"/>
  <c r="AE9" i="34"/>
  <c r="AF9" i="34"/>
  <c r="AG9" i="34"/>
  <c r="AH9" i="34"/>
  <c r="AI9" i="34"/>
  <c r="AJ9" i="34"/>
  <c r="AK9" i="34"/>
  <c r="AL9" i="34"/>
  <c r="AM9" i="34"/>
  <c r="AN9" i="34"/>
  <c r="AO9" i="34"/>
  <c r="AP9" i="34"/>
  <c r="AQ9" i="34"/>
  <c r="AR9" i="34"/>
  <c r="AS9" i="34"/>
  <c r="AT9" i="34"/>
  <c r="AU9" i="34"/>
  <c r="AV9" i="34"/>
  <c r="AW9" i="34"/>
  <c r="H34" i="25" l="1"/>
  <c r="Q38" i="34" l="1"/>
  <c r="R38" i="34" s="1"/>
  <c r="S38" i="34" s="1"/>
  <c r="T38" i="34" s="1"/>
  <c r="U38" i="34" s="1"/>
  <c r="V38" i="34" s="1"/>
  <c r="W38" i="34" s="1"/>
  <c r="X38" i="34" s="1"/>
  <c r="Y38" i="34" s="1"/>
  <c r="Z38" i="34" s="1"/>
  <c r="AA38" i="34" s="1"/>
  <c r="AB38" i="34" s="1"/>
  <c r="AC38" i="34" s="1"/>
  <c r="H39" i="34"/>
  <c r="G39" i="34"/>
  <c r="F39" i="34"/>
  <c r="H38" i="34"/>
  <c r="G38" i="34"/>
  <c r="F38" i="34"/>
  <c r="H34" i="34"/>
  <c r="G34" i="34"/>
  <c r="F34" i="34"/>
  <c r="E34" i="34"/>
  <c r="AD38" i="34" l="1"/>
  <c r="AE38" i="34" l="1"/>
  <c r="AF38" i="34" l="1"/>
  <c r="AG38" i="34" l="1"/>
  <c r="AH38" i="34" l="1"/>
  <c r="AI38" i="34" l="1"/>
  <c r="J41" i="34"/>
  <c r="AJ38" i="34" l="1"/>
  <c r="D26" i="28"/>
  <c r="AK38" i="34" l="1"/>
  <c r="D25" i="28"/>
  <c r="D24" i="28"/>
  <c r="AL38" i="34" l="1"/>
  <c r="AM38" i="34" l="1"/>
  <c r="AN38" i="34" l="1"/>
  <c r="AO38" i="34" l="1"/>
  <c r="H26" i="34"/>
  <c r="G26" i="34"/>
  <c r="F26" i="34"/>
  <c r="H25" i="34"/>
  <c r="G25" i="34"/>
  <c r="F25" i="34"/>
  <c r="H23" i="34"/>
  <c r="G23" i="34"/>
  <c r="F23" i="34"/>
  <c r="E23" i="34"/>
  <c r="F18" i="34"/>
  <c r="F19" i="34"/>
  <c r="H19" i="34"/>
  <c r="G19" i="34"/>
  <c r="H18" i="34"/>
  <c r="G18" i="34"/>
  <c r="H16" i="34"/>
  <c r="G16" i="34"/>
  <c r="F16" i="34"/>
  <c r="E16" i="34"/>
  <c r="F4" i="109"/>
  <c r="G4" i="109"/>
  <c r="H4" i="109"/>
  <c r="E4" i="109"/>
  <c r="B4" i="109"/>
  <c r="H18" i="122" l="1"/>
  <c r="G18" i="122"/>
  <c r="F18" i="122"/>
  <c r="E18" i="122"/>
  <c r="E25" i="122"/>
  <c r="E11" i="122"/>
  <c r="G11" i="122"/>
  <c r="G25" i="122"/>
  <c r="H11" i="122"/>
  <c r="H25" i="122"/>
  <c r="F25" i="122"/>
  <c r="F11" i="122"/>
  <c r="AP38" i="34"/>
  <c r="AQ38" i="34" l="1"/>
  <c r="AR38" i="34" l="1"/>
  <c r="Z9" i="34"/>
  <c r="AA9" i="34"/>
  <c r="AB9" i="34"/>
  <c r="K9" i="34"/>
  <c r="L9" i="34"/>
  <c r="M9" i="34"/>
  <c r="N9" i="34"/>
  <c r="O9" i="34"/>
  <c r="P9" i="34"/>
  <c r="Q9" i="34"/>
  <c r="R9" i="34"/>
  <c r="S9" i="34"/>
  <c r="T9" i="34"/>
  <c r="U9" i="34"/>
  <c r="V9" i="34"/>
  <c r="W9" i="34"/>
  <c r="X9" i="34"/>
  <c r="Y9" i="34"/>
  <c r="J9" i="34"/>
  <c r="M49" i="34"/>
  <c r="N49" i="34" s="1"/>
  <c r="O49" i="34" s="1"/>
  <c r="P49" i="34" s="1"/>
  <c r="Q49" i="34" s="1"/>
  <c r="R49" i="34" s="1"/>
  <c r="S49" i="34" s="1"/>
  <c r="T49" i="34" s="1"/>
  <c r="U49" i="34" s="1"/>
  <c r="V49" i="34" s="1"/>
  <c r="W49" i="34" s="1"/>
  <c r="X49" i="34" s="1"/>
  <c r="Y49" i="34" s="1"/>
  <c r="Z49" i="34" s="1"/>
  <c r="J17" i="4"/>
  <c r="J8" i="131" l="1"/>
  <c r="J8" i="130"/>
  <c r="J8" i="120"/>
  <c r="J8" i="125"/>
  <c r="J8" i="126"/>
  <c r="J8" i="113"/>
  <c r="J8" i="112"/>
  <c r="J8" i="116"/>
  <c r="J8" i="114"/>
  <c r="J8" i="115"/>
  <c r="AT64" i="34"/>
  <c r="AL64" i="34"/>
  <c r="AD64" i="34"/>
  <c r="V64" i="34"/>
  <c r="N64" i="34"/>
  <c r="AS64" i="34"/>
  <c r="AK64" i="34"/>
  <c r="AC64" i="34"/>
  <c r="U64" i="34"/>
  <c r="M64" i="34"/>
  <c r="AR64" i="34"/>
  <c r="AJ64" i="34"/>
  <c r="AB64" i="34"/>
  <c r="T64" i="34"/>
  <c r="L64" i="34"/>
  <c r="AQ64" i="34"/>
  <c r="AI64" i="34"/>
  <c r="AA64" i="34"/>
  <c r="S64" i="34"/>
  <c r="K64" i="34"/>
  <c r="AP64" i="34"/>
  <c r="AH64" i="34"/>
  <c r="Z64" i="34"/>
  <c r="R64" i="34"/>
  <c r="J64" i="34"/>
  <c r="AW64" i="34"/>
  <c r="AO64" i="34"/>
  <c r="AG64" i="34"/>
  <c r="Y64" i="34"/>
  <c r="Q64" i="34"/>
  <c r="AV64" i="34"/>
  <c r="AN64" i="34"/>
  <c r="AF64" i="34"/>
  <c r="X64" i="34"/>
  <c r="P64" i="34"/>
  <c r="AU64" i="34"/>
  <c r="AM64" i="34"/>
  <c r="AE64" i="34"/>
  <c r="W64" i="34"/>
  <c r="O64" i="34"/>
  <c r="AS38" i="34"/>
  <c r="J7" i="34"/>
  <c r="AA49" i="34"/>
  <c r="B4" i="107"/>
  <c r="AT38" i="34" l="1"/>
  <c r="AB49" i="34"/>
  <c r="AC49" i="34" s="1"/>
  <c r="AD49" i="34" s="1"/>
  <c r="AE49" i="34" s="1"/>
  <c r="AF49" i="34" s="1"/>
  <c r="AG49" i="34" s="1"/>
  <c r="AH49" i="34" s="1"/>
  <c r="AI49" i="34" s="1"/>
  <c r="AJ49" i="34" s="1"/>
  <c r="AK49" i="34" s="1"/>
  <c r="AL49" i="34" s="1"/>
  <c r="AM49" i="34" s="1"/>
  <c r="AN49" i="34" s="1"/>
  <c r="AO49" i="34" s="1"/>
  <c r="AP49" i="34" s="1"/>
  <c r="AQ49" i="34" s="1"/>
  <c r="AR49" i="34" s="1"/>
  <c r="AS49" i="34" s="1"/>
  <c r="AT49" i="34" s="1"/>
  <c r="AU49" i="34" s="1"/>
  <c r="AV49" i="34" s="1"/>
  <c r="AW49" i="34" s="1"/>
  <c r="AU38" i="34" l="1"/>
  <c r="D70" i="4"/>
  <c r="H63" i="34"/>
  <c r="G63" i="34"/>
  <c r="F63" i="34"/>
  <c r="J63" i="34"/>
  <c r="AV38" i="34" l="1"/>
  <c r="K63" i="34"/>
  <c r="AW38" i="34" l="1"/>
  <c r="L63" i="34"/>
  <c r="M63" i="34" l="1"/>
  <c r="H64" i="34"/>
  <c r="G64" i="34"/>
  <c r="F64" i="34"/>
  <c r="F57" i="34"/>
  <c r="H57" i="34"/>
  <c r="G57" i="34"/>
  <c r="H61" i="34"/>
  <c r="G61" i="34"/>
  <c r="F61" i="34"/>
  <c r="E61" i="34"/>
  <c r="H49" i="34"/>
  <c r="G49" i="34"/>
  <c r="F49" i="34"/>
  <c r="H47" i="34"/>
  <c r="G47" i="34"/>
  <c r="F47" i="34"/>
  <c r="E47" i="34"/>
  <c r="H10" i="34"/>
  <c r="G10" i="34"/>
  <c r="F10" i="34"/>
  <c r="E10" i="34"/>
  <c r="B10" i="34"/>
  <c r="B9" i="34"/>
  <c r="B8" i="34"/>
  <c r="B7" i="34"/>
  <c r="B6" i="34"/>
  <c r="B5" i="34"/>
  <c r="B4" i="34"/>
  <c r="B3" i="34"/>
  <c r="D58" i="4"/>
  <c r="E66" i="4"/>
  <c r="D66" i="4"/>
  <c r="D52" i="4"/>
  <c r="B3" i="25"/>
  <c r="B3" i="4"/>
  <c r="D42" i="28"/>
  <c r="D41" i="28"/>
  <c r="B6" i="28"/>
  <c r="B4" i="28"/>
  <c r="B4" i="25"/>
  <c r="B4" i="4"/>
  <c r="N63" i="34" l="1"/>
  <c r="J6" i="131"/>
  <c r="K17" i="4"/>
  <c r="K8" i="131" l="1"/>
  <c r="K8" i="130"/>
  <c r="K8" i="120"/>
  <c r="J6" i="130"/>
  <c r="J6" i="120"/>
  <c r="K8" i="125"/>
  <c r="K8" i="126"/>
  <c r="J6" i="125"/>
  <c r="J6" i="126"/>
  <c r="K8" i="113"/>
  <c r="K8" i="116"/>
  <c r="K8" i="114"/>
  <c r="K8" i="115"/>
  <c r="K8" i="112"/>
  <c r="J6" i="115"/>
  <c r="J6" i="113"/>
  <c r="J6" i="112"/>
  <c r="J6" i="114"/>
  <c r="J6" i="116"/>
  <c r="K7" i="34"/>
  <c r="J5" i="34"/>
  <c r="O63" i="34"/>
  <c r="J16" i="4"/>
  <c r="J7" i="131" s="1"/>
  <c r="L17" i="4"/>
  <c r="L8" i="131" l="1"/>
  <c r="L8" i="130"/>
  <c r="L8" i="120"/>
  <c r="J7" i="130"/>
  <c r="J7" i="120"/>
  <c r="L8" i="126"/>
  <c r="L8" i="125"/>
  <c r="J7" i="125"/>
  <c r="J7" i="126"/>
  <c r="L8" i="116"/>
  <c r="L8" i="114"/>
  <c r="L8" i="115"/>
  <c r="L8" i="113"/>
  <c r="L8" i="112"/>
  <c r="J7" i="115"/>
  <c r="J7" i="114"/>
  <c r="J7" i="113"/>
  <c r="J7" i="116"/>
  <c r="J7" i="112"/>
  <c r="J18" i="4"/>
  <c r="J9" i="131" s="1"/>
  <c r="J6" i="34"/>
  <c r="L7" i="34"/>
  <c r="P63" i="34"/>
  <c r="K15" i="4"/>
  <c r="K6" i="131" s="1"/>
  <c r="M17" i="4"/>
  <c r="M8" i="131" l="1"/>
  <c r="M8" i="130"/>
  <c r="M8" i="120"/>
  <c r="K6" i="130"/>
  <c r="K6" i="120"/>
  <c r="J9" i="130"/>
  <c r="J9" i="120"/>
  <c r="M8" i="125"/>
  <c r="M8" i="126"/>
  <c r="K6" i="125"/>
  <c r="K6" i="126"/>
  <c r="J9" i="125"/>
  <c r="J9" i="126"/>
  <c r="M8" i="116"/>
  <c r="M8" i="114"/>
  <c r="M8" i="115"/>
  <c r="M8" i="113"/>
  <c r="M8" i="112"/>
  <c r="J9" i="114"/>
  <c r="J9" i="115"/>
  <c r="J9" i="112"/>
  <c r="J9" i="116"/>
  <c r="J9" i="113"/>
  <c r="K6" i="115"/>
  <c r="K6" i="114"/>
  <c r="K6" i="113"/>
  <c r="K6" i="112"/>
  <c r="K6" i="116"/>
  <c r="J8" i="34"/>
  <c r="J20" i="4"/>
  <c r="J11" i="131" s="1"/>
  <c r="K16" i="4"/>
  <c r="K7" i="131" s="1"/>
  <c r="K5" i="34"/>
  <c r="M7" i="34"/>
  <c r="Q63" i="34"/>
  <c r="N17" i="4"/>
  <c r="N8" i="131" l="1"/>
  <c r="N8" i="130"/>
  <c r="N8" i="120"/>
  <c r="K7" i="130"/>
  <c r="K7" i="120"/>
  <c r="J17" i="130"/>
  <c r="J11" i="130"/>
  <c r="J11" i="120"/>
  <c r="N8" i="125"/>
  <c r="N8" i="126"/>
  <c r="K7" i="125"/>
  <c r="K7" i="126"/>
  <c r="J11" i="126"/>
  <c r="J11" i="125"/>
  <c r="N8" i="114"/>
  <c r="N8" i="115"/>
  <c r="N8" i="116"/>
  <c r="N8" i="113"/>
  <c r="N8" i="112"/>
  <c r="K7" i="113"/>
  <c r="K7" i="112"/>
  <c r="K7" i="114"/>
  <c r="K7" i="115"/>
  <c r="K7" i="116"/>
  <c r="J11" i="115"/>
  <c r="J11" i="114"/>
  <c r="J11" i="113"/>
  <c r="J11" i="112"/>
  <c r="J11" i="116"/>
  <c r="O17" i="4"/>
  <c r="K6" i="34"/>
  <c r="K18" i="4"/>
  <c r="K9" i="131" s="1"/>
  <c r="J10" i="34"/>
  <c r="J34" i="34" s="1"/>
  <c r="L15" i="4"/>
  <c r="L6" i="131" s="1"/>
  <c r="N7" i="34"/>
  <c r="R63" i="34"/>
  <c r="O8" i="131" l="1"/>
  <c r="O8" i="130"/>
  <c r="O8" i="120"/>
  <c r="L6" i="130"/>
  <c r="L6" i="120"/>
  <c r="K9" i="130"/>
  <c r="K9" i="120"/>
  <c r="O8" i="125"/>
  <c r="O8" i="126"/>
  <c r="O7" i="34"/>
  <c r="L6" i="125"/>
  <c r="L6" i="126"/>
  <c r="K9" i="125"/>
  <c r="K9" i="126"/>
  <c r="P17" i="4"/>
  <c r="O8" i="114"/>
  <c r="O8" i="115"/>
  <c r="O8" i="113"/>
  <c r="O8" i="112"/>
  <c r="O8" i="116"/>
  <c r="L6" i="113"/>
  <c r="L6" i="115"/>
  <c r="L6" i="114"/>
  <c r="L6" i="116"/>
  <c r="L6" i="112"/>
  <c r="K9" i="115"/>
  <c r="K9" i="112"/>
  <c r="K9" i="114"/>
  <c r="K9" i="113"/>
  <c r="K9" i="116"/>
  <c r="K8" i="34"/>
  <c r="L5" i="34"/>
  <c r="J47" i="34"/>
  <c r="J23" i="34"/>
  <c r="R70" i="34"/>
  <c r="K20" i="4"/>
  <c r="K11" i="131" s="1"/>
  <c r="L16" i="4"/>
  <c r="L7" i="131" s="1"/>
  <c r="J61" i="34"/>
  <c r="N66" i="34" s="1"/>
  <c r="P7" i="34"/>
  <c r="S63" i="34"/>
  <c r="S70" i="34" s="1"/>
  <c r="Q17" i="4"/>
  <c r="Q70" i="34"/>
  <c r="P8" i="131" l="1"/>
  <c r="P8" i="130"/>
  <c r="P8" i="120"/>
  <c r="Q8" i="125"/>
  <c r="Q8" i="120"/>
  <c r="L7" i="130"/>
  <c r="L7" i="120"/>
  <c r="K17" i="130"/>
  <c r="K11" i="130"/>
  <c r="K11" i="120"/>
  <c r="P8" i="125"/>
  <c r="P8" i="126"/>
  <c r="K11" i="126"/>
  <c r="L7" i="125"/>
  <c r="L7" i="126"/>
  <c r="K11" i="125"/>
  <c r="Q8" i="113"/>
  <c r="Q8" i="112"/>
  <c r="Q8" i="116"/>
  <c r="Q8" i="114"/>
  <c r="Q8" i="115"/>
  <c r="P8" i="115"/>
  <c r="P8" i="113"/>
  <c r="P8" i="112"/>
  <c r="P8" i="116"/>
  <c r="P8" i="114"/>
  <c r="K11" i="113"/>
  <c r="K11" i="114"/>
  <c r="K11" i="112"/>
  <c r="K11" i="115"/>
  <c r="K11" i="116"/>
  <c r="L7" i="114"/>
  <c r="L7" i="115"/>
  <c r="L7" i="116"/>
  <c r="L7" i="112"/>
  <c r="L7" i="113"/>
  <c r="K10" i="34"/>
  <c r="L6" i="34"/>
  <c r="L18" i="4"/>
  <c r="L9" i="131" s="1"/>
  <c r="M15" i="4"/>
  <c r="M6" i="131" s="1"/>
  <c r="Q7" i="34"/>
  <c r="T63" i="34"/>
  <c r="T70" i="34" s="1"/>
  <c r="R17" i="4"/>
  <c r="P70" i="34"/>
  <c r="R8" i="125" l="1"/>
  <c r="R8" i="120"/>
  <c r="L9" i="130"/>
  <c r="L9" i="120"/>
  <c r="M6" i="130"/>
  <c r="M6" i="120"/>
  <c r="L9" i="125"/>
  <c r="L9" i="126"/>
  <c r="M6" i="125"/>
  <c r="M6" i="126"/>
  <c r="R8" i="113"/>
  <c r="R8" i="112"/>
  <c r="R8" i="116"/>
  <c r="R8" i="114"/>
  <c r="R8" i="115"/>
  <c r="M6" i="114"/>
  <c r="M6" i="115"/>
  <c r="M6" i="116"/>
  <c r="M6" i="113"/>
  <c r="M6" i="112"/>
  <c r="L9" i="115"/>
  <c r="L9" i="112"/>
  <c r="L9" i="114"/>
  <c r="L9" i="116"/>
  <c r="L9" i="113"/>
  <c r="K47" i="34"/>
  <c r="K34" i="34"/>
  <c r="M16" i="4"/>
  <c r="M7" i="131" s="1"/>
  <c r="L20" i="4"/>
  <c r="L11" i="131" s="1"/>
  <c r="K23" i="34"/>
  <c r="R7" i="34"/>
  <c r="K61" i="34"/>
  <c r="O66" i="34" s="1"/>
  <c r="L8" i="34"/>
  <c r="M5" i="34"/>
  <c r="U63" i="34"/>
  <c r="U70" i="34" s="1"/>
  <c r="S17" i="4"/>
  <c r="O70" i="34"/>
  <c r="S8" i="125" l="1"/>
  <c r="S8" i="120"/>
  <c r="M14" i="122"/>
  <c r="M7" i="130"/>
  <c r="M7" i="120"/>
  <c r="L17" i="130"/>
  <c r="L11" i="130"/>
  <c r="L11" i="120"/>
  <c r="L11" i="126"/>
  <c r="M7" i="125"/>
  <c r="M7" i="126"/>
  <c r="L11" i="125"/>
  <c r="S8" i="116"/>
  <c r="S8" i="112"/>
  <c r="S8" i="114"/>
  <c r="S8" i="113"/>
  <c r="S8" i="115"/>
  <c r="L11" i="114"/>
  <c r="L11" i="115"/>
  <c r="L11" i="112"/>
  <c r="L11" i="116"/>
  <c r="L11" i="113"/>
  <c r="M7" i="115"/>
  <c r="M7" i="112"/>
  <c r="M7" i="114"/>
  <c r="M7" i="113"/>
  <c r="M7" i="116"/>
  <c r="L10" i="34"/>
  <c r="M18" i="4"/>
  <c r="M9" i="131" s="1"/>
  <c r="N15" i="4"/>
  <c r="N6" i="131" s="1"/>
  <c r="M6" i="34"/>
  <c r="S7" i="34"/>
  <c r="V63" i="34"/>
  <c r="V70" i="34" s="1"/>
  <c r="T17" i="4"/>
  <c r="N70" i="34"/>
  <c r="T8" i="125" l="1"/>
  <c r="T8" i="120"/>
  <c r="M9" i="130"/>
  <c r="M9" i="120"/>
  <c r="N6" i="130"/>
  <c r="N6" i="120"/>
  <c r="N6" i="125"/>
  <c r="N6" i="126"/>
  <c r="M9" i="125"/>
  <c r="M9" i="126"/>
  <c r="T8" i="116"/>
  <c r="T8" i="114"/>
  <c r="T8" i="115"/>
  <c r="T8" i="113"/>
  <c r="T8" i="112"/>
  <c r="N6" i="115"/>
  <c r="N6" i="112"/>
  <c r="N6" i="114"/>
  <c r="N6" i="113"/>
  <c r="N6" i="116"/>
  <c r="M9" i="115"/>
  <c r="M9" i="114"/>
  <c r="M9" i="113"/>
  <c r="M9" i="116"/>
  <c r="M9" i="112"/>
  <c r="L23" i="34"/>
  <c r="L34" i="34"/>
  <c r="N16" i="4"/>
  <c r="N7" i="131" s="1"/>
  <c r="N5" i="34"/>
  <c r="L47" i="34"/>
  <c r="M20" i="4"/>
  <c r="M11" i="131" s="1"/>
  <c r="M8" i="34"/>
  <c r="L61" i="34"/>
  <c r="T7" i="34"/>
  <c r="W63" i="34"/>
  <c r="W70" i="34" s="1"/>
  <c r="U17" i="4"/>
  <c r="M70" i="34"/>
  <c r="U8" i="125" l="1"/>
  <c r="U8" i="120"/>
  <c r="M17" i="130"/>
  <c r="M11" i="130"/>
  <c r="M11" i="120"/>
  <c r="N7" i="130"/>
  <c r="N7" i="120"/>
  <c r="M11" i="126"/>
  <c r="N7" i="125"/>
  <c r="N7" i="126"/>
  <c r="M11" i="125"/>
  <c r="U8" i="116"/>
  <c r="U8" i="114"/>
  <c r="U8" i="115"/>
  <c r="U8" i="113"/>
  <c r="U8" i="112"/>
  <c r="M11" i="115"/>
  <c r="M11" i="112"/>
  <c r="M11" i="114"/>
  <c r="M11" i="113"/>
  <c r="M11" i="116"/>
  <c r="N7" i="115"/>
  <c r="N7" i="112"/>
  <c r="N7" i="114"/>
  <c r="N7" i="113"/>
  <c r="N7" i="116"/>
  <c r="N18" i="4"/>
  <c r="N9" i="131" s="1"/>
  <c r="O15" i="4"/>
  <c r="O6" i="131" s="1"/>
  <c r="N6" i="34"/>
  <c r="M10" i="34"/>
  <c r="U7" i="34"/>
  <c r="X63" i="34"/>
  <c r="X70" i="34" s="1"/>
  <c r="V17" i="4"/>
  <c r="L70" i="34"/>
  <c r="V8" i="125" l="1"/>
  <c r="V8" i="120"/>
  <c r="N9" i="130"/>
  <c r="N9" i="120"/>
  <c r="O6" i="130"/>
  <c r="O6" i="120"/>
  <c r="N9" i="126"/>
  <c r="O6" i="125"/>
  <c r="O6" i="126"/>
  <c r="N9" i="125"/>
  <c r="V8" i="114"/>
  <c r="V8" i="116"/>
  <c r="V8" i="115"/>
  <c r="V8" i="113"/>
  <c r="V8" i="112"/>
  <c r="O6" i="115"/>
  <c r="O6" i="114"/>
  <c r="O6" i="113"/>
  <c r="O6" i="116"/>
  <c r="O6" i="112"/>
  <c r="O5" i="34"/>
  <c r="N9" i="115"/>
  <c r="N9" i="114"/>
  <c r="N9" i="113"/>
  <c r="N9" i="112"/>
  <c r="N9" i="116"/>
  <c r="O16" i="4"/>
  <c r="O7" i="131" s="1"/>
  <c r="N20" i="4"/>
  <c r="N11" i="131" s="1"/>
  <c r="N8" i="34"/>
  <c r="M23" i="34"/>
  <c r="M34" i="34"/>
  <c r="M47" i="34"/>
  <c r="M61" i="34"/>
  <c r="V7" i="34"/>
  <c r="Y63" i="34"/>
  <c r="Y70" i="34" s="1"/>
  <c r="W17" i="4"/>
  <c r="K70" i="34"/>
  <c r="W8" i="125" l="1"/>
  <c r="W8" i="120"/>
  <c r="N17" i="130"/>
  <c r="N11" i="130"/>
  <c r="N11" i="120"/>
  <c r="O7" i="130"/>
  <c r="O7" i="120"/>
  <c r="N11" i="126"/>
  <c r="O7" i="125"/>
  <c r="O7" i="126"/>
  <c r="N11" i="125"/>
  <c r="W8" i="114"/>
  <c r="W8" i="115"/>
  <c r="W8" i="113"/>
  <c r="W8" i="112"/>
  <c r="W8" i="116"/>
  <c r="N11" i="115"/>
  <c r="N11" i="112"/>
  <c r="N11" i="114"/>
  <c r="N11" i="116"/>
  <c r="N11" i="113"/>
  <c r="O7" i="115"/>
  <c r="O7" i="114"/>
  <c r="O7" i="113"/>
  <c r="O7" i="112"/>
  <c r="O7" i="116"/>
  <c r="O18" i="4"/>
  <c r="O9" i="131" s="1"/>
  <c r="P15" i="4"/>
  <c r="P6" i="131" s="1"/>
  <c r="O6" i="34"/>
  <c r="N10" i="34"/>
  <c r="N34" i="34" s="1"/>
  <c r="W7" i="34"/>
  <c r="Z63" i="34"/>
  <c r="Z70" i="34" s="1"/>
  <c r="X17" i="4"/>
  <c r="J70" i="34"/>
  <c r="X8" i="125" l="1"/>
  <c r="X8" i="120"/>
  <c r="P6" i="130"/>
  <c r="P6" i="120"/>
  <c r="O9" i="130"/>
  <c r="O9" i="120"/>
  <c r="O9" i="126"/>
  <c r="P6" i="126"/>
  <c r="P6" i="125"/>
  <c r="O9" i="125"/>
  <c r="X8" i="115"/>
  <c r="X8" i="113"/>
  <c r="X8" i="112"/>
  <c r="X8" i="116"/>
  <c r="X8" i="114"/>
  <c r="P16" i="4"/>
  <c r="P7" i="131" s="1"/>
  <c r="O20" i="4"/>
  <c r="O11" i="131" s="1"/>
  <c r="O8" i="34"/>
  <c r="N47" i="34"/>
  <c r="N23" i="34"/>
  <c r="P6" i="115"/>
  <c r="P6" i="114"/>
  <c r="P6" i="113"/>
  <c r="P6" i="112"/>
  <c r="P6" i="116"/>
  <c r="O9" i="115"/>
  <c r="O9" i="113"/>
  <c r="O9" i="114"/>
  <c r="O9" i="116"/>
  <c r="O9" i="112"/>
  <c r="O11" i="115"/>
  <c r="O11" i="114"/>
  <c r="O11" i="113"/>
  <c r="O11" i="116"/>
  <c r="O11" i="112"/>
  <c r="P5" i="34"/>
  <c r="N61" i="34"/>
  <c r="O10" i="34"/>
  <c r="X7" i="34"/>
  <c r="AA63" i="34"/>
  <c r="AA70" i="34" s="1"/>
  <c r="Y17" i="4"/>
  <c r="Y8" i="125" l="1"/>
  <c r="Y8" i="120"/>
  <c r="O17" i="130"/>
  <c r="O11" i="130"/>
  <c r="O11" i="120"/>
  <c r="P7" i="130"/>
  <c r="P7" i="120"/>
  <c r="P7" i="126"/>
  <c r="P7" i="116"/>
  <c r="P7" i="112"/>
  <c r="P18" i="4"/>
  <c r="P9" i="131" s="1"/>
  <c r="P6" i="34"/>
  <c r="P7" i="113"/>
  <c r="Q15" i="4"/>
  <c r="Q6" i="125" s="1"/>
  <c r="P7" i="114"/>
  <c r="P7" i="115"/>
  <c r="O11" i="126"/>
  <c r="O11" i="125"/>
  <c r="P7" i="125"/>
  <c r="Y8" i="113"/>
  <c r="Y8" i="112"/>
  <c r="Y8" i="116"/>
  <c r="Y8" i="114"/>
  <c r="Y8" i="115"/>
  <c r="Q6" i="115"/>
  <c r="Q6" i="114"/>
  <c r="Q6" i="113"/>
  <c r="Q6" i="112"/>
  <c r="Q6" i="116"/>
  <c r="P9" i="115"/>
  <c r="P9" i="114"/>
  <c r="P9" i="113"/>
  <c r="O23" i="34"/>
  <c r="O34" i="34"/>
  <c r="O61" i="34"/>
  <c r="O47" i="34"/>
  <c r="Q5" i="34"/>
  <c r="Y7" i="34"/>
  <c r="AB63" i="34"/>
  <c r="Z17" i="4"/>
  <c r="Q16" i="4"/>
  <c r="P8" i="34" l="1"/>
  <c r="P20" i="4"/>
  <c r="P11" i="131" s="1"/>
  <c r="Z8" i="125"/>
  <c r="Z8" i="120"/>
  <c r="P9" i="112"/>
  <c r="P9" i="116"/>
  <c r="Q7" i="120"/>
  <c r="P9" i="130"/>
  <c r="P9" i="120"/>
  <c r="P11" i="130"/>
  <c r="P11" i="120"/>
  <c r="Q6" i="120"/>
  <c r="P9" i="125"/>
  <c r="P9" i="126"/>
  <c r="P11" i="126"/>
  <c r="Q7" i="125"/>
  <c r="P11" i="125"/>
  <c r="Z8" i="113"/>
  <c r="Z8" i="112"/>
  <c r="Z8" i="116"/>
  <c r="Z8" i="114"/>
  <c r="Z8" i="115"/>
  <c r="P11" i="115"/>
  <c r="P11" i="114"/>
  <c r="P11" i="113"/>
  <c r="P11" i="112"/>
  <c r="P11" i="116"/>
  <c r="Q7" i="115"/>
  <c r="Q7" i="114"/>
  <c r="Q7" i="113"/>
  <c r="Q7" i="112"/>
  <c r="Q7" i="116"/>
  <c r="AB70" i="34"/>
  <c r="AC63" i="34"/>
  <c r="Q6" i="34"/>
  <c r="P10" i="34"/>
  <c r="Z7" i="34"/>
  <c r="AA17" i="4"/>
  <c r="R15" i="4"/>
  <c r="Q18" i="4"/>
  <c r="P17" i="130" l="1"/>
  <c r="AA8" i="125"/>
  <c r="AA8" i="120"/>
  <c r="R6" i="120"/>
  <c r="Q9" i="120"/>
  <c r="Q9" i="125"/>
  <c r="R6" i="125"/>
  <c r="AA8" i="116"/>
  <c r="AA8" i="113"/>
  <c r="AA8" i="114"/>
  <c r="AA8" i="112"/>
  <c r="AA8" i="115"/>
  <c r="R6" i="115"/>
  <c r="R6" i="114"/>
  <c r="R6" i="113"/>
  <c r="R6" i="112"/>
  <c r="R6" i="116"/>
  <c r="Q9" i="115"/>
  <c r="Q9" i="113"/>
  <c r="Q9" i="112"/>
  <c r="Q9" i="114"/>
  <c r="Q9" i="116"/>
  <c r="AD63" i="34"/>
  <c r="AC70" i="34"/>
  <c r="P23" i="34"/>
  <c r="P34" i="34"/>
  <c r="P47" i="34"/>
  <c r="P61" i="34"/>
  <c r="R5" i="34"/>
  <c r="Q8" i="34"/>
  <c r="AA7" i="34"/>
  <c r="AB17" i="4"/>
  <c r="Q20" i="4"/>
  <c r="R16" i="4"/>
  <c r="AB8" i="125" l="1"/>
  <c r="AB8" i="120"/>
  <c r="Q11" i="120"/>
  <c r="R7" i="120"/>
  <c r="R7" i="125"/>
  <c r="Q11" i="125"/>
  <c r="AB8" i="116"/>
  <c r="AB8" i="114"/>
  <c r="AB8" i="115"/>
  <c r="AB8" i="113"/>
  <c r="AB8" i="112"/>
  <c r="Q11" i="115"/>
  <c r="Q11" i="113"/>
  <c r="Q11" i="114"/>
  <c r="Q11" i="116"/>
  <c r="Q11" i="112"/>
  <c r="R7" i="115"/>
  <c r="R7" i="114"/>
  <c r="R7" i="113"/>
  <c r="R7" i="116"/>
  <c r="R7" i="112"/>
  <c r="AC17" i="4"/>
  <c r="AE63" i="34"/>
  <c r="AD70" i="34"/>
  <c r="Q10" i="34"/>
  <c r="S15" i="4"/>
  <c r="R6" i="34"/>
  <c r="AB7" i="34"/>
  <c r="R18" i="4"/>
  <c r="AC8" i="125" l="1"/>
  <c r="AC8" i="120"/>
  <c r="S6" i="120"/>
  <c r="R9" i="120"/>
  <c r="S6" i="125"/>
  <c r="R9" i="125"/>
  <c r="AC8" i="116"/>
  <c r="AC8" i="114"/>
  <c r="AC8" i="115"/>
  <c r="AC8" i="113"/>
  <c r="AC8" i="112"/>
  <c r="R9" i="114"/>
  <c r="R9" i="115"/>
  <c r="R9" i="116"/>
  <c r="R9" i="113"/>
  <c r="R9" i="112"/>
  <c r="S6" i="115"/>
  <c r="S6" i="114"/>
  <c r="S6" i="113"/>
  <c r="S6" i="112"/>
  <c r="S6" i="116"/>
  <c r="AC7" i="34"/>
  <c r="AD17" i="4"/>
  <c r="AE70" i="34"/>
  <c r="AF63" i="34"/>
  <c r="Q23" i="34"/>
  <c r="Q34" i="34"/>
  <c r="Q47" i="34"/>
  <c r="Q61" i="34"/>
  <c r="R8" i="34"/>
  <c r="S16" i="4"/>
  <c r="S5" i="34"/>
  <c r="R20" i="4"/>
  <c r="AD8" i="125" l="1"/>
  <c r="AD8" i="120"/>
  <c r="S7" i="120"/>
  <c r="R11" i="120"/>
  <c r="S7" i="125"/>
  <c r="R11" i="125"/>
  <c r="AD8" i="114"/>
  <c r="AD8" i="115"/>
  <c r="AD8" i="113"/>
  <c r="AD8" i="112"/>
  <c r="AD8" i="116"/>
  <c r="S7" i="114"/>
  <c r="S7" i="113"/>
  <c r="S7" i="112"/>
  <c r="S7" i="115"/>
  <c r="S7" i="116"/>
  <c r="R11" i="115"/>
  <c r="R11" i="114"/>
  <c r="R11" i="113"/>
  <c r="R11" i="116"/>
  <c r="R11" i="112"/>
  <c r="AD7" i="34"/>
  <c r="AE17" i="4"/>
  <c r="AF70" i="34"/>
  <c r="AG63" i="34"/>
  <c r="R10" i="34"/>
  <c r="S6" i="34"/>
  <c r="T15" i="4"/>
  <c r="S18" i="4"/>
  <c r="AE8" i="125" l="1"/>
  <c r="AE8" i="120"/>
  <c r="S9" i="120"/>
  <c r="T6" i="120"/>
  <c r="T6" i="125"/>
  <c r="S9" i="125"/>
  <c r="AE8" i="114"/>
  <c r="AE8" i="115"/>
  <c r="AE8" i="113"/>
  <c r="AE8" i="112"/>
  <c r="AE8" i="116"/>
  <c r="S9" i="115"/>
  <c r="S9" i="112"/>
  <c r="S9" i="114"/>
  <c r="S9" i="113"/>
  <c r="S9" i="116"/>
  <c r="T6" i="113"/>
  <c r="T6" i="114"/>
  <c r="T6" i="112"/>
  <c r="T6" i="115"/>
  <c r="T6" i="116"/>
  <c r="AE7" i="34"/>
  <c r="AF17" i="4"/>
  <c r="AH63" i="34"/>
  <c r="AG70" i="34"/>
  <c r="R23" i="34"/>
  <c r="R34" i="34"/>
  <c r="R47" i="34"/>
  <c r="R61" i="34"/>
  <c r="S20" i="4"/>
  <c r="S8" i="34"/>
  <c r="T5" i="34"/>
  <c r="T16" i="4"/>
  <c r="AF8" i="125" l="1"/>
  <c r="AF8" i="120"/>
  <c r="T7" i="120"/>
  <c r="S11" i="120"/>
  <c r="T7" i="125"/>
  <c r="S11" i="125"/>
  <c r="AF8" i="115"/>
  <c r="AF8" i="113"/>
  <c r="AF8" i="112"/>
  <c r="AF8" i="116"/>
  <c r="AF8" i="114"/>
  <c r="T7" i="114"/>
  <c r="T7" i="115"/>
  <c r="T7" i="116"/>
  <c r="T7" i="113"/>
  <c r="T7" i="112"/>
  <c r="S11" i="113"/>
  <c r="S11" i="112"/>
  <c r="S11" i="115"/>
  <c r="S11" i="114"/>
  <c r="S11" i="116"/>
  <c r="AF7" i="34"/>
  <c r="AG17" i="4"/>
  <c r="AH70" i="34"/>
  <c r="AI63" i="34"/>
  <c r="S10" i="34"/>
  <c r="T6" i="34"/>
  <c r="U15" i="4"/>
  <c r="T18" i="4"/>
  <c r="AG8" i="125" l="1"/>
  <c r="AG8" i="120"/>
  <c r="T9" i="120"/>
  <c r="U6" i="120"/>
  <c r="T9" i="125"/>
  <c r="U6" i="125"/>
  <c r="AG8" i="113"/>
  <c r="AG8" i="112"/>
  <c r="AG8" i="116"/>
  <c r="AG8" i="114"/>
  <c r="AG8" i="115"/>
  <c r="T9" i="115"/>
  <c r="T9" i="112"/>
  <c r="T9" i="114"/>
  <c r="T9" i="113"/>
  <c r="T9" i="116"/>
  <c r="U6" i="114"/>
  <c r="U6" i="115"/>
  <c r="U6" i="113"/>
  <c r="U6" i="112"/>
  <c r="U6" i="116"/>
  <c r="AG7" i="34"/>
  <c r="AH17" i="4"/>
  <c r="AJ63" i="34"/>
  <c r="AI70" i="34"/>
  <c r="S23" i="34"/>
  <c r="S34" i="34"/>
  <c r="S47" i="34"/>
  <c r="S61" i="34"/>
  <c r="T8" i="34"/>
  <c r="T20" i="4"/>
  <c r="U5" i="34"/>
  <c r="U16" i="4"/>
  <c r="AH8" i="125" l="1"/>
  <c r="AH8" i="120"/>
  <c r="U7" i="120"/>
  <c r="T11" i="120"/>
  <c r="T11" i="125"/>
  <c r="U7" i="125"/>
  <c r="AH8" i="113"/>
  <c r="AH8" i="112"/>
  <c r="AH8" i="116"/>
  <c r="AH8" i="114"/>
  <c r="AH8" i="115"/>
  <c r="T11" i="114"/>
  <c r="T11" i="115"/>
  <c r="T11" i="112"/>
  <c r="T11" i="116"/>
  <c r="T11" i="113"/>
  <c r="U7" i="115"/>
  <c r="U7" i="112"/>
  <c r="U7" i="113"/>
  <c r="U7" i="116"/>
  <c r="U7" i="114"/>
  <c r="AH7" i="34"/>
  <c r="AI17" i="4"/>
  <c r="AK63" i="34"/>
  <c r="AJ70" i="34"/>
  <c r="U6" i="34"/>
  <c r="U18" i="4"/>
  <c r="V15" i="4"/>
  <c r="T10" i="34"/>
  <c r="AI8" i="125" l="1"/>
  <c r="AI8" i="120"/>
  <c r="V6" i="120"/>
  <c r="U9" i="120"/>
  <c r="V6" i="125"/>
  <c r="U9" i="125"/>
  <c r="AI8" i="116"/>
  <c r="AI8" i="113"/>
  <c r="AI8" i="112"/>
  <c r="AI8" i="114"/>
  <c r="AI8" i="115"/>
  <c r="V6" i="115"/>
  <c r="V6" i="114"/>
  <c r="V6" i="112"/>
  <c r="V6" i="113"/>
  <c r="V6" i="116"/>
  <c r="U9" i="115"/>
  <c r="U9" i="114"/>
  <c r="U9" i="113"/>
  <c r="U9" i="112"/>
  <c r="U9" i="116"/>
  <c r="AI7" i="34"/>
  <c r="AJ17" i="4"/>
  <c r="AL63" i="34"/>
  <c r="AK70" i="34"/>
  <c r="T23" i="34"/>
  <c r="T34" i="34"/>
  <c r="T47" i="34"/>
  <c r="T61" i="34"/>
  <c r="U8" i="34"/>
  <c r="U20" i="4"/>
  <c r="V5" i="34"/>
  <c r="V16" i="4"/>
  <c r="AJ8" i="125" l="1"/>
  <c r="AJ8" i="120"/>
  <c r="V7" i="120"/>
  <c r="U11" i="120"/>
  <c r="U11" i="125"/>
  <c r="V7" i="125"/>
  <c r="AJ8" i="116"/>
  <c r="AJ8" i="114"/>
  <c r="AJ8" i="115"/>
  <c r="AJ8" i="113"/>
  <c r="AJ8" i="112"/>
  <c r="V7" i="115"/>
  <c r="V7" i="112"/>
  <c r="V7" i="114"/>
  <c r="V7" i="116"/>
  <c r="V7" i="113"/>
  <c r="U11" i="115"/>
  <c r="U11" i="112"/>
  <c r="U11" i="114"/>
  <c r="U11" i="113"/>
  <c r="U11" i="116"/>
  <c r="AJ7" i="34"/>
  <c r="AK17" i="4"/>
  <c r="AM63" i="34"/>
  <c r="AL70" i="34"/>
  <c r="V6" i="34"/>
  <c r="V18" i="4"/>
  <c r="W15" i="4"/>
  <c r="U10" i="34"/>
  <c r="AK8" i="125" l="1"/>
  <c r="AK8" i="120"/>
  <c r="V9" i="120"/>
  <c r="W6" i="120"/>
  <c r="W6" i="125"/>
  <c r="V9" i="125"/>
  <c r="AK8" i="116"/>
  <c r="AK8" i="114"/>
  <c r="AK8" i="115"/>
  <c r="AK8" i="113"/>
  <c r="AK8" i="112"/>
  <c r="W6" i="115"/>
  <c r="W6" i="116"/>
  <c r="W6" i="112"/>
  <c r="W6" i="114"/>
  <c r="W6" i="113"/>
  <c r="V9" i="115"/>
  <c r="V9" i="114"/>
  <c r="V9" i="113"/>
  <c r="V9" i="112"/>
  <c r="V9" i="116"/>
  <c r="AK7" i="34"/>
  <c r="AL17" i="4"/>
  <c r="AN63" i="34"/>
  <c r="AM70" i="34"/>
  <c r="U23" i="34"/>
  <c r="U34" i="34"/>
  <c r="U47" i="34"/>
  <c r="U61" i="34"/>
  <c r="W5" i="34"/>
  <c r="W16" i="4"/>
  <c r="V8" i="34"/>
  <c r="V20" i="4"/>
  <c r="AL8" i="125" l="1"/>
  <c r="AL8" i="120"/>
  <c r="V11" i="120"/>
  <c r="W7" i="120"/>
  <c r="V11" i="125"/>
  <c r="W7" i="125"/>
  <c r="AL8" i="114"/>
  <c r="AL8" i="115"/>
  <c r="AL8" i="113"/>
  <c r="AL8" i="112"/>
  <c r="AL8" i="116"/>
  <c r="V11" i="115"/>
  <c r="V11" i="112"/>
  <c r="V11" i="114"/>
  <c r="V11" i="113"/>
  <c r="V11" i="116"/>
  <c r="W7" i="115"/>
  <c r="W7" i="114"/>
  <c r="W7" i="113"/>
  <c r="W7" i="112"/>
  <c r="W7" i="116"/>
  <c r="AL7" i="34"/>
  <c r="AM17" i="4"/>
  <c r="AO63" i="34"/>
  <c r="AN70" i="34"/>
  <c r="V10" i="34"/>
  <c r="W6" i="34"/>
  <c r="X15" i="4"/>
  <c r="W18" i="4"/>
  <c r="AM8" i="125" l="1"/>
  <c r="AM8" i="120"/>
  <c r="W9" i="120"/>
  <c r="X6" i="120"/>
  <c r="W9" i="125"/>
  <c r="X6" i="125"/>
  <c r="AM8" i="114"/>
  <c r="AM8" i="115"/>
  <c r="AM8" i="113"/>
  <c r="AM8" i="112"/>
  <c r="AM8" i="116"/>
  <c r="X6" i="115"/>
  <c r="X6" i="114"/>
  <c r="X6" i="113"/>
  <c r="X6" i="112"/>
  <c r="X6" i="116"/>
  <c r="W9" i="115"/>
  <c r="W9" i="114"/>
  <c r="W9" i="113"/>
  <c r="W9" i="112"/>
  <c r="W9" i="116"/>
  <c r="AM7" i="34"/>
  <c r="AN17" i="4"/>
  <c r="AP63" i="34"/>
  <c r="AO70" i="34"/>
  <c r="V23" i="34"/>
  <c r="V34" i="34"/>
  <c r="W8" i="34"/>
  <c r="W20" i="4"/>
  <c r="X16" i="4"/>
  <c r="X5" i="34"/>
  <c r="V61" i="34"/>
  <c r="V47" i="34"/>
  <c r="AN8" i="125" l="1"/>
  <c r="AN8" i="120"/>
  <c r="X7" i="120"/>
  <c r="W11" i="120"/>
  <c r="X7" i="125"/>
  <c r="W11" i="125"/>
  <c r="AN8" i="115"/>
  <c r="AN8" i="113"/>
  <c r="AN8" i="112"/>
  <c r="AN8" i="116"/>
  <c r="AN8" i="114"/>
  <c r="X7" i="115"/>
  <c r="X7" i="113"/>
  <c r="X7" i="114"/>
  <c r="X7" i="112"/>
  <c r="X7" i="116"/>
  <c r="W11" i="115"/>
  <c r="W11" i="114"/>
  <c r="W11" i="113"/>
  <c r="W11" i="112"/>
  <c r="W11" i="116"/>
  <c r="AN7" i="34"/>
  <c r="AO17" i="4"/>
  <c r="AQ63" i="34"/>
  <c r="AP70" i="34"/>
  <c r="W10" i="34"/>
  <c r="X6" i="34"/>
  <c r="X18" i="4"/>
  <c r="Y15" i="4"/>
  <c r="AO8" i="125" l="1"/>
  <c r="AO8" i="120"/>
  <c r="X9" i="120"/>
  <c r="Y6" i="120"/>
  <c r="Y6" i="125"/>
  <c r="X9" i="125"/>
  <c r="AO8" i="113"/>
  <c r="AO8" i="112"/>
  <c r="AO8" i="116"/>
  <c r="AO8" i="114"/>
  <c r="AO8" i="115"/>
  <c r="X9" i="115"/>
  <c r="X9" i="114"/>
  <c r="X9" i="113"/>
  <c r="X9" i="112"/>
  <c r="X9" i="116"/>
  <c r="Y6" i="115"/>
  <c r="Y6" i="113"/>
  <c r="Y6" i="114"/>
  <c r="Y6" i="116"/>
  <c r="Y6" i="112"/>
  <c r="AO7" i="34"/>
  <c r="AP17" i="4"/>
  <c r="AR63" i="34"/>
  <c r="AQ70" i="34"/>
  <c r="W23" i="34"/>
  <c r="W34" i="34"/>
  <c r="Y16" i="4"/>
  <c r="Y5" i="34"/>
  <c r="W61" i="34"/>
  <c r="W47" i="34"/>
  <c r="X20" i="4"/>
  <c r="X8" i="34"/>
  <c r="AP8" i="125" l="1"/>
  <c r="AP8" i="120"/>
  <c r="Y7" i="120"/>
  <c r="X11" i="120"/>
  <c r="Y7" i="125"/>
  <c r="X11" i="125"/>
  <c r="AP8" i="113"/>
  <c r="AP8" i="112"/>
  <c r="AP8" i="116"/>
  <c r="AP8" i="114"/>
  <c r="AP8" i="115"/>
  <c r="X11" i="115"/>
  <c r="X11" i="114"/>
  <c r="X11" i="113"/>
  <c r="X11" i="112"/>
  <c r="X11" i="116"/>
  <c r="Y7" i="115"/>
  <c r="Y7" i="113"/>
  <c r="Y7" i="114"/>
  <c r="Y7" i="112"/>
  <c r="Y7" i="116"/>
  <c r="AP7" i="34"/>
  <c r="AQ17" i="4"/>
  <c r="AS63" i="34"/>
  <c r="AR70" i="34"/>
  <c r="X10" i="34"/>
  <c r="Y6" i="34"/>
  <c r="Y18" i="4"/>
  <c r="Z15" i="4"/>
  <c r="AQ8" i="125" l="1"/>
  <c r="AQ8" i="120"/>
  <c r="Z6" i="120"/>
  <c r="Y9" i="120"/>
  <c r="Z6" i="125"/>
  <c r="Y9" i="125"/>
  <c r="AQ8" i="116"/>
  <c r="AQ8" i="114"/>
  <c r="AQ8" i="112"/>
  <c r="AQ8" i="115"/>
  <c r="AQ8" i="113"/>
  <c r="Z6" i="115"/>
  <c r="Z6" i="113"/>
  <c r="Z6" i="114"/>
  <c r="Z6" i="116"/>
  <c r="Z6" i="112"/>
  <c r="Y9" i="113"/>
  <c r="Y9" i="114"/>
  <c r="Y9" i="112"/>
  <c r="Y9" i="116"/>
  <c r="Y9" i="115"/>
  <c r="AQ7" i="34"/>
  <c r="AR17" i="4"/>
  <c r="AT63" i="34"/>
  <c r="AS70" i="34"/>
  <c r="X23" i="34"/>
  <c r="X34" i="34"/>
  <c r="Z16" i="4"/>
  <c r="Z5" i="34"/>
  <c r="Y20" i="4"/>
  <c r="Y8" i="34"/>
  <c r="X61" i="34"/>
  <c r="X47" i="34"/>
  <c r="AR8" i="125" l="1"/>
  <c r="AR8" i="120"/>
  <c r="Y11" i="120"/>
  <c r="Z7" i="120"/>
  <c r="Y11" i="125"/>
  <c r="Z7" i="125"/>
  <c r="AR8" i="116"/>
  <c r="AR8" i="114"/>
  <c r="AR8" i="115"/>
  <c r="AR8" i="113"/>
  <c r="AR8" i="112"/>
  <c r="Z7" i="115"/>
  <c r="Z7" i="114"/>
  <c r="Z7" i="113"/>
  <c r="Z7" i="112"/>
  <c r="Z7" i="116"/>
  <c r="Y11" i="115"/>
  <c r="Y11" i="114"/>
  <c r="Y11" i="113"/>
  <c r="Y11" i="112"/>
  <c r="Y11" i="116"/>
  <c r="AR7" i="34"/>
  <c r="AS17" i="4"/>
  <c r="AT70" i="34"/>
  <c r="AU63" i="34"/>
  <c r="Y10" i="34"/>
  <c r="Z6" i="34"/>
  <c r="Z18" i="4"/>
  <c r="AA15" i="4"/>
  <c r="AS8" i="125" l="1"/>
  <c r="AS8" i="120"/>
  <c r="Z9" i="120"/>
  <c r="AA6" i="120"/>
  <c r="AA6" i="125"/>
  <c r="Z9" i="125"/>
  <c r="AS8" i="116"/>
  <c r="AS8" i="114"/>
  <c r="AS8" i="115"/>
  <c r="AS8" i="113"/>
  <c r="AS8" i="112"/>
  <c r="AA6" i="115"/>
  <c r="AA6" i="114"/>
  <c r="AA6" i="113"/>
  <c r="AA6" i="116"/>
  <c r="AA6" i="112"/>
  <c r="Z9" i="114"/>
  <c r="Z9" i="115"/>
  <c r="Z9" i="112"/>
  <c r="Z9" i="116"/>
  <c r="Z9" i="113"/>
  <c r="AS7" i="34"/>
  <c r="AT17" i="4"/>
  <c r="AV63" i="34"/>
  <c r="AU70" i="34"/>
  <c r="Y23" i="34"/>
  <c r="Y34" i="34"/>
  <c r="Z20" i="4"/>
  <c r="Z8" i="34"/>
  <c r="Y61" i="34"/>
  <c r="Y47" i="34"/>
  <c r="AA16" i="4"/>
  <c r="AA5" i="34"/>
  <c r="AT8" i="125" l="1"/>
  <c r="AT8" i="120"/>
  <c r="AA7" i="120"/>
  <c r="Z11" i="120"/>
  <c r="AA7" i="125"/>
  <c r="Z11" i="125"/>
  <c r="AT8" i="114"/>
  <c r="AT8" i="115"/>
  <c r="AT8" i="113"/>
  <c r="AT8" i="112"/>
  <c r="AT8" i="116"/>
  <c r="Z11" i="115"/>
  <c r="Z11" i="114"/>
  <c r="Z11" i="113"/>
  <c r="Z11" i="112"/>
  <c r="Z11" i="116"/>
  <c r="AA7" i="113"/>
  <c r="AA7" i="114"/>
  <c r="AA7" i="112"/>
  <c r="AA7" i="115"/>
  <c r="AA7" i="116"/>
  <c r="AT7" i="34"/>
  <c r="AU17" i="4"/>
  <c r="AW63" i="34"/>
  <c r="AW70" i="34" s="1"/>
  <c r="AV70" i="34"/>
  <c r="AA6" i="34"/>
  <c r="AA18" i="4"/>
  <c r="AB15" i="4"/>
  <c r="Z10" i="34"/>
  <c r="AU8" i="125" l="1"/>
  <c r="AU8" i="120"/>
  <c r="AB6" i="120"/>
  <c r="AA9" i="120"/>
  <c r="AA9" i="125"/>
  <c r="AB6" i="125"/>
  <c r="AU8" i="114"/>
  <c r="AU8" i="115"/>
  <c r="AU8" i="113"/>
  <c r="AU8" i="112"/>
  <c r="AU8" i="116"/>
  <c r="A70" i="34"/>
  <c r="AB6" i="113"/>
  <c r="AB6" i="115"/>
  <c r="AB6" i="112"/>
  <c r="AB6" i="114"/>
  <c r="AB6" i="116"/>
  <c r="AA9" i="115"/>
  <c r="AA9" i="114"/>
  <c r="AA9" i="112"/>
  <c r="AA9" i="113"/>
  <c r="AA9" i="116"/>
  <c r="AU7" i="34"/>
  <c r="AV17" i="4"/>
  <c r="Z23" i="34"/>
  <c r="Z34" i="34"/>
  <c r="AB16" i="4"/>
  <c r="AB5" i="34"/>
  <c r="Z47" i="34"/>
  <c r="Z61" i="34"/>
  <c r="AA20" i="4"/>
  <c r="AA8" i="34"/>
  <c r="AV8" i="125" l="1"/>
  <c r="AV8" i="120"/>
  <c r="AB7" i="120"/>
  <c r="AA11" i="120"/>
  <c r="AA11" i="125"/>
  <c r="AB7" i="125"/>
  <c r="AV8" i="115"/>
  <c r="AV8" i="113"/>
  <c r="AV8" i="112"/>
  <c r="AV8" i="116"/>
  <c r="AV8" i="114"/>
  <c r="AA11" i="113"/>
  <c r="AA11" i="114"/>
  <c r="AA11" i="115"/>
  <c r="AA11" i="112"/>
  <c r="AA11" i="116"/>
  <c r="AB7" i="114"/>
  <c r="AB7" i="115"/>
  <c r="AB7" i="112"/>
  <c r="AB7" i="116"/>
  <c r="AB7" i="113"/>
  <c r="AV7" i="34"/>
  <c r="AW17" i="4"/>
  <c r="AC15" i="4"/>
  <c r="AA10" i="34"/>
  <c r="AB18" i="4"/>
  <c r="AB6" i="34"/>
  <c r="AW8" i="125" l="1"/>
  <c r="AW8" i="120"/>
  <c r="AC6" i="120"/>
  <c r="AB9" i="120"/>
  <c r="AB9" i="125"/>
  <c r="AC6" i="125"/>
  <c r="AW8" i="113"/>
  <c r="AW8" i="112"/>
  <c r="AW8" i="116"/>
  <c r="AW8" i="114"/>
  <c r="AW8" i="115"/>
  <c r="AB9" i="115"/>
  <c r="AB9" i="112"/>
  <c r="AB9" i="114"/>
  <c r="AB9" i="116"/>
  <c r="AB9" i="113"/>
  <c r="AC6" i="114"/>
  <c r="AC6" i="115"/>
  <c r="AC6" i="116"/>
  <c r="AC6" i="112"/>
  <c r="AC6" i="113"/>
  <c r="AW7" i="34"/>
  <c r="AC16" i="4"/>
  <c r="AC5" i="34"/>
  <c r="AA23" i="34"/>
  <c r="AA34" i="34"/>
  <c r="AB20" i="4"/>
  <c r="AB8" i="34"/>
  <c r="AA61" i="34"/>
  <c r="AA47" i="34"/>
  <c r="AC7" i="120" l="1"/>
  <c r="AB11" i="120"/>
  <c r="AB11" i="125"/>
  <c r="AC7" i="125"/>
  <c r="AC7" i="115"/>
  <c r="AC7" i="112"/>
  <c r="AC7" i="114"/>
  <c r="AC7" i="113"/>
  <c r="AC7" i="116"/>
  <c r="AB11" i="114"/>
  <c r="AB11" i="115"/>
  <c r="AB11" i="112"/>
  <c r="AB11" i="116"/>
  <c r="AB11" i="113"/>
  <c r="AC18" i="4"/>
  <c r="AC6" i="34"/>
  <c r="AD15" i="4"/>
  <c r="AB10" i="34"/>
  <c r="AD6" i="120" l="1"/>
  <c r="AC9" i="120"/>
  <c r="AC9" i="125"/>
  <c r="AD6" i="125"/>
  <c r="AC9" i="115"/>
  <c r="AC9" i="114"/>
  <c r="AC9" i="113"/>
  <c r="AC9" i="112"/>
  <c r="AC9" i="116"/>
  <c r="AD6" i="115"/>
  <c r="AD6" i="112"/>
  <c r="AD6" i="114"/>
  <c r="AD6" i="113"/>
  <c r="AD6" i="116"/>
  <c r="AD16" i="4"/>
  <c r="AD5" i="34"/>
  <c r="AC20" i="4"/>
  <c r="AC8" i="34"/>
  <c r="AB23" i="34"/>
  <c r="AB34" i="34"/>
  <c r="AB61" i="34"/>
  <c r="AB47" i="34"/>
  <c r="AD7" i="120" l="1"/>
  <c r="AC11" i="120"/>
  <c r="AC11" i="125"/>
  <c r="AD7" i="125"/>
  <c r="AC11" i="115"/>
  <c r="AC11" i="114"/>
  <c r="AC11" i="112"/>
  <c r="AC11" i="113"/>
  <c r="AC11" i="116"/>
  <c r="AD7" i="115"/>
  <c r="AD7" i="112"/>
  <c r="AD7" i="114"/>
  <c r="AD7" i="116"/>
  <c r="AD7" i="113"/>
  <c r="AC10" i="34"/>
  <c r="AD18" i="4"/>
  <c r="AD6" i="34"/>
  <c r="AE15" i="4"/>
  <c r="AE6" i="120" l="1"/>
  <c r="AD9" i="120"/>
  <c r="AD9" i="125"/>
  <c r="AE6" i="125"/>
  <c r="AD9" i="115"/>
  <c r="AD9" i="113"/>
  <c r="AD9" i="114"/>
  <c r="AD9" i="112"/>
  <c r="AD9" i="116"/>
  <c r="AE6" i="115"/>
  <c r="AE6" i="114"/>
  <c r="AE6" i="112"/>
  <c r="AE6" i="116"/>
  <c r="AE6" i="113"/>
  <c r="AE16" i="4"/>
  <c r="AE5" i="34"/>
  <c r="AD20" i="4"/>
  <c r="AD8" i="34"/>
  <c r="AC23" i="34"/>
  <c r="AC34" i="34"/>
  <c r="AC47" i="34"/>
  <c r="AC61" i="34"/>
  <c r="AD11" i="120" l="1"/>
  <c r="AE7" i="120"/>
  <c r="AD11" i="125"/>
  <c r="AE7" i="125"/>
  <c r="AE7" i="115"/>
  <c r="AE7" i="114"/>
  <c r="AE7" i="113"/>
  <c r="AE7" i="112"/>
  <c r="AE7" i="116"/>
  <c r="AD11" i="115"/>
  <c r="AD11" i="112"/>
  <c r="AD11" i="113"/>
  <c r="AD11" i="116"/>
  <c r="AD11" i="114"/>
  <c r="AD10" i="34"/>
  <c r="AE18" i="4"/>
  <c r="AE6" i="34"/>
  <c r="AF15" i="4"/>
  <c r="AF6" i="120" l="1"/>
  <c r="AE9" i="120"/>
  <c r="AE9" i="125"/>
  <c r="AF6" i="125"/>
  <c r="AF6" i="115"/>
  <c r="AF6" i="114"/>
  <c r="AF6" i="113"/>
  <c r="AF6" i="112"/>
  <c r="AF6" i="116"/>
  <c r="AE9" i="115"/>
  <c r="AE9" i="113"/>
  <c r="AE9" i="114"/>
  <c r="AE9" i="116"/>
  <c r="AE9" i="112"/>
  <c r="AF16" i="4"/>
  <c r="AF5" i="34"/>
  <c r="AE20" i="4"/>
  <c r="AE8" i="34"/>
  <c r="AD61" i="34"/>
  <c r="AD23" i="34"/>
  <c r="AD47" i="34"/>
  <c r="AD34" i="34"/>
  <c r="AE11" i="120" l="1"/>
  <c r="AF7" i="120"/>
  <c r="AE11" i="125"/>
  <c r="AF7" i="125"/>
  <c r="AE11" i="115"/>
  <c r="AE11" i="114"/>
  <c r="AE11" i="113"/>
  <c r="AE11" i="112"/>
  <c r="AE11" i="116"/>
  <c r="AF7" i="115"/>
  <c r="AF7" i="114"/>
  <c r="AF7" i="113"/>
  <c r="AF7" i="116"/>
  <c r="AF7" i="112"/>
  <c r="AE10" i="34"/>
  <c r="AF18" i="4"/>
  <c r="AF6" i="34"/>
  <c r="AG15" i="4"/>
  <c r="AG6" i="120" l="1"/>
  <c r="AF9" i="120"/>
  <c r="AG6" i="125"/>
  <c r="AF9" i="125"/>
  <c r="AF9" i="115"/>
  <c r="AF9" i="114"/>
  <c r="AF9" i="113"/>
  <c r="AF9" i="116"/>
  <c r="AF9" i="112"/>
  <c r="AG6" i="115"/>
  <c r="AG6" i="114"/>
  <c r="AG6" i="113"/>
  <c r="AG6" i="112"/>
  <c r="AG6" i="116"/>
  <c r="AF20" i="4"/>
  <c r="AF8" i="34"/>
  <c r="AG16" i="4"/>
  <c r="AG5" i="34"/>
  <c r="AE23" i="34"/>
  <c r="AE34" i="34"/>
  <c r="AE61" i="34"/>
  <c r="AE47" i="34"/>
  <c r="AG7" i="120" l="1"/>
  <c r="AF11" i="120"/>
  <c r="AG7" i="125"/>
  <c r="AF11" i="125"/>
  <c r="AF11" i="115"/>
  <c r="AF11" i="113"/>
  <c r="AF11" i="114"/>
  <c r="AF11" i="112"/>
  <c r="AF11" i="116"/>
  <c r="AG7" i="115"/>
  <c r="AG7" i="113"/>
  <c r="AG7" i="116"/>
  <c r="AG7" i="114"/>
  <c r="AG7" i="112"/>
  <c r="AF10" i="34"/>
  <c r="AG18" i="4"/>
  <c r="AG6" i="34"/>
  <c r="AH15" i="4"/>
  <c r="AH6" i="120" l="1"/>
  <c r="AG9" i="120"/>
  <c r="AG9" i="125"/>
  <c r="AH6" i="125"/>
  <c r="AH6" i="115"/>
  <c r="AH6" i="114"/>
  <c r="AH6" i="113"/>
  <c r="AH6" i="112"/>
  <c r="AH6" i="116"/>
  <c r="AG9" i="113"/>
  <c r="AG9" i="112"/>
  <c r="AG9" i="114"/>
  <c r="AG9" i="115"/>
  <c r="AG9" i="116"/>
  <c r="AG20" i="4"/>
  <c r="AG8" i="34"/>
  <c r="AH16" i="4"/>
  <c r="AH5" i="34"/>
  <c r="AF34" i="34"/>
  <c r="AF23" i="34"/>
  <c r="AF47" i="34"/>
  <c r="AF61" i="34"/>
  <c r="AH7" i="120" l="1"/>
  <c r="AG11" i="120"/>
  <c r="AG11" i="125"/>
  <c r="AH7" i="125"/>
  <c r="AH7" i="115"/>
  <c r="AH7" i="114"/>
  <c r="AH7" i="113"/>
  <c r="AH7" i="116"/>
  <c r="AH7" i="112"/>
  <c r="AG11" i="115"/>
  <c r="AG11" i="113"/>
  <c r="AG11" i="114"/>
  <c r="AG11" i="112"/>
  <c r="AG11" i="116"/>
  <c r="AG10" i="34"/>
  <c r="AH18" i="4"/>
  <c r="AH6" i="34"/>
  <c r="AI15" i="4"/>
  <c r="AH9" i="120" l="1"/>
  <c r="AI6" i="120"/>
  <c r="AI6" i="125"/>
  <c r="AH9" i="125"/>
  <c r="AI6" i="115"/>
  <c r="AI6" i="114"/>
  <c r="AI6" i="113"/>
  <c r="AI6" i="116"/>
  <c r="AI6" i="112"/>
  <c r="AH9" i="114"/>
  <c r="AH9" i="115"/>
  <c r="AH9" i="112"/>
  <c r="AH9" i="116"/>
  <c r="AH9" i="113"/>
  <c r="AI16" i="4"/>
  <c r="AI5" i="34"/>
  <c r="AG61" i="34"/>
  <c r="AG34" i="34"/>
  <c r="AG23" i="34"/>
  <c r="AG47" i="34"/>
  <c r="AH20" i="4"/>
  <c r="AH8" i="34"/>
  <c r="AI7" i="120" l="1"/>
  <c r="AH11" i="120"/>
  <c r="AH11" i="125"/>
  <c r="AI7" i="125"/>
  <c r="AI7" i="113"/>
  <c r="AI7" i="112"/>
  <c r="AI7" i="115"/>
  <c r="AI7" i="114"/>
  <c r="AI7" i="116"/>
  <c r="AH11" i="115"/>
  <c r="AH11" i="114"/>
  <c r="AH11" i="113"/>
  <c r="AH11" i="116"/>
  <c r="AH11" i="112"/>
  <c r="AI18" i="4"/>
  <c r="AI6" i="34"/>
  <c r="AJ15" i="4"/>
  <c r="AH10" i="34"/>
  <c r="AI9" i="120" l="1"/>
  <c r="AJ6" i="120"/>
  <c r="AI9" i="125"/>
  <c r="AJ6" i="125"/>
  <c r="AI9" i="115"/>
  <c r="AI9" i="112"/>
  <c r="AI9" i="114"/>
  <c r="AI9" i="113"/>
  <c r="AI9" i="116"/>
  <c r="AJ6" i="113"/>
  <c r="AJ6" i="115"/>
  <c r="AJ6" i="112"/>
  <c r="AJ6" i="114"/>
  <c r="AJ6" i="116"/>
  <c r="AJ16" i="4"/>
  <c r="AJ5" i="34"/>
  <c r="AH34" i="34"/>
  <c r="AH61" i="34"/>
  <c r="AH47" i="34"/>
  <c r="AH23" i="34"/>
  <c r="AI20" i="4"/>
  <c r="AI8" i="34"/>
  <c r="AI11" i="120" l="1"/>
  <c r="AJ7" i="120"/>
  <c r="AI11" i="125"/>
  <c r="AJ7" i="125"/>
  <c r="AI11" i="113"/>
  <c r="AI11" i="115"/>
  <c r="AI11" i="112"/>
  <c r="AI11" i="114"/>
  <c r="AI11" i="116"/>
  <c r="AJ7" i="114"/>
  <c r="AJ7" i="115"/>
  <c r="AJ7" i="116"/>
  <c r="AJ7" i="113"/>
  <c r="AJ7" i="112"/>
  <c r="AI10" i="34"/>
  <c r="AJ18" i="4"/>
  <c r="AJ6" i="34"/>
  <c r="AK15" i="4"/>
  <c r="AJ9" i="120" l="1"/>
  <c r="AK6" i="120"/>
  <c r="AJ9" i="125"/>
  <c r="AK6" i="125"/>
  <c r="AJ9" i="115"/>
  <c r="AJ9" i="112"/>
  <c r="AJ9" i="114"/>
  <c r="AJ9" i="116"/>
  <c r="AJ9" i="113"/>
  <c r="AK6" i="114"/>
  <c r="AK6" i="115"/>
  <c r="AK6" i="116"/>
  <c r="AK6" i="113"/>
  <c r="AK6" i="112"/>
  <c r="AK16" i="4"/>
  <c r="AK5" i="34"/>
  <c r="AI23" i="34"/>
  <c r="AI34" i="34"/>
  <c r="AI61" i="34"/>
  <c r="AI47" i="34"/>
  <c r="AJ20" i="4"/>
  <c r="AJ8" i="34"/>
  <c r="AJ11" i="120" l="1"/>
  <c r="AK7" i="120"/>
  <c r="AJ11" i="125"/>
  <c r="AK7" i="125"/>
  <c r="AJ11" i="114"/>
  <c r="AJ11" i="115"/>
  <c r="AJ11" i="112"/>
  <c r="AJ11" i="116"/>
  <c r="AJ11" i="113"/>
  <c r="AK7" i="115"/>
  <c r="AK7" i="112"/>
  <c r="AK7" i="114"/>
  <c r="AK7" i="113"/>
  <c r="AK7" i="116"/>
  <c r="AJ10" i="34"/>
  <c r="AK18" i="4"/>
  <c r="AK6" i="34"/>
  <c r="AL15" i="4"/>
  <c r="AL6" i="120" l="1"/>
  <c r="AK9" i="120"/>
  <c r="AK9" i="125"/>
  <c r="AL6" i="125"/>
  <c r="AL6" i="115"/>
  <c r="AL6" i="112"/>
  <c r="AL6" i="114"/>
  <c r="AL6" i="113"/>
  <c r="AL6" i="116"/>
  <c r="AK9" i="115"/>
  <c r="AK9" i="114"/>
  <c r="AK9" i="113"/>
  <c r="AK9" i="112"/>
  <c r="AK9" i="116"/>
  <c r="AL16" i="4"/>
  <c r="AL5" i="34"/>
  <c r="AK20" i="4"/>
  <c r="AK8" i="34"/>
  <c r="AJ34" i="34"/>
  <c r="AJ47" i="34"/>
  <c r="AJ61" i="34"/>
  <c r="AJ23" i="34"/>
  <c r="AK11" i="120" l="1"/>
  <c r="AL7" i="120"/>
  <c r="AK11" i="125"/>
  <c r="AL7" i="125"/>
  <c r="AL7" i="115"/>
  <c r="AL7" i="112"/>
  <c r="AL7" i="114"/>
  <c r="AL7" i="113"/>
  <c r="AL7" i="116"/>
  <c r="AK11" i="115"/>
  <c r="AK11" i="112"/>
  <c r="AK11" i="114"/>
  <c r="AK11" i="113"/>
  <c r="AK11" i="116"/>
  <c r="AK10" i="34"/>
  <c r="AL18" i="4"/>
  <c r="AL6" i="34"/>
  <c r="AM15" i="4"/>
  <c r="AM6" i="120" l="1"/>
  <c r="AL9" i="120"/>
  <c r="AM6" i="125"/>
  <c r="AL9" i="125"/>
  <c r="AL9" i="115"/>
  <c r="AL9" i="114"/>
  <c r="AL9" i="113"/>
  <c r="AL9" i="112"/>
  <c r="AL9" i="116"/>
  <c r="AM6" i="115"/>
  <c r="AM6" i="112"/>
  <c r="AM6" i="114"/>
  <c r="AM6" i="113"/>
  <c r="AM6" i="116"/>
  <c r="AM16" i="4"/>
  <c r="AM5" i="34"/>
  <c r="AL20" i="4"/>
  <c r="AL8" i="34"/>
  <c r="AK23" i="34"/>
  <c r="AK47" i="34"/>
  <c r="AK34" i="34"/>
  <c r="AK61" i="34"/>
  <c r="AM7" i="120" l="1"/>
  <c r="AL11" i="120"/>
  <c r="AL11" i="125"/>
  <c r="AM7" i="125"/>
  <c r="AL11" i="115"/>
  <c r="AL11" i="112"/>
  <c r="AL11" i="114"/>
  <c r="AL11" i="113"/>
  <c r="AL11" i="116"/>
  <c r="AM7" i="115"/>
  <c r="AM7" i="114"/>
  <c r="AM7" i="113"/>
  <c r="AM7" i="112"/>
  <c r="AM7" i="116"/>
  <c r="AL10" i="34"/>
  <c r="AM18" i="4"/>
  <c r="AM6" i="34"/>
  <c r="AN15" i="4"/>
  <c r="AM9" i="120" l="1"/>
  <c r="AN6" i="120"/>
  <c r="AM9" i="125"/>
  <c r="AN6" i="125"/>
  <c r="AM9" i="115"/>
  <c r="AM9" i="114"/>
  <c r="AM9" i="113"/>
  <c r="AM9" i="112"/>
  <c r="AM9" i="116"/>
  <c r="AN6" i="115"/>
  <c r="AN6" i="114"/>
  <c r="AN6" i="113"/>
  <c r="AN6" i="112"/>
  <c r="AN6" i="116"/>
  <c r="AM20" i="4"/>
  <c r="AM8" i="34"/>
  <c r="AN16" i="4"/>
  <c r="AN5" i="34"/>
  <c r="AL61" i="34"/>
  <c r="AL23" i="34"/>
  <c r="AL47" i="34"/>
  <c r="AL34" i="34"/>
  <c r="AN7" i="120" l="1"/>
  <c r="AM11" i="120"/>
  <c r="AN7" i="125"/>
  <c r="AM11" i="125"/>
  <c r="AN7" i="115"/>
  <c r="AN7" i="114"/>
  <c r="AN7" i="113"/>
  <c r="AN7" i="112"/>
  <c r="AN7" i="116"/>
  <c r="AM11" i="115"/>
  <c r="AM11" i="114"/>
  <c r="AM11" i="113"/>
  <c r="AM11" i="112"/>
  <c r="AM11" i="116"/>
  <c r="AN18" i="4"/>
  <c r="AN6" i="34"/>
  <c r="AO15" i="4"/>
  <c r="AM10" i="34"/>
  <c r="AN9" i="120" l="1"/>
  <c r="AO6" i="120"/>
  <c r="AN9" i="125"/>
  <c r="AO6" i="125"/>
  <c r="AN9" i="115"/>
  <c r="AN9" i="114"/>
  <c r="AN9" i="113"/>
  <c r="AN9" i="112"/>
  <c r="AN9" i="116"/>
  <c r="AO6" i="115"/>
  <c r="AO6" i="113"/>
  <c r="AO6" i="114"/>
  <c r="AO6" i="112"/>
  <c r="AO6" i="116"/>
  <c r="AO16" i="4"/>
  <c r="AO5" i="34"/>
  <c r="AM34" i="34"/>
  <c r="AM23" i="34"/>
  <c r="AM47" i="34"/>
  <c r="AM61" i="34"/>
  <c r="AN20" i="4"/>
  <c r="AN8" i="34"/>
  <c r="AO7" i="120" l="1"/>
  <c r="AN11" i="120"/>
  <c r="AO7" i="125"/>
  <c r="AN11" i="125"/>
  <c r="AN11" i="115"/>
  <c r="AN11" i="114"/>
  <c r="AN11" i="113"/>
  <c r="AN11" i="112"/>
  <c r="AN11" i="116"/>
  <c r="AO7" i="115"/>
  <c r="AO7" i="114"/>
  <c r="AO7" i="113"/>
  <c r="AO7" i="112"/>
  <c r="AO7" i="116"/>
  <c r="AN10" i="34"/>
  <c r="AO18" i="4"/>
  <c r="AO6" i="34"/>
  <c r="AP15" i="4"/>
  <c r="AO9" i="120" l="1"/>
  <c r="AP6" i="120"/>
  <c r="AO9" i="125"/>
  <c r="AP6" i="125"/>
  <c r="AO9" i="113"/>
  <c r="AO9" i="112"/>
  <c r="AO9" i="115"/>
  <c r="AO9" i="116"/>
  <c r="AO9" i="114"/>
  <c r="AP6" i="115"/>
  <c r="AP6" i="113"/>
  <c r="AP6" i="114"/>
  <c r="AP6" i="112"/>
  <c r="AP6" i="116"/>
  <c r="AO20" i="4"/>
  <c r="AO8" i="34"/>
  <c r="AP16" i="4"/>
  <c r="AP5" i="34"/>
  <c r="AN34" i="34"/>
  <c r="AN47" i="34"/>
  <c r="AN61" i="34"/>
  <c r="AN23" i="34"/>
  <c r="AP7" i="120" l="1"/>
  <c r="AO11" i="120"/>
  <c r="AP7" i="125"/>
  <c r="AO11" i="125"/>
  <c r="AP7" i="115"/>
  <c r="AP7" i="114"/>
  <c r="AP7" i="113"/>
  <c r="AP7" i="116"/>
  <c r="AP7" i="112"/>
  <c r="AO11" i="115"/>
  <c r="AO11" i="114"/>
  <c r="AO11" i="113"/>
  <c r="AO11" i="116"/>
  <c r="AO11" i="112"/>
  <c r="AP18" i="4"/>
  <c r="AP6" i="34"/>
  <c r="AQ15" i="4"/>
  <c r="AO10" i="34"/>
  <c r="AP9" i="120" l="1"/>
  <c r="AQ6" i="120"/>
  <c r="AP9" i="125"/>
  <c r="AQ6" i="125"/>
  <c r="AQ6" i="115"/>
  <c r="AQ6" i="114"/>
  <c r="AQ6" i="113"/>
  <c r="AQ6" i="112"/>
  <c r="AQ6" i="116"/>
  <c r="AP9" i="114"/>
  <c r="AP9" i="115"/>
  <c r="AP9" i="112"/>
  <c r="AP9" i="116"/>
  <c r="AP9" i="113"/>
  <c r="AO61" i="34"/>
  <c r="AO23" i="34"/>
  <c r="AO47" i="34"/>
  <c r="AO34" i="34"/>
  <c r="AQ16" i="4"/>
  <c r="AQ5" i="34"/>
  <c r="AP20" i="4"/>
  <c r="AP8" i="34"/>
  <c r="AP11" i="120" l="1"/>
  <c r="AQ7" i="120"/>
  <c r="AQ7" i="125"/>
  <c r="AP11" i="125"/>
  <c r="AP11" i="115"/>
  <c r="AP11" i="114"/>
  <c r="AP11" i="113"/>
  <c r="AP11" i="116"/>
  <c r="AP11" i="112"/>
  <c r="AQ7" i="113"/>
  <c r="AQ7" i="114"/>
  <c r="AQ7" i="115"/>
  <c r="AQ7" i="112"/>
  <c r="AQ7" i="116"/>
  <c r="AP10" i="34"/>
  <c r="AQ18" i="4"/>
  <c r="AQ6" i="34"/>
  <c r="AR15" i="4"/>
  <c r="AR6" i="120" l="1"/>
  <c r="AQ9" i="120"/>
  <c r="AR6" i="125"/>
  <c r="AQ9" i="125"/>
  <c r="AR6" i="113"/>
  <c r="AR6" i="115"/>
  <c r="AR6" i="114"/>
  <c r="AR6" i="112"/>
  <c r="AR6" i="116"/>
  <c r="AQ9" i="115"/>
  <c r="AQ9" i="112"/>
  <c r="AQ9" i="114"/>
  <c r="AQ9" i="113"/>
  <c r="AQ9" i="116"/>
  <c r="AQ20" i="4"/>
  <c r="AQ8" i="34"/>
  <c r="AR16" i="4"/>
  <c r="AR5" i="34"/>
  <c r="AP47" i="34"/>
  <c r="AP23" i="34"/>
  <c r="AP34" i="34"/>
  <c r="AP61" i="34"/>
  <c r="AQ11" i="120" l="1"/>
  <c r="AR7" i="120"/>
  <c r="AR7" i="125"/>
  <c r="AQ11" i="125"/>
  <c r="AQ11" i="113"/>
  <c r="AQ11" i="115"/>
  <c r="AQ11" i="112"/>
  <c r="AQ11" i="116"/>
  <c r="AQ11" i="114"/>
  <c r="AR7" i="114"/>
  <c r="AR7" i="115"/>
  <c r="AR7" i="116"/>
  <c r="AR7" i="112"/>
  <c r="AR7" i="113"/>
  <c r="AQ10" i="34"/>
  <c r="AR18" i="4"/>
  <c r="AR6" i="34"/>
  <c r="AS15" i="4"/>
  <c r="AR9" i="120" l="1"/>
  <c r="AS6" i="120"/>
  <c r="AR9" i="125"/>
  <c r="AS6" i="125"/>
  <c r="AR9" i="115"/>
  <c r="AR9" i="112"/>
  <c r="AR9" i="114"/>
  <c r="AR9" i="113"/>
  <c r="AR9" i="116"/>
  <c r="AS6" i="114"/>
  <c r="AS6" i="115"/>
  <c r="AS6" i="116"/>
  <c r="AS6" i="113"/>
  <c r="AS6" i="112"/>
  <c r="AR20" i="4"/>
  <c r="AR8" i="34"/>
  <c r="AS16" i="4"/>
  <c r="AS5" i="34"/>
  <c r="AQ23" i="34"/>
  <c r="AQ47" i="34"/>
  <c r="AQ34" i="34"/>
  <c r="AQ61" i="34"/>
  <c r="AS7" i="120" l="1"/>
  <c r="AR11" i="120"/>
  <c r="AR11" i="125"/>
  <c r="AS7" i="125"/>
  <c r="AS7" i="115"/>
  <c r="AS7" i="114"/>
  <c r="AS7" i="112"/>
  <c r="AS7" i="113"/>
  <c r="AS7" i="116"/>
  <c r="AR11" i="114"/>
  <c r="AR11" i="115"/>
  <c r="AR11" i="112"/>
  <c r="AR11" i="116"/>
  <c r="AR11" i="113"/>
  <c r="AS18" i="4"/>
  <c r="AS6" i="34"/>
  <c r="AT15" i="4"/>
  <c r="AR10" i="34"/>
  <c r="AT6" i="120" l="1"/>
  <c r="AS9" i="120"/>
  <c r="AS9" i="125"/>
  <c r="AT6" i="125"/>
  <c r="AS9" i="115"/>
  <c r="AS9" i="114"/>
  <c r="AS9" i="113"/>
  <c r="AS9" i="112"/>
  <c r="AS9" i="116"/>
  <c r="AT6" i="115"/>
  <c r="AT6" i="114"/>
  <c r="AT6" i="112"/>
  <c r="AT6" i="113"/>
  <c r="AT6" i="116"/>
  <c r="AT16" i="4"/>
  <c r="AT5" i="34"/>
  <c r="AR34" i="34"/>
  <c r="AR23" i="34"/>
  <c r="AR47" i="34"/>
  <c r="AR61" i="34"/>
  <c r="AS20" i="4"/>
  <c r="AS8" i="34"/>
  <c r="AS11" i="120" l="1"/>
  <c r="AT7" i="120"/>
  <c r="AT7" i="125"/>
  <c r="AS11" i="125"/>
  <c r="AT7" i="115"/>
  <c r="AT7" i="112"/>
  <c r="AT7" i="113"/>
  <c r="AT7" i="116"/>
  <c r="AT7" i="114"/>
  <c r="AS11" i="115"/>
  <c r="AS11" i="112"/>
  <c r="AS11" i="114"/>
  <c r="AS11" i="113"/>
  <c r="AS11" i="116"/>
  <c r="AT18" i="4"/>
  <c r="AT6" i="34"/>
  <c r="AU15" i="4"/>
  <c r="AS10" i="34"/>
  <c r="AT9" i="120" l="1"/>
  <c r="AU6" i="120"/>
  <c r="AU6" i="125"/>
  <c r="AT9" i="125"/>
  <c r="AU6" i="115"/>
  <c r="AU6" i="114"/>
  <c r="AU6" i="112"/>
  <c r="AU6" i="113"/>
  <c r="AU6" i="116"/>
  <c r="AT9" i="115"/>
  <c r="AT9" i="113"/>
  <c r="AT9" i="114"/>
  <c r="AT9" i="112"/>
  <c r="AT9" i="116"/>
  <c r="AS34" i="34"/>
  <c r="AS23" i="34"/>
  <c r="AS47" i="34"/>
  <c r="AS61" i="34"/>
  <c r="AU16" i="4"/>
  <c r="AU5" i="34"/>
  <c r="AT20" i="4"/>
  <c r="AT8" i="34"/>
  <c r="AT11" i="120" l="1"/>
  <c r="AU7" i="120"/>
  <c r="AU7" i="125"/>
  <c r="AT11" i="125"/>
  <c r="AT11" i="115"/>
  <c r="AT11" i="112"/>
  <c r="AT11" i="114"/>
  <c r="AT11" i="113"/>
  <c r="AT11" i="116"/>
  <c r="AU7" i="115"/>
  <c r="AU7" i="114"/>
  <c r="AU7" i="113"/>
  <c r="AU7" i="112"/>
  <c r="AU7" i="116"/>
  <c r="AU18" i="4"/>
  <c r="AU6" i="34"/>
  <c r="AV15" i="4"/>
  <c r="AT10" i="34"/>
  <c r="AU9" i="120" l="1"/>
  <c r="AV6" i="120"/>
  <c r="AV6" i="125"/>
  <c r="AU9" i="125"/>
  <c r="AV6" i="115"/>
  <c r="AV6" i="114"/>
  <c r="AV6" i="113"/>
  <c r="AV6" i="116"/>
  <c r="AV6" i="112"/>
  <c r="AU9" i="115"/>
  <c r="AU9" i="113"/>
  <c r="AU9" i="114"/>
  <c r="AU9" i="112"/>
  <c r="AU9" i="116"/>
  <c r="AT61" i="34"/>
  <c r="AT23" i="34"/>
  <c r="AT34" i="34"/>
  <c r="AT47" i="34"/>
  <c r="AV16" i="4"/>
  <c r="AV5" i="34"/>
  <c r="AU20" i="4"/>
  <c r="AU8" i="34"/>
  <c r="AV7" i="120" l="1"/>
  <c r="AU11" i="120"/>
  <c r="AU11" i="125"/>
  <c r="AV7" i="125"/>
  <c r="AU11" i="115"/>
  <c r="AU11" i="114"/>
  <c r="AU11" i="113"/>
  <c r="AU11" i="112"/>
  <c r="AU11" i="116"/>
  <c r="AV7" i="115"/>
  <c r="AV7" i="113"/>
  <c r="AV7" i="114"/>
  <c r="AV7" i="112"/>
  <c r="AV7" i="116"/>
  <c r="AU10" i="34"/>
  <c r="AV18" i="4"/>
  <c r="AV6" i="34"/>
  <c r="AW15" i="4"/>
  <c r="AV9" i="120" l="1"/>
  <c r="AW6" i="120"/>
  <c r="AV9" i="125"/>
  <c r="AW6" i="125"/>
  <c r="AW6" i="115"/>
  <c r="AW6" i="113"/>
  <c r="AW6" i="114"/>
  <c r="AW6" i="116"/>
  <c r="AW6" i="112"/>
  <c r="AV9" i="115"/>
  <c r="AV9" i="114"/>
  <c r="AV9" i="113"/>
  <c r="AV9" i="112"/>
  <c r="AV9" i="116"/>
  <c r="AV20" i="4"/>
  <c r="AV8" i="34"/>
  <c r="AW16" i="4"/>
  <c r="AW5" i="34"/>
  <c r="AU23" i="34"/>
  <c r="AU61" i="34"/>
  <c r="AU47" i="34"/>
  <c r="AU34" i="34"/>
  <c r="AW7" i="120" l="1"/>
  <c r="AV11" i="120"/>
  <c r="AW7" i="125"/>
  <c r="AV11" i="125"/>
  <c r="AW7" i="115"/>
  <c r="AW7" i="113"/>
  <c r="AW7" i="114"/>
  <c r="AW7" i="112"/>
  <c r="AW7" i="116"/>
  <c r="AV11" i="115"/>
  <c r="AV11" i="113"/>
  <c r="AV11" i="114"/>
  <c r="AV11" i="112"/>
  <c r="AV11" i="116"/>
  <c r="AW18" i="4"/>
  <c r="AW6" i="34"/>
  <c r="AV10" i="34"/>
  <c r="AW9" i="120" l="1"/>
  <c r="AW9" i="125"/>
  <c r="AW9" i="113"/>
  <c r="AW9" i="114"/>
  <c r="AW9" i="112"/>
  <c r="AW9" i="115"/>
  <c r="AW9" i="116"/>
  <c r="AV34" i="34"/>
  <c r="AV23" i="34"/>
  <c r="AV47" i="34"/>
  <c r="AV61" i="34"/>
  <c r="AW20" i="4"/>
  <c r="AW8" i="34"/>
  <c r="AW11" i="120" l="1"/>
  <c r="AW11" i="125"/>
  <c r="AW11" i="115"/>
  <c r="AW11" i="113"/>
  <c r="AW11" i="114"/>
  <c r="AW11" i="112"/>
  <c r="AW11" i="116"/>
  <c r="AW10" i="34"/>
  <c r="AW61" i="34" l="1"/>
  <c r="AW23" i="34"/>
  <c r="AW47" i="34"/>
  <c r="AW34" i="34"/>
  <c r="A1" i="126" l="1"/>
  <c r="H36" i="25" s="1"/>
  <c r="A1" i="107" l="1"/>
  <c r="H19" i="25" s="1"/>
  <c r="K39" i="34" l="1"/>
  <c r="L39" i="34" l="1"/>
  <c r="M39" i="34" s="1"/>
  <c r="K41" i="34"/>
  <c r="L41" i="34" l="1"/>
  <c r="N39" i="34"/>
  <c r="M41" i="34"/>
  <c r="O39" i="34" l="1"/>
  <c r="N41" i="34"/>
  <c r="P39" i="34" l="1"/>
  <c r="O41" i="34"/>
  <c r="Q39" i="34" l="1"/>
  <c r="P41" i="34"/>
  <c r="R39" i="34" l="1"/>
  <c r="Q41" i="34"/>
  <c r="S39" i="34" l="1"/>
  <c r="R41" i="34"/>
  <c r="T39" i="34" l="1"/>
  <c r="S41" i="34"/>
  <c r="U39" i="34" l="1"/>
  <c r="T41" i="34"/>
  <c r="V39" i="34" l="1"/>
  <c r="U41" i="34"/>
  <c r="W39" i="34" l="1"/>
  <c r="V41" i="34"/>
  <c r="H35" i="25"/>
  <c r="A1" i="131" l="1"/>
  <c r="H39" i="25" s="1"/>
  <c r="X39" i="34"/>
  <c r="W41" i="34"/>
  <c r="Y39" i="34" l="1"/>
  <c r="X41" i="34"/>
  <c r="Z39" i="34" l="1"/>
  <c r="Y41" i="34"/>
  <c r="AA39" i="34" l="1"/>
  <c r="Z41" i="34"/>
  <c r="AB39" i="34" l="1"/>
  <c r="AA41" i="34"/>
  <c r="AC39" i="34" l="1"/>
  <c r="AB41" i="34"/>
  <c r="AD39" i="34" l="1"/>
  <c r="AC41" i="34"/>
  <c r="AE39" i="34" l="1"/>
  <c r="AD41" i="34"/>
  <c r="AF39" i="34" l="1"/>
  <c r="AE41" i="34"/>
  <c r="AG39" i="34" l="1"/>
  <c r="AF41" i="34"/>
  <c r="AH39" i="34" l="1"/>
  <c r="AG41" i="34"/>
  <c r="AI39" i="34" l="1"/>
  <c r="AH41" i="34"/>
  <c r="AJ39" i="34" l="1"/>
  <c r="AI41" i="34"/>
  <c r="AK39" i="34" l="1"/>
  <c r="AJ41" i="34"/>
  <c r="AL39" i="34" l="1"/>
  <c r="AK41" i="34"/>
  <c r="AM39" i="34" l="1"/>
  <c r="AL41" i="34"/>
  <c r="AN39" i="34" l="1"/>
  <c r="AM41" i="34"/>
  <c r="AO39" i="34" l="1"/>
  <c r="AN41" i="34"/>
  <c r="AP39" i="34" l="1"/>
  <c r="AO41" i="34"/>
  <c r="AQ39" i="34" l="1"/>
  <c r="AP41" i="34"/>
  <c r="AR39" i="34" l="1"/>
  <c r="AQ41" i="34"/>
  <c r="AS39" i="34" l="1"/>
  <c r="AR41" i="34"/>
  <c r="AT39" i="34" l="1"/>
  <c r="AS41" i="34"/>
  <c r="AU39" i="34" l="1"/>
  <c r="AT41" i="34"/>
  <c r="AV39" i="34" l="1"/>
  <c r="AU41" i="34"/>
  <c r="AW39" i="34" l="1"/>
  <c r="AV41" i="34"/>
  <c r="AW41" i="34" l="1"/>
  <c r="A41" i="34" s="1"/>
  <c r="J25" i="34" l="1"/>
  <c r="K25" i="34" l="1"/>
  <c r="J26" i="34" l="1"/>
  <c r="L25" i="34"/>
  <c r="M25" i="34" l="1"/>
  <c r="K26" i="34"/>
  <c r="J28" i="34"/>
  <c r="L26" i="34" l="1"/>
  <c r="K28" i="34"/>
  <c r="N25" i="34"/>
  <c r="O25" i="34" l="1"/>
  <c r="M26" i="34"/>
  <c r="L28" i="34"/>
  <c r="P25" i="34" l="1"/>
  <c r="N26" i="34"/>
  <c r="M28" i="34"/>
  <c r="Q25" i="34" l="1"/>
  <c r="O26" i="34"/>
  <c r="N28" i="34"/>
  <c r="R25" i="34" l="1"/>
  <c r="P26" i="34"/>
  <c r="O28" i="34"/>
  <c r="Q26" i="34" l="1"/>
  <c r="P28" i="34"/>
  <c r="S25" i="34"/>
  <c r="T25" i="34" l="1"/>
  <c r="R26" i="34"/>
  <c r="Q28" i="34"/>
  <c r="S26" i="34" l="1"/>
  <c r="R28" i="34"/>
  <c r="U25" i="34"/>
  <c r="T26" i="34" l="1"/>
  <c r="S28" i="34"/>
  <c r="V25" i="34"/>
  <c r="W25" i="34" l="1"/>
  <c r="U26" i="34"/>
  <c r="T28" i="34"/>
  <c r="V26" i="34" l="1"/>
  <c r="U28" i="34"/>
  <c r="X25" i="34"/>
  <c r="Y25" i="34" l="1"/>
  <c r="W26" i="34"/>
  <c r="V28" i="34"/>
  <c r="X26" i="34" l="1"/>
  <c r="W28" i="34"/>
  <c r="Z25" i="34"/>
  <c r="AA25" i="34" l="1"/>
  <c r="Y26" i="34"/>
  <c r="X28" i="34"/>
  <c r="AB25" i="34" l="1"/>
  <c r="Z26" i="34"/>
  <c r="Y28" i="34"/>
  <c r="AC25" i="34" l="1"/>
  <c r="AA26" i="34"/>
  <c r="Z28" i="34"/>
  <c r="AD25" i="34" l="1"/>
  <c r="AB26" i="34"/>
  <c r="AA28" i="34"/>
  <c r="AE25" i="34" l="1"/>
  <c r="AC26" i="34"/>
  <c r="AB28" i="34"/>
  <c r="AF25" i="34" l="1"/>
  <c r="AD26" i="34"/>
  <c r="AC28" i="34"/>
  <c r="AE26" i="34" l="1"/>
  <c r="AD28" i="34"/>
  <c r="AG25" i="34"/>
  <c r="AH25" i="34" l="1"/>
  <c r="AF26" i="34"/>
  <c r="AE28" i="34"/>
  <c r="AG26" i="34" l="1"/>
  <c r="AF28" i="34"/>
  <c r="AI25" i="34"/>
  <c r="AH26" i="34" l="1"/>
  <c r="AG28" i="34"/>
  <c r="AJ25" i="34"/>
  <c r="AK25" i="34" l="1"/>
  <c r="AI26" i="34"/>
  <c r="AH28" i="34"/>
  <c r="AJ26" i="34" l="1"/>
  <c r="AI28" i="34"/>
  <c r="AL25" i="34"/>
  <c r="AM25" i="34" l="1"/>
  <c r="AK26" i="34"/>
  <c r="AJ28" i="34"/>
  <c r="AL26" i="34" l="1"/>
  <c r="AK28" i="34"/>
  <c r="AN25" i="34"/>
  <c r="AO25" i="34" l="1"/>
  <c r="AM26" i="34"/>
  <c r="AL28" i="34"/>
  <c r="AN26" i="34" l="1"/>
  <c r="AM28" i="34"/>
  <c r="AP25" i="34"/>
  <c r="AQ25" i="34" l="1"/>
  <c r="AO26" i="34"/>
  <c r="AN28" i="34"/>
  <c r="AR25" i="34" l="1"/>
  <c r="AP26" i="34"/>
  <c r="AO28" i="34"/>
  <c r="AS25" i="34" l="1"/>
  <c r="AQ26" i="34"/>
  <c r="AP28" i="34"/>
  <c r="AR26" i="34" l="1"/>
  <c r="AQ28" i="34"/>
  <c r="AT25" i="34"/>
  <c r="AS26" i="34" l="1"/>
  <c r="AR28" i="34"/>
  <c r="AU25" i="34"/>
  <c r="AV25" i="34" l="1"/>
  <c r="AT26" i="34"/>
  <c r="AS28" i="34"/>
  <c r="AW25" i="34" l="1"/>
  <c r="AU26" i="34"/>
  <c r="AT28" i="34"/>
  <c r="AV26" i="34" l="1"/>
  <c r="AU28" i="34"/>
  <c r="AW26" i="34" l="1"/>
  <c r="AV28" i="34"/>
  <c r="AW28" i="34" l="1"/>
  <c r="A28" i="34" s="1"/>
  <c r="A1" i="34" s="1"/>
  <c r="H18" i="25" s="1"/>
  <c r="H32" i="25" l="1"/>
  <c r="H33" i="25" l="1"/>
  <c r="A1" i="116" l="1"/>
  <c r="H27" i="25" s="1"/>
  <c r="A1" i="112"/>
  <c r="H28" i="25" s="1"/>
  <c r="A1" i="113"/>
  <c r="H29" i="25"/>
  <c r="A1" i="114"/>
  <c r="H30" i="25" s="1"/>
  <c r="A1" i="115"/>
  <c r="H31" i="25" s="1"/>
  <c r="H41" i="25" s="1"/>
  <c r="H8" i="25" s="1"/>
  <c r="H10" i="25" s="1"/>
  <c r="B2" i="25" l="1"/>
  <c r="B2" i="128"/>
  <c r="B2" i="115"/>
  <c r="B2" i="107"/>
  <c r="B2" i="131"/>
  <c r="B2" i="34"/>
  <c r="B2" i="113"/>
  <c r="B2" i="112"/>
  <c r="B2" i="120"/>
  <c r="B2" i="121"/>
  <c r="B2" i="28"/>
  <c r="B2" i="116"/>
  <c r="B2" i="109"/>
  <c r="B2" i="129"/>
  <c r="B2" i="130"/>
  <c r="B2" i="125"/>
  <c r="B2" i="122"/>
  <c r="B2" i="114"/>
  <c r="B2" i="4"/>
  <c r="B2" i="126"/>
</calcChain>
</file>

<file path=xl/sharedStrings.xml><?xml version="1.0" encoding="utf-8"?>
<sst xmlns="http://schemas.openxmlformats.org/spreadsheetml/2006/main" count="1235" uniqueCount="369">
  <si>
    <t>General Model Constant</t>
  </si>
  <si>
    <t>Name</t>
  </si>
  <si>
    <t>Mths_In_Mth</t>
  </si>
  <si>
    <t>Mths_In_Qtr</t>
  </si>
  <si>
    <t>Mths_In_Yr</t>
  </si>
  <si>
    <t>Heading 1</t>
  </si>
  <si>
    <t>Ok</t>
  </si>
  <si>
    <t>Error</t>
  </si>
  <si>
    <t>Half</t>
  </si>
  <si>
    <t>Yes</t>
  </si>
  <si>
    <t>No</t>
  </si>
  <si>
    <t>Yes_No</t>
  </si>
  <si>
    <t>Error Checks</t>
  </si>
  <si>
    <t>Days_In_Wk</t>
  </si>
  <si>
    <t>Assumptions</t>
  </si>
  <si>
    <t>Error Message</t>
  </si>
  <si>
    <t>Model Title Message</t>
  </si>
  <si>
    <t>Alert Message</t>
  </si>
  <si>
    <t>Model Message</t>
  </si>
  <si>
    <t>Input</t>
  </si>
  <si>
    <t>Output</t>
  </si>
  <si>
    <t>Cells containing input texts/numbers NOT intended to be changed by model users</t>
  </si>
  <si>
    <t>Cells containing formulae NOT intended to be changed by model users</t>
  </si>
  <si>
    <t>Heading 2</t>
  </si>
  <si>
    <t>Cells containing assumptions intended to be manipulated by model users</t>
  </si>
  <si>
    <t>Level 1 heading NOT intended to be changed by model users</t>
  </si>
  <si>
    <t>Level 2 heading NOT intended to be changed by model users</t>
  </si>
  <si>
    <t>Model Developer:</t>
  </si>
  <si>
    <t>Purpose of the Model:</t>
  </si>
  <si>
    <t>Model Settings</t>
  </si>
  <si>
    <t>Model Checks</t>
  </si>
  <si>
    <t>End</t>
  </si>
  <si>
    <t>Qtrs_In_Yr</t>
  </si>
  <si>
    <t>N/A</t>
  </si>
  <si>
    <t>NA</t>
  </si>
  <si>
    <t>Model Legend:</t>
  </si>
  <si>
    <t>Cells where inputs or outputs are not applicable</t>
  </si>
  <si>
    <t>Cells containing a drop down list for users to select inputs</t>
  </si>
  <si>
    <t>Cells containing a hyperlink to another part of the workbook</t>
  </si>
  <si>
    <t>Cells representing there is an error in the nominated area of the workbook</t>
  </si>
  <si>
    <t>Cells representing there are no errors in the nominated area of the workbook</t>
  </si>
  <si>
    <t>Cells containing a link from external workbooks</t>
  </si>
  <si>
    <t>Drop Down</t>
  </si>
  <si>
    <t>Hyperlink</t>
  </si>
  <si>
    <t>Model Lookups</t>
  </si>
  <si>
    <t>Days_In_Yr</t>
  </si>
  <si>
    <t>Client Lookups</t>
  </si>
  <si>
    <t>Total Errors</t>
  </si>
  <si>
    <t>Table of Contents</t>
  </si>
  <si>
    <t>Appendix</t>
  </si>
  <si>
    <t>Go to Cover Sheet</t>
  </si>
  <si>
    <t>Period Counter</t>
  </si>
  <si>
    <t>Period Start Date</t>
  </si>
  <si>
    <t>Period End Date</t>
  </si>
  <si>
    <t>Model Start Date</t>
  </si>
  <si>
    <t>Periodicity Inputs</t>
  </si>
  <si>
    <t>Time Series Headings</t>
  </si>
  <si>
    <t>Base Year</t>
  </si>
  <si>
    <t>Year</t>
  </si>
  <si>
    <t>Period Type</t>
  </si>
  <si>
    <t>Actual</t>
  </si>
  <si>
    <t>Forecast</t>
  </si>
  <si>
    <t>Regulatory Year</t>
  </si>
  <si>
    <t>Source</t>
  </si>
  <si>
    <t>Unit</t>
  </si>
  <si>
    <t>Basis</t>
  </si>
  <si>
    <t>Timing</t>
  </si>
  <si>
    <t>Real $2018</t>
  </si>
  <si>
    <t>Nominal</t>
  </si>
  <si>
    <t>Real$2018</t>
  </si>
  <si>
    <t>LU_Basis</t>
  </si>
  <si>
    <t>Units</t>
  </si>
  <si>
    <t>Percent</t>
  </si>
  <si>
    <t>Dollars</t>
  </si>
  <si>
    <t>Factor</t>
  </si>
  <si>
    <t>$Millions</t>
  </si>
  <si>
    <t>$000's</t>
  </si>
  <si>
    <t>Millions</t>
  </si>
  <si>
    <t>Thousands</t>
  </si>
  <si>
    <t>LU_Units</t>
  </si>
  <si>
    <t>Start year</t>
  </si>
  <si>
    <t>Mid year</t>
  </si>
  <si>
    <t>End year</t>
  </si>
  <si>
    <t>LU_Timing</t>
  </si>
  <si>
    <t>LU_Timing_Value</t>
  </si>
  <si>
    <t>End_year</t>
  </si>
  <si>
    <t>Mid_year</t>
  </si>
  <si>
    <t>Start_year</t>
  </si>
  <si>
    <t>Category Heading</t>
  </si>
  <si>
    <t>Calculated</t>
  </si>
  <si>
    <t>Not Applicable</t>
  </si>
  <si>
    <t>Number</t>
  </si>
  <si>
    <t>Check</t>
  </si>
  <si>
    <t>Km</t>
  </si>
  <si>
    <t>Kilometres</t>
  </si>
  <si>
    <t>Disclaimer:</t>
  </si>
  <si>
    <t>CPI Input</t>
  </si>
  <si>
    <t>Dollar Conversion</t>
  </si>
  <si>
    <t>Real 2018 to Nominal</t>
  </si>
  <si>
    <t>PWC</t>
  </si>
  <si>
    <t>Real $2019</t>
  </si>
  <si>
    <t>Real$2019</t>
  </si>
  <si>
    <t>Real 2018 to Real 2019</t>
  </si>
  <si>
    <t>General Model Inputs and Calculations</t>
  </si>
  <si>
    <t>ABS/RBA</t>
  </si>
  <si>
    <t>Million</t>
  </si>
  <si>
    <t>Dollar Basis</t>
  </si>
  <si>
    <t>LU_Dollar_Basis</t>
  </si>
  <si>
    <t>.</t>
  </si>
  <si>
    <t>Meter Type</t>
  </si>
  <si>
    <t>Phase Type</t>
  </si>
  <si>
    <t>LU_Meter_Type</t>
  </si>
  <si>
    <t>LU_Phase_Type</t>
  </si>
  <si>
    <t>Single Phase</t>
  </si>
  <si>
    <t>Three Phase</t>
  </si>
  <si>
    <t>Meter Description</t>
  </si>
  <si>
    <t>LU_Meter_Description</t>
  </si>
  <si>
    <t>Bottom connected</t>
  </si>
  <si>
    <t>Plug in</t>
  </si>
  <si>
    <t>Three single phase</t>
  </si>
  <si>
    <t>Inputs - Meter related assumptions</t>
  </si>
  <si>
    <t>Item</t>
  </si>
  <si>
    <t>Category</t>
  </si>
  <si>
    <t>Scenario Name</t>
  </si>
  <si>
    <t>LU_Scenario_Name</t>
  </si>
  <si>
    <t>Advanced meters, enabled immediately</t>
  </si>
  <si>
    <t>Scenario Number:</t>
  </si>
  <si>
    <t>Calculation - Scenario Cash Flows</t>
  </si>
  <si>
    <t>Total benefits</t>
  </si>
  <si>
    <t>Communications</t>
  </si>
  <si>
    <t>Meter management system</t>
  </si>
  <si>
    <t>Total costs</t>
  </si>
  <si>
    <t>Net (Cost) / Benefit</t>
  </si>
  <si>
    <t>Calc_Scenario_3</t>
  </si>
  <si>
    <t>Total NPV</t>
  </si>
  <si>
    <t>Calc_CF_Sum</t>
  </si>
  <si>
    <t>Output - NPV Summary</t>
  </si>
  <si>
    <t>Total NPV by scenario</t>
  </si>
  <si>
    <t>CPI assumptions</t>
  </si>
  <si>
    <t>CPI indexation calculations</t>
  </si>
  <si>
    <t>Discount rate assumptions</t>
  </si>
  <si>
    <t>Discount factors</t>
  </si>
  <si>
    <t>Anticipated start of metering competition</t>
  </si>
  <si>
    <t>Date</t>
  </si>
  <si>
    <t>Optimal point of IT/Comms investment</t>
  </si>
  <si>
    <t>RY25</t>
  </si>
  <si>
    <t>Metering competition churn - % of opening balance</t>
  </si>
  <si>
    <t>Meter competition assumptions</t>
  </si>
  <si>
    <t>Meter investment assumptions</t>
  </si>
  <si>
    <t>Advanced Capable</t>
  </si>
  <si>
    <t>Advanced Meter</t>
  </si>
  <si>
    <t>Accumulation Meter</t>
  </si>
  <si>
    <t>Advanced capable meters, enabled strategically</t>
  </si>
  <si>
    <t>Nominal Pre Tax WACC</t>
  </si>
  <si>
    <t>Real Pre Tax WACC</t>
  </si>
  <si>
    <t>Nominal Pre Tax WACC Disc Factor</t>
  </si>
  <si>
    <t>Real Pre Tax WACC Disc Factor</t>
  </si>
  <si>
    <t>SCS PTRM</t>
  </si>
  <si>
    <t>Base Case - Advanced capable meters</t>
  </si>
  <si>
    <t>Transition via advanced meters</t>
  </si>
  <si>
    <t>Targeted roll out</t>
  </si>
  <si>
    <t>Input - Discount rate, escalation and CPI assumptions</t>
  </si>
  <si>
    <t>Escalation rate assumptions</t>
  </si>
  <si>
    <t>Labour escalation</t>
  </si>
  <si>
    <t>Real labour price escalation</t>
  </si>
  <si>
    <t>SCS Opex Model</t>
  </si>
  <si>
    <t>S2</t>
  </si>
  <si>
    <t>S3</t>
  </si>
  <si>
    <t>S4</t>
  </si>
  <si>
    <t>S5</t>
  </si>
  <si>
    <t>Input worksheets</t>
  </si>
  <si>
    <t>Calculation worksheets</t>
  </si>
  <si>
    <t>Output worksheets</t>
  </si>
  <si>
    <t>Outputs - Sensitivities</t>
  </si>
  <si>
    <t>Replacement rates</t>
  </si>
  <si>
    <t>Introduction of metering competition</t>
  </si>
  <si>
    <t>Data table outputs</t>
  </si>
  <si>
    <t>Scenario Short</t>
  </si>
  <si>
    <t>Cost Benefit Analysis - Advanced Metering within the regulated NT electricity networks</t>
  </si>
  <si>
    <t>Unallocated</t>
  </si>
  <si>
    <t>Annual failures and faults - % of opening balance</t>
  </si>
  <si>
    <t>Meter purchases</t>
  </si>
  <si>
    <t>Meter installation</t>
  </si>
  <si>
    <t>Network information for planning and maintenance</t>
  </si>
  <si>
    <t>Safety</t>
  </si>
  <si>
    <t>Generation and retailer benefits</t>
  </si>
  <si>
    <t>Reduce customer PV entry costs</t>
  </si>
  <si>
    <t>Other benefits</t>
  </si>
  <si>
    <t>Manual meter reads - routine</t>
  </si>
  <si>
    <t>Manual meter reads - special</t>
  </si>
  <si>
    <t>Manual meter reads - Connection/disconnection</t>
  </si>
  <si>
    <t>Remote meter reads - routine</t>
  </si>
  <si>
    <t>Remote meter reads - special</t>
  </si>
  <si>
    <t>Remote meter reads - Connection/disconnection</t>
  </si>
  <si>
    <t>Inputs - Communications assumptions</t>
  </si>
  <si>
    <t>Input - IT assumptions</t>
  </si>
  <si>
    <t>Input - Meter service assumptions</t>
  </si>
  <si>
    <t>Other remote services costs</t>
  </si>
  <si>
    <t>PowerWater</t>
  </si>
  <si>
    <t>RY18</t>
  </si>
  <si>
    <t>Input - Other policy and investment assumptions</t>
  </si>
  <si>
    <t>The purpose of this model is to help assess the metering options being considered as part of the Power and Water Corporation - Determination 2019-24.</t>
  </si>
  <si>
    <t>This model is confidential information of, and is owned by, Power and Water Corporation ABN 15 947 352 360 (PWC).  It has been developed by PWC to inform it of its new and replacement metering policy and it may not be disclosed to, or used or relied on by, any person without the consent of PWC. To the extent permitted by law, any person using or relying on this model or its outputs does so at their own risk and agrees that PWC will not be liable to any person for any loss or damage of any kind arising out of or in any way connected with the use of this model (including negligence).   The references to PWC in this disclaimer includes their respective directors, officers, employees, contractors, advisers or agents.</t>
  </si>
  <si>
    <t>Scenario Total NPV Rank</t>
  </si>
  <si>
    <t>Sensitivity</t>
  </si>
  <si>
    <t>Value above first ranked</t>
  </si>
  <si>
    <t>Allow abolishments of advanced meters</t>
  </si>
  <si>
    <t>Allow abolishments of advanced capable meters</t>
  </si>
  <si>
    <t>Replacement of three phase meters which have asbestos boards</t>
  </si>
  <si>
    <t>Apply option 1: Do not replace board, use 3x single phase advanced plug in meters</t>
  </si>
  <si>
    <t>Apply option 2: Replace board, use 1x advanced three phase meter, bottom connected</t>
  </si>
  <si>
    <t>Labour component of installation and meter read rates</t>
  </si>
  <si>
    <r>
      <rPr>
        <b/>
        <sz val="10"/>
        <color theme="1"/>
        <rFont val="Helvetica"/>
      </rPr>
      <t>Note</t>
    </r>
    <r>
      <rPr>
        <sz val="10"/>
        <color theme="1"/>
        <rFont val="Helvetica"/>
        <family val="2"/>
      </rPr>
      <t>: Assumes an average 30% overhead has been included in installation rates and meter reading rates</t>
    </r>
  </si>
  <si>
    <t>Allows Remote Disconnection / Connections?</t>
  </si>
  <si>
    <t>Notes:</t>
  </si>
  <si>
    <r>
      <rPr>
        <b/>
        <sz val="10"/>
        <color theme="1"/>
        <rFont val="Helvetica"/>
      </rPr>
      <t>1.</t>
    </r>
    <r>
      <rPr>
        <sz val="10"/>
        <color theme="1"/>
        <rFont val="Helvetica"/>
        <family val="2"/>
      </rPr>
      <t xml:space="preserve"> Subjective benefits considered but not included: Network information for planning and maintenance, Safety – earth issues, Impact of managing system load peaks, Generation/retailer benefits, Reduce customer PV entry costs, Increased retailer tariff options, Better customer information, Meter readers don’t need to access customers’ premises to read meter and Reduced meter tampering</t>
    </r>
  </si>
  <si>
    <r>
      <rPr>
        <b/>
        <sz val="10"/>
        <color theme="1"/>
        <rFont val="Helvetica"/>
      </rPr>
      <t>2.</t>
    </r>
    <r>
      <rPr>
        <sz val="10"/>
        <color theme="1"/>
        <rFont val="Helvetica"/>
        <family val="2"/>
      </rPr>
      <t xml:space="preserve"> Other costs considered but removed from scope as the do not vary materially by scenario are meter data management system costs, B2B system costs, project management costs, cost of customer refusal to accept advanced meters and cost of customer engagement </t>
    </r>
  </si>
  <si>
    <t>NPV Comparison by Scenario - Live Model</t>
  </si>
  <si>
    <t>Real price escalation factor</t>
  </si>
  <si>
    <t>ACS Opex Model</t>
  </si>
  <si>
    <t>[Spare]</t>
  </si>
  <si>
    <t>Output - AER Capex Forecast</t>
  </si>
  <si>
    <t>Mechanical Meters</t>
  </si>
  <si>
    <t>Electronic Meters</t>
  </si>
  <si>
    <t>Metering Communications</t>
  </si>
  <si>
    <t>Dedicated CTs and VTs</t>
  </si>
  <si>
    <t>Non Network Other</t>
  </si>
  <si>
    <t>Non Network IT and Communications</t>
  </si>
  <si>
    <t>Total Capex</t>
  </si>
  <si>
    <t>Scenario 3 - Total Capex</t>
  </si>
  <si>
    <t>Financial Accounts</t>
  </si>
  <si>
    <t>LU_Account_Type</t>
  </si>
  <si>
    <t>LU_Cost_Account_Name</t>
  </si>
  <si>
    <t>Opex</t>
  </si>
  <si>
    <t>Capex</t>
  </si>
  <si>
    <t>LU_Cash_Flow_Type</t>
  </si>
  <si>
    <t>RAB Asset Class</t>
  </si>
  <si>
    <t>LU_RAB_Asset_Class</t>
  </si>
  <si>
    <t>Cash Flow Type</t>
  </si>
  <si>
    <t>ACS Metering Capex Forecast - Real $2018 - Direct - Unescalated</t>
  </si>
  <si>
    <t>ACS Metering Capex Forecast - Real $2019 - Direct - Unescalated</t>
  </si>
  <si>
    <t>Input - Meter time series assumptions</t>
  </si>
  <si>
    <t>RIN Meter Classification</t>
  </si>
  <si>
    <t>LU_RIN_Meter_Classification</t>
  </si>
  <si>
    <t>Type 2</t>
  </si>
  <si>
    <t>Type 4</t>
  </si>
  <si>
    <t>Type 6</t>
  </si>
  <si>
    <t>Type 7</t>
  </si>
  <si>
    <t/>
  </si>
  <si>
    <t>Output - Metering opex step changes</t>
  </si>
  <si>
    <t>Output - Metering tariffs</t>
  </si>
  <si>
    <t>Type 3</t>
  </si>
  <si>
    <t>Input - Metering RINs</t>
  </si>
  <si>
    <t>Category Analysis RIN</t>
  </si>
  <si>
    <t>4.2.1 - METERING DESCRIPTOR METRIC</t>
  </si>
  <si>
    <t>VOLUMES
(0's)</t>
  </si>
  <si>
    <t>ASSET CATEGORY</t>
  </si>
  <si>
    <t>ASSET SUBCATEGORY</t>
  </si>
  <si>
    <t>2008-09</t>
  </si>
  <si>
    <t>2009-10</t>
  </si>
  <si>
    <t>2010-11</t>
  </si>
  <si>
    <t>2011-12</t>
  </si>
  <si>
    <t>2012-13</t>
  </si>
  <si>
    <t>2013-14</t>
  </si>
  <si>
    <t>2014-15</t>
  </si>
  <si>
    <t>2015-16</t>
  </si>
  <si>
    <t>2016-17</t>
  </si>
  <si>
    <t>Meter Type 1</t>
  </si>
  <si>
    <t xml:space="preserve">Single phase meter population </t>
  </si>
  <si>
    <t xml:space="preserve">Multi phase meter population </t>
  </si>
  <si>
    <t xml:space="preserve">Current transformer connected meter population </t>
  </si>
  <si>
    <t xml:space="preserve">Direct connect meter population </t>
  </si>
  <si>
    <t>Meter Type 2</t>
  </si>
  <si>
    <t>Meter Type 3</t>
  </si>
  <si>
    <t>Meter Type 4</t>
  </si>
  <si>
    <t>Meter Type 5</t>
  </si>
  <si>
    <t>Meter Type 6</t>
  </si>
  <si>
    <t>4.2.2 - COST METRICS</t>
  </si>
  <si>
    <t>EXPENDITURE</t>
  </si>
  <si>
    <t>EXPENDITURE
($0's)</t>
  </si>
  <si>
    <t>SERVICE SUBCATEGORY</t>
  </si>
  <si>
    <t>METER TYPE</t>
  </si>
  <si>
    <t xml:space="preserve">Meter purchase </t>
  </si>
  <si>
    <t xml:space="preserve">Meter testing </t>
  </si>
  <si>
    <t xml:space="preserve">Meter investigation </t>
  </si>
  <si>
    <t xml:space="preserve">Scheduled meter reading </t>
  </si>
  <si>
    <t xml:space="preserve">Special meter reading </t>
  </si>
  <si>
    <t xml:space="preserve">New meter installation </t>
  </si>
  <si>
    <t xml:space="preserve">Meter replacement </t>
  </si>
  <si>
    <t xml:space="preserve">Meter maintenance </t>
  </si>
  <si>
    <t xml:space="preserve">Remote meter reading </t>
  </si>
  <si>
    <t xml:space="preserve">Remote meter re-configuration </t>
  </si>
  <si>
    <t xml:space="preserve">Other metering </t>
  </si>
  <si>
    <t>Meter Type 7</t>
  </si>
  <si>
    <t xml:space="preserve">IT infrastructure capex </t>
  </si>
  <si>
    <t xml:space="preserve">IT infrastructure opex </t>
  </si>
  <si>
    <t xml:space="preserve">Communications infrastructure capex </t>
  </si>
  <si>
    <t xml:space="preserve">Communications infrastructure opex </t>
  </si>
  <si>
    <t>VOLUMES</t>
  </si>
  <si>
    <t>Expense Type</t>
  </si>
  <si>
    <t>AER Expense Classification</t>
  </si>
  <si>
    <t>LU_AER_Expense_Classification</t>
  </si>
  <si>
    <t>2013-14 to 2016-17</t>
  </si>
  <si>
    <t>% of Opex BST</t>
  </si>
  <si>
    <t>RY19</t>
  </si>
  <si>
    <t>RY20</t>
  </si>
  <si>
    <t>RY21</t>
  </si>
  <si>
    <t>RY22</t>
  </si>
  <si>
    <t>RY23</t>
  </si>
  <si>
    <t>RY24</t>
  </si>
  <si>
    <t>Input - Non network capex assumptions</t>
  </si>
  <si>
    <t>Non network capex</t>
  </si>
  <si>
    <t>Fleet</t>
  </si>
  <si>
    <t>Property</t>
  </si>
  <si>
    <t>Other</t>
  </si>
  <si>
    <t>Equipment</t>
  </si>
  <si>
    <t>Sub total - Manual meter reads</t>
  </si>
  <si>
    <t>Sub total - Remote meter reads</t>
  </si>
  <si>
    <t>Reduction in cost after introducing remote reads</t>
  </si>
  <si>
    <t>Output - Asset Management Plan</t>
  </si>
  <si>
    <t>S1</t>
  </si>
  <si>
    <r>
      <rPr>
        <b/>
        <sz val="10"/>
        <color theme="1"/>
        <rFont val="Helvetica"/>
      </rPr>
      <t>Note</t>
    </r>
    <r>
      <rPr>
        <sz val="10"/>
        <color theme="1"/>
        <rFont val="Helvetica"/>
        <family val="2"/>
      </rPr>
      <t>: CPI movements are based on June to June quarter ends</t>
    </r>
  </si>
  <si>
    <t xml:space="preserve"> -   </t>
  </si>
  <si>
    <t>Power and Water Corporation</t>
  </si>
  <si>
    <r>
      <rPr>
        <b/>
        <sz val="10"/>
        <color theme="1"/>
        <rFont val="Helvetica"/>
      </rPr>
      <t>Note</t>
    </r>
    <r>
      <rPr>
        <sz val="10"/>
        <color theme="1"/>
        <rFont val="Helvetica"/>
        <family val="2"/>
      </rPr>
      <t>: To adjust between mid year and end of year cash flow timing</t>
    </r>
  </si>
  <si>
    <t>Output - Forecast Metering - CA RIN (2017-18 to 2023-24)</t>
  </si>
  <si>
    <t>Commercial in confidence</t>
  </si>
  <si>
    <t>No Errors Found</t>
  </si>
  <si>
    <t>RY26</t>
  </si>
  <si>
    <t>RY27</t>
  </si>
  <si>
    <t>RY28</t>
  </si>
  <si>
    <t>RY29</t>
  </si>
  <si>
    <t>RY30</t>
  </si>
  <si>
    <t>RY31</t>
  </si>
  <si>
    <t>RY32</t>
  </si>
  <si>
    <t>RY33</t>
  </si>
  <si>
    <t>RY34</t>
  </si>
  <si>
    <t>RY35</t>
  </si>
  <si>
    <t>RY36</t>
  </si>
  <si>
    <t>RY37</t>
  </si>
  <si>
    <t>RY38</t>
  </si>
  <si>
    <t>RY39</t>
  </si>
  <si>
    <t>RY40</t>
  </si>
  <si>
    <t>RY41</t>
  </si>
  <si>
    <t>RY42</t>
  </si>
  <si>
    <t>RY43</t>
  </si>
  <si>
    <t>RY44</t>
  </si>
  <si>
    <t>RY45</t>
  </si>
  <si>
    <t>RY46</t>
  </si>
  <si>
    <t>RY47</t>
  </si>
  <si>
    <t>RY48</t>
  </si>
  <si>
    <t>RY49</t>
  </si>
  <si>
    <t>RY50</t>
  </si>
  <si>
    <t>RY51</t>
  </si>
  <si>
    <t>RY52</t>
  </si>
  <si>
    <t>RY53</t>
  </si>
  <si>
    <t>RY54</t>
  </si>
  <si>
    <t>RY55</t>
  </si>
  <si>
    <t>RY56</t>
  </si>
  <si>
    <t>RY57</t>
  </si>
  <si>
    <t>RY14</t>
  </si>
  <si>
    <t>RY15</t>
  </si>
  <si>
    <t>RY16</t>
  </si>
  <si>
    <t>RY17</t>
  </si>
  <si>
    <t>CPI Input | Actual</t>
  </si>
  <si>
    <t>ABS</t>
  </si>
  <si>
    <t>Real 2019 to Nominal</t>
  </si>
  <si>
    <t>c-i-c</t>
  </si>
  <si>
    <t>Fleet leases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</si>
</sst>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4" formatCode="_-&quot;$&quot;* #,##0.00_-;\-&quot;$&quot;* #,##0.00_-;_-&quot;$&quot;* &quot;-&quot;??_-;_-@_-"/>
    <numFmt numFmtId="43" formatCode="_-* #,##0.00_-;\-* #,##0.00_-;_-* &quot;-&quot;??_-;_-@_-"/>
    <numFmt numFmtId="164" formatCode="_(###0_);\(###0\);_(###0_)"/>
    <numFmt numFmtId="165" formatCode="_(#,##0.0_);\(#,##0.0\);_(&quot;-&quot;_)"/>
    <numFmt numFmtId="166" formatCode="_(#,##0.0\x_);\(#,##0.0\x\);_(&quot;-&quot;_)"/>
    <numFmt numFmtId="167" formatCode="_(#,##0.0%_);\(#,##0.0%\);_(&quot;-&quot;_)"/>
    <numFmt numFmtId="168" formatCode="_(&quot;$&quot;#,##0.00_);\(&quot;$&quot;#,##0.00\);_(&quot;-&quot;_)"/>
    <numFmt numFmtId="169" formatCode="_(#,##0_);\(#,##0\);_(&quot;-&quot;_)"/>
    <numFmt numFmtId="170" formatCode="_)d\-mmm\-yy_)"/>
    <numFmt numFmtId="171" formatCode="_(&quot;$&quot;#,##0.0_);\(&quot;$&quot;#,##0.0\);_(&quot;-&quot;_)"/>
    <numFmt numFmtId="172" formatCode="0.0"/>
    <numFmt numFmtId="173" formatCode="[Red]\●;[Red]\●;[Color10]\●"/>
    <numFmt numFmtId="174" formatCode="[Green]\●;[Red]\●;[Color16]\●"/>
    <numFmt numFmtId="175" formatCode="_(#,##0.000_);\(#,##0.000\);_(&quot;-&quot;_)"/>
    <numFmt numFmtId="176" formatCode="_(#,##0.00%_);\(#,##0.00%\);_(&quot;-&quot;_)"/>
    <numFmt numFmtId="177" formatCode="_(&quot;$&quot;#,##0_);\(&quot;$&quot;#,##0\);_(&quot;-&quot;_)"/>
    <numFmt numFmtId="178" formatCode="_-* #,##0_-;[Red]\(#,##0\)_-;_-* &quot;-&quot;??_-;_-@_-"/>
    <numFmt numFmtId="179" formatCode="&quot;$&quot;#,##0.00"/>
    <numFmt numFmtId="180" formatCode="&quot;$&quot;#,##0.00000"/>
  </numFmts>
  <fonts count="69" x14ac:knownFonts="1">
    <font>
      <sz val="8"/>
      <color rgb="FFFF0066"/>
      <name val="Helvetica"/>
      <family val="2"/>
    </font>
    <font>
      <sz val="11"/>
      <color theme="1"/>
      <name val="Calibri"/>
      <family val="2"/>
      <scheme val="minor"/>
    </font>
    <font>
      <b/>
      <sz val="9"/>
      <color theme="1"/>
      <name val="Helvetica"/>
      <family val="2"/>
    </font>
    <font>
      <sz val="8"/>
      <color theme="1"/>
      <name val="Helvetica"/>
      <family val="2"/>
    </font>
    <font>
      <b/>
      <sz val="8"/>
      <color theme="1"/>
      <name val="Helvetica"/>
      <family val="2"/>
    </font>
    <font>
      <b/>
      <sz val="11"/>
      <color theme="1"/>
      <name val="Calibri"/>
      <family val="2"/>
      <scheme val="minor"/>
    </font>
    <font>
      <sz val="8"/>
      <name val="Helvetica"/>
      <family val="2"/>
    </font>
    <font>
      <b/>
      <sz val="18"/>
      <color theme="3"/>
      <name val="Cambria"/>
      <family val="2"/>
      <scheme val="maj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u/>
      <sz val="8"/>
      <color theme="10"/>
      <name val="Helvetica"/>
      <family val="2"/>
    </font>
    <font>
      <b/>
      <sz val="15"/>
      <color theme="1"/>
      <name val="Helvetica"/>
      <family val="2"/>
    </font>
    <font>
      <i/>
      <sz val="8"/>
      <color rgb="FF92D050"/>
      <name val="Helvetica"/>
      <family val="2"/>
    </font>
    <font>
      <b/>
      <sz val="8"/>
      <color theme="0"/>
      <name val="Helvetica"/>
      <family val="2"/>
    </font>
    <font>
      <b/>
      <sz val="8"/>
      <color theme="4"/>
      <name val="Helvetica"/>
      <family val="2"/>
    </font>
    <font>
      <sz val="8"/>
      <color theme="4"/>
      <name val="Helvetica"/>
      <family val="2"/>
    </font>
    <font>
      <sz val="7"/>
      <color theme="4"/>
      <name val="Helvetica"/>
      <family val="2"/>
    </font>
    <font>
      <b/>
      <sz val="15"/>
      <color theme="4"/>
      <name val="Helvetica"/>
      <family val="2"/>
    </font>
    <font>
      <i/>
      <sz val="8"/>
      <color theme="6" tint="0.39994506668294322"/>
      <name val="Helvetica"/>
      <family val="2"/>
    </font>
    <font>
      <b/>
      <sz val="10"/>
      <color theme="1"/>
      <name val="Helvetica"/>
      <family val="2"/>
    </font>
    <font>
      <sz val="10"/>
      <color theme="1"/>
      <name val="Helvetica"/>
      <family val="2"/>
    </font>
    <font>
      <sz val="10"/>
      <color theme="4"/>
      <name val="Helvetica"/>
      <family val="2"/>
    </font>
    <font>
      <b/>
      <sz val="10"/>
      <color theme="4"/>
      <name val="Helvetica"/>
      <family val="2"/>
    </font>
    <font>
      <b/>
      <sz val="11"/>
      <color theme="1"/>
      <name val="Helvetica"/>
      <family val="2"/>
    </font>
    <font>
      <b/>
      <sz val="11"/>
      <color theme="4"/>
      <name val="Helvetica"/>
      <family val="2"/>
    </font>
    <font>
      <b/>
      <sz val="12"/>
      <color theme="0"/>
      <name val="Helvetica"/>
      <family val="2"/>
    </font>
    <font>
      <b/>
      <sz val="10"/>
      <color theme="5"/>
      <name val="Helvetica"/>
      <family val="2"/>
    </font>
    <font>
      <sz val="10"/>
      <name val="Helvetica"/>
      <family val="2"/>
    </font>
    <font>
      <b/>
      <sz val="10"/>
      <color theme="1"/>
      <name val="Helvetica"/>
    </font>
    <font>
      <b/>
      <sz val="10"/>
      <name val="Helvetica"/>
      <family val="2"/>
    </font>
    <font>
      <sz val="10"/>
      <color theme="1"/>
      <name val="Helvetica"/>
    </font>
    <font>
      <sz val="8"/>
      <color theme="1"/>
      <name val="Arial"/>
      <family val="2"/>
    </font>
    <font>
      <sz val="8"/>
      <color rgb="FFFF0066"/>
      <name val="Helvetica"/>
      <family val="2"/>
    </font>
    <font>
      <b/>
      <sz val="15"/>
      <color theme="4"/>
      <name val="Helvetica"/>
      <family val="2"/>
    </font>
    <font>
      <sz val="8"/>
      <color rgb="FFFF0066"/>
      <name val="Helvetica"/>
      <family val="2"/>
    </font>
    <font>
      <i/>
      <sz val="8"/>
      <color rgb="FF92D050"/>
      <name val="Helvetica"/>
      <family val="2"/>
    </font>
    <font>
      <u/>
      <sz val="8"/>
      <color theme="10"/>
      <name val="Helvetica"/>
      <family val="2"/>
    </font>
    <font>
      <sz val="10"/>
      <color theme="4"/>
      <name val="Helvetica"/>
      <family val="2"/>
    </font>
    <font>
      <b/>
      <sz val="10"/>
      <color theme="1"/>
      <name val="Helvetica"/>
      <family val="2"/>
    </font>
    <font>
      <b/>
      <sz val="12"/>
      <color theme="0"/>
      <name val="Helvetica"/>
      <family val="2"/>
    </font>
    <font>
      <b/>
      <sz val="11"/>
      <color theme="4"/>
      <name val="Helvetica"/>
      <family val="2"/>
    </font>
    <font>
      <sz val="8"/>
      <name val="Helvetica"/>
      <family val="2"/>
    </font>
    <font>
      <b/>
      <sz val="15"/>
      <color theme="4"/>
      <name val="Helvetica"/>
      <family val="2"/>
    </font>
    <font>
      <sz val="8"/>
      <color rgb="FFFF0066"/>
      <name val="Helvetica"/>
      <family val="2"/>
    </font>
    <font>
      <sz val="10"/>
      <color theme="1"/>
      <name val="Helvetica"/>
      <family val="2"/>
    </font>
    <font>
      <sz val="10"/>
      <color theme="4"/>
      <name val="Helvetica"/>
      <family val="2"/>
    </font>
    <font>
      <i/>
      <sz val="8"/>
      <color rgb="FF92D050"/>
      <name val="Helvetica"/>
      <family val="2"/>
    </font>
    <font>
      <u/>
      <sz val="8"/>
      <color theme="10"/>
      <name val="Helvetica"/>
      <family val="2"/>
    </font>
    <font>
      <b/>
      <sz val="10"/>
      <color theme="1"/>
      <name val="Helvetica"/>
      <family val="2"/>
    </font>
    <font>
      <b/>
      <sz val="10"/>
      <name val="Helvetica"/>
      <family val="2"/>
    </font>
    <font>
      <b/>
      <sz val="10"/>
      <color theme="1"/>
      <name val="Helvetica"/>
    </font>
    <font>
      <b/>
      <sz val="12"/>
      <color rgb="FFFFFFFF"/>
      <name val="Calibri"/>
      <family val="2"/>
      <scheme val="minor"/>
    </font>
    <font>
      <b/>
      <sz val="14"/>
      <color rgb="FFFFFFFF"/>
      <name val="Calibri"/>
      <family val="2"/>
      <scheme val="minor"/>
    </font>
    <font>
      <b/>
      <sz val="11"/>
      <name val="Calibri"/>
      <family val="2"/>
      <scheme val="minor"/>
    </font>
    <font>
      <sz val="10"/>
      <name val="Arial"/>
      <family val="2"/>
    </font>
    <font>
      <b/>
      <sz val="10"/>
      <name val="Arial"/>
      <family val="2"/>
    </font>
    <font>
      <sz val="11"/>
      <name val="Arial"/>
      <family val="2"/>
    </font>
    <font>
      <sz val="11"/>
      <color theme="1"/>
      <name val="Arial"/>
      <family val="2"/>
    </font>
    <font>
      <b/>
      <sz val="14"/>
      <name val="Calibri"/>
      <family val="2"/>
      <scheme val="minor"/>
    </font>
    <font>
      <b/>
      <sz val="11"/>
      <name val="Arial"/>
      <family val="2"/>
    </font>
    <font>
      <b/>
      <sz val="14"/>
      <color rgb="FFFF0000"/>
      <name val="Helvetica"/>
      <family val="2"/>
    </font>
  </fonts>
  <fills count="27">
    <fill>
      <patternFill patternType="none"/>
    </fill>
    <fill>
      <patternFill patternType="gray125"/>
    </fill>
    <fill>
      <patternFill patternType="solid">
        <fgColor theme="3" tint="0.79998168889431442"/>
        <bgColor indexed="64"/>
      </patternFill>
    </fill>
    <fill>
      <patternFill patternType="solid">
        <fgColor theme="0" tint="-0.149967955565050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bgColor indexed="64"/>
      </patternFill>
    </fill>
    <fill>
      <patternFill patternType="solid">
        <fgColor theme="4" tint="0.79998168889431442"/>
        <bgColor indexed="64"/>
      </patternFill>
    </fill>
    <fill>
      <patternFill patternType="solid">
        <fgColor theme="9" tint="-0.24994659260841701"/>
        <bgColor indexed="64"/>
      </patternFill>
    </fill>
    <fill>
      <patternFill patternType="solid">
        <fgColor theme="6" tint="-0.24994659260841701"/>
        <bgColor indexed="64"/>
      </patternFill>
    </fill>
    <fill>
      <patternFill patternType="solid">
        <fgColor theme="6" tint="0.39994506668294322"/>
        <bgColor indexed="64"/>
      </patternFill>
    </fill>
    <fill>
      <patternFill patternType="solid">
        <fgColor theme="6" tint="0.59996337778862885"/>
        <bgColor indexed="64"/>
      </patternFill>
    </fill>
    <fill>
      <patternFill patternType="lightUp"/>
    </fill>
    <fill>
      <patternFill patternType="solid">
        <fgColor rgb="FF000000"/>
        <bgColor rgb="FF000000"/>
      </patternFill>
    </fill>
    <fill>
      <patternFill patternType="solid">
        <fgColor theme="6" tint="0.39997558519241921"/>
        <bgColor indexed="64"/>
      </patternFill>
    </fill>
    <fill>
      <patternFill patternType="solid">
        <fgColor theme="0"/>
        <bgColor indexed="64"/>
      </patternFill>
    </fill>
    <fill>
      <patternFill patternType="solid">
        <fgColor rgb="FFFFFFCC"/>
        <bgColor indexed="64"/>
      </patternFill>
    </fill>
    <fill>
      <patternFill patternType="solid">
        <fgColor rgb="FFD9D9D9"/>
        <bgColor indexed="64"/>
      </patternFill>
    </fill>
    <fill>
      <patternFill patternType="solid">
        <fgColor rgb="FFFFFF99"/>
        <bgColor indexed="64"/>
      </patternFill>
    </fill>
    <fill>
      <patternFill patternType="solid">
        <fgColor theme="0" tint="-0.34998626667073579"/>
        <bgColor rgb="FF000000"/>
      </patternFill>
    </fill>
    <fill>
      <patternFill patternType="solid">
        <fgColor theme="4" tint="0.39997558519241921"/>
        <bgColor indexed="64"/>
      </patternFill>
    </fill>
    <fill>
      <patternFill patternType="solid">
        <fgColor rgb="FFFFFF00"/>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right/>
      <top style="thin">
        <color auto="1"/>
      </top>
      <bottom/>
      <diagonal/>
    </border>
    <border>
      <left style="thin">
        <color theme="0"/>
      </left>
      <right style="thin">
        <color theme="0"/>
      </right>
      <top style="thin">
        <color theme="0"/>
      </top>
      <bottom style="thin">
        <color theme="0"/>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dotted">
        <color indexed="64"/>
      </left>
      <right style="dotted">
        <color indexed="64"/>
      </right>
      <top style="dotted">
        <color indexed="64"/>
      </top>
      <bottom style="dotted">
        <color indexed="64"/>
      </bottom>
      <diagonal/>
    </border>
    <border>
      <left/>
      <right style="dotted">
        <color auto="1"/>
      </right>
      <top/>
      <bottom/>
      <diagonal/>
    </border>
    <border>
      <left/>
      <right style="thin">
        <color theme="0"/>
      </right>
      <top style="thin">
        <color theme="0"/>
      </top>
      <bottom style="thin">
        <color theme="0"/>
      </bottom>
      <diagonal/>
    </border>
    <border>
      <left/>
      <right style="dotted">
        <color auto="1"/>
      </right>
      <top/>
      <bottom style="thin">
        <color auto="1"/>
      </bottom>
      <diagonal/>
    </border>
    <border>
      <left style="thin">
        <color theme="0"/>
      </left>
      <right style="dotted">
        <color auto="1"/>
      </right>
      <top style="thin">
        <color theme="0"/>
      </top>
      <bottom style="thin">
        <color theme="0"/>
      </bottom>
      <diagonal/>
    </border>
    <border>
      <left/>
      <right/>
      <top style="thin">
        <color indexed="64"/>
      </top>
      <bottom style="thin">
        <color indexed="64"/>
      </bottom>
      <diagonal/>
    </border>
    <border>
      <left style="dotted">
        <color auto="1"/>
      </left>
      <right style="dotted">
        <color auto="1"/>
      </right>
      <top/>
      <bottom/>
      <diagonal/>
    </border>
    <border>
      <left style="dotted">
        <color auto="1"/>
      </left>
      <right style="dotted">
        <color auto="1"/>
      </right>
      <top/>
      <bottom style="dotted">
        <color auto="1"/>
      </bottom>
      <diagonal/>
    </border>
    <border>
      <left style="thin">
        <color theme="0"/>
      </left>
      <right/>
      <top style="thin">
        <color theme="0"/>
      </top>
      <bottom style="thin">
        <color theme="0"/>
      </bottom>
      <diagonal/>
    </border>
    <border>
      <left style="dotted">
        <color auto="1"/>
      </left>
      <right/>
      <top/>
      <bottom/>
      <diagonal/>
    </border>
    <border>
      <left/>
      <right/>
      <top style="thin">
        <color indexed="64"/>
      </top>
      <bottom style="double">
        <color indexed="64"/>
      </bottom>
      <diagonal/>
    </border>
    <border>
      <left style="dotted">
        <color auto="1"/>
      </left>
      <right style="dotted">
        <color auto="1"/>
      </right>
      <top/>
      <bottom style="thin">
        <color indexed="64"/>
      </bottom>
      <diagonal/>
    </border>
    <border>
      <left style="thin">
        <color theme="0"/>
      </left>
      <right style="thin">
        <color theme="0"/>
      </right>
      <top style="thin">
        <color theme="0"/>
      </top>
      <bottom style="thin">
        <color indexed="64"/>
      </bottom>
      <diagonal/>
    </border>
    <border>
      <left style="dotted">
        <color indexed="64"/>
      </left>
      <right style="dotted">
        <color indexed="64"/>
      </right>
      <top style="thin">
        <color indexed="64"/>
      </top>
      <bottom style="double">
        <color indexed="64"/>
      </bottom>
      <diagonal/>
    </border>
    <border>
      <left style="dotted">
        <color indexed="64"/>
      </left>
      <right style="dotted">
        <color indexed="64"/>
      </right>
      <top style="thin">
        <color auto="1"/>
      </top>
      <bottom style="thin">
        <color indexed="64"/>
      </bottom>
      <diagonal/>
    </border>
    <border>
      <left style="dotted">
        <color auto="1"/>
      </left>
      <right/>
      <top/>
      <bottom style="thin">
        <color auto="1"/>
      </bottom>
      <diagonal/>
    </border>
    <border>
      <left style="dotted">
        <color auto="1"/>
      </left>
      <right/>
      <top style="thin">
        <color auto="1"/>
      </top>
      <bottom/>
      <diagonal/>
    </border>
    <border>
      <left/>
      <right style="dotted">
        <color auto="1"/>
      </right>
      <top style="thin">
        <color auto="1"/>
      </top>
      <bottom/>
      <diagonal/>
    </border>
    <border>
      <left style="medium">
        <color auto="1"/>
      </left>
      <right/>
      <top style="medium">
        <color auto="1"/>
      </top>
      <bottom/>
      <diagonal/>
    </border>
    <border>
      <left/>
      <right/>
      <top style="medium">
        <color indexed="64"/>
      </top>
      <bottom/>
      <diagonal/>
    </border>
    <border>
      <left/>
      <right style="medium">
        <color auto="1"/>
      </right>
      <top style="medium">
        <color auto="1"/>
      </top>
      <bottom/>
      <diagonal/>
    </border>
    <border>
      <left style="medium">
        <color auto="1"/>
      </left>
      <right style="medium">
        <color auto="1"/>
      </right>
      <top style="medium">
        <color auto="1"/>
      </top>
      <bottom style="medium">
        <color auto="1"/>
      </bottom>
      <diagonal/>
    </border>
    <border>
      <left/>
      <right/>
      <top/>
      <bottom style="medium">
        <color indexed="64"/>
      </bottom>
      <diagonal/>
    </border>
    <border>
      <left/>
      <right style="medium">
        <color indexed="64"/>
      </right>
      <top/>
      <bottom style="medium">
        <color indexed="64"/>
      </bottom>
      <diagonal/>
    </border>
    <border>
      <left style="medium">
        <color auto="1"/>
      </left>
      <right style="thin">
        <color theme="0" tint="-0.24994659260841701"/>
      </right>
      <top style="medium">
        <color auto="1"/>
      </top>
      <bottom style="medium">
        <color indexed="64"/>
      </bottom>
      <diagonal/>
    </border>
    <border>
      <left style="thin">
        <color theme="0" tint="-0.24994659260841701"/>
      </left>
      <right style="thin">
        <color theme="0" tint="-0.24994659260841701"/>
      </right>
      <top style="medium">
        <color auto="1"/>
      </top>
      <bottom style="medium">
        <color indexed="64"/>
      </bottom>
      <diagonal/>
    </border>
    <border>
      <left style="thin">
        <color theme="0" tint="-0.24994659260841701"/>
      </left>
      <right/>
      <top style="medium">
        <color auto="1"/>
      </top>
      <bottom style="medium">
        <color indexed="64"/>
      </bottom>
      <diagonal/>
    </border>
    <border>
      <left style="thin">
        <color theme="0" tint="-0.24994659260841701"/>
      </left>
      <right style="thin">
        <color indexed="64"/>
      </right>
      <top style="medium">
        <color auto="1"/>
      </top>
      <bottom style="medium">
        <color indexed="64"/>
      </bottom>
      <diagonal/>
    </border>
    <border>
      <left style="medium">
        <color auto="1"/>
      </left>
      <right/>
      <top style="medium">
        <color auto="1"/>
      </top>
      <bottom style="thin">
        <color theme="0" tint="-0.24994659260841701"/>
      </bottom>
      <diagonal/>
    </border>
    <border>
      <left/>
      <right style="medium">
        <color indexed="64"/>
      </right>
      <top style="medium">
        <color indexed="64"/>
      </top>
      <bottom style="thin">
        <color theme="0" tint="-0.34998626667073579"/>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medium">
        <color indexed="64"/>
      </left>
      <right/>
      <top/>
      <bottom/>
      <diagonal/>
    </border>
    <border>
      <left style="medium">
        <color auto="1"/>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medium">
        <color auto="1"/>
      </left>
      <right/>
      <top/>
      <bottom style="medium">
        <color indexed="64"/>
      </bottom>
      <diagonal/>
    </border>
    <border>
      <left style="medium">
        <color auto="1"/>
      </left>
      <right/>
      <top style="thin">
        <color theme="0" tint="-0.24994659260841701"/>
      </top>
      <bottom style="medium">
        <color auto="1"/>
      </bottom>
      <diagonal/>
    </border>
    <border>
      <left style="medium">
        <color indexed="64"/>
      </left>
      <right style="thin">
        <color theme="0" tint="-0.24994659260841701"/>
      </right>
      <top style="thin">
        <color theme="0" tint="-0.24994659260841701"/>
      </top>
      <bottom style="medium">
        <color auto="1"/>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medium">
        <color auto="1"/>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thin">
        <color theme="0" tint="-0.14996795556505021"/>
      </bottom>
      <diagonal/>
    </border>
    <border>
      <left style="medium">
        <color indexed="64"/>
      </left>
      <right/>
      <top/>
      <bottom style="thin">
        <color theme="0" tint="-0.14996795556505021"/>
      </bottom>
      <diagonal/>
    </border>
    <border>
      <left style="medium">
        <color indexed="64"/>
      </left>
      <right/>
      <top style="thin">
        <color theme="0" tint="-0.14996795556505021"/>
      </top>
      <bottom style="thin">
        <color theme="0" tint="-0.14996795556505021"/>
      </bottom>
      <diagonal/>
    </border>
    <border>
      <left style="medium">
        <color indexed="64"/>
      </left>
      <right/>
      <top style="thin">
        <color theme="0" tint="-0.14996795556505021"/>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auto="1"/>
      </left>
      <right style="thin">
        <color indexed="64"/>
      </right>
      <top style="medium">
        <color auto="1"/>
      </top>
      <bottom style="thin">
        <color theme="0" tint="-0.24994659260841701"/>
      </bottom>
      <diagonal/>
    </border>
    <border>
      <left style="medium">
        <color auto="1"/>
      </left>
      <right style="thin">
        <color indexed="64"/>
      </right>
      <top style="thin">
        <color theme="0" tint="-0.24994659260841701"/>
      </top>
      <bottom style="medium">
        <color auto="1"/>
      </bottom>
      <diagonal/>
    </border>
    <border>
      <left style="medium">
        <color indexed="64"/>
      </left>
      <right/>
      <top style="thin">
        <color theme="0" tint="-0.34998626667073579"/>
      </top>
      <bottom/>
      <diagonal/>
    </border>
    <border>
      <left style="medium">
        <color indexed="64"/>
      </left>
      <right/>
      <top style="thin">
        <color theme="0" tint="-0.24994659260841701"/>
      </top>
      <bottom/>
      <diagonal/>
    </border>
    <border>
      <left style="medium">
        <color auto="1"/>
      </left>
      <right style="thin">
        <color theme="0" tint="-0.24994659260841701"/>
      </right>
      <top style="medium">
        <color auto="1"/>
      </top>
      <bottom style="thin">
        <color theme="0" tint="-0.24994659260841701"/>
      </bottom>
      <diagonal/>
    </border>
    <border>
      <left style="thin">
        <color theme="0" tint="-0.24994659260841701"/>
      </left>
      <right style="thin">
        <color theme="0" tint="-0.24994659260841701"/>
      </right>
      <top style="medium">
        <color auto="1"/>
      </top>
      <bottom style="thin">
        <color theme="0" tint="-0.24994659260841701"/>
      </bottom>
      <diagonal/>
    </border>
    <border>
      <left style="thin">
        <color theme="0" tint="-0.24994659260841701"/>
      </left>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s>
  <cellStyleXfs count="68">
    <xf numFmtId="0" fontId="0" fillId="0" borderId="0"/>
    <xf numFmtId="168" fontId="3" fillId="0" borderId="0" applyFill="0" applyBorder="0" applyProtection="0">
      <alignment vertical="center"/>
    </xf>
    <xf numFmtId="0" fontId="7" fillId="0" borderId="0" applyNumberFormat="0" applyFill="0" applyBorder="0" applyAlignment="0" applyProtection="0"/>
    <xf numFmtId="0" fontId="33" fillId="11" borderId="0" applyBorder="0">
      <alignment horizontal="left" vertical="center"/>
    </xf>
    <xf numFmtId="0" fontId="2" fillId="3" borderId="0" applyProtection="0">
      <alignment vertical="center"/>
    </xf>
    <xf numFmtId="0" fontId="4" fillId="0" borderId="0" applyFill="0" applyProtection="0">
      <alignment vertical="center"/>
    </xf>
    <xf numFmtId="0" fontId="3" fillId="0" borderId="0" applyFill="0" applyBorder="0" applyProtection="0">
      <alignment vertical="center"/>
    </xf>
    <xf numFmtId="0" fontId="5" fillId="0" borderId="5" applyNumberFormat="0" applyFill="0" applyAlignment="0" applyProtection="0"/>
    <xf numFmtId="0" fontId="29" fillId="12" borderId="4">
      <alignment horizontal="left" vertical="center"/>
      <protection locked="0"/>
    </xf>
    <xf numFmtId="164" fontId="28" fillId="0" borderId="0" applyFill="0" applyBorder="0">
      <alignment horizontal="center" vertical="center"/>
    </xf>
    <xf numFmtId="164" fontId="29" fillId="2" borderId="4">
      <alignment horizontal="center" vertical="center"/>
      <protection locked="0"/>
    </xf>
    <xf numFmtId="170" fontId="28" fillId="0" borderId="0" applyFill="0" applyBorder="0">
      <alignment horizontal="center" vertical="center"/>
    </xf>
    <xf numFmtId="170" fontId="29" fillId="12" borderId="4">
      <alignment horizontal="center" vertical="center"/>
      <protection locked="0"/>
    </xf>
    <xf numFmtId="165" fontId="28" fillId="0" borderId="0" applyFill="0" applyBorder="0">
      <alignment horizontal="right" vertical="center"/>
    </xf>
    <xf numFmtId="165" fontId="29" fillId="12" borderId="4">
      <alignment horizontal="right" vertical="center"/>
      <protection locked="0"/>
    </xf>
    <xf numFmtId="167" fontId="28" fillId="0" borderId="0" applyFill="0" applyBorder="0">
      <alignment horizontal="right" vertical="center"/>
    </xf>
    <xf numFmtId="167" fontId="29" fillId="12" borderId="4">
      <alignment horizontal="right" vertical="center"/>
      <protection locked="0"/>
    </xf>
    <xf numFmtId="166" fontId="28" fillId="0" borderId="0" applyFill="0" applyBorder="0">
      <alignment horizontal="right" vertical="center"/>
    </xf>
    <xf numFmtId="166" fontId="29" fillId="12" borderId="4">
      <alignment horizontal="right" vertical="center"/>
      <protection locked="0"/>
    </xf>
    <xf numFmtId="168" fontId="29" fillId="12" borderId="4">
      <alignment horizontal="right" vertical="center"/>
      <protection locked="0"/>
    </xf>
    <xf numFmtId="0" fontId="25" fillId="0" borderId="0" applyFill="0" applyBorder="0">
      <alignment horizontal="left" vertical="center"/>
    </xf>
    <xf numFmtId="0" fontId="8" fillId="4" borderId="0" applyNumberFormat="0" applyBorder="0" applyAlignment="0" applyProtection="0"/>
    <xf numFmtId="0" fontId="9" fillId="5" borderId="0" applyNumberFormat="0" applyBorder="0" applyAlignment="0" applyProtection="0"/>
    <xf numFmtId="0" fontId="10" fillId="6" borderId="0" applyNumberFormat="0" applyBorder="0" applyAlignment="0" applyProtection="0"/>
    <xf numFmtId="0" fontId="11" fillId="7" borderId="6" applyNumberFormat="0" applyAlignment="0" applyProtection="0"/>
    <xf numFmtId="0" fontId="12" fillId="8" borderId="7" applyNumberFormat="0" applyAlignment="0" applyProtection="0"/>
    <xf numFmtId="0" fontId="13" fillId="8" borderId="6" applyNumberFormat="0" applyAlignment="0" applyProtection="0"/>
    <xf numFmtId="0" fontId="14" fillId="0" borderId="8" applyNumberFormat="0" applyFill="0" applyAlignment="0" applyProtection="0"/>
    <xf numFmtId="0" fontId="15" fillId="9" borderId="9" applyNumberFormat="0" applyAlignment="0" applyProtection="0"/>
    <xf numFmtId="0" fontId="16" fillId="0" borderId="0" applyNumberFormat="0" applyFill="0" applyBorder="0" applyAlignment="0" applyProtection="0"/>
    <xf numFmtId="0" fontId="3" fillId="10" borderId="10" applyNumberFormat="0" applyFont="0" applyAlignment="0" applyProtection="0"/>
    <xf numFmtId="0" fontId="17" fillId="0" borderId="0" applyNumberFormat="0" applyFill="0" applyBorder="0" applyAlignment="0" applyProtection="0"/>
    <xf numFmtId="0" fontId="18" fillId="0" borderId="0" applyNumberFormat="0" applyFill="0" applyBorder="0">
      <alignment horizontal="left" vertical="center"/>
    </xf>
    <xf numFmtId="0" fontId="19" fillId="0" borderId="0" applyFill="0" applyBorder="0">
      <alignment vertical="center"/>
    </xf>
    <xf numFmtId="0" fontId="30" fillId="0" borderId="0" applyFill="0" applyBorder="0">
      <alignment horizontal="left" vertical="center"/>
    </xf>
    <xf numFmtId="0" fontId="37" fillId="0" borderId="0" applyFill="0" applyBorder="0">
      <alignment horizontal="left" vertical="center"/>
    </xf>
    <xf numFmtId="0" fontId="29" fillId="0" borderId="0" applyFill="0" applyBorder="0">
      <alignment horizontal="left" vertical="center"/>
    </xf>
    <xf numFmtId="0" fontId="28" fillId="0" borderId="0" applyFill="0" applyBorder="0">
      <alignment vertical="center"/>
    </xf>
    <xf numFmtId="0" fontId="32" fillId="15" borderId="0" applyBorder="0">
      <alignment horizontal="left" vertical="center"/>
    </xf>
    <xf numFmtId="0" fontId="31" fillId="15" borderId="0" applyBorder="0">
      <alignment horizontal="left" vertical="center"/>
    </xf>
    <xf numFmtId="171" fontId="28" fillId="0" borderId="0" applyFill="0" applyBorder="0">
      <alignment horizontal="right" vertical="center"/>
    </xf>
    <xf numFmtId="0" fontId="24" fillId="0" borderId="0">
      <alignment horizontal="right" vertical="center"/>
    </xf>
    <xf numFmtId="0" fontId="21" fillId="13" borderId="0">
      <alignment horizontal="left" indent="3"/>
    </xf>
    <xf numFmtId="0" fontId="21" fillId="14" borderId="0">
      <alignment horizontal="left" indent="3"/>
    </xf>
    <xf numFmtId="173" fontId="6" fillId="0" borderId="0">
      <alignment horizontal="center" vertical="center"/>
    </xf>
    <xf numFmtId="174" fontId="23" fillId="12" borderId="4">
      <alignment horizontal="center" vertical="center"/>
      <protection locked="0"/>
    </xf>
    <xf numFmtId="174" fontId="6" fillId="0" borderId="0"/>
    <xf numFmtId="165" fontId="29" fillId="0" borderId="0" applyFill="0" applyBorder="0">
      <alignment horizontal="right" vertical="center"/>
    </xf>
    <xf numFmtId="170" fontId="29" fillId="0" borderId="0" applyFill="0" applyBorder="0">
      <alignment horizontal="center" vertical="center"/>
    </xf>
    <xf numFmtId="171" fontId="29" fillId="0" borderId="0" applyFill="0" applyBorder="0">
      <alignment horizontal="right" vertical="center"/>
    </xf>
    <xf numFmtId="166" fontId="29" fillId="0" borderId="0" applyFill="0" applyBorder="0">
      <alignment horizontal="right" vertical="center"/>
    </xf>
    <xf numFmtId="167" fontId="29" fillId="0" borderId="0" applyFill="0" applyBorder="0">
      <alignment horizontal="right" vertical="center"/>
    </xf>
    <xf numFmtId="164" fontId="29" fillId="0" borderId="0" applyFill="0" applyBorder="0">
      <alignment horizontal="center" vertical="center"/>
    </xf>
    <xf numFmtId="0" fontId="29" fillId="16" borderId="4">
      <alignment horizontal="center" vertical="center"/>
      <protection locked="0"/>
    </xf>
    <xf numFmtId="0" fontId="6" fillId="17" borderId="0"/>
    <xf numFmtId="165" fontId="35" fillId="3" borderId="4">
      <alignment horizontal="right" vertical="center"/>
      <protection locked="0"/>
    </xf>
    <xf numFmtId="0" fontId="39" fillId="0" borderId="0"/>
    <xf numFmtId="0" fontId="40"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59" fillId="18" borderId="0">
      <alignment vertical="center"/>
      <protection locked="0"/>
    </xf>
    <xf numFmtId="49" fontId="61" fillId="19" borderId="38">
      <alignment horizontal="center" vertical="center" wrapText="1"/>
    </xf>
    <xf numFmtId="0" fontId="62" fillId="0" borderId="0"/>
    <xf numFmtId="0" fontId="62" fillId="0" borderId="0"/>
    <xf numFmtId="178" fontId="65" fillId="21" borderId="46" applyFill="0" applyBorder="0">
      <alignment horizontal="right" indent="2"/>
      <protection locked="0"/>
    </xf>
    <xf numFmtId="49" fontId="61" fillId="25" borderId="38">
      <alignment horizontal="center" vertical="center" wrapText="1"/>
    </xf>
  </cellStyleXfs>
  <cellXfs count="271">
    <xf numFmtId="0" fontId="0" fillId="0" borderId="0" xfId="0"/>
    <xf numFmtId="0" fontId="0" fillId="0" borderId="0" xfId="0" applyFont="1"/>
    <xf numFmtId="0" fontId="0" fillId="0" borderId="0" xfId="0" applyFont="1" applyFill="1"/>
    <xf numFmtId="0" fontId="0" fillId="0" borderId="0" xfId="0" applyFont="1" applyFill="1" applyAlignment="1">
      <alignment horizontal="left"/>
    </xf>
    <xf numFmtId="0" fontId="33" fillId="11" borderId="0" xfId="3">
      <alignment horizontal="left" vertical="center"/>
    </xf>
    <xf numFmtId="0" fontId="25" fillId="0" borderId="0" xfId="20">
      <alignment horizontal="left" vertical="center"/>
    </xf>
    <xf numFmtId="0" fontId="0" fillId="0" borderId="0" xfId="0" applyFont="1" applyFill="1"/>
    <xf numFmtId="0" fontId="0" fillId="0" borderId="0" xfId="0" applyFont="1"/>
    <xf numFmtId="0" fontId="30" fillId="0" borderId="0" xfId="34">
      <alignment horizontal="left" vertical="center"/>
    </xf>
    <xf numFmtId="0" fontId="0" fillId="0" borderId="0" xfId="0"/>
    <xf numFmtId="0" fontId="37" fillId="0" borderId="0" xfId="35" applyFill="1">
      <alignment horizontal="left" vertical="center"/>
    </xf>
    <xf numFmtId="0" fontId="29" fillId="0" borderId="0" xfId="36">
      <alignment horizontal="left" vertical="center"/>
    </xf>
    <xf numFmtId="0" fontId="28" fillId="0" borderId="0" xfId="37">
      <alignment vertical="center"/>
    </xf>
    <xf numFmtId="0" fontId="32" fillId="15" borderId="0" xfId="38">
      <alignment horizontal="left" vertical="center"/>
    </xf>
    <xf numFmtId="0" fontId="30" fillId="0" borderId="0" xfId="34" applyFill="1">
      <alignment horizontal="left" vertical="center"/>
    </xf>
    <xf numFmtId="0" fontId="28" fillId="0" borderId="0" xfId="37" applyFill="1">
      <alignment vertical="center"/>
    </xf>
    <xf numFmtId="0" fontId="29" fillId="0" borderId="0" xfId="36" applyFill="1">
      <alignment horizontal="left" vertical="center"/>
    </xf>
    <xf numFmtId="0" fontId="29" fillId="0" borderId="1" xfId="36" applyBorder="1" applyAlignment="1">
      <alignment horizontal="center" vertical="center"/>
    </xf>
    <xf numFmtId="0" fontId="20" fillId="0" borderId="0" xfId="37" applyFont="1" applyFill="1">
      <alignment vertical="center"/>
    </xf>
    <xf numFmtId="0" fontId="29" fillId="0" borderId="0" xfId="36" applyAlignment="1">
      <alignment horizontal="right" vertical="center"/>
    </xf>
    <xf numFmtId="0" fontId="30" fillId="0" borderId="0" xfId="34" applyAlignment="1">
      <alignment horizontal="center" vertical="center"/>
    </xf>
    <xf numFmtId="0" fontId="0" fillId="0" borderId="0" xfId="0" applyFont="1" applyAlignment="1">
      <alignment horizontal="center"/>
    </xf>
    <xf numFmtId="0" fontId="29" fillId="0" borderId="0" xfId="36" applyAlignment="1">
      <alignment horizontal="center" vertical="center"/>
    </xf>
    <xf numFmtId="4" fontId="0" fillId="0" borderId="0" xfId="0" applyNumberFormat="1" applyFont="1"/>
    <xf numFmtId="172" fontId="0" fillId="0" borderId="0" xfId="0" applyNumberFormat="1" applyFont="1"/>
    <xf numFmtId="0" fontId="33" fillId="11" borderId="0" xfId="3" applyFill="1">
      <alignment horizontal="left" vertical="center"/>
    </xf>
    <xf numFmtId="0" fontId="26" fillId="0" borderId="0" xfId="37" applyFont="1" applyFill="1">
      <alignment vertical="center"/>
    </xf>
    <xf numFmtId="169" fontId="28" fillId="0" borderId="0" xfId="13" applyNumberFormat="1">
      <alignment horizontal="right" vertical="center"/>
    </xf>
    <xf numFmtId="173" fontId="6" fillId="0" borderId="3" xfId="44" applyBorder="1" applyAlignment="1">
      <alignment horizontal="center"/>
    </xf>
    <xf numFmtId="0" fontId="28" fillId="0" borderId="3" xfId="37" applyBorder="1">
      <alignment vertical="center"/>
    </xf>
    <xf numFmtId="0" fontId="0" fillId="0" borderId="14" xfId="0" applyBorder="1"/>
    <xf numFmtId="0" fontId="0" fillId="0" borderId="3" xfId="0" applyBorder="1"/>
    <xf numFmtId="0" fontId="0" fillId="0" borderId="15" xfId="0" applyBorder="1"/>
    <xf numFmtId="0" fontId="0" fillId="0" borderId="12" xfId="0" applyBorder="1"/>
    <xf numFmtId="0" fontId="0" fillId="0" borderId="0" xfId="0" applyBorder="1"/>
    <xf numFmtId="0" fontId="0" fillId="0" borderId="11" xfId="0" applyBorder="1"/>
    <xf numFmtId="0" fontId="29" fillId="0" borderId="0" xfId="36" applyBorder="1">
      <alignment horizontal="left" vertical="center"/>
    </xf>
    <xf numFmtId="0" fontId="30" fillId="0" borderId="0" xfId="34" applyBorder="1" applyAlignment="1">
      <alignment horizontal="center" vertical="center"/>
    </xf>
    <xf numFmtId="0" fontId="37" fillId="0" borderId="0" xfId="35" applyBorder="1" applyAlignment="1">
      <alignment horizontal="center" vertical="center"/>
    </xf>
    <xf numFmtId="0" fontId="21" fillId="11" borderId="0" xfId="3" applyFont="1" applyBorder="1" applyAlignment="1">
      <alignment horizontal="center" vertical="center"/>
    </xf>
    <xf numFmtId="0" fontId="22" fillId="15" borderId="0" xfId="38" applyFont="1" applyBorder="1" applyAlignment="1">
      <alignment horizontal="center" vertical="center"/>
    </xf>
    <xf numFmtId="0" fontId="0" fillId="0" borderId="16" xfId="0" applyBorder="1"/>
    <xf numFmtId="0" fontId="0" fillId="0" borderId="2" xfId="0" applyBorder="1"/>
    <xf numFmtId="0" fontId="0" fillId="0" borderId="13" xfId="0" applyBorder="1"/>
    <xf numFmtId="0" fontId="29" fillId="12" borderId="4" xfId="8" applyBorder="1" applyAlignment="1">
      <alignment horizontal="center" vertical="center"/>
      <protection locked="0"/>
    </xf>
    <xf numFmtId="0" fontId="30" fillId="0" borderId="0" xfId="34" applyFill="1" applyBorder="1" applyAlignment="1">
      <alignment vertical="center"/>
    </xf>
    <xf numFmtId="0" fontId="27" fillId="0" borderId="0" xfId="3" applyFont="1" applyFill="1">
      <alignment horizontal="left" vertical="center"/>
    </xf>
    <xf numFmtId="0" fontId="34" fillId="0" borderId="0" xfId="0" applyFont="1" applyFill="1" applyAlignment="1">
      <alignment horizontal="center"/>
    </xf>
    <xf numFmtId="0" fontId="18" fillId="0" borderId="0" xfId="32" applyBorder="1">
      <alignment horizontal="left" vertical="center"/>
    </xf>
    <xf numFmtId="0" fontId="18" fillId="0" borderId="0" xfId="32">
      <alignment horizontal="left" vertical="center"/>
    </xf>
    <xf numFmtId="0" fontId="18" fillId="0" borderId="0" xfId="32" applyAlignment="1">
      <alignment horizontal="center" vertical="center"/>
    </xf>
    <xf numFmtId="0" fontId="6" fillId="17" borderId="0" xfId="54"/>
    <xf numFmtId="0" fontId="29" fillId="16" borderId="4" xfId="53">
      <alignment horizontal="center" vertical="center"/>
      <protection locked="0"/>
    </xf>
    <xf numFmtId="165" fontId="29" fillId="3" borderId="4" xfId="14" applyFill="1">
      <alignment horizontal="right" vertical="center"/>
      <protection locked="0"/>
    </xf>
    <xf numFmtId="0" fontId="0" fillId="0" borderId="0" xfId="0" applyFill="1"/>
    <xf numFmtId="0" fontId="18" fillId="0" borderId="0" xfId="32" applyFill="1">
      <alignment horizontal="left" vertical="center"/>
    </xf>
    <xf numFmtId="170" fontId="29" fillId="0" borderId="1" xfId="48" applyBorder="1">
      <alignment horizontal="center" vertical="center"/>
    </xf>
    <xf numFmtId="170" fontId="28" fillId="0" borderId="0" xfId="11" applyAlignment="1">
      <alignment horizontal="right" vertical="center"/>
    </xf>
    <xf numFmtId="0" fontId="37" fillId="0" borderId="0" xfId="35" applyAlignment="1">
      <alignment horizontal="right" vertical="center"/>
    </xf>
    <xf numFmtId="0" fontId="37" fillId="0" borderId="0" xfId="35" applyAlignment="1">
      <alignment horizontal="center" vertical="center"/>
    </xf>
    <xf numFmtId="170" fontId="28" fillId="0" borderId="0" xfId="11" applyAlignment="1">
      <alignment horizontal="center" vertical="center"/>
    </xf>
    <xf numFmtId="169" fontId="28" fillId="0" borderId="0" xfId="13" applyNumberFormat="1" applyAlignment="1">
      <alignment horizontal="center" vertical="center"/>
    </xf>
    <xf numFmtId="0" fontId="28" fillId="0" borderId="0" xfId="37" applyAlignment="1">
      <alignment horizontal="center" vertical="center"/>
    </xf>
    <xf numFmtId="165" fontId="29" fillId="12" borderId="4" xfId="14" applyAlignment="1">
      <alignment horizontal="center" vertical="center"/>
      <protection locked="0"/>
    </xf>
    <xf numFmtId="0" fontId="29" fillId="0" borderId="0" xfId="36" applyFill="1" applyAlignment="1">
      <alignment horizontal="center" vertical="center"/>
    </xf>
    <xf numFmtId="173" fontId="6" fillId="0" borderId="0" xfId="44" applyBorder="1" applyAlignment="1">
      <alignment horizontal="center" vertical="center"/>
    </xf>
    <xf numFmtId="0" fontId="37" fillId="0" borderId="0" xfId="35" applyAlignment="1">
      <alignment horizontal="center" vertical="center" wrapText="1"/>
    </xf>
    <xf numFmtId="0" fontId="37" fillId="0" borderId="2" xfId="35" applyBorder="1" applyAlignment="1">
      <alignment horizontal="center" vertical="center" wrapText="1"/>
    </xf>
    <xf numFmtId="0" fontId="37" fillId="0" borderId="2" xfId="35" applyBorder="1">
      <alignment horizontal="left" vertical="center"/>
    </xf>
    <xf numFmtId="0" fontId="28" fillId="0" borderId="0" xfId="37" applyFill="1" applyAlignment="1">
      <alignment horizontal="center" vertical="center"/>
    </xf>
    <xf numFmtId="173" fontId="6" fillId="0" borderId="0" xfId="44" applyFill="1" applyBorder="1" applyAlignment="1">
      <alignment horizontal="center" vertical="center"/>
    </xf>
    <xf numFmtId="175" fontId="28" fillId="0" borderId="0" xfId="13" applyNumberFormat="1" applyFill="1" applyAlignment="1">
      <alignment horizontal="center" vertical="center"/>
    </xf>
    <xf numFmtId="0" fontId="38" fillId="0" borderId="0" xfId="37" applyFont="1">
      <alignment vertical="center"/>
    </xf>
    <xf numFmtId="175" fontId="28" fillId="0" borderId="17" xfId="13" applyNumberFormat="1" applyFill="1" applyBorder="1" applyAlignment="1">
      <alignment horizontal="center" vertical="center"/>
    </xf>
    <xf numFmtId="20" fontId="0" fillId="0" borderId="0" xfId="0" quotePrefix="1" applyNumberFormat="1"/>
    <xf numFmtId="176" fontId="29" fillId="3" borderId="19" xfId="16" applyNumberFormat="1" applyFill="1" applyBorder="1" applyAlignment="1">
      <alignment horizontal="center" vertical="center"/>
      <protection locked="0"/>
    </xf>
    <xf numFmtId="0" fontId="37" fillId="0" borderId="20" xfId="35" applyBorder="1" applyAlignment="1">
      <alignment horizontal="center" vertical="center" wrapText="1"/>
    </xf>
    <xf numFmtId="176" fontId="29" fillId="3" borderId="4" xfId="16" applyNumberFormat="1" applyFill="1" applyBorder="1" applyAlignment="1">
      <alignment horizontal="center" vertical="center"/>
      <protection locked="0"/>
    </xf>
    <xf numFmtId="176" fontId="29" fillId="3" borderId="21" xfId="16" applyNumberFormat="1" applyFill="1" applyBorder="1" applyAlignment="1">
      <alignment horizontal="center" vertical="center"/>
      <protection locked="0"/>
    </xf>
    <xf numFmtId="0" fontId="0" fillId="0" borderId="0" xfId="0" applyFont="1" applyFill="1" applyBorder="1"/>
    <xf numFmtId="175" fontId="28" fillId="0" borderId="0" xfId="13" applyNumberFormat="1" applyFill="1" applyBorder="1" applyAlignment="1">
      <alignment horizontal="center" vertical="center"/>
    </xf>
    <xf numFmtId="176" fontId="29" fillId="12" borderId="4" xfId="16" applyNumberFormat="1" applyAlignment="1">
      <alignment horizontal="center" vertical="center"/>
      <protection locked="0"/>
    </xf>
    <xf numFmtId="0" fontId="41" fillId="0" borderId="0" xfId="20" applyFont="1">
      <alignment horizontal="left" vertical="center"/>
    </xf>
    <xf numFmtId="0" fontId="42" fillId="0" borderId="0" xfId="0" applyFont="1"/>
    <xf numFmtId="0" fontId="43" fillId="0" borderId="0" xfId="37" applyFont="1" applyFill="1">
      <alignment vertical="center"/>
    </xf>
    <xf numFmtId="0" fontId="44" fillId="0" borderId="0" xfId="32" applyFont="1" applyFill="1">
      <alignment horizontal="left" vertical="center"/>
    </xf>
    <xf numFmtId="0" fontId="45" fillId="0" borderId="0" xfId="36" applyFont="1" applyFill="1">
      <alignment horizontal="left" vertical="center"/>
    </xf>
    <xf numFmtId="0" fontId="46" fillId="0" borderId="0" xfId="3" applyFont="1" applyFill="1">
      <alignment horizontal="left" vertical="center"/>
    </xf>
    <xf numFmtId="0" fontId="47" fillId="11" borderId="0" xfId="3" applyFont="1">
      <alignment horizontal="left" vertical="center"/>
    </xf>
    <xf numFmtId="0" fontId="42" fillId="0" borderId="0" xfId="0" applyFont="1" applyFill="1"/>
    <xf numFmtId="0" fontId="48" fillId="15" borderId="0" xfId="38" applyFont="1">
      <alignment horizontal="left" vertical="center"/>
    </xf>
    <xf numFmtId="0" fontId="37" fillId="0" borderId="0" xfId="35">
      <alignment horizontal="left" vertical="center"/>
    </xf>
    <xf numFmtId="177" fontId="29" fillId="12" borderId="4" xfId="19" applyNumberFormat="1" applyAlignment="1">
      <alignment horizontal="center" vertical="center"/>
      <protection locked="0"/>
    </xf>
    <xf numFmtId="175" fontId="29" fillId="12" borderId="4" xfId="14" applyNumberFormat="1" applyAlignment="1">
      <alignment horizontal="center" vertical="center"/>
      <protection locked="0"/>
    </xf>
    <xf numFmtId="0" fontId="36" fillId="0" borderId="0" xfId="37" applyFont="1" applyAlignment="1">
      <alignment horizontal="center" vertical="center"/>
    </xf>
    <xf numFmtId="0" fontId="37" fillId="0" borderId="26" xfId="35" applyBorder="1" applyAlignment="1">
      <alignment horizontal="center" vertical="center" wrapText="1"/>
    </xf>
    <xf numFmtId="0" fontId="37" fillId="0" borderId="0" xfId="35" applyBorder="1" applyAlignment="1">
      <alignment horizontal="center" vertical="center" wrapText="1"/>
    </xf>
    <xf numFmtId="0" fontId="37" fillId="0" borderId="18" xfId="35" applyBorder="1" applyAlignment="1">
      <alignment horizontal="center" vertical="center" wrapText="1"/>
    </xf>
    <xf numFmtId="0" fontId="42" fillId="0" borderId="0" xfId="0" applyFont="1" applyAlignment="1">
      <alignment horizontal="centerContinuous"/>
    </xf>
    <xf numFmtId="171" fontId="36" fillId="0" borderId="0" xfId="40" applyFont="1" applyAlignment="1">
      <alignment horizontal="center" vertical="center"/>
    </xf>
    <xf numFmtId="171" fontId="36" fillId="0" borderId="27" xfId="40" applyFont="1" applyBorder="1" applyAlignment="1">
      <alignment horizontal="center" vertical="center"/>
    </xf>
    <xf numFmtId="171" fontId="28" fillId="0" borderId="0" xfId="40" applyFill="1" applyAlignment="1">
      <alignment horizontal="center" vertical="center"/>
    </xf>
    <xf numFmtId="0" fontId="37" fillId="0" borderId="0" xfId="35" applyAlignment="1">
      <alignment horizontal="centerContinuous" vertical="center"/>
    </xf>
    <xf numFmtId="0" fontId="37" fillId="0" borderId="2" xfId="35" applyBorder="1" applyAlignment="1">
      <alignment horizontal="center" vertical="center"/>
    </xf>
    <xf numFmtId="0" fontId="37" fillId="0" borderId="22" xfId="35" applyBorder="1" applyAlignment="1">
      <alignment horizontal="center" vertical="center" wrapText="1"/>
    </xf>
    <xf numFmtId="167" fontId="28" fillId="0" borderId="0" xfId="15" applyAlignment="1">
      <alignment horizontal="center" vertical="center"/>
    </xf>
    <xf numFmtId="0" fontId="29" fillId="0" borderId="0" xfId="36" applyFill="1" applyBorder="1">
      <alignment horizontal="left" vertical="center"/>
    </xf>
    <xf numFmtId="176" fontId="28" fillId="0" borderId="0" xfId="15" applyNumberFormat="1" applyAlignment="1">
      <alignment horizontal="center" vertical="center"/>
    </xf>
    <xf numFmtId="0" fontId="0" fillId="17" borderId="0" xfId="0" applyFont="1" applyFill="1"/>
    <xf numFmtId="176" fontId="29" fillId="3" borderId="25" xfId="16" applyNumberFormat="1" applyFill="1" applyBorder="1" applyAlignment="1">
      <alignment horizontal="center" vertical="center"/>
      <protection locked="0"/>
    </xf>
    <xf numFmtId="176" fontId="28" fillId="0" borderId="17" xfId="15" applyNumberFormat="1" applyBorder="1" applyAlignment="1">
      <alignment horizontal="center" vertical="center"/>
    </xf>
    <xf numFmtId="0" fontId="42" fillId="0" borderId="0" xfId="0" applyFont="1" applyBorder="1"/>
    <xf numFmtId="171" fontId="28" fillId="0" borderId="23" xfId="40" applyFill="1" applyBorder="1" applyAlignment="1">
      <alignment horizontal="center" vertical="center"/>
    </xf>
    <xf numFmtId="176" fontId="28" fillId="0" borderId="2" xfId="15" applyNumberFormat="1" applyBorder="1" applyAlignment="1">
      <alignment horizontal="center" vertical="center"/>
    </xf>
    <xf numFmtId="176" fontId="29" fillId="12" borderId="29" xfId="16" applyNumberFormat="1" applyBorder="1" applyAlignment="1">
      <alignment horizontal="center" vertical="center"/>
      <protection locked="0"/>
    </xf>
    <xf numFmtId="0" fontId="42" fillId="0" borderId="26" xfId="0" applyFont="1" applyBorder="1"/>
    <xf numFmtId="0" fontId="42" fillId="0" borderId="18" xfId="0" applyFont="1" applyBorder="1"/>
    <xf numFmtId="0" fontId="42" fillId="0" borderId="0" xfId="0" applyFont="1" applyBorder="1" applyAlignment="1">
      <alignment horizontal="centerContinuous"/>
    </xf>
    <xf numFmtId="0" fontId="42" fillId="0" borderId="18" xfId="0" applyFont="1" applyBorder="1" applyAlignment="1">
      <alignment horizontal="centerContinuous"/>
    </xf>
    <xf numFmtId="0" fontId="37" fillId="0" borderId="26" xfId="35" applyBorder="1" applyAlignment="1">
      <alignment horizontal="centerContinuous" vertical="center"/>
    </xf>
    <xf numFmtId="0" fontId="42" fillId="0" borderId="23" xfId="0" applyFont="1" applyBorder="1"/>
    <xf numFmtId="0" fontId="28" fillId="0" borderId="0" xfId="37" applyBorder="1" applyAlignment="1">
      <alignment horizontal="centerContinuous" vertical="center"/>
    </xf>
    <xf numFmtId="0" fontId="37" fillId="0" borderId="26" xfId="35" applyBorder="1" applyAlignment="1">
      <alignment horizontal="center" vertical="center"/>
    </xf>
    <xf numFmtId="0" fontId="28" fillId="0" borderId="0" xfId="37" applyBorder="1">
      <alignment vertical="center"/>
    </xf>
    <xf numFmtId="0" fontId="29" fillId="16" borderId="4" xfId="53" applyBorder="1">
      <alignment horizontal="center" vertical="center"/>
      <protection locked="0"/>
    </xf>
    <xf numFmtId="0" fontId="29" fillId="16" borderId="21" xfId="53" applyBorder="1">
      <alignment horizontal="center" vertical="center"/>
      <protection locked="0"/>
    </xf>
    <xf numFmtId="173" fontId="49" fillId="0" borderId="0" xfId="44" applyFont="1" applyBorder="1" applyAlignment="1">
      <alignment horizontal="center" vertical="center"/>
    </xf>
    <xf numFmtId="0" fontId="51" fillId="0" borderId="0" xfId="0" applyFont="1"/>
    <xf numFmtId="0" fontId="52" fillId="0" borderId="0" xfId="37" applyFont="1">
      <alignment vertical="center"/>
    </xf>
    <xf numFmtId="170" fontId="52" fillId="0" borderId="0" xfId="11" applyFont="1" applyAlignment="1">
      <alignment horizontal="center" vertical="center"/>
    </xf>
    <xf numFmtId="169" fontId="52" fillId="0" borderId="0" xfId="13" applyNumberFormat="1" applyFont="1" applyAlignment="1">
      <alignment horizontal="center" vertical="center"/>
    </xf>
    <xf numFmtId="0" fontId="52" fillId="0" borderId="0" xfId="37" applyFont="1" applyAlignment="1">
      <alignment horizontal="center" vertical="center"/>
    </xf>
    <xf numFmtId="0" fontId="57" fillId="0" borderId="0" xfId="35" applyFont="1">
      <alignment horizontal="left" vertical="center"/>
    </xf>
    <xf numFmtId="0" fontId="57" fillId="0" borderId="0" xfId="35" applyFont="1" applyAlignment="1">
      <alignment horizontal="center" vertical="center"/>
    </xf>
    <xf numFmtId="0" fontId="57" fillId="0" borderId="3" xfId="35" applyFont="1" applyBorder="1">
      <alignment horizontal="left" vertical="center"/>
    </xf>
    <xf numFmtId="0" fontId="58" fillId="0" borderId="3" xfId="37" applyFont="1" applyBorder="1" applyAlignment="1">
      <alignment horizontal="center" vertical="center"/>
    </xf>
    <xf numFmtId="169" fontId="58" fillId="0" borderId="3" xfId="13" applyNumberFormat="1" applyFont="1" applyBorder="1" applyAlignment="1">
      <alignment horizontal="center" vertical="center"/>
    </xf>
    <xf numFmtId="173" fontId="49" fillId="0" borderId="0" xfId="44" applyFont="1" applyFill="1" applyBorder="1" applyAlignment="1">
      <alignment horizontal="center" vertical="center"/>
    </xf>
    <xf numFmtId="171" fontId="28" fillId="0" borderId="0" xfId="40" applyAlignment="1">
      <alignment horizontal="center" vertical="center"/>
    </xf>
    <xf numFmtId="177" fontId="58" fillId="0" borderId="3" xfId="40" applyNumberFormat="1" applyFont="1" applyBorder="1" applyAlignment="1">
      <alignment horizontal="center" vertical="center"/>
    </xf>
    <xf numFmtId="0" fontId="37" fillId="0" borderId="23" xfId="35" applyBorder="1" applyAlignment="1">
      <alignment horizontal="center" vertical="center" wrapText="1"/>
    </xf>
    <xf numFmtId="171" fontId="36" fillId="0" borderId="23" xfId="40" applyFont="1" applyBorder="1" applyAlignment="1">
      <alignment horizontal="center" vertical="center"/>
    </xf>
    <xf numFmtId="171" fontId="36" fillId="0" borderId="30" xfId="40" applyFont="1" applyBorder="1" applyAlignment="1">
      <alignment horizontal="center" vertical="center"/>
    </xf>
    <xf numFmtId="169" fontId="28" fillId="0" borderId="23" xfId="13" applyNumberFormat="1" applyBorder="1" applyAlignment="1">
      <alignment horizontal="center" vertical="center"/>
    </xf>
    <xf numFmtId="0" fontId="37" fillId="0" borderId="31" xfId="35" applyBorder="1" applyAlignment="1">
      <alignment horizontal="center" vertical="center" wrapText="1"/>
    </xf>
    <xf numFmtId="171" fontId="36" fillId="0" borderId="3" xfId="40" applyFont="1" applyBorder="1" applyAlignment="1">
      <alignment horizontal="center" vertical="center"/>
    </xf>
    <xf numFmtId="0" fontId="29" fillId="0" borderId="0" xfId="36" applyBorder="1" applyAlignment="1">
      <alignment horizontal="center" vertical="center"/>
    </xf>
    <xf numFmtId="0" fontId="29" fillId="16" borderId="4" xfId="53" applyBorder="1" applyAlignment="1">
      <alignment horizontal="center" vertical="center"/>
      <protection locked="0"/>
    </xf>
    <xf numFmtId="0" fontId="37" fillId="0" borderId="32" xfId="35" applyBorder="1" applyAlignment="1">
      <alignment horizontal="center" vertical="center"/>
    </xf>
    <xf numFmtId="0" fontId="37" fillId="0" borderId="20" xfId="35" applyBorder="1" applyAlignment="1">
      <alignment horizontal="center" vertical="center"/>
    </xf>
    <xf numFmtId="171" fontId="28" fillId="0" borderId="26" xfId="40" applyFill="1" applyBorder="1" applyAlignment="1">
      <alignment horizontal="center" vertical="center"/>
    </xf>
    <xf numFmtId="171" fontId="28" fillId="0" borderId="18" xfId="40" applyFill="1" applyBorder="1" applyAlignment="1">
      <alignment horizontal="center" vertical="center"/>
    </xf>
    <xf numFmtId="171" fontId="36" fillId="0" borderId="33" xfId="40" applyFont="1" applyBorder="1" applyAlignment="1">
      <alignment horizontal="center" vertical="center"/>
    </xf>
    <xf numFmtId="171" fontId="36" fillId="0" borderId="34" xfId="40" applyFont="1" applyBorder="1" applyAlignment="1">
      <alignment horizontal="center" vertical="center"/>
    </xf>
    <xf numFmtId="171" fontId="28" fillId="0" borderId="0" xfId="40" applyFill="1" applyBorder="1" applyAlignment="1">
      <alignment horizontal="center" vertical="center"/>
    </xf>
    <xf numFmtId="0" fontId="42" fillId="0" borderId="0" xfId="0" quotePrefix="1" applyFont="1"/>
    <xf numFmtId="0" fontId="60" fillId="18" borderId="35" xfId="62" applyFont="1" applyBorder="1">
      <alignment vertical="center"/>
      <protection locked="0"/>
    </xf>
    <xf numFmtId="0" fontId="59" fillId="18" borderId="36" xfId="62" applyBorder="1">
      <alignment vertical="center"/>
      <protection locked="0"/>
    </xf>
    <xf numFmtId="0" fontId="59" fillId="18" borderId="37" xfId="62" applyBorder="1">
      <alignment vertical="center"/>
      <protection locked="0"/>
    </xf>
    <xf numFmtId="0" fontId="0" fillId="0" borderId="36" xfId="0" applyBorder="1"/>
    <xf numFmtId="0" fontId="0" fillId="0" borderId="37" xfId="0" applyBorder="1"/>
    <xf numFmtId="0" fontId="63" fillId="0" borderId="39" xfId="64" applyFont="1" applyBorder="1" applyAlignment="1" applyProtection="1">
      <alignment horizontal="center"/>
    </xf>
    <xf numFmtId="0" fontId="63" fillId="0" borderId="40" xfId="65" applyFont="1" applyBorder="1" applyAlignment="1" applyProtection="1">
      <alignment horizontal="center"/>
    </xf>
    <xf numFmtId="49" fontId="61" fillId="19" borderId="41" xfId="63" applyBorder="1">
      <alignment horizontal="center" vertical="center" wrapText="1"/>
    </xf>
    <xf numFmtId="49" fontId="61" fillId="19" borderId="42" xfId="63" applyBorder="1">
      <alignment horizontal="center" vertical="center" wrapText="1"/>
    </xf>
    <xf numFmtId="49" fontId="61" fillId="19" borderId="43" xfId="63" applyBorder="1">
      <alignment horizontal="center" vertical="center" wrapText="1"/>
    </xf>
    <xf numFmtId="49" fontId="61" fillId="19" borderId="44" xfId="63" applyBorder="1">
      <alignment horizontal="center" vertical="center" wrapText="1"/>
    </xf>
    <xf numFmtId="0" fontId="64" fillId="20" borderId="35" xfId="64" applyFont="1" applyFill="1" applyBorder="1" applyAlignment="1" applyProtection="1">
      <alignment vertical="center"/>
    </xf>
    <xf numFmtId="0" fontId="64" fillId="20" borderId="45" xfId="64" applyFont="1" applyFill="1" applyBorder="1" applyAlignment="1" applyProtection="1">
      <alignment vertical="center" wrapText="1"/>
    </xf>
    <xf numFmtId="178" fontId="65" fillId="22" borderId="47" xfId="66" applyFill="1" applyBorder="1">
      <alignment horizontal="right" indent="2"/>
      <protection locked="0"/>
    </xf>
    <xf numFmtId="178" fontId="65" fillId="22" borderId="48" xfId="66" applyFill="1" applyBorder="1">
      <alignment horizontal="right" indent="2"/>
      <protection locked="0"/>
    </xf>
    <xf numFmtId="178" fontId="65" fillId="21" borderId="48" xfId="66" applyFill="1" applyBorder="1">
      <alignment horizontal="right" indent="2"/>
      <protection locked="0"/>
    </xf>
    <xf numFmtId="178" fontId="65" fillId="21" borderId="49" xfId="66" applyFill="1" applyBorder="1">
      <alignment horizontal="right" indent="2"/>
      <protection locked="0"/>
    </xf>
    <xf numFmtId="178" fontId="65" fillId="21" borderId="50" xfId="66" applyFill="1" applyBorder="1">
      <alignment horizontal="right" indent="2"/>
      <protection locked="0"/>
    </xf>
    <xf numFmtId="0" fontId="64" fillId="20" borderId="51" xfId="64" applyFont="1" applyFill="1" applyBorder="1" applyAlignment="1" applyProtection="1"/>
    <xf numFmtId="0" fontId="64" fillId="20" borderId="52" xfId="64" applyFont="1" applyFill="1" applyBorder="1" applyAlignment="1" applyProtection="1">
      <alignment vertical="center" wrapText="1"/>
    </xf>
    <xf numFmtId="178" fontId="65" fillId="22" borderId="53" xfId="66" applyFill="1" applyBorder="1">
      <alignment horizontal="right" indent="2"/>
      <protection locked="0"/>
    </xf>
    <xf numFmtId="178" fontId="65" fillId="22" borderId="54" xfId="66" applyFill="1" applyBorder="1">
      <alignment horizontal="right" indent="2"/>
      <protection locked="0"/>
    </xf>
    <xf numFmtId="178" fontId="65" fillId="21" borderId="54" xfId="66" applyFill="1" applyBorder="1">
      <alignment horizontal="right" indent="2"/>
      <protection locked="0"/>
    </xf>
    <xf numFmtId="178" fontId="65" fillId="21" borderId="55" xfId="66" applyFill="1" applyBorder="1">
      <alignment horizontal="right" indent="2"/>
      <protection locked="0"/>
    </xf>
    <xf numFmtId="178" fontId="65" fillId="21" borderId="56" xfId="66" applyFill="1" applyBorder="1">
      <alignment horizontal="right" indent="2"/>
      <protection locked="0"/>
    </xf>
    <xf numFmtId="0" fontId="64" fillId="20" borderId="57" xfId="64" applyFont="1" applyFill="1" applyBorder="1" applyAlignment="1" applyProtection="1"/>
    <xf numFmtId="0" fontId="64" fillId="20" borderId="58" xfId="64" applyFont="1" applyFill="1" applyBorder="1" applyAlignment="1" applyProtection="1">
      <alignment vertical="center" wrapText="1"/>
    </xf>
    <xf numFmtId="178" fontId="65" fillId="23" borderId="54" xfId="66" applyFill="1" applyBorder="1">
      <alignment horizontal="right" indent="2"/>
      <protection locked="0"/>
    </xf>
    <xf numFmtId="178" fontId="65" fillId="23" borderId="55" xfId="66" applyFill="1" applyBorder="1">
      <alignment horizontal="right" indent="2"/>
      <protection locked="0"/>
    </xf>
    <xf numFmtId="178" fontId="65" fillId="23" borderId="56" xfId="66" applyFill="1" applyBorder="1">
      <alignment horizontal="right" indent="2"/>
      <protection locked="0"/>
    </xf>
    <xf numFmtId="0" fontId="64" fillId="20" borderId="51" xfId="64" applyFont="1" applyFill="1" applyBorder="1" applyProtection="1"/>
    <xf numFmtId="0" fontId="64" fillId="20" borderId="57" xfId="64" applyFont="1" applyFill="1" applyBorder="1" applyProtection="1"/>
    <xf numFmtId="178" fontId="65" fillId="22" borderId="59" xfId="66" applyFill="1" applyBorder="1">
      <alignment horizontal="right" indent="2"/>
      <protection locked="0"/>
    </xf>
    <xf numFmtId="178" fontId="65" fillId="22" borderId="60" xfId="66" applyFill="1" applyBorder="1">
      <alignment horizontal="right" indent="2"/>
      <protection locked="0"/>
    </xf>
    <xf numFmtId="178" fontId="65" fillId="21" borderId="60" xfId="66" applyFill="1" applyBorder="1">
      <alignment horizontal="right" indent="2"/>
      <protection locked="0"/>
    </xf>
    <xf numFmtId="178" fontId="65" fillId="21" borderId="61" xfId="66" applyFill="1" applyBorder="1">
      <alignment horizontal="right" indent="2"/>
      <protection locked="0"/>
    </xf>
    <xf numFmtId="178" fontId="65" fillId="21" borderId="62" xfId="66" applyFill="1" applyBorder="1">
      <alignment horizontal="right" indent="2"/>
      <protection locked="0"/>
    </xf>
    <xf numFmtId="0" fontId="62" fillId="0" borderId="0" xfId="64" applyProtection="1"/>
    <xf numFmtId="0" fontId="66" fillId="24" borderId="63" xfId="62" applyFont="1" applyFill="1" applyBorder="1">
      <alignment vertical="center"/>
      <protection locked="0"/>
    </xf>
    <xf numFmtId="0" fontId="60" fillId="24" borderId="64" xfId="62" applyFont="1" applyFill="1" applyBorder="1">
      <alignment vertical="center"/>
      <protection locked="0"/>
    </xf>
    <xf numFmtId="0" fontId="60" fillId="24" borderId="65" xfId="62" applyFont="1" applyFill="1" applyBorder="1">
      <alignment vertical="center"/>
      <protection locked="0"/>
    </xf>
    <xf numFmtId="0" fontId="67" fillId="0" borderId="0" xfId="65" applyFont="1" applyBorder="1" applyProtection="1"/>
    <xf numFmtId="0" fontId="0" fillId="0" borderId="66" xfId="0" applyBorder="1"/>
    <xf numFmtId="49" fontId="61" fillId="25" borderId="41" xfId="67" applyBorder="1">
      <alignment horizontal="center" vertical="center" wrapText="1"/>
    </xf>
    <xf numFmtId="49" fontId="61" fillId="25" borderId="42" xfId="67" applyBorder="1">
      <alignment horizontal="center" vertical="center" wrapText="1"/>
    </xf>
    <xf numFmtId="49" fontId="61" fillId="25" borderId="43" xfId="67" applyBorder="1">
      <alignment horizontal="center" vertical="center" wrapText="1"/>
    </xf>
    <xf numFmtId="49" fontId="61" fillId="25" borderId="44" xfId="67" applyBorder="1">
      <alignment horizontal="center" vertical="center" wrapText="1"/>
    </xf>
    <xf numFmtId="0" fontId="64" fillId="20" borderId="35" xfId="65" applyFont="1" applyFill="1" applyBorder="1" applyAlignment="1" applyProtection="1">
      <alignment horizontal="left" vertical="center"/>
    </xf>
    <xf numFmtId="0" fontId="64" fillId="20" borderId="67" xfId="65" applyFont="1" applyFill="1" applyBorder="1" applyAlignment="1" applyProtection="1">
      <alignment horizontal="right" vertical="center" indent="2"/>
    </xf>
    <xf numFmtId="0" fontId="64" fillId="20" borderId="51" xfId="65" applyFont="1" applyFill="1" applyBorder="1" applyAlignment="1" applyProtection="1">
      <alignment horizontal="left" vertical="center"/>
    </xf>
    <xf numFmtId="0" fontId="64" fillId="20" borderId="68" xfId="65" applyFont="1" applyFill="1" applyBorder="1" applyAlignment="1" applyProtection="1">
      <alignment horizontal="right" vertical="center" indent="2"/>
    </xf>
    <xf numFmtId="0" fontId="64" fillId="20" borderId="69" xfId="65" applyFont="1" applyFill="1" applyBorder="1" applyAlignment="1" applyProtection="1">
      <alignment horizontal="right" vertical="center" indent="2"/>
    </xf>
    <xf numFmtId="0" fontId="64" fillId="20" borderId="57" xfId="65" applyFont="1" applyFill="1" applyBorder="1" applyAlignment="1" applyProtection="1">
      <alignment horizontal="left" vertical="center"/>
    </xf>
    <xf numFmtId="0" fontId="64" fillId="20" borderId="70" xfId="65" applyFont="1" applyFill="1" applyBorder="1" applyAlignment="1" applyProtection="1">
      <alignment horizontal="right" vertical="center" indent="2"/>
    </xf>
    <xf numFmtId="0" fontId="64" fillId="20" borderId="71" xfId="65" applyFont="1" applyFill="1" applyBorder="1" applyAlignment="1" applyProtection="1">
      <alignment horizontal="left" vertical="center"/>
    </xf>
    <xf numFmtId="0" fontId="64" fillId="20" borderId="72" xfId="65" applyFont="1" applyFill="1" applyBorder="1" applyAlignment="1" applyProtection="1">
      <alignment horizontal="left" vertical="center"/>
    </xf>
    <xf numFmtId="0" fontId="64" fillId="20" borderId="73" xfId="65" applyFont="1" applyFill="1" applyBorder="1" applyAlignment="1" applyProtection="1">
      <alignment horizontal="left" vertical="center"/>
    </xf>
    <xf numFmtId="0" fontId="64" fillId="20" borderId="74" xfId="65" applyFont="1" applyFill="1" applyBorder="1" applyAlignment="1" applyProtection="1">
      <alignment vertical="center"/>
    </xf>
    <xf numFmtId="0" fontId="64" fillId="20" borderId="45" xfId="65" applyFont="1" applyFill="1" applyBorder="1" applyAlignment="1" applyProtection="1">
      <alignment horizontal="right" vertical="center" indent="2"/>
    </xf>
    <xf numFmtId="0" fontId="64" fillId="20" borderId="75" xfId="65" applyFont="1" applyFill="1" applyBorder="1" applyAlignment="1" applyProtection="1">
      <alignment vertical="center"/>
    </xf>
    <xf numFmtId="0" fontId="64" fillId="20" borderId="58" xfId="65" applyFont="1" applyFill="1" applyBorder="1" applyAlignment="1" applyProtection="1">
      <alignment horizontal="right" vertical="center" indent="2"/>
    </xf>
    <xf numFmtId="0" fontId="64" fillId="20" borderId="51" xfId="64" applyFont="1" applyFill="1" applyBorder="1" applyAlignment="1" applyProtection="1">
      <alignment horizontal="left" vertical="center"/>
    </xf>
    <xf numFmtId="0" fontId="64" fillId="20" borderId="76" xfId="65" applyFont="1" applyFill="1" applyBorder="1" applyAlignment="1" applyProtection="1">
      <alignment horizontal="right" vertical="center" indent="2"/>
    </xf>
    <xf numFmtId="0" fontId="64" fillId="20" borderId="74" xfId="65" applyFont="1" applyFill="1" applyBorder="1" applyAlignment="1" applyProtection="1">
      <alignment horizontal="left" vertical="center"/>
    </xf>
    <xf numFmtId="0" fontId="64" fillId="20" borderId="75" xfId="65" applyFont="1" applyFill="1" applyBorder="1" applyAlignment="1" applyProtection="1">
      <alignment horizontal="left" vertical="center"/>
    </xf>
    <xf numFmtId="0" fontId="64" fillId="20" borderId="77" xfId="65" applyFont="1" applyFill="1" applyBorder="1" applyAlignment="1" applyProtection="1">
      <alignment horizontal="right" vertical="center" indent="2"/>
    </xf>
    <xf numFmtId="0" fontId="0" fillId="0" borderId="39" xfId="0" applyBorder="1"/>
    <xf numFmtId="0" fontId="0" fillId="0" borderId="40" xfId="0" applyBorder="1"/>
    <xf numFmtId="178" fontId="65" fillId="22" borderId="78" xfId="66" applyFill="1" applyBorder="1">
      <alignment horizontal="right" indent="2"/>
      <protection locked="0"/>
    </xf>
    <xf numFmtId="178" fontId="65" fillId="22" borderId="79" xfId="66" applyFill="1" applyBorder="1">
      <alignment horizontal="right" indent="2"/>
      <protection locked="0"/>
    </xf>
    <xf numFmtId="178" fontId="65" fillId="21" borderId="79" xfId="66" applyFill="1" applyBorder="1">
      <alignment horizontal="right" indent="2"/>
      <protection locked="0"/>
    </xf>
    <xf numFmtId="178" fontId="65" fillId="21" borderId="80" xfId="66" applyFill="1" applyBorder="1">
      <alignment horizontal="right" indent="2"/>
      <protection locked="0"/>
    </xf>
    <xf numFmtId="178" fontId="65" fillId="21" borderId="81" xfId="66" applyFill="1" applyBorder="1">
      <alignment horizontal="right" indent="2"/>
      <protection locked="0"/>
    </xf>
    <xf numFmtId="178" fontId="65" fillId="21" borderId="82" xfId="66" applyFill="1" applyBorder="1">
      <alignment horizontal="right" indent="2"/>
      <protection locked="0"/>
    </xf>
    <xf numFmtId="178" fontId="65" fillId="21" borderId="83" xfId="66" applyFill="1" applyBorder="1">
      <alignment horizontal="right" indent="2"/>
      <protection locked="0"/>
    </xf>
    <xf numFmtId="178" fontId="65" fillId="23" borderId="83" xfId="66" applyFill="1" applyBorder="1">
      <alignment horizontal="right" indent="2"/>
      <protection locked="0"/>
    </xf>
    <xf numFmtId="178" fontId="65" fillId="23" borderId="60" xfId="66" applyFill="1" applyBorder="1">
      <alignment horizontal="right" indent="2"/>
      <protection locked="0"/>
    </xf>
    <xf numFmtId="178" fontId="65" fillId="23" borderId="61" xfId="66" applyFill="1" applyBorder="1">
      <alignment horizontal="right" indent="2"/>
      <protection locked="0"/>
    </xf>
    <xf numFmtId="178" fontId="65" fillId="23" borderId="84" xfId="66" applyFill="1" applyBorder="1">
      <alignment horizontal="right" indent="2"/>
      <protection locked="0"/>
    </xf>
    <xf numFmtId="0" fontId="37" fillId="0" borderId="28" xfId="35" applyBorder="1" applyAlignment="1">
      <alignment horizontal="center" vertical="center"/>
    </xf>
    <xf numFmtId="49" fontId="61" fillId="25" borderId="0" xfId="67" applyBorder="1">
      <alignment horizontal="center" vertical="center" wrapText="1"/>
    </xf>
    <xf numFmtId="177" fontId="42" fillId="0" borderId="0" xfId="0" applyNumberFormat="1" applyFont="1"/>
    <xf numFmtId="179" fontId="42" fillId="0" borderId="0" xfId="0" applyNumberFormat="1" applyFont="1"/>
    <xf numFmtId="180" fontId="42" fillId="0" borderId="0" xfId="0" applyNumberFormat="1" applyFont="1"/>
    <xf numFmtId="173" fontId="6" fillId="26" borderId="0" xfId="44" applyFill="1" applyBorder="1" applyAlignment="1">
      <alignment horizontal="center" vertical="center"/>
    </xf>
    <xf numFmtId="0" fontId="41" fillId="26" borderId="0" xfId="20" applyFont="1" applyFill="1">
      <alignment horizontal="left" vertical="center"/>
    </xf>
    <xf numFmtId="0" fontId="42" fillId="26" borderId="0" xfId="0" applyFont="1" applyFill="1"/>
    <xf numFmtId="0" fontId="43" fillId="26" borderId="0" xfId="37" applyFont="1" applyFill="1">
      <alignment vertical="center"/>
    </xf>
    <xf numFmtId="0" fontId="44" fillId="26" borderId="0" xfId="32" applyFont="1" applyFill="1">
      <alignment horizontal="left" vertical="center"/>
    </xf>
    <xf numFmtId="0" fontId="45" fillId="26" borderId="0" xfId="36" applyFont="1" applyFill="1">
      <alignment horizontal="left" vertical="center"/>
    </xf>
    <xf numFmtId="0" fontId="68" fillId="26" borderId="0" xfId="35" applyFont="1" applyFill="1">
      <alignment horizontal="left" vertical="center"/>
    </xf>
    <xf numFmtId="0" fontId="46" fillId="26" borderId="0" xfId="3" applyFont="1" applyFill="1">
      <alignment horizontal="left" vertical="center"/>
    </xf>
    <xf numFmtId="0" fontId="37" fillId="26" borderId="0" xfId="35" applyFill="1" applyAlignment="1">
      <alignment horizontal="center" vertical="center"/>
    </xf>
    <xf numFmtId="173" fontId="49" fillId="26" borderId="0" xfId="44" applyFont="1" applyFill="1" applyBorder="1" applyAlignment="1">
      <alignment horizontal="center" vertical="center"/>
    </xf>
    <xf numFmtId="0" fontId="50" fillId="26" borderId="0" xfId="20" applyFont="1" applyFill="1">
      <alignment horizontal="left" vertical="center"/>
    </xf>
    <xf numFmtId="0" fontId="51" fillId="26" borderId="0" xfId="0" applyFont="1" applyFill="1"/>
    <xf numFmtId="0" fontId="52" fillId="26" borderId="0" xfId="37" applyFont="1" applyFill="1" applyAlignment="1">
      <alignment horizontal="right" vertical="center"/>
    </xf>
    <xf numFmtId="169" fontId="53" fillId="26" borderId="1" xfId="47" applyNumberFormat="1" applyFont="1" applyFill="1" applyBorder="1" applyAlignment="1">
      <alignment horizontal="center" vertical="center"/>
    </xf>
    <xf numFmtId="0" fontId="54" fillId="26" borderId="0" xfId="37" applyFont="1" applyFill="1">
      <alignment vertical="center"/>
    </xf>
    <xf numFmtId="0" fontId="55" fillId="26" borderId="0" xfId="32" applyFont="1" applyFill="1">
      <alignment horizontal="left" vertical="center"/>
    </xf>
    <xf numFmtId="0" fontId="53" fillId="26" borderId="0" xfId="36" applyFont="1" applyFill="1">
      <alignment horizontal="left" vertical="center"/>
    </xf>
    <xf numFmtId="0" fontId="56" fillId="26" borderId="0" xfId="3" applyFont="1" applyFill="1">
      <alignment horizontal="left" vertical="center"/>
    </xf>
    <xf numFmtId="171" fontId="28" fillId="26" borderId="0" xfId="40" applyFill="1" applyAlignment="1">
      <alignment horizontal="center" vertical="center"/>
    </xf>
    <xf numFmtId="171" fontId="28" fillId="26" borderId="23" xfId="40" applyFill="1" applyBorder="1" applyAlignment="1">
      <alignment horizontal="center" vertical="center"/>
    </xf>
    <xf numFmtId="171" fontId="36" fillId="26" borderId="0" xfId="40" applyFont="1" applyFill="1" applyAlignment="1">
      <alignment horizontal="center" vertical="center"/>
    </xf>
    <xf numFmtId="171" fontId="36" fillId="26" borderId="24" xfId="40" applyFont="1" applyFill="1" applyBorder="1" applyAlignment="1">
      <alignment horizontal="center" vertical="center"/>
    </xf>
    <xf numFmtId="0" fontId="29" fillId="0" borderId="0" xfId="36" applyFill="1" applyAlignment="1">
      <alignment horizontal="left" vertical="center" wrapText="1"/>
    </xf>
    <xf numFmtId="49" fontId="61" fillId="19" borderId="35" xfId="63" applyBorder="1" applyAlignment="1">
      <alignment horizontal="center" vertical="center" wrapText="1"/>
    </xf>
    <xf numFmtId="49" fontId="61" fillId="19" borderId="36" xfId="63" applyBorder="1" applyAlignment="1">
      <alignment horizontal="center" vertical="center" wrapText="1"/>
    </xf>
    <xf numFmtId="49" fontId="61" fillId="19" borderId="37" xfId="63" applyBorder="1" applyAlignment="1">
      <alignment horizontal="center" vertical="center" wrapText="1"/>
    </xf>
    <xf numFmtId="49" fontId="61" fillId="25" borderId="35" xfId="67" applyBorder="1" applyAlignment="1">
      <alignment horizontal="center" vertical="center" wrapText="1"/>
    </xf>
    <xf numFmtId="49" fontId="61" fillId="25" borderId="36" xfId="67" applyBorder="1" applyAlignment="1">
      <alignment horizontal="center" vertical="center" wrapText="1"/>
    </xf>
    <xf numFmtId="49" fontId="61" fillId="25" borderId="37" xfId="67" applyBorder="1" applyAlignment="1">
      <alignment horizontal="center" vertical="center" wrapText="1"/>
    </xf>
    <xf numFmtId="0" fontId="38" fillId="0" borderId="0" xfId="37" applyFont="1" applyAlignment="1">
      <alignment vertical="center" wrapText="1"/>
    </xf>
    <xf numFmtId="0" fontId="0" fillId="0" borderId="0" xfId="0" applyAlignment="1">
      <alignment wrapText="1"/>
    </xf>
  </cellXfs>
  <cellStyles count="68">
    <cellStyle name="Bad" xfId="22" builtinId="27" hidden="1"/>
    <cellStyle name="Calculation" xfId="26" builtinId="22" hidden="1"/>
    <cellStyle name="Check Cell" xfId="28" builtinId="23" hidden="1"/>
    <cellStyle name="Check RedRedGreen" xfId="44" xr:uid="{00000000-0005-0000-0000-000003000000}"/>
    <cellStyle name="Comma 2" xfId="61" xr:uid="{00000000-0005-0000-0000-000004000000}"/>
    <cellStyle name="Currency" xfId="1" builtinId="4" hidden="1" customBuiltin="1"/>
    <cellStyle name="Currency" xfId="40" xr:uid="{00000000-0005-0000-0000-000006000000}"/>
    <cellStyle name="Currency 2" xfId="59" xr:uid="{00000000-0005-0000-0000-000007000000}"/>
    <cellStyle name="Currency Assumptions" xfId="19" xr:uid="{00000000-0005-0000-0000-000008000000}"/>
    <cellStyle name="Currency Input" xfId="49" xr:uid="{00000000-0005-0000-0000-000009000000}"/>
    <cellStyle name="Date" xfId="11" xr:uid="{00000000-0005-0000-0000-00000A000000}"/>
    <cellStyle name="Date Assumptions" xfId="12" xr:uid="{00000000-0005-0000-0000-00000B000000}"/>
    <cellStyle name="Date Input" xfId="48" xr:uid="{00000000-0005-0000-0000-00000C000000}"/>
    <cellStyle name="dms_Blue_HDR" xfId="67" xr:uid="{EB6638D8-3BD5-417A-A9A3-0BECAC2B5C9D}"/>
    <cellStyle name="dms_Green_HDR" xfId="63" xr:uid="{06C1C9CE-B21A-4E83-B5AA-D2829FEBCABD}"/>
    <cellStyle name="dms_NUM_0dp" xfId="66" xr:uid="{C161EA52-B5DF-42B7-8B6D-D350071E04C5}"/>
    <cellStyle name="Dropdown" xfId="53" xr:uid="{00000000-0005-0000-0000-00000D000000}"/>
    <cellStyle name="Explanatory Text" xfId="31" builtinId="53" hidden="1"/>
    <cellStyle name="External Link" xfId="55" xr:uid="{00000000-0005-0000-0000-00000F000000}"/>
    <cellStyle name="Good" xfId="21" builtinId="26" hidden="1"/>
    <cellStyle name="Heading 1" xfId="3" builtinId="16" customBuiltin="1"/>
    <cellStyle name="Heading 2" xfId="4" builtinId="17" hidden="1" customBuiltin="1"/>
    <cellStyle name="Heading 2 Input" xfId="38" xr:uid="{00000000-0005-0000-0000-000013000000}"/>
    <cellStyle name="Heading 2 Output" xfId="39" xr:uid="{00000000-0005-0000-0000-000014000000}"/>
    <cellStyle name="Heading 3" xfId="5" builtinId="18" hidden="1" customBuiltin="1"/>
    <cellStyle name="Heading 3 Input" xfId="34" xr:uid="{00000000-0005-0000-0000-000016000000}"/>
    <cellStyle name="Heading 3 Output" xfId="35" xr:uid="{00000000-0005-0000-0000-000017000000}"/>
    <cellStyle name="Heading 4" xfId="6" builtinId="19" hidden="1" customBuiltin="1"/>
    <cellStyle name="Heading 4 Assumptions" xfId="8" xr:uid="{00000000-0005-0000-0000-000019000000}"/>
    <cellStyle name="Heading 4 Input" xfId="36" xr:uid="{00000000-0005-0000-0000-00001A000000}"/>
    <cellStyle name="Heading 4 Output" xfId="37" xr:uid="{00000000-0005-0000-0000-00001B000000}"/>
    <cellStyle name="Hyperlink" xfId="32" builtinId="8" customBuiltin="1"/>
    <cellStyle name="Input" xfId="24" builtinId="20" hidden="1"/>
    <cellStyle name="Line Item Modifier" xfId="41" xr:uid="{00000000-0005-0000-0000-00001E000000}"/>
    <cellStyle name="Linked Cell" xfId="27" builtinId="24" hidden="1"/>
    <cellStyle name="Multiple" xfId="17" xr:uid="{00000000-0005-0000-0000-000020000000}"/>
    <cellStyle name="Multiple Assumptions" xfId="18" xr:uid="{00000000-0005-0000-0000-000021000000}"/>
    <cellStyle name="Multiple Input" xfId="50" xr:uid="{00000000-0005-0000-0000-000022000000}"/>
    <cellStyle name="Neutral" xfId="23" builtinId="28" hidden="1"/>
    <cellStyle name="Normal" xfId="0" builtinId="0" customBuiltin="1"/>
    <cellStyle name="Normal 10" xfId="65" xr:uid="{C29ECEE8-856E-4BFB-A714-03E8BEB6C31C}"/>
    <cellStyle name="Normal 10 2" xfId="56" xr:uid="{00000000-0005-0000-0000-000025000000}"/>
    <cellStyle name="Normal 2" xfId="57" xr:uid="{00000000-0005-0000-0000-000026000000}"/>
    <cellStyle name="Normal 2 2 2" xfId="64" xr:uid="{8E0A616B-964A-4B26-9499-EDF984DE0A4A}"/>
    <cellStyle name="Normal 3" xfId="58" xr:uid="{00000000-0005-0000-0000-000027000000}"/>
    <cellStyle name="Not Applicable" xfId="54" xr:uid="{00000000-0005-0000-0000-000028000000}"/>
    <cellStyle name="Note" xfId="30" builtinId="10" hidden="1"/>
    <cellStyle name="Number" xfId="13" xr:uid="{00000000-0005-0000-0000-00002A000000}"/>
    <cellStyle name="Number Assumptions" xfId="14" xr:uid="{00000000-0005-0000-0000-00002B000000}"/>
    <cellStyle name="Number Input" xfId="47" xr:uid="{00000000-0005-0000-0000-00002C000000}"/>
    <cellStyle name="Output" xfId="25" builtinId="21" hidden="1"/>
    <cellStyle name="Percent 2" xfId="60" xr:uid="{00000000-0005-0000-0000-00002F000000}"/>
    <cellStyle name="Percentage" xfId="15" xr:uid="{00000000-0005-0000-0000-000030000000}"/>
    <cellStyle name="Percentage Assumptions" xfId="16" xr:uid="{00000000-0005-0000-0000-000031000000}"/>
    <cellStyle name="Percentage Input" xfId="51" xr:uid="{00000000-0005-0000-0000-000032000000}"/>
    <cellStyle name="RIN_TL3" xfId="62" xr:uid="{E579DB00-6AD6-4494-9C9C-2BFF543D8B84}"/>
    <cellStyle name="Sheet Title Input" xfId="20" xr:uid="{00000000-0005-0000-0000-000033000000}"/>
    <cellStyle name="Sheet Title Output" xfId="33" xr:uid="{00000000-0005-0000-0000-000034000000}"/>
    <cellStyle name="Table Header 1" xfId="42" xr:uid="{00000000-0005-0000-0000-000035000000}"/>
    <cellStyle name="Table Header 2" xfId="43" xr:uid="{00000000-0005-0000-0000-000036000000}"/>
    <cellStyle name="Title" xfId="2" builtinId="15" hidden="1"/>
    <cellStyle name="Total" xfId="7" builtinId="25" hidden="1"/>
    <cellStyle name="Trigger Assumption GreenRedGrey" xfId="45" xr:uid="{00000000-0005-0000-0000-000039000000}"/>
    <cellStyle name="Trigger GreenRedGrey" xfId="46" xr:uid="{00000000-0005-0000-0000-00003A000000}"/>
    <cellStyle name="Warning Text" xfId="29" builtinId="11" hidden="1"/>
    <cellStyle name="Year" xfId="9" xr:uid="{00000000-0005-0000-0000-00003C000000}"/>
    <cellStyle name="Year Assumptions" xfId="10" xr:uid="{00000000-0005-0000-0000-00003D000000}"/>
    <cellStyle name="Year Input" xfId="52" xr:uid="{00000000-0005-0000-0000-00003E000000}"/>
  </cellStyles>
  <dxfs count="32">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val="0"/>
        <i val="0"/>
        <color rgb="FF00B050"/>
      </font>
    </dxf>
    <dxf>
      <font>
        <b val="0"/>
        <i val="0"/>
        <color rgb="FF00B050"/>
      </font>
    </dxf>
  </dxfs>
  <tableStyles count="0" defaultTableStyle="TableStyleMedium2" defaultPivotStyle="PivotStyleLight16"/>
  <colors>
    <mruColors>
      <color rgb="FF4F81BD"/>
      <color rgb="FF9BBB59"/>
      <color rgb="FFC0504D"/>
      <color rgb="FFF79646"/>
      <color rgb="FF8064A2"/>
      <color rgb="FF4BACC6"/>
      <color rgb="FF000000"/>
      <color rgb="FFFF0066"/>
      <color rgb="FF139C00"/>
      <color rgb="FF4262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38"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5</xdr:row>
      <xdr:rowOff>76200</xdr:rowOff>
    </xdr:from>
    <xdr:to>
      <xdr:col>5</xdr:col>
      <xdr:colOff>371750</xdr:colOff>
      <xdr:row>8</xdr:row>
      <xdr:rowOff>104839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66775" y="895350"/>
          <a:ext cx="1971950" cy="45726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WC12.1%20-%20SCS%20Post-tax%20Revenue%20Model%20-%2016%20Mar%2018%20-%20Public.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WC12.5%20-%20ACS%20Metering%20Opex%20Model%20-%2016%20Mar%2018%20-%20Publi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WC12.4%20-%20SCS%20Opex%20Model%20-%2016%20Mar%2018%20-%20Public.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WC12.10%20-%20Rate%20of%20Return%20Model%20-%2031%20Jan%2018%20-%20Publi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Business &amp; other details"/>
      <sheetName val="Intro"/>
      <sheetName val="DMS input"/>
      <sheetName val="Depn|Inputs"/>
      <sheetName val="Depn|Calc"/>
      <sheetName val="Depn|Comparison"/>
      <sheetName val="Depn|Existing Assets"/>
      <sheetName val="DMIA"/>
      <sheetName val="PTRM input"/>
      <sheetName val="WACC"/>
      <sheetName val="Assets"/>
      <sheetName val="Analysis"/>
      <sheetName val="Forecast revenues"/>
      <sheetName val="X factors"/>
      <sheetName val="Revenue summary"/>
      <sheetName val="Equity raising costs"/>
      <sheetName val="Chart 1-Revenue"/>
      <sheetName val="Chart 2-Price path"/>
      <sheetName val="Chart 3-Building blocks"/>
    </sheetNames>
    <sheetDataSet>
      <sheetData sheetId="0"/>
      <sheetData sheetId="1"/>
      <sheetData sheetId="2"/>
      <sheetData sheetId="3"/>
      <sheetData sheetId="4"/>
      <sheetData sheetId="5"/>
      <sheetData sheetId="6"/>
      <sheetData sheetId="7"/>
      <sheetData sheetId="8"/>
      <sheetData sheetId="9"/>
      <sheetData sheetId="10">
        <row r="22">
          <cell r="G22">
            <v>6.9618930436275178E-2</v>
          </cell>
        </row>
        <row r="23">
          <cell r="G23">
            <v>4.4296059929362697E-2</v>
          </cell>
        </row>
      </sheetData>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nput|General"/>
      <sheetName val="Input|Inflation"/>
      <sheetName val="Input|Reported opex"/>
      <sheetName val="Input|Rate of change"/>
      <sheetName val="Input|Step changes"/>
      <sheetName val="Calc|Opex forecast"/>
      <sheetName val="Output|Models"/>
      <sheetName val="Lookup|Tables"/>
      <sheetName val="Check|List"/>
    </sheetNames>
    <sheetDataSet>
      <sheetData sheetId="0"/>
      <sheetData sheetId="1"/>
      <sheetData sheetId="2"/>
      <sheetData sheetId="3"/>
      <sheetData sheetId="4">
        <row r="49">
          <cell r="P49">
            <v>0.59699999999999998</v>
          </cell>
          <cell r="Q49">
            <v>0.59699999999999998</v>
          </cell>
          <cell r="R49">
            <v>0.59699999999999998</v>
          </cell>
          <cell r="S49">
            <v>0.59699999999999998</v>
          </cell>
          <cell r="T49">
            <v>0.59699999999999998</v>
          </cell>
        </row>
      </sheetData>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nput|General"/>
      <sheetName val="Input|Inflation"/>
      <sheetName val="Input|Reported opex"/>
      <sheetName val="Input|Rate of change"/>
      <sheetName val="Input|Step changes"/>
      <sheetName val="Calc|Opex forecast"/>
      <sheetName val="Output|Models"/>
      <sheetName val="Lookup|Tables"/>
      <sheetName val="Check|List"/>
    </sheetNames>
    <sheetDataSet>
      <sheetData sheetId="0"/>
      <sheetData sheetId="1"/>
      <sheetData sheetId="2">
        <row r="34">
          <cell r="E34">
            <v>102.8</v>
          </cell>
        </row>
        <row r="38">
          <cell r="E38">
            <v>105.9</v>
          </cell>
        </row>
        <row r="42">
          <cell r="E42">
            <v>107.5</v>
          </cell>
        </row>
        <row r="46">
          <cell r="E46">
            <v>108.6</v>
          </cell>
        </row>
        <row r="50">
          <cell r="E50">
            <v>110.7</v>
          </cell>
        </row>
      </sheetData>
      <sheetData sheetId="3"/>
      <sheetData sheetId="4">
        <row r="38">
          <cell r="P38">
            <v>9.0000000000000011E-3</v>
          </cell>
          <cell r="Q38">
            <v>9.9999999999999985E-3</v>
          </cell>
          <cell r="R38">
            <v>1.2E-2</v>
          </cell>
          <cell r="S38">
            <v>1.3000000000000001E-2</v>
          </cell>
          <cell r="T38">
            <v>1.0999999999999999E-2</v>
          </cell>
        </row>
      </sheetData>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OC"/>
      <sheetName val="Input_Data"/>
      <sheetName val="Calc_Returns"/>
      <sheetName val="Output_PTRM"/>
      <sheetName val="Lookup"/>
      <sheetName val="Checks"/>
    </sheetNames>
    <sheetDataSet>
      <sheetData sheetId="0"/>
      <sheetData sheetId="1"/>
      <sheetData sheetId="2">
        <row r="18">
          <cell r="J18">
            <v>1.5108593012275628E-2</v>
          </cell>
        </row>
        <row r="19">
          <cell r="M19">
            <v>0.02</v>
          </cell>
          <cell r="N19">
            <v>2.2499999999999999E-2</v>
          </cell>
        </row>
      </sheetData>
      <sheetData sheetId="3">
        <row r="110">
          <cell r="J110">
            <v>4.6481759804943998E-2</v>
          </cell>
        </row>
      </sheetData>
      <sheetData sheetId="4">
        <row r="18">
          <cell r="O18">
            <v>2.4248746575396662E-2</v>
          </cell>
        </row>
      </sheetData>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X33"/>
  <sheetViews>
    <sheetView showGridLines="0" tabSelected="1" zoomScaleNormal="100" workbookViewId="0"/>
  </sheetViews>
  <sheetFormatPr defaultColWidth="9.33203125" defaultRowHeight="10.199999999999999" x14ac:dyDescent="0.35"/>
  <cols>
    <col min="1" max="1" width="9.33203125" style="9"/>
    <col min="2" max="3" width="5.796875" style="9" customWidth="1"/>
    <col min="4" max="4" width="12.796875" style="9" customWidth="1"/>
    <col min="5" max="5" width="9.33203125" style="9"/>
    <col min="6" max="13" width="10.796875" style="9" customWidth="1"/>
    <col min="14" max="16384" width="9.33203125" style="9"/>
  </cols>
  <sheetData>
    <row r="1" spans="2:15" ht="11.25" customHeight="1" x14ac:dyDescent="0.35"/>
    <row r="2" spans="2:15" ht="11.25" customHeight="1" x14ac:dyDescent="0.35"/>
    <row r="3" spans="2:15" s="7" customFormat="1" ht="18.899999999999999" x14ac:dyDescent="0.35">
      <c r="B3" s="5" t="s">
        <v>178</v>
      </c>
    </row>
    <row r="4" spans="2:15" ht="11.25" customHeight="1" x14ac:dyDescent="0.35"/>
    <row r="5" spans="2:15" ht="11.25" customHeight="1" x14ac:dyDescent="0.35">
      <c r="N5" s="74"/>
      <c r="O5" s="74"/>
    </row>
    <row r="6" spans="2:15" ht="11.25" customHeight="1" x14ac:dyDescent="0.35">
      <c r="C6" s="54"/>
      <c r="D6" s="54"/>
      <c r="E6" s="54"/>
      <c r="F6" s="54"/>
      <c r="G6" s="54"/>
      <c r="N6" s="74"/>
      <c r="O6" s="74"/>
    </row>
    <row r="7" spans="2:15" ht="11.25" customHeight="1" x14ac:dyDescent="0.35">
      <c r="C7" s="54"/>
      <c r="D7" s="54"/>
      <c r="E7" s="54"/>
      <c r="F7" s="54"/>
      <c r="G7" s="54"/>
      <c r="N7" s="74"/>
      <c r="O7" s="74"/>
    </row>
    <row r="8" spans="2:15" ht="11.25" customHeight="1" x14ac:dyDescent="0.35">
      <c r="C8" s="54"/>
      <c r="D8" s="54"/>
      <c r="E8" s="54"/>
      <c r="F8" s="54"/>
      <c r="G8" s="54"/>
    </row>
    <row r="9" spans="2:15" x14ac:dyDescent="0.35">
      <c r="C9" s="54"/>
      <c r="D9" s="54"/>
      <c r="E9" s="54"/>
      <c r="F9" s="54"/>
      <c r="G9" s="54"/>
    </row>
    <row r="11" spans="2:15" ht="12.3" x14ac:dyDescent="0.35">
      <c r="C11" s="45" t="s">
        <v>27</v>
      </c>
      <c r="F11" s="106" t="s">
        <v>323</v>
      </c>
    </row>
    <row r="13" spans="2:15" ht="12.3" x14ac:dyDescent="0.35">
      <c r="C13" s="14" t="s">
        <v>28</v>
      </c>
    </row>
    <row r="14" spans="2:15" ht="12.3" x14ac:dyDescent="0.35">
      <c r="C14" s="16" t="s">
        <v>201</v>
      </c>
    </row>
    <row r="16" spans="2:15" ht="12.3" x14ac:dyDescent="0.35">
      <c r="C16" s="14" t="s">
        <v>35</v>
      </c>
    </row>
    <row r="18" spans="3:13" x14ac:dyDescent="0.35">
      <c r="C18" s="30"/>
      <c r="D18" s="31"/>
      <c r="E18" s="31"/>
      <c r="F18" s="31"/>
      <c r="G18" s="31"/>
      <c r="H18" s="31"/>
      <c r="I18" s="31"/>
      <c r="J18" s="31"/>
      <c r="K18" s="31"/>
      <c r="L18" s="31"/>
      <c r="M18" s="32"/>
    </row>
    <row r="19" spans="3:13" ht="12.3" x14ac:dyDescent="0.35">
      <c r="C19" s="33"/>
      <c r="D19" s="44" t="s">
        <v>14</v>
      </c>
      <c r="E19" s="34"/>
      <c r="F19" s="36" t="s">
        <v>24</v>
      </c>
      <c r="G19" s="34"/>
      <c r="H19" s="34"/>
      <c r="I19" s="34"/>
      <c r="J19" s="34"/>
      <c r="K19" s="34"/>
      <c r="L19" s="34"/>
      <c r="M19" s="35"/>
    </row>
    <row r="20" spans="3:13" ht="12.3" x14ac:dyDescent="0.35">
      <c r="C20" s="33"/>
      <c r="D20" s="52" t="s">
        <v>42</v>
      </c>
      <c r="E20" s="34"/>
      <c r="F20" s="36" t="s">
        <v>37</v>
      </c>
      <c r="G20" s="34"/>
      <c r="H20" s="34"/>
      <c r="I20" s="34"/>
      <c r="J20" s="34"/>
      <c r="K20" s="34"/>
      <c r="L20" s="34"/>
      <c r="M20" s="35"/>
    </row>
    <row r="21" spans="3:13" ht="12.3" x14ac:dyDescent="0.35">
      <c r="C21" s="33"/>
      <c r="D21" s="37" t="s">
        <v>19</v>
      </c>
      <c r="E21" s="34"/>
      <c r="F21" s="36" t="s">
        <v>21</v>
      </c>
      <c r="G21" s="34"/>
      <c r="H21" s="34"/>
      <c r="I21" s="34"/>
      <c r="J21" s="34"/>
      <c r="K21" s="34"/>
      <c r="L21" s="34"/>
      <c r="M21" s="35"/>
    </row>
    <row r="22" spans="3:13" ht="12.3" x14ac:dyDescent="0.35">
      <c r="C22" s="33"/>
      <c r="D22" s="38" t="s">
        <v>20</v>
      </c>
      <c r="E22" s="34"/>
      <c r="F22" s="36" t="s">
        <v>22</v>
      </c>
      <c r="G22" s="34"/>
      <c r="H22" s="34"/>
      <c r="I22" s="34"/>
      <c r="J22" s="34"/>
      <c r="K22" s="34"/>
      <c r="L22" s="34"/>
      <c r="M22" s="35"/>
    </row>
    <row r="23" spans="3:13" ht="12.3" x14ac:dyDescent="0.35">
      <c r="C23" s="33"/>
      <c r="D23" s="39" t="s">
        <v>5</v>
      </c>
      <c r="E23" s="34"/>
      <c r="F23" s="36" t="s">
        <v>25</v>
      </c>
      <c r="G23" s="34"/>
      <c r="H23" s="34"/>
      <c r="I23" s="34"/>
      <c r="J23" s="34"/>
      <c r="K23" s="34"/>
      <c r="L23" s="34"/>
      <c r="M23" s="35"/>
    </row>
    <row r="24" spans="3:13" ht="12.3" x14ac:dyDescent="0.35">
      <c r="C24" s="33"/>
      <c r="D24" s="40" t="s">
        <v>23</v>
      </c>
      <c r="E24" s="34"/>
      <c r="F24" s="36" t="s">
        <v>26</v>
      </c>
      <c r="G24" s="34"/>
      <c r="H24" s="34"/>
      <c r="I24" s="34"/>
      <c r="J24" s="34"/>
      <c r="K24" s="34"/>
      <c r="L24" s="34"/>
      <c r="M24" s="35"/>
    </row>
    <row r="25" spans="3:13" ht="12.3" x14ac:dyDescent="0.35">
      <c r="C25" s="33"/>
      <c r="D25" s="51"/>
      <c r="E25" s="34"/>
      <c r="F25" s="36" t="s">
        <v>36</v>
      </c>
      <c r="G25" s="34"/>
      <c r="H25" s="34"/>
      <c r="I25" s="34"/>
      <c r="J25" s="34"/>
      <c r="K25" s="34"/>
      <c r="L25" s="34"/>
      <c r="M25" s="35"/>
    </row>
    <row r="26" spans="3:13" ht="12.3" x14ac:dyDescent="0.35">
      <c r="C26" s="33"/>
      <c r="D26" s="50" t="s">
        <v>43</v>
      </c>
      <c r="E26" s="34"/>
      <c r="F26" s="36" t="s">
        <v>38</v>
      </c>
      <c r="G26" s="34"/>
      <c r="H26" s="34"/>
      <c r="I26" s="34"/>
      <c r="J26" s="34"/>
      <c r="K26" s="34"/>
      <c r="L26" s="34"/>
      <c r="M26" s="35"/>
    </row>
    <row r="27" spans="3:13" ht="12.3" x14ac:dyDescent="0.4">
      <c r="C27" s="33"/>
      <c r="D27" s="47" t="s">
        <v>7</v>
      </c>
      <c r="E27" s="34"/>
      <c r="F27" s="36" t="s">
        <v>39</v>
      </c>
      <c r="G27" s="34"/>
      <c r="H27" s="34"/>
      <c r="I27" s="34"/>
      <c r="J27" s="34"/>
      <c r="K27" s="34"/>
      <c r="L27" s="34"/>
      <c r="M27" s="35"/>
    </row>
    <row r="28" spans="3:13" ht="12.3" x14ac:dyDescent="0.4">
      <c r="C28" s="33"/>
      <c r="D28" s="47" t="s">
        <v>6</v>
      </c>
      <c r="E28" s="34"/>
      <c r="F28" s="36" t="s">
        <v>40</v>
      </c>
      <c r="G28" s="34"/>
      <c r="H28" s="34"/>
      <c r="I28" s="34"/>
      <c r="J28" s="34"/>
      <c r="K28" s="34"/>
      <c r="L28" s="34"/>
      <c r="M28" s="35"/>
    </row>
    <row r="29" spans="3:13" ht="12.3" x14ac:dyDescent="0.35">
      <c r="C29" s="33"/>
      <c r="D29" s="53"/>
      <c r="E29" s="34"/>
      <c r="F29" s="36" t="s">
        <v>41</v>
      </c>
      <c r="G29" s="34"/>
      <c r="H29" s="34"/>
      <c r="I29" s="34"/>
      <c r="J29" s="34"/>
      <c r="K29" s="34"/>
      <c r="L29" s="34"/>
      <c r="M29" s="35"/>
    </row>
    <row r="30" spans="3:13" x14ac:dyDescent="0.35">
      <c r="C30" s="41"/>
      <c r="D30" s="42"/>
      <c r="E30" s="42"/>
      <c r="F30" s="42"/>
      <c r="G30" s="42"/>
      <c r="H30" s="42"/>
      <c r="I30" s="42"/>
      <c r="J30" s="42"/>
      <c r="K30" s="42"/>
      <c r="L30" s="42"/>
      <c r="M30" s="43"/>
    </row>
    <row r="32" spans="3:13" ht="12.3" x14ac:dyDescent="0.35">
      <c r="C32" s="14" t="s">
        <v>95</v>
      </c>
      <c r="D32" s="48"/>
    </row>
    <row r="33" spans="3:24" ht="81" customHeight="1" x14ac:dyDescent="0.35">
      <c r="C33" s="262" t="s">
        <v>202</v>
      </c>
      <c r="D33" s="262"/>
      <c r="E33" s="262"/>
      <c r="F33" s="262"/>
      <c r="G33" s="262"/>
      <c r="H33" s="262"/>
      <c r="I33" s="262"/>
      <c r="J33" s="262"/>
      <c r="K33" s="262"/>
      <c r="L33" s="262"/>
      <c r="M33" s="262"/>
      <c r="N33" s="262"/>
      <c r="O33" s="262"/>
      <c r="P33" s="262"/>
      <c r="Q33" s="262"/>
      <c r="R33" s="262"/>
      <c r="S33" s="262"/>
      <c r="T33" s="262"/>
      <c r="U33" s="262"/>
      <c r="V33" s="262"/>
      <c r="W33" s="262"/>
      <c r="X33" s="262"/>
    </row>
  </sheetData>
  <mergeCells count="1">
    <mergeCell ref="C33:X33"/>
  </mergeCells>
  <conditionalFormatting sqref="D28">
    <cfRule type="cellIs" dxfId="31" priority="2" operator="equal">
      <formula>"Ok"</formula>
    </cfRule>
  </conditionalFormatting>
  <conditionalFormatting sqref="D27">
    <cfRule type="cellIs" dxfId="30" priority="1" operator="equal">
      <formula>"Ok"</formula>
    </cfRule>
  </conditionalFormatting>
  <pageMargins left="0.7" right="0.7" top="0.75" bottom="0.75" header="0.3" footer="0.3"/>
  <pageSetup paperSize="9" scale="77"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44EC1-D70D-4200-A9D7-80CE6F6771E8}">
  <sheetPr>
    <tabColor theme="4" tint="0.59999389629810485"/>
  </sheetPr>
  <dimension ref="A1:R156"/>
  <sheetViews>
    <sheetView showGridLines="0" zoomScaleNormal="100" workbookViewId="0">
      <pane xSplit="1" ySplit="4" topLeftCell="B5" activePane="bottomRight" state="frozen"/>
      <selection activeCell="N11" sqref="F4:U25"/>
      <selection pane="topRight" activeCell="N11" sqref="F4:U25"/>
      <selection pane="bottomLeft" activeCell="N11" sqref="F4:U25"/>
      <selection pane="bottomRight" activeCell="B5" sqref="B5"/>
    </sheetView>
  </sheetViews>
  <sheetFormatPr defaultColWidth="9.33203125" defaultRowHeight="10.199999999999999" outlineLevelRow="1" x14ac:dyDescent="0.35"/>
  <cols>
    <col min="1" max="3" width="2.796875" style="83" customWidth="1"/>
    <col min="4" max="4" width="43.33203125" style="83" customWidth="1"/>
    <col min="5" max="5" width="50.1328125" style="83" bestFit="1" customWidth="1"/>
    <col min="6" max="10" width="12.59765625" style="83" customWidth="1"/>
    <col min="11" max="14" width="17" style="83" bestFit="1" customWidth="1"/>
    <col min="15" max="16" width="12.59765625" style="83" customWidth="1"/>
    <col min="17" max="17" width="20.9296875" style="83" bestFit="1" customWidth="1"/>
    <col min="18" max="16384" width="9.33203125" style="83"/>
  </cols>
  <sheetData>
    <row r="1" spans="1:14" ht="18.899999999999999" x14ac:dyDescent="0.35">
      <c r="A1" s="65">
        <f>IF(SUM($A21:$A156)&gt;0,1,0)</f>
        <v>0</v>
      </c>
      <c r="B1" s="82" t="s">
        <v>252</v>
      </c>
    </row>
    <row r="2" spans="1:14" x14ac:dyDescent="0.35">
      <c r="B2" s="84" t="str">
        <f>Title_Msg</f>
        <v>No Errors Found</v>
      </c>
    </row>
    <row r="3" spans="1:14" ht="12.3" x14ac:dyDescent="0.35">
      <c r="B3" s="85" t="s">
        <v>50</v>
      </c>
      <c r="C3" s="85"/>
      <c r="D3" s="85"/>
      <c r="E3" s="86"/>
    </row>
    <row r="4" spans="1:14" ht="12.3" x14ac:dyDescent="0.35">
      <c r="B4" s="87" t="str">
        <f>Model_Name</f>
        <v>Cost Benefit Analysis - Advanced Metering within the regulated NT electricity networks</v>
      </c>
      <c r="E4" s="59"/>
      <c r="F4" s="59"/>
      <c r="G4" s="59"/>
      <c r="H4" s="59"/>
      <c r="J4" s="59"/>
      <c r="K4" s="59"/>
    </row>
    <row r="6" spans="1:14" s="88" customFormat="1" ht="15" x14ac:dyDescent="0.35">
      <c r="B6" s="88" t="str">
        <f>B1</f>
        <v>Input - Metering RINs</v>
      </c>
    </row>
    <row r="7" spans="1:14" s="89" customFormat="1" ht="4.5" customHeight="1" x14ac:dyDescent="0.35"/>
    <row r="8" spans="1:14" s="90" customFormat="1" ht="14.1" x14ac:dyDescent="0.35">
      <c r="C8" s="90" t="s">
        <v>253</v>
      </c>
    </row>
    <row r="9" spans="1:14" ht="10.5" thickBot="1" x14ac:dyDescent="0.4"/>
    <row r="10" spans="1:14" ht="18.600000000000001" thickBot="1" x14ac:dyDescent="0.4">
      <c r="D10" s="156" t="s">
        <v>254</v>
      </c>
      <c r="E10" s="157"/>
      <c r="F10" s="158"/>
      <c r="G10" s="158"/>
      <c r="H10" s="158"/>
      <c r="I10" s="158"/>
      <c r="J10" s="158"/>
      <c r="K10" s="158"/>
      <c r="L10" s="158"/>
      <c r="M10" s="158"/>
      <c r="N10" s="158"/>
    </row>
    <row r="11" spans="1:14" ht="14.7" thickBot="1" x14ac:dyDescent="0.4">
      <c r="D11" s="159"/>
      <c r="E11" s="160"/>
      <c r="F11" s="263" t="s">
        <v>255</v>
      </c>
      <c r="G11" s="264"/>
      <c r="H11" s="264"/>
      <c r="I11" s="264"/>
      <c r="J11" s="264"/>
      <c r="K11" s="264"/>
      <c r="L11" s="264"/>
      <c r="M11" s="264"/>
      <c r="N11" s="265"/>
    </row>
    <row r="12" spans="1:14" ht="14.7" thickBot="1" x14ac:dyDescent="0.45">
      <c r="D12" s="161" t="s">
        <v>256</v>
      </c>
      <c r="E12" s="162" t="s">
        <v>257</v>
      </c>
      <c r="F12" s="163" t="s">
        <v>258</v>
      </c>
      <c r="G12" s="164" t="s">
        <v>259</v>
      </c>
      <c r="H12" s="164" t="s">
        <v>260</v>
      </c>
      <c r="I12" s="164" t="s">
        <v>261</v>
      </c>
      <c r="J12" s="164" t="s">
        <v>262</v>
      </c>
      <c r="K12" s="164" t="s">
        <v>263</v>
      </c>
      <c r="L12" s="164" t="s">
        <v>264</v>
      </c>
      <c r="M12" s="165" t="s">
        <v>265</v>
      </c>
      <c r="N12" s="166" t="s">
        <v>266</v>
      </c>
    </row>
    <row r="13" spans="1:14" ht="13.8" x14ac:dyDescent="0.45">
      <c r="D13" s="167" t="s">
        <v>267</v>
      </c>
      <c r="E13" s="168" t="s">
        <v>268</v>
      </c>
      <c r="F13" s="169"/>
      <c r="G13" s="170"/>
      <c r="H13" s="170"/>
      <c r="I13" s="170"/>
      <c r="J13" s="170"/>
      <c r="K13" s="171" t="s">
        <v>322</v>
      </c>
      <c r="L13" s="171" t="s">
        <v>322</v>
      </c>
      <c r="M13" s="172" t="s">
        <v>322</v>
      </c>
      <c r="N13" s="173" t="s">
        <v>322</v>
      </c>
    </row>
    <row r="14" spans="1:14" ht="13.8" x14ac:dyDescent="0.45">
      <c r="D14" s="174"/>
      <c r="E14" s="175" t="s">
        <v>269</v>
      </c>
      <c r="F14" s="176"/>
      <c r="G14" s="177"/>
      <c r="H14" s="177"/>
      <c r="I14" s="177"/>
      <c r="J14" s="177"/>
      <c r="K14" s="178" t="s">
        <v>322</v>
      </c>
      <c r="L14" s="178" t="s">
        <v>322</v>
      </c>
      <c r="M14" s="179" t="s">
        <v>322</v>
      </c>
      <c r="N14" s="180" t="s">
        <v>322</v>
      </c>
    </row>
    <row r="15" spans="1:14" ht="27.6" x14ac:dyDescent="0.45">
      <c r="D15" s="174"/>
      <c r="E15" s="175" t="s">
        <v>270</v>
      </c>
      <c r="F15" s="176"/>
      <c r="G15" s="177"/>
      <c r="H15" s="177"/>
      <c r="I15" s="177"/>
      <c r="J15" s="177"/>
      <c r="K15" s="178" t="s">
        <v>322</v>
      </c>
      <c r="L15" s="178" t="s">
        <v>322</v>
      </c>
      <c r="M15" s="179" t="s">
        <v>322</v>
      </c>
      <c r="N15" s="180" t="s">
        <v>322</v>
      </c>
    </row>
    <row r="16" spans="1:14" ht="14.1" thickBot="1" x14ac:dyDescent="0.5">
      <c r="D16" s="181"/>
      <c r="E16" s="182" t="s">
        <v>271</v>
      </c>
      <c r="F16" s="176"/>
      <c r="G16" s="177"/>
      <c r="H16" s="177"/>
      <c r="I16" s="177"/>
      <c r="J16" s="177"/>
      <c r="K16" s="178" t="s">
        <v>322</v>
      </c>
      <c r="L16" s="178" t="s">
        <v>322</v>
      </c>
      <c r="M16" s="179" t="s">
        <v>322</v>
      </c>
      <c r="N16" s="180" t="s">
        <v>322</v>
      </c>
    </row>
    <row r="17" spans="4:14" ht="13.8" x14ac:dyDescent="0.45">
      <c r="D17" s="167" t="s">
        <v>272</v>
      </c>
      <c r="E17" s="168" t="s">
        <v>268</v>
      </c>
      <c r="F17" s="176"/>
      <c r="G17" s="177"/>
      <c r="H17" s="177"/>
      <c r="I17" s="177"/>
      <c r="J17" s="177"/>
      <c r="K17" s="183" t="s">
        <v>322</v>
      </c>
      <c r="L17" s="183" t="s">
        <v>322</v>
      </c>
      <c r="M17" s="184" t="s">
        <v>322</v>
      </c>
      <c r="N17" s="185" t="s">
        <v>322</v>
      </c>
    </row>
    <row r="18" spans="4:14" ht="13.8" x14ac:dyDescent="0.45">
      <c r="D18" s="174"/>
      <c r="E18" s="175" t="s">
        <v>269</v>
      </c>
      <c r="F18" s="176"/>
      <c r="G18" s="177"/>
      <c r="H18" s="177"/>
      <c r="I18" s="177"/>
      <c r="J18" s="177"/>
      <c r="K18" s="183">
        <v>8</v>
      </c>
      <c r="L18" s="183">
        <v>9</v>
      </c>
      <c r="M18" s="184">
        <v>10</v>
      </c>
      <c r="N18" s="185">
        <v>11</v>
      </c>
    </row>
    <row r="19" spans="4:14" ht="27.6" x14ac:dyDescent="0.45">
      <c r="D19" s="174"/>
      <c r="E19" s="175" t="s">
        <v>270</v>
      </c>
      <c r="F19" s="176"/>
      <c r="G19" s="177"/>
      <c r="H19" s="177"/>
      <c r="I19" s="177"/>
      <c r="J19" s="177"/>
      <c r="K19" s="183">
        <v>8</v>
      </c>
      <c r="L19" s="183">
        <v>9</v>
      </c>
      <c r="M19" s="184">
        <v>10</v>
      </c>
      <c r="N19" s="185">
        <v>11</v>
      </c>
    </row>
    <row r="20" spans="4:14" ht="14.1" thickBot="1" x14ac:dyDescent="0.5">
      <c r="D20" s="181"/>
      <c r="E20" s="182" t="s">
        <v>271</v>
      </c>
      <c r="F20" s="176"/>
      <c r="G20" s="177"/>
      <c r="H20" s="177"/>
      <c r="I20" s="177"/>
      <c r="J20" s="177"/>
      <c r="K20" s="183" t="s">
        <v>322</v>
      </c>
      <c r="L20" s="183" t="s">
        <v>322</v>
      </c>
      <c r="M20" s="184" t="s">
        <v>322</v>
      </c>
      <c r="N20" s="185" t="s">
        <v>322</v>
      </c>
    </row>
    <row r="21" spans="4:14" ht="13.8" x14ac:dyDescent="0.45">
      <c r="D21" s="167" t="s">
        <v>273</v>
      </c>
      <c r="E21" s="168" t="s">
        <v>268</v>
      </c>
      <c r="F21" s="176"/>
      <c r="G21" s="177"/>
      <c r="H21" s="177"/>
      <c r="I21" s="177"/>
      <c r="J21" s="177"/>
      <c r="K21" s="178" t="s">
        <v>322</v>
      </c>
      <c r="L21" s="178" t="s">
        <v>322</v>
      </c>
      <c r="M21" s="179" t="s">
        <v>322</v>
      </c>
      <c r="N21" s="180" t="s">
        <v>322</v>
      </c>
    </row>
    <row r="22" spans="4:14" ht="13.8" x14ac:dyDescent="0.45">
      <c r="D22" s="186"/>
      <c r="E22" s="175" t="s">
        <v>269</v>
      </c>
      <c r="F22" s="176"/>
      <c r="G22" s="177"/>
      <c r="H22" s="177"/>
      <c r="I22" s="177"/>
      <c r="J22" s="177"/>
      <c r="K22" s="178">
        <v>241</v>
      </c>
      <c r="L22" s="178">
        <v>243</v>
      </c>
      <c r="M22" s="179">
        <v>246</v>
      </c>
      <c r="N22" s="180">
        <v>248</v>
      </c>
    </row>
    <row r="23" spans="4:14" ht="27.6" x14ac:dyDescent="0.45">
      <c r="D23" s="186"/>
      <c r="E23" s="175" t="s">
        <v>270</v>
      </c>
      <c r="F23" s="176"/>
      <c r="G23" s="177"/>
      <c r="H23" s="177"/>
      <c r="I23" s="177"/>
      <c r="J23" s="177"/>
      <c r="K23" s="178">
        <v>241</v>
      </c>
      <c r="L23" s="178">
        <v>243</v>
      </c>
      <c r="M23" s="179">
        <v>246</v>
      </c>
      <c r="N23" s="180">
        <v>248</v>
      </c>
    </row>
    <row r="24" spans="4:14" ht="14.1" thickBot="1" x14ac:dyDescent="0.5">
      <c r="D24" s="187"/>
      <c r="E24" s="182" t="s">
        <v>271</v>
      </c>
      <c r="F24" s="188"/>
      <c r="G24" s="189"/>
      <c r="H24" s="189"/>
      <c r="I24" s="189"/>
      <c r="J24" s="189"/>
      <c r="K24" s="190" t="s">
        <v>322</v>
      </c>
      <c r="L24" s="190" t="s">
        <v>322</v>
      </c>
      <c r="M24" s="191" t="s">
        <v>322</v>
      </c>
      <c r="N24" s="192" t="s">
        <v>322</v>
      </c>
    </row>
    <row r="25" spans="4:14" ht="13.8" x14ac:dyDescent="0.45">
      <c r="D25" s="167" t="s">
        <v>274</v>
      </c>
      <c r="E25" s="168" t="s">
        <v>268</v>
      </c>
      <c r="F25" s="169"/>
      <c r="G25" s="170"/>
      <c r="H25" s="170"/>
      <c r="I25" s="170"/>
      <c r="J25" s="170"/>
      <c r="K25" s="171">
        <v>801</v>
      </c>
      <c r="L25" s="171">
        <v>801</v>
      </c>
      <c r="M25" s="172">
        <v>1301</v>
      </c>
      <c r="N25" s="173">
        <v>1801</v>
      </c>
    </row>
    <row r="26" spans="4:14" ht="13.8" x14ac:dyDescent="0.45">
      <c r="D26" s="174"/>
      <c r="E26" s="175" t="s">
        <v>269</v>
      </c>
      <c r="F26" s="176"/>
      <c r="G26" s="177"/>
      <c r="H26" s="177"/>
      <c r="I26" s="177"/>
      <c r="J26" s="177"/>
      <c r="K26" s="178">
        <v>747</v>
      </c>
      <c r="L26" s="178">
        <v>948</v>
      </c>
      <c r="M26" s="179">
        <v>1125</v>
      </c>
      <c r="N26" s="180">
        <v>2007</v>
      </c>
    </row>
    <row r="27" spans="4:14" ht="27.6" x14ac:dyDescent="0.45">
      <c r="D27" s="174"/>
      <c r="E27" s="175" t="s">
        <v>270</v>
      </c>
      <c r="F27" s="176"/>
      <c r="G27" s="177"/>
      <c r="H27" s="177"/>
      <c r="I27" s="177"/>
      <c r="J27" s="177"/>
      <c r="K27" s="178">
        <v>1520</v>
      </c>
      <c r="L27" s="178">
        <v>1578</v>
      </c>
      <c r="M27" s="179">
        <v>1595</v>
      </c>
      <c r="N27" s="180">
        <v>1719</v>
      </c>
    </row>
    <row r="28" spans="4:14" ht="14.1" thickBot="1" x14ac:dyDescent="0.5">
      <c r="D28" s="181"/>
      <c r="E28" s="182" t="s">
        <v>271</v>
      </c>
      <c r="F28" s="176"/>
      <c r="G28" s="177"/>
      <c r="H28" s="177"/>
      <c r="I28" s="177"/>
      <c r="J28" s="177"/>
      <c r="K28" s="178">
        <v>28</v>
      </c>
      <c r="L28" s="178">
        <v>171</v>
      </c>
      <c r="M28" s="179">
        <v>831</v>
      </c>
      <c r="N28" s="180">
        <v>2089</v>
      </c>
    </row>
    <row r="29" spans="4:14" ht="13.8" x14ac:dyDescent="0.45">
      <c r="D29" s="167" t="s">
        <v>275</v>
      </c>
      <c r="E29" s="168" t="s">
        <v>268</v>
      </c>
      <c r="F29" s="176"/>
      <c r="G29" s="177"/>
      <c r="H29" s="177"/>
      <c r="I29" s="177"/>
      <c r="J29" s="177"/>
      <c r="K29" s="183" t="s">
        <v>322</v>
      </c>
      <c r="L29" s="183" t="s">
        <v>322</v>
      </c>
      <c r="M29" s="184" t="s">
        <v>322</v>
      </c>
      <c r="N29" s="185" t="s">
        <v>322</v>
      </c>
    </row>
    <row r="30" spans="4:14" ht="13.8" x14ac:dyDescent="0.45">
      <c r="D30" s="174"/>
      <c r="E30" s="175" t="s">
        <v>269</v>
      </c>
      <c r="F30" s="176"/>
      <c r="G30" s="177"/>
      <c r="H30" s="177"/>
      <c r="I30" s="177"/>
      <c r="J30" s="177"/>
      <c r="K30" s="183" t="s">
        <v>322</v>
      </c>
      <c r="L30" s="183" t="s">
        <v>322</v>
      </c>
      <c r="M30" s="184" t="s">
        <v>322</v>
      </c>
      <c r="N30" s="185" t="s">
        <v>322</v>
      </c>
    </row>
    <row r="31" spans="4:14" ht="27.6" x14ac:dyDescent="0.45">
      <c r="D31" s="174"/>
      <c r="E31" s="175" t="s">
        <v>270</v>
      </c>
      <c r="F31" s="176"/>
      <c r="G31" s="177"/>
      <c r="H31" s="177"/>
      <c r="I31" s="177"/>
      <c r="J31" s="177"/>
      <c r="K31" s="183" t="s">
        <v>322</v>
      </c>
      <c r="L31" s="183" t="s">
        <v>322</v>
      </c>
      <c r="M31" s="184" t="s">
        <v>322</v>
      </c>
      <c r="N31" s="185" t="s">
        <v>322</v>
      </c>
    </row>
    <row r="32" spans="4:14" ht="14.1" thickBot="1" x14ac:dyDescent="0.5">
      <c r="D32" s="181"/>
      <c r="E32" s="182" t="s">
        <v>271</v>
      </c>
      <c r="F32" s="176"/>
      <c r="G32" s="177"/>
      <c r="H32" s="177"/>
      <c r="I32" s="177"/>
      <c r="J32" s="177"/>
      <c r="K32" s="183" t="s">
        <v>322</v>
      </c>
      <c r="L32" s="183" t="s">
        <v>322</v>
      </c>
      <c r="M32" s="184" t="s">
        <v>322</v>
      </c>
      <c r="N32" s="185" t="s">
        <v>322</v>
      </c>
    </row>
    <row r="33" spans="4:18" ht="13.8" x14ac:dyDescent="0.45">
      <c r="D33" s="167" t="s">
        <v>276</v>
      </c>
      <c r="E33" s="168" t="s">
        <v>268</v>
      </c>
      <c r="F33" s="176"/>
      <c r="G33" s="177"/>
      <c r="H33" s="177"/>
      <c r="I33" s="177"/>
      <c r="J33" s="177"/>
      <c r="K33" s="178">
        <v>91690</v>
      </c>
      <c r="L33" s="178">
        <v>93674</v>
      </c>
      <c r="M33" s="179">
        <v>94995</v>
      </c>
      <c r="N33" s="180">
        <v>95968</v>
      </c>
    </row>
    <row r="34" spans="4:18" ht="13.8" x14ac:dyDescent="0.45">
      <c r="D34" s="186"/>
      <c r="E34" s="175" t="s">
        <v>269</v>
      </c>
      <c r="F34" s="176"/>
      <c r="G34" s="177"/>
      <c r="H34" s="177"/>
      <c r="I34" s="177"/>
      <c r="J34" s="177"/>
      <c r="K34" s="178">
        <v>6474</v>
      </c>
      <c r="L34" s="178">
        <v>6614</v>
      </c>
      <c r="M34" s="179">
        <v>6707</v>
      </c>
      <c r="N34" s="180">
        <v>6776</v>
      </c>
    </row>
    <row r="35" spans="4:18" ht="27.6" x14ac:dyDescent="0.45">
      <c r="D35" s="186"/>
      <c r="E35" s="175" t="s">
        <v>270</v>
      </c>
      <c r="F35" s="176"/>
      <c r="G35" s="177"/>
      <c r="H35" s="177"/>
      <c r="I35" s="177"/>
      <c r="J35" s="177"/>
      <c r="K35" s="178">
        <v>971</v>
      </c>
      <c r="L35" s="178">
        <v>992</v>
      </c>
      <c r="M35" s="179">
        <v>1006</v>
      </c>
      <c r="N35" s="180">
        <v>1016</v>
      </c>
    </row>
    <row r="36" spans="4:18" ht="14.1" thickBot="1" x14ac:dyDescent="0.5">
      <c r="D36" s="187"/>
      <c r="E36" s="182" t="s">
        <v>271</v>
      </c>
      <c r="F36" s="188"/>
      <c r="G36" s="189"/>
      <c r="H36" s="189"/>
      <c r="I36" s="189"/>
      <c r="J36" s="189"/>
      <c r="K36" s="190">
        <v>97194</v>
      </c>
      <c r="L36" s="190">
        <v>99297</v>
      </c>
      <c r="M36" s="191">
        <v>100697</v>
      </c>
      <c r="N36" s="192">
        <v>101728</v>
      </c>
    </row>
    <row r="37" spans="4:18" ht="12.3" x14ac:dyDescent="0.4">
      <c r="D37" s="193"/>
      <c r="E37" s="9"/>
      <c r="F37" s="9"/>
      <c r="G37" s="9"/>
      <c r="H37" s="9"/>
      <c r="I37" s="9"/>
      <c r="J37" s="9"/>
      <c r="K37" s="9"/>
      <c r="L37" s="9"/>
      <c r="M37" s="9"/>
      <c r="N37" s="9"/>
    </row>
    <row r="38" spans="4:18" ht="12.6" thickBot="1" x14ac:dyDescent="0.45">
      <c r="D38" s="193"/>
      <c r="E38" s="193"/>
      <c r="F38" s="9"/>
      <c r="G38" s="9"/>
      <c r="H38" s="9"/>
      <c r="I38" s="9"/>
      <c r="J38" s="9"/>
      <c r="K38" s="9"/>
      <c r="L38" s="9"/>
      <c r="M38" s="9"/>
      <c r="N38" s="9"/>
    </row>
    <row r="39" spans="4:18" ht="18.600000000000001" thickBot="1" x14ac:dyDescent="0.4">
      <c r="D39" s="156" t="s">
        <v>277</v>
      </c>
      <c r="E39" s="157"/>
      <c r="F39" s="157"/>
      <c r="G39" s="157"/>
      <c r="H39" s="157"/>
      <c r="I39" s="157"/>
      <c r="J39" s="157"/>
      <c r="K39" s="157"/>
      <c r="L39" s="157"/>
      <c r="M39" s="157"/>
      <c r="N39" s="157"/>
    </row>
    <row r="40" spans="4:18" ht="18.600000000000001" thickBot="1" x14ac:dyDescent="0.4">
      <c r="D40" s="194" t="s">
        <v>278</v>
      </c>
      <c r="E40" s="195"/>
      <c r="F40" s="195"/>
      <c r="G40" s="195"/>
      <c r="H40" s="195"/>
      <c r="I40" s="195"/>
      <c r="J40" s="195"/>
      <c r="K40" s="195"/>
      <c r="L40" s="195"/>
      <c r="M40" s="195"/>
      <c r="N40" s="196"/>
    </row>
    <row r="41" spans="4:18" ht="14.85" customHeight="1" thickBot="1" x14ac:dyDescent="0.55000000000000004">
      <c r="D41" s="197"/>
      <c r="E41" s="198"/>
      <c r="F41" s="266" t="s">
        <v>279</v>
      </c>
      <c r="G41" s="267"/>
      <c r="H41" s="267"/>
      <c r="I41" s="267"/>
      <c r="J41" s="267"/>
      <c r="K41" s="267"/>
      <c r="L41" s="267"/>
      <c r="M41" s="267"/>
      <c r="N41" s="268"/>
    </row>
    <row r="42" spans="4:18" ht="43.5" thickBot="1" x14ac:dyDescent="0.45">
      <c r="D42" s="161" t="s">
        <v>280</v>
      </c>
      <c r="E42" s="162" t="s">
        <v>281</v>
      </c>
      <c r="F42" s="199" t="s">
        <v>258</v>
      </c>
      <c r="G42" s="200" t="s">
        <v>259</v>
      </c>
      <c r="H42" s="200" t="s">
        <v>260</v>
      </c>
      <c r="I42" s="200" t="s">
        <v>261</v>
      </c>
      <c r="J42" s="200" t="s">
        <v>262</v>
      </c>
      <c r="K42" s="200" t="s">
        <v>263</v>
      </c>
      <c r="L42" s="200" t="s">
        <v>264</v>
      </c>
      <c r="M42" s="201" t="s">
        <v>265</v>
      </c>
      <c r="N42" s="202" t="s">
        <v>266</v>
      </c>
      <c r="P42" s="236" t="s">
        <v>299</v>
      </c>
      <c r="Q42" s="236" t="s">
        <v>302</v>
      </c>
      <c r="R42" s="236" t="s">
        <v>303</v>
      </c>
    </row>
    <row r="43" spans="4:18" ht="13.8" x14ac:dyDescent="0.45">
      <c r="D43" s="203" t="s">
        <v>282</v>
      </c>
      <c r="E43" s="204" t="s">
        <v>267</v>
      </c>
      <c r="F43" s="169"/>
      <c r="G43" s="170"/>
      <c r="H43" s="170"/>
      <c r="I43" s="170"/>
      <c r="J43" s="170"/>
      <c r="K43" s="171">
        <v>0</v>
      </c>
      <c r="L43" s="171">
        <v>0</v>
      </c>
      <c r="M43" s="172">
        <v>0</v>
      </c>
      <c r="N43" s="173">
        <v>0</v>
      </c>
      <c r="P43" s="52" t="s">
        <v>234</v>
      </c>
      <c r="Q43" s="138">
        <f>SUM(K43:N43)</f>
        <v>0</v>
      </c>
      <c r="R43" s="105">
        <f>IF(OR(P43&lt;&gt;Lookup!$D$132,SUMIF($P$43:$P$100,Lookup!$D$132,$Q$43:$Q$100)=0),0,
Q43/SUMIF($P$43:$P$100,Lookup!$D$132,$Q$43:$Q$100))</f>
        <v>0</v>
      </c>
    </row>
    <row r="44" spans="4:18" ht="13.8" x14ac:dyDescent="0.45">
      <c r="D44" s="205"/>
      <c r="E44" s="206" t="s">
        <v>272</v>
      </c>
      <c r="F44" s="169"/>
      <c r="G44" s="170"/>
      <c r="H44" s="170"/>
      <c r="I44" s="170"/>
      <c r="J44" s="170"/>
      <c r="K44" s="171">
        <v>0</v>
      </c>
      <c r="L44" s="171">
        <v>2352.09</v>
      </c>
      <c r="M44" s="172">
        <v>390.09</v>
      </c>
      <c r="N44" s="173">
        <v>390.09</v>
      </c>
      <c r="P44" s="52" t="s">
        <v>234</v>
      </c>
      <c r="Q44" s="138">
        <f t="shared" ref="Q44:Q100" si="0">SUM(K44:N44)</f>
        <v>3132.2700000000004</v>
      </c>
      <c r="R44" s="105">
        <f>IF(OR(P44&lt;&gt;Lookup!$D$132,SUMIF($P$43:$P$100,Lookup!$D$132,$Q$43:$Q$100)=0),0,
Q44/SUMIF($P$43:$P$100,Lookup!$D$132,$Q$43:$Q$100))</f>
        <v>0</v>
      </c>
    </row>
    <row r="45" spans="4:18" ht="13.8" x14ac:dyDescent="0.45">
      <c r="D45" s="205"/>
      <c r="E45" s="206" t="s">
        <v>273</v>
      </c>
      <c r="F45" s="169"/>
      <c r="G45" s="170"/>
      <c r="H45" s="170"/>
      <c r="I45" s="170"/>
      <c r="J45" s="170"/>
      <c r="K45" s="171">
        <v>1500</v>
      </c>
      <c r="L45" s="171">
        <v>6300</v>
      </c>
      <c r="M45" s="172">
        <v>2558.1799999999998</v>
      </c>
      <c r="N45" s="173">
        <v>600</v>
      </c>
      <c r="P45" s="52" t="s">
        <v>234</v>
      </c>
      <c r="Q45" s="138">
        <f t="shared" si="0"/>
        <v>10958.18</v>
      </c>
      <c r="R45" s="105">
        <f>IF(OR(P45&lt;&gt;Lookup!$D$132,SUMIF($P$43:$P$100,Lookup!$D$132,$Q$43:$Q$100)=0),0,
Q45/SUMIF($P$43:$P$100,Lookup!$D$132,$Q$43:$Q$100))</f>
        <v>0</v>
      </c>
    </row>
    <row r="46" spans="4:18" ht="13.8" x14ac:dyDescent="0.45">
      <c r="D46" s="205"/>
      <c r="E46" s="206" t="s">
        <v>274</v>
      </c>
      <c r="F46" s="169"/>
      <c r="G46" s="170"/>
      <c r="H46" s="170"/>
      <c r="I46" s="170"/>
      <c r="J46" s="170"/>
      <c r="K46" s="171">
        <v>4614.54</v>
      </c>
      <c r="L46" s="171">
        <v>48509.950000000004</v>
      </c>
      <c r="M46" s="172">
        <v>84651.29</v>
      </c>
      <c r="N46" s="173">
        <v>153801.12137808878</v>
      </c>
      <c r="P46" s="52" t="s">
        <v>234</v>
      </c>
      <c r="Q46" s="138">
        <f t="shared" si="0"/>
        <v>291576.90137808875</v>
      </c>
      <c r="R46" s="105">
        <f>IF(OR(P46&lt;&gt;Lookup!$D$132,SUMIF($P$43:$P$100,Lookup!$D$132,$Q$43:$Q$100)=0),0,
Q46/SUMIF($P$43:$P$100,Lookup!$D$132,$Q$43:$Q$100))</f>
        <v>0</v>
      </c>
    </row>
    <row r="47" spans="4:18" ht="13.8" x14ac:dyDescent="0.45">
      <c r="D47" s="205"/>
      <c r="E47" s="207" t="s">
        <v>275</v>
      </c>
      <c r="F47" s="176"/>
      <c r="G47" s="177"/>
      <c r="H47" s="177"/>
      <c r="I47" s="177"/>
      <c r="J47" s="177"/>
      <c r="K47" s="178">
        <v>0</v>
      </c>
      <c r="L47" s="178">
        <v>0</v>
      </c>
      <c r="M47" s="179">
        <v>0</v>
      </c>
      <c r="N47" s="180">
        <v>0</v>
      </c>
      <c r="P47" s="52" t="s">
        <v>234</v>
      </c>
      <c r="Q47" s="138">
        <f t="shared" si="0"/>
        <v>0</v>
      </c>
      <c r="R47" s="105">
        <f>IF(OR(P47&lt;&gt;Lookup!$D$132,SUMIF($P$43:$P$100,Lookup!$D$132,$Q$43:$Q$100)=0),0,
Q47/SUMIF($P$43:$P$100,Lookup!$D$132,$Q$43:$Q$100))</f>
        <v>0</v>
      </c>
    </row>
    <row r="48" spans="4:18" ht="14.1" thickBot="1" x14ac:dyDescent="0.5">
      <c r="D48" s="208"/>
      <c r="E48" s="209" t="s">
        <v>276</v>
      </c>
      <c r="F48" s="176"/>
      <c r="G48" s="177"/>
      <c r="H48" s="177"/>
      <c r="I48" s="177"/>
      <c r="J48" s="177"/>
      <c r="K48" s="178">
        <v>346126.49</v>
      </c>
      <c r="L48" s="178">
        <v>615229.94999999995</v>
      </c>
      <c r="M48" s="179">
        <v>392447.44999999995</v>
      </c>
      <c r="N48" s="180">
        <v>889059.22</v>
      </c>
      <c r="P48" s="52" t="s">
        <v>234</v>
      </c>
      <c r="Q48" s="138">
        <f t="shared" si="0"/>
        <v>2242863.11</v>
      </c>
      <c r="R48" s="105">
        <f>IF(OR(P48&lt;&gt;Lookup!$D$132,SUMIF($P$43:$P$100,Lookup!$D$132,$Q$43:$Q$100)=0),0,
Q48/SUMIF($P$43:$P$100,Lookup!$D$132,$Q$43:$Q$100))</f>
        <v>0</v>
      </c>
    </row>
    <row r="49" spans="4:18" ht="13.8" outlineLevel="1" x14ac:dyDescent="0.45">
      <c r="D49" s="203" t="s">
        <v>283</v>
      </c>
      <c r="E49" s="204" t="s">
        <v>267</v>
      </c>
      <c r="F49" s="176"/>
      <c r="G49" s="177"/>
      <c r="H49" s="177"/>
      <c r="I49" s="177"/>
      <c r="J49" s="177"/>
      <c r="K49" s="183">
        <v>0</v>
      </c>
      <c r="L49" s="183">
        <v>0</v>
      </c>
      <c r="M49" s="184">
        <v>0</v>
      </c>
      <c r="N49" s="185">
        <v>0</v>
      </c>
      <c r="P49" s="52" t="s">
        <v>233</v>
      </c>
      <c r="Q49" s="138">
        <f t="shared" si="0"/>
        <v>0</v>
      </c>
      <c r="R49" s="105">
        <f>IF(OR(P49&lt;&gt;Lookup!$D$132,SUMIF($P$43:$P$100,Lookup!$D$132,$Q$43:$Q$100)=0),0,
Q49/SUMIF($P$43:$P$100,Lookup!$D$132,$Q$43:$Q$100))</f>
        <v>0</v>
      </c>
    </row>
    <row r="50" spans="4:18" ht="13.8" outlineLevel="1" x14ac:dyDescent="0.45">
      <c r="D50" s="205"/>
      <c r="E50" s="206" t="s">
        <v>272</v>
      </c>
      <c r="F50" s="176"/>
      <c r="G50" s="177"/>
      <c r="H50" s="177"/>
      <c r="I50" s="177"/>
      <c r="J50" s="177"/>
      <c r="K50" s="183">
        <v>0</v>
      </c>
      <c r="L50" s="183">
        <v>0</v>
      </c>
      <c r="M50" s="184">
        <v>0</v>
      </c>
      <c r="N50" s="185">
        <v>346.875</v>
      </c>
      <c r="P50" s="52" t="s">
        <v>233</v>
      </c>
      <c r="Q50" s="138">
        <f t="shared" si="0"/>
        <v>346.875</v>
      </c>
      <c r="R50" s="105">
        <f>IF(OR(P50&lt;&gt;Lookup!$D$132,SUMIF($P$43:$P$100,Lookup!$D$132,$Q$43:$Q$100)=0),0,
Q50/SUMIF($P$43:$P$100,Lookup!$D$132,$Q$43:$Q$100))</f>
        <v>5.4099764816365586E-5</v>
      </c>
    </row>
    <row r="51" spans="4:18" ht="13.8" outlineLevel="1" x14ac:dyDescent="0.45">
      <c r="D51" s="205"/>
      <c r="E51" s="206" t="s">
        <v>273</v>
      </c>
      <c r="F51" s="176"/>
      <c r="G51" s="177"/>
      <c r="H51" s="177"/>
      <c r="I51" s="177"/>
      <c r="J51" s="177"/>
      <c r="K51" s="183">
        <v>0</v>
      </c>
      <c r="L51" s="183">
        <v>0</v>
      </c>
      <c r="M51" s="184">
        <v>282.546875</v>
      </c>
      <c r="N51" s="185">
        <v>17000.34375</v>
      </c>
      <c r="P51" s="52" t="s">
        <v>233</v>
      </c>
      <c r="Q51" s="138">
        <f t="shared" si="0"/>
        <v>17282.890625</v>
      </c>
      <c r="R51" s="105">
        <f>IF(OR(P51&lt;&gt;Lookup!$D$132,SUMIF($P$43:$P$100,Lookup!$D$132,$Q$43:$Q$100)=0),0,
Q51/SUMIF($P$43:$P$100,Lookup!$D$132,$Q$43:$Q$100))</f>
        <v>2.6954964127119843E-3</v>
      </c>
    </row>
    <row r="52" spans="4:18" ht="13.8" outlineLevel="1" x14ac:dyDescent="0.45">
      <c r="D52" s="205"/>
      <c r="E52" s="206" t="s">
        <v>274</v>
      </c>
      <c r="F52" s="176"/>
      <c r="G52" s="177"/>
      <c r="H52" s="177"/>
      <c r="I52" s="177"/>
      <c r="J52" s="177"/>
      <c r="K52" s="183">
        <v>0</v>
      </c>
      <c r="L52" s="183">
        <v>0</v>
      </c>
      <c r="M52" s="184">
        <v>907.27083333333326</v>
      </c>
      <c r="N52" s="185">
        <v>22588.5</v>
      </c>
      <c r="P52" s="52" t="s">
        <v>233</v>
      </c>
      <c r="Q52" s="138">
        <f t="shared" si="0"/>
        <v>23495.770833333332</v>
      </c>
      <c r="R52" s="105">
        <f>IF(OR(P52&lt;&gt;Lookup!$D$132,SUMIF($P$43:$P$100,Lookup!$D$132,$Q$43:$Q$100)=0),0,
Q52/SUMIF($P$43:$P$100,Lookup!$D$132,$Q$43:$Q$100))</f>
        <v>3.6644776252614209E-3</v>
      </c>
    </row>
    <row r="53" spans="4:18" ht="13.8" outlineLevel="1" x14ac:dyDescent="0.45">
      <c r="D53" s="205"/>
      <c r="E53" s="207" t="s">
        <v>275</v>
      </c>
      <c r="F53" s="176"/>
      <c r="G53" s="177"/>
      <c r="H53" s="177"/>
      <c r="I53" s="177"/>
      <c r="J53" s="177"/>
      <c r="K53" s="183">
        <v>0</v>
      </c>
      <c r="L53" s="183">
        <v>0</v>
      </c>
      <c r="M53" s="184">
        <v>0</v>
      </c>
      <c r="N53" s="185">
        <v>0</v>
      </c>
      <c r="P53" s="52" t="s">
        <v>233</v>
      </c>
      <c r="Q53" s="138">
        <f t="shared" si="0"/>
        <v>0</v>
      </c>
      <c r="R53" s="105">
        <f>IF(OR(P53&lt;&gt;Lookup!$D$132,SUMIF($P$43:$P$100,Lookup!$D$132,$Q$43:$Q$100)=0),0,
Q53/SUMIF($P$43:$P$100,Lookup!$D$132,$Q$43:$Q$100))</f>
        <v>0</v>
      </c>
    </row>
    <row r="54" spans="4:18" ht="14.1" outlineLevel="1" thickBot="1" x14ac:dyDescent="0.5">
      <c r="D54" s="208"/>
      <c r="E54" s="209" t="s">
        <v>276</v>
      </c>
      <c r="F54" s="176"/>
      <c r="G54" s="177"/>
      <c r="H54" s="177"/>
      <c r="I54" s="177"/>
      <c r="J54" s="177"/>
      <c r="K54" s="183">
        <v>0</v>
      </c>
      <c r="L54" s="183">
        <v>0</v>
      </c>
      <c r="M54" s="184">
        <v>859.34375</v>
      </c>
      <c r="N54" s="185">
        <v>20860.368750000001</v>
      </c>
      <c r="P54" s="52" t="s">
        <v>233</v>
      </c>
      <c r="Q54" s="138">
        <f t="shared" si="0"/>
        <v>21719.712500000001</v>
      </c>
      <c r="R54" s="105">
        <f>IF(OR(P54&lt;&gt;Lookup!$D$132,SUMIF($P$43:$P$100,Lookup!$D$132,$Q$43:$Q$100)=0),0,
Q54/SUMIF($P$43:$P$100,Lookup!$D$132,$Q$43:$Q$100))</f>
        <v>3.387477731543282E-3</v>
      </c>
    </row>
    <row r="55" spans="4:18" ht="13.8" outlineLevel="1" x14ac:dyDescent="0.45">
      <c r="D55" s="203" t="s">
        <v>284</v>
      </c>
      <c r="E55" s="204" t="s">
        <v>267</v>
      </c>
      <c r="F55" s="176"/>
      <c r="G55" s="177"/>
      <c r="H55" s="177"/>
      <c r="I55" s="177"/>
      <c r="J55" s="177"/>
      <c r="K55" s="178">
        <v>0</v>
      </c>
      <c r="L55" s="178">
        <v>0</v>
      </c>
      <c r="M55" s="179">
        <v>0</v>
      </c>
      <c r="N55" s="180">
        <v>0</v>
      </c>
      <c r="P55" s="52" t="s">
        <v>233</v>
      </c>
      <c r="Q55" s="138">
        <f t="shared" si="0"/>
        <v>0</v>
      </c>
      <c r="R55" s="105">
        <f>IF(OR(P55&lt;&gt;Lookup!$D$132,SUMIF($P$43:$P$100,Lookup!$D$132,$Q$43:$Q$100)=0),0,
Q55/SUMIF($P$43:$P$100,Lookup!$D$132,$Q$43:$Q$100))</f>
        <v>0</v>
      </c>
    </row>
    <row r="56" spans="4:18" ht="13.8" outlineLevel="1" x14ac:dyDescent="0.45">
      <c r="D56" s="205"/>
      <c r="E56" s="206" t="s">
        <v>272</v>
      </c>
      <c r="F56" s="176"/>
      <c r="G56" s="177"/>
      <c r="H56" s="177"/>
      <c r="I56" s="177"/>
      <c r="J56" s="177"/>
      <c r="K56" s="178">
        <v>0</v>
      </c>
      <c r="L56" s="178">
        <v>0</v>
      </c>
      <c r="M56" s="179">
        <v>0</v>
      </c>
      <c r="N56" s="180">
        <v>0</v>
      </c>
      <c r="P56" s="52" t="s">
        <v>233</v>
      </c>
      <c r="Q56" s="138">
        <f t="shared" si="0"/>
        <v>0</v>
      </c>
      <c r="R56" s="105">
        <f>IF(OR(P56&lt;&gt;Lookup!$D$132,SUMIF($P$43:$P$100,Lookup!$D$132,$Q$43:$Q$100)=0),0,
Q56/SUMIF($P$43:$P$100,Lookup!$D$132,$Q$43:$Q$100))</f>
        <v>0</v>
      </c>
    </row>
    <row r="57" spans="4:18" ht="13.8" outlineLevel="1" x14ac:dyDescent="0.45">
      <c r="D57" s="205"/>
      <c r="E57" s="206" t="s">
        <v>273</v>
      </c>
      <c r="F57" s="176"/>
      <c r="G57" s="177"/>
      <c r="H57" s="177"/>
      <c r="I57" s="177"/>
      <c r="J57" s="177"/>
      <c r="K57" s="178">
        <v>1597.0730763911299</v>
      </c>
      <c r="L57" s="178">
        <v>1597.0730763911299</v>
      </c>
      <c r="M57" s="179">
        <v>1597.0730763911299</v>
      </c>
      <c r="N57" s="180">
        <v>1597.0730763911299</v>
      </c>
      <c r="P57" s="52" t="s">
        <v>233</v>
      </c>
      <c r="Q57" s="138">
        <f t="shared" si="0"/>
        <v>6388.2923055645197</v>
      </c>
      <c r="R57" s="105">
        <f>IF(OR(P57&lt;&gt;Lookup!$D$132,SUMIF($P$43:$P$100,Lookup!$D$132,$Q$43:$Q$100)=0),0,
Q57/SUMIF($P$43:$P$100,Lookup!$D$132,$Q$43:$Q$100))</f>
        <v>9.9633905963023689E-4</v>
      </c>
    </row>
    <row r="58" spans="4:18" ht="13.8" outlineLevel="1" x14ac:dyDescent="0.45">
      <c r="D58" s="205"/>
      <c r="E58" s="206" t="s">
        <v>274</v>
      </c>
      <c r="F58" s="176"/>
      <c r="G58" s="177"/>
      <c r="H58" s="177"/>
      <c r="I58" s="177"/>
      <c r="J58" s="177"/>
      <c r="K58" s="178">
        <v>24576.136281407038</v>
      </c>
      <c r="L58" s="178">
        <v>24576.136281407038</v>
      </c>
      <c r="M58" s="179">
        <v>24576.136281407038</v>
      </c>
      <c r="N58" s="180">
        <v>24576.136281407038</v>
      </c>
      <c r="P58" s="52" t="s">
        <v>233</v>
      </c>
      <c r="Q58" s="138">
        <f t="shared" si="0"/>
        <v>98304.545125628152</v>
      </c>
      <c r="R58" s="105">
        <f>IF(OR(P58&lt;&gt;Lookup!$D$132,SUMIF($P$43:$P$100,Lookup!$D$132,$Q$43:$Q$100)=0),0,
Q58/SUMIF($P$43:$P$100,Lookup!$D$132,$Q$43:$Q$100))</f>
        <v>1.5331899882309999E-2</v>
      </c>
    </row>
    <row r="59" spans="4:18" ht="13.8" outlineLevel="1" x14ac:dyDescent="0.45">
      <c r="D59" s="205"/>
      <c r="E59" s="207" t="s">
        <v>275</v>
      </c>
      <c r="F59" s="176"/>
      <c r="G59" s="177"/>
      <c r="H59" s="177"/>
      <c r="I59" s="177"/>
      <c r="J59" s="177"/>
      <c r="K59" s="178">
        <v>0</v>
      </c>
      <c r="L59" s="178">
        <v>0</v>
      </c>
      <c r="M59" s="179">
        <v>0</v>
      </c>
      <c r="N59" s="180">
        <v>0</v>
      </c>
      <c r="P59" s="52" t="s">
        <v>233</v>
      </c>
      <c r="Q59" s="138">
        <f t="shared" si="0"/>
        <v>0</v>
      </c>
      <c r="R59" s="105">
        <f>IF(OR(P59&lt;&gt;Lookup!$D$132,SUMIF($P$43:$P$100,Lookup!$D$132,$Q$43:$Q$100)=0),0,
Q59/SUMIF($P$43:$P$100,Lookup!$D$132,$Q$43:$Q$100))</f>
        <v>0</v>
      </c>
    </row>
    <row r="60" spans="4:18" ht="14.1" outlineLevel="1" thickBot="1" x14ac:dyDescent="0.5">
      <c r="D60" s="208"/>
      <c r="E60" s="209" t="s">
        <v>276</v>
      </c>
      <c r="F60" s="176"/>
      <c r="G60" s="177"/>
      <c r="H60" s="177"/>
      <c r="I60" s="177"/>
      <c r="J60" s="177"/>
      <c r="K60" s="178">
        <v>269988.68944762315</v>
      </c>
      <c r="L60" s="178">
        <v>269988.68944762315</v>
      </c>
      <c r="M60" s="179">
        <v>269988.68944762315</v>
      </c>
      <c r="N60" s="180">
        <v>269988.68944762315</v>
      </c>
      <c r="P60" s="52" t="s">
        <v>233</v>
      </c>
      <c r="Q60" s="138">
        <f t="shared" si="0"/>
        <v>1079954.7577904926</v>
      </c>
      <c r="R60" s="105">
        <f>IF(OR(P60&lt;&gt;Lookup!$D$132,SUMIF($P$43:$P$100,Lookup!$D$132,$Q$43:$Q$100)=0),0,
Q60/SUMIF($P$43:$P$100,Lookup!$D$132,$Q$43:$Q$100))</f>
        <v>0.16843329270999843</v>
      </c>
    </row>
    <row r="61" spans="4:18" ht="13.8" outlineLevel="1" x14ac:dyDescent="0.45">
      <c r="D61" s="210" t="s">
        <v>285</v>
      </c>
      <c r="E61" s="204" t="s">
        <v>267</v>
      </c>
      <c r="F61" s="176"/>
      <c r="G61" s="177"/>
      <c r="H61" s="177"/>
      <c r="I61" s="177"/>
      <c r="J61" s="177"/>
      <c r="K61" s="183">
        <v>0</v>
      </c>
      <c r="L61" s="183">
        <v>0</v>
      </c>
      <c r="M61" s="184">
        <v>0</v>
      </c>
      <c r="N61" s="185">
        <v>0</v>
      </c>
      <c r="P61" s="52" t="s">
        <v>179</v>
      </c>
      <c r="Q61" s="138">
        <f t="shared" si="0"/>
        <v>0</v>
      </c>
      <c r="R61" s="105">
        <f>IF(OR(P61&lt;&gt;Lookup!$D$132,SUMIF($P$43:$P$100,Lookup!$D$132,$Q$43:$Q$100)=0),0,
Q61/SUMIF($P$43:$P$100,Lookup!$D$132,$Q$43:$Q$100))</f>
        <v>0</v>
      </c>
    </row>
    <row r="62" spans="4:18" ht="13.8" outlineLevel="1" x14ac:dyDescent="0.45">
      <c r="D62" s="211"/>
      <c r="E62" s="206" t="s">
        <v>272</v>
      </c>
      <c r="F62" s="176"/>
      <c r="G62" s="177"/>
      <c r="H62" s="177"/>
      <c r="I62" s="177"/>
      <c r="J62" s="177"/>
      <c r="K62" s="183">
        <v>0</v>
      </c>
      <c r="L62" s="183">
        <v>0</v>
      </c>
      <c r="M62" s="184">
        <v>0</v>
      </c>
      <c r="N62" s="185">
        <v>0</v>
      </c>
      <c r="P62" s="52" t="s">
        <v>179</v>
      </c>
      <c r="Q62" s="138">
        <f t="shared" si="0"/>
        <v>0</v>
      </c>
      <c r="R62" s="105">
        <f>IF(OR(P62&lt;&gt;Lookup!$D$132,SUMIF($P$43:$P$100,Lookup!$D$132,$Q$43:$Q$100)=0),0,
Q62/SUMIF($P$43:$P$100,Lookup!$D$132,$Q$43:$Q$100))</f>
        <v>0</v>
      </c>
    </row>
    <row r="63" spans="4:18" ht="13.8" outlineLevel="1" x14ac:dyDescent="0.45">
      <c r="D63" s="211"/>
      <c r="E63" s="206" t="s">
        <v>273</v>
      </c>
      <c r="F63" s="176"/>
      <c r="G63" s="177"/>
      <c r="H63" s="177"/>
      <c r="I63" s="177"/>
      <c r="J63" s="177"/>
      <c r="K63" s="183">
        <v>0</v>
      </c>
      <c r="L63" s="183">
        <v>0</v>
      </c>
      <c r="M63" s="184">
        <v>0</v>
      </c>
      <c r="N63" s="185">
        <v>0</v>
      </c>
      <c r="P63" s="52" t="s">
        <v>179</v>
      </c>
      <c r="Q63" s="138">
        <f t="shared" si="0"/>
        <v>0</v>
      </c>
      <c r="R63" s="105">
        <f>IF(OR(P63&lt;&gt;Lookup!$D$132,SUMIF($P$43:$P$100,Lookup!$D$132,$Q$43:$Q$100)=0),0,
Q63/SUMIF($P$43:$P$100,Lookup!$D$132,$Q$43:$Q$100))</f>
        <v>0</v>
      </c>
    </row>
    <row r="64" spans="4:18" ht="13.8" outlineLevel="1" x14ac:dyDescent="0.45">
      <c r="D64" s="211"/>
      <c r="E64" s="206" t="s">
        <v>274</v>
      </c>
      <c r="F64" s="176"/>
      <c r="G64" s="177"/>
      <c r="H64" s="177"/>
      <c r="I64" s="177"/>
      <c r="J64" s="177"/>
      <c r="K64" s="183">
        <v>0</v>
      </c>
      <c r="L64" s="183">
        <v>0</v>
      </c>
      <c r="M64" s="184">
        <v>0</v>
      </c>
      <c r="N64" s="185">
        <v>0</v>
      </c>
      <c r="P64" s="52" t="s">
        <v>179</v>
      </c>
      <c r="Q64" s="138">
        <f t="shared" si="0"/>
        <v>0</v>
      </c>
      <c r="R64" s="105">
        <f>IF(OR(P64&lt;&gt;Lookup!$D$132,SUMIF($P$43:$P$100,Lookup!$D$132,$Q$43:$Q$100)=0),0,
Q64/SUMIF($P$43:$P$100,Lookup!$D$132,$Q$43:$Q$100))</f>
        <v>0</v>
      </c>
    </row>
    <row r="65" spans="4:18" ht="13.8" outlineLevel="1" x14ac:dyDescent="0.45">
      <c r="D65" s="211"/>
      <c r="E65" s="207" t="s">
        <v>275</v>
      </c>
      <c r="F65" s="176"/>
      <c r="G65" s="177"/>
      <c r="H65" s="177"/>
      <c r="I65" s="177"/>
      <c r="J65" s="177"/>
      <c r="K65" s="183">
        <v>0</v>
      </c>
      <c r="L65" s="183">
        <v>0</v>
      </c>
      <c r="M65" s="184">
        <v>0</v>
      </c>
      <c r="N65" s="185">
        <v>0</v>
      </c>
      <c r="P65" s="52" t="s">
        <v>179</v>
      </c>
      <c r="Q65" s="138">
        <f t="shared" si="0"/>
        <v>0</v>
      </c>
      <c r="R65" s="105">
        <f>IF(OR(P65&lt;&gt;Lookup!$D$132,SUMIF($P$43:$P$100,Lookup!$D$132,$Q$43:$Q$100)=0),0,
Q65/SUMIF($P$43:$P$100,Lookup!$D$132,$Q$43:$Q$100))</f>
        <v>0</v>
      </c>
    </row>
    <row r="66" spans="4:18" ht="14.1" outlineLevel="1" thickBot="1" x14ac:dyDescent="0.5">
      <c r="D66" s="212"/>
      <c r="E66" s="209" t="s">
        <v>276</v>
      </c>
      <c r="F66" s="176"/>
      <c r="G66" s="177"/>
      <c r="H66" s="177"/>
      <c r="I66" s="177"/>
      <c r="J66" s="177"/>
      <c r="K66" s="183">
        <v>613791.38906404376</v>
      </c>
      <c r="L66" s="183">
        <v>627814.29021851462</v>
      </c>
      <c r="M66" s="184">
        <v>636755.49783535616</v>
      </c>
      <c r="N66" s="185">
        <v>643252.34653536335</v>
      </c>
      <c r="P66" s="52" t="s">
        <v>179</v>
      </c>
      <c r="Q66" s="138">
        <f t="shared" si="0"/>
        <v>2521613.5236532777</v>
      </c>
      <c r="R66" s="105">
        <f>IF(OR(P66&lt;&gt;Lookup!$D$132,SUMIF($P$43:$P$100,Lookup!$D$132,$Q$43:$Q$100)=0),0,
Q66/SUMIF($P$43:$P$100,Lookup!$D$132,$Q$43:$Q$100))</f>
        <v>0</v>
      </c>
    </row>
    <row r="67" spans="4:18" ht="13.8" outlineLevel="1" x14ac:dyDescent="0.45">
      <c r="D67" s="210" t="s">
        <v>286</v>
      </c>
      <c r="E67" s="204" t="s">
        <v>267</v>
      </c>
      <c r="F67" s="176"/>
      <c r="G67" s="177"/>
      <c r="H67" s="177"/>
      <c r="I67" s="177"/>
      <c r="J67" s="177"/>
      <c r="K67" s="178">
        <v>0</v>
      </c>
      <c r="L67" s="178">
        <v>0</v>
      </c>
      <c r="M67" s="179">
        <v>0</v>
      </c>
      <c r="N67" s="180">
        <v>0</v>
      </c>
      <c r="P67" s="52" t="s">
        <v>179</v>
      </c>
      <c r="Q67" s="138">
        <f t="shared" si="0"/>
        <v>0</v>
      </c>
      <c r="R67" s="105">
        <f>IF(OR(P67&lt;&gt;Lookup!$D$132,SUMIF($P$43:$P$100,Lookup!$D$132,$Q$43:$Q$100)=0),0,
Q67/SUMIF($P$43:$P$100,Lookup!$D$132,$Q$43:$Q$100))</f>
        <v>0</v>
      </c>
    </row>
    <row r="68" spans="4:18" ht="13.8" outlineLevel="1" x14ac:dyDescent="0.45">
      <c r="D68" s="211"/>
      <c r="E68" s="206" t="s">
        <v>272</v>
      </c>
      <c r="F68" s="176"/>
      <c r="G68" s="177"/>
      <c r="H68" s="177"/>
      <c r="I68" s="177"/>
      <c r="J68" s="177"/>
      <c r="K68" s="178"/>
      <c r="L68" s="178"/>
      <c r="M68" s="179"/>
      <c r="N68" s="180"/>
      <c r="P68" s="52" t="s">
        <v>179</v>
      </c>
      <c r="Q68" s="138">
        <f t="shared" si="0"/>
        <v>0</v>
      </c>
      <c r="R68" s="105">
        <f>IF(OR(P68&lt;&gt;Lookup!$D$132,SUMIF($P$43:$P$100,Lookup!$D$132,$Q$43:$Q$100)=0),0,
Q68/SUMIF($P$43:$P$100,Lookup!$D$132,$Q$43:$Q$100))</f>
        <v>0</v>
      </c>
    </row>
    <row r="69" spans="4:18" ht="13.8" outlineLevel="1" x14ac:dyDescent="0.45">
      <c r="D69" s="211"/>
      <c r="E69" s="206" t="s">
        <v>273</v>
      </c>
      <c r="F69" s="176"/>
      <c r="G69" s="177"/>
      <c r="H69" s="177"/>
      <c r="I69" s="177"/>
      <c r="J69" s="177"/>
      <c r="K69" s="178"/>
      <c r="L69" s="178"/>
      <c r="M69" s="179"/>
      <c r="N69" s="180"/>
      <c r="P69" s="52" t="s">
        <v>179</v>
      </c>
      <c r="Q69" s="138">
        <f t="shared" si="0"/>
        <v>0</v>
      </c>
      <c r="R69" s="105">
        <f>IF(OR(P69&lt;&gt;Lookup!$D$132,SUMIF($P$43:$P$100,Lookup!$D$132,$Q$43:$Q$100)=0),0,
Q69/SUMIF($P$43:$P$100,Lookup!$D$132,$Q$43:$Q$100))</f>
        <v>0</v>
      </c>
    </row>
    <row r="70" spans="4:18" ht="13.8" outlineLevel="1" x14ac:dyDescent="0.45">
      <c r="D70" s="211"/>
      <c r="E70" s="206" t="s">
        <v>274</v>
      </c>
      <c r="F70" s="176"/>
      <c r="G70" s="177"/>
      <c r="H70" s="177"/>
      <c r="I70" s="177"/>
      <c r="J70" s="177"/>
      <c r="K70" s="178">
        <v>9035.4407339449535</v>
      </c>
      <c r="L70" s="178">
        <v>9035.4407339449535</v>
      </c>
      <c r="M70" s="179">
        <v>9035.4407339449535</v>
      </c>
      <c r="N70" s="180">
        <v>9035.4407339449535</v>
      </c>
      <c r="P70" s="52" t="s">
        <v>179</v>
      </c>
      <c r="Q70" s="138">
        <f t="shared" si="0"/>
        <v>36141.762935779814</v>
      </c>
      <c r="R70" s="105">
        <f>IF(OR(P70&lt;&gt;Lookup!$D$132,SUMIF($P$43:$P$100,Lookup!$D$132,$Q$43:$Q$100)=0),0,
Q70/SUMIF($P$43:$P$100,Lookup!$D$132,$Q$43:$Q$100))</f>
        <v>0</v>
      </c>
    </row>
    <row r="71" spans="4:18" ht="13.8" outlineLevel="1" x14ac:dyDescent="0.45">
      <c r="D71" s="211"/>
      <c r="E71" s="207" t="s">
        <v>275</v>
      </c>
      <c r="F71" s="176"/>
      <c r="G71" s="177"/>
      <c r="H71" s="177"/>
      <c r="I71" s="177"/>
      <c r="J71" s="177"/>
      <c r="K71" s="178">
        <v>0</v>
      </c>
      <c r="L71" s="178">
        <v>0</v>
      </c>
      <c r="M71" s="179">
        <v>0</v>
      </c>
      <c r="N71" s="180">
        <v>0</v>
      </c>
      <c r="P71" s="52" t="s">
        <v>179</v>
      </c>
      <c r="Q71" s="138">
        <f t="shared" si="0"/>
        <v>0</v>
      </c>
      <c r="R71" s="105">
        <f>IF(OR(P71&lt;&gt;Lookup!$D$132,SUMIF($P$43:$P$100,Lookup!$D$132,$Q$43:$Q$100)=0),0,
Q71/SUMIF($P$43:$P$100,Lookup!$D$132,$Q$43:$Q$100))</f>
        <v>0</v>
      </c>
    </row>
    <row r="72" spans="4:18" ht="14.1" outlineLevel="1" thickBot="1" x14ac:dyDescent="0.5">
      <c r="D72" s="212"/>
      <c r="E72" s="209" t="s">
        <v>276</v>
      </c>
      <c r="F72" s="176"/>
      <c r="G72" s="177"/>
      <c r="H72" s="177"/>
      <c r="I72" s="177"/>
      <c r="J72" s="177"/>
      <c r="K72" s="178">
        <v>165840.71833392087</v>
      </c>
      <c r="L72" s="178">
        <v>165840.71833392087</v>
      </c>
      <c r="M72" s="179">
        <v>165840.71833392087</v>
      </c>
      <c r="N72" s="180">
        <v>165840.71833392087</v>
      </c>
      <c r="P72" s="52" t="s">
        <v>179</v>
      </c>
      <c r="Q72" s="138">
        <f t="shared" si="0"/>
        <v>663362.87333568349</v>
      </c>
      <c r="R72" s="105">
        <f>IF(OR(P72&lt;&gt;Lookup!$D$132,SUMIF($P$43:$P$100,Lookup!$D$132,$Q$43:$Q$100)=0),0,
Q72/SUMIF($P$43:$P$100,Lookup!$D$132,$Q$43:$Q$100))</f>
        <v>0</v>
      </c>
    </row>
    <row r="73" spans="4:18" ht="13.8" x14ac:dyDescent="0.45">
      <c r="D73" s="210" t="s">
        <v>287</v>
      </c>
      <c r="E73" s="204" t="s">
        <v>267</v>
      </c>
      <c r="F73" s="176"/>
      <c r="G73" s="177"/>
      <c r="H73" s="177"/>
      <c r="I73" s="177"/>
      <c r="J73" s="177"/>
      <c r="K73" s="183">
        <v>0</v>
      </c>
      <c r="L73" s="183">
        <v>0</v>
      </c>
      <c r="M73" s="184">
        <v>0</v>
      </c>
      <c r="N73" s="185">
        <v>0</v>
      </c>
      <c r="P73" s="52" t="s">
        <v>234</v>
      </c>
      <c r="Q73" s="138">
        <f t="shared" si="0"/>
        <v>0</v>
      </c>
      <c r="R73" s="105">
        <f>IF(OR(P73&lt;&gt;Lookup!$D$132,SUMIF($P$43:$P$100,Lookup!$D$132,$Q$43:$Q$100)=0),0,
Q73/SUMIF($P$43:$P$100,Lookup!$D$132,$Q$43:$Q$100))</f>
        <v>0</v>
      </c>
    </row>
    <row r="74" spans="4:18" ht="13.8" x14ac:dyDescent="0.45">
      <c r="D74" s="211"/>
      <c r="E74" s="206" t="s">
        <v>272</v>
      </c>
      <c r="F74" s="176"/>
      <c r="G74" s="177"/>
      <c r="H74" s="177"/>
      <c r="I74" s="177"/>
      <c r="J74" s="177"/>
      <c r="K74" s="183">
        <v>0</v>
      </c>
      <c r="L74" s="183">
        <v>2399.9285714285716</v>
      </c>
      <c r="M74" s="184">
        <v>3741.25</v>
      </c>
      <c r="N74" s="185">
        <v>3861.25</v>
      </c>
      <c r="P74" s="52" t="s">
        <v>234</v>
      </c>
      <c r="Q74" s="138">
        <f t="shared" si="0"/>
        <v>10002.428571428572</v>
      </c>
      <c r="R74" s="105">
        <f>IF(OR(P74&lt;&gt;Lookup!$D$132,SUMIF($P$43:$P$100,Lookup!$D$132,$Q$43:$Q$100)=0),0,
Q74/SUMIF($P$43:$P$100,Lookup!$D$132,$Q$43:$Q$100))</f>
        <v>0</v>
      </c>
    </row>
    <row r="75" spans="4:18" ht="13.8" x14ac:dyDescent="0.45">
      <c r="D75" s="211"/>
      <c r="E75" s="206" t="s">
        <v>273</v>
      </c>
      <c r="F75" s="176"/>
      <c r="G75" s="177"/>
      <c r="H75" s="177"/>
      <c r="I75" s="177"/>
      <c r="J75" s="177"/>
      <c r="K75" s="183">
        <v>0</v>
      </c>
      <c r="L75" s="183">
        <v>6997.7067481203003</v>
      </c>
      <c r="M75" s="184">
        <v>8470.4738909774424</v>
      </c>
      <c r="N75" s="185">
        <v>7500.1541165413537</v>
      </c>
      <c r="P75" s="52" t="s">
        <v>234</v>
      </c>
      <c r="Q75" s="138">
        <f t="shared" si="0"/>
        <v>22968.334755639098</v>
      </c>
      <c r="R75" s="105">
        <f>IF(OR(P75&lt;&gt;Lookup!$D$132,SUMIF($P$43:$P$100,Lookup!$D$132,$Q$43:$Q$100)=0),0,
Q75/SUMIF($P$43:$P$100,Lookup!$D$132,$Q$43:$Q$100))</f>
        <v>0</v>
      </c>
    </row>
    <row r="76" spans="4:18" ht="13.8" x14ac:dyDescent="0.45">
      <c r="D76" s="211"/>
      <c r="E76" s="206" t="s">
        <v>274</v>
      </c>
      <c r="F76" s="176"/>
      <c r="G76" s="177"/>
      <c r="H76" s="177"/>
      <c r="I76" s="177"/>
      <c r="J76" s="177"/>
      <c r="K76" s="183">
        <v>21710.415238095236</v>
      </c>
      <c r="L76" s="183">
        <v>171092.90142857144</v>
      </c>
      <c r="M76" s="184">
        <v>75436.423809523811</v>
      </c>
      <c r="N76" s="185">
        <v>0</v>
      </c>
      <c r="P76" s="52" t="s">
        <v>234</v>
      </c>
      <c r="Q76" s="138">
        <f t="shared" si="0"/>
        <v>268239.74047619046</v>
      </c>
      <c r="R76" s="105">
        <f>IF(OR(P76&lt;&gt;Lookup!$D$132,SUMIF($P$43:$P$100,Lookup!$D$132,$Q$43:$Q$100)=0),0,
Q76/SUMIF($P$43:$P$100,Lookup!$D$132,$Q$43:$Q$100))</f>
        <v>0</v>
      </c>
    </row>
    <row r="77" spans="4:18" ht="13.8" x14ac:dyDescent="0.45">
      <c r="D77" s="211"/>
      <c r="E77" s="207" t="s">
        <v>275</v>
      </c>
      <c r="F77" s="176"/>
      <c r="G77" s="177"/>
      <c r="H77" s="177"/>
      <c r="I77" s="177"/>
      <c r="J77" s="177"/>
      <c r="K77" s="183">
        <v>0</v>
      </c>
      <c r="L77" s="183">
        <v>0</v>
      </c>
      <c r="M77" s="184">
        <v>0</v>
      </c>
      <c r="N77" s="185">
        <v>0</v>
      </c>
      <c r="P77" s="52" t="s">
        <v>234</v>
      </c>
      <c r="Q77" s="138">
        <f t="shared" si="0"/>
        <v>0</v>
      </c>
      <c r="R77" s="105">
        <f>IF(OR(P77&lt;&gt;Lookup!$D$132,SUMIF($P$43:$P$100,Lookup!$D$132,$Q$43:$Q$100)=0),0,
Q77/SUMIF($P$43:$P$100,Lookup!$D$132,$Q$43:$Q$100))</f>
        <v>0</v>
      </c>
    </row>
    <row r="78" spans="4:18" ht="14.1" thickBot="1" x14ac:dyDescent="0.5">
      <c r="D78" s="212"/>
      <c r="E78" s="209" t="s">
        <v>276</v>
      </c>
      <c r="F78" s="176"/>
      <c r="G78" s="177"/>
      <c r="H78" s="177"/>
      <c r="I78" s="177"/>
      <c r="J78" s="177"/>
      <c r="K78" s="183">
        <v>290550.21714285715</v>
      </c>
      <c r="L78" s="183">
        <v>455136.90714285715</v>
      </c>
      <c r="M78" s="184">
        <v>305868.03285714285</v>
      </c>
      <c r="N78" s="185">
        <v>248096.90142857144</v>
      </c>
      <c r="P78" s="52" t="s">
        <v>234</v>
      </c>
      <c r="Q78" s="138">
        <f t="shared" si="0"/>
        <v>1299652.0585714285</v>
      </c>
      <c r="R78" s="105">
        <f>IF(OR(P78&lt;&gt;Lookup!$D$132,SUMIF($P$43:$P$100,Lookup!$D$132,$Q$43:$Q$100)=0),0,
Q78/SUMIF($P$43:$P$100,Lookup!$D$132,$Q$43:$Q$100))</f>
        <v>0</v>
      </c>
    </row>
    <row r="79" spans="4:18" ht="13.8" x14ac:dyDescent="0.45">
      <c r="D79" s="210" t="s">
        <v>288</v>
      </c>
      <c r="E79" s="204" t="s">
        <v>274</v>
      </c>
      <c r="F79" s="176"/>
      <c r="G79" s="177"/>
      <c r="H79" s="177"/>
      <c r="I79" s="177"/>
      <c r="J79" s="177"/>
      <c r="K79" s="178">
        <v>0</v>
      </c>
      <c r="L79" s="178">
        <v>0</v>
      </c>
      <c r="M79" s="179">
        <v>0</v>
      </c>
      <c r="N79" s="180">
        <v>0</v>
      </c>
      <c r="P79" s="52" t="s">
        <v>234</v>
      </c>
      <c r="Q79" s="138">
        <f t="shared" si="0"/>
        <v>0</v>
      </c>
      <c r="R79" s="105">
        <f>IF(OR(P79&lt;&gt;Lookup!$D$132,SUMIF($P$43:$P$100,Lookup!$D$132,$Q$43:$Q$100)=0),0,
Q79/SUMIF($P$43:$P$100,Lookup!$D$132,$Q$43:$Q$100))</f>
        <v>0</v>
      </c>
    </row>
    <row r="80" spans="4:18" ht="13.8" x14ac:dyDescent="0.45">
      <c r="D80" s="211"/>
      <c r="E80" s="207" t="s">
        <v>275</v>
      </c>
      <c r="F80" s="176"/>
      <c r="G80" s="177"/>
      <c r="H80" s="177"/>
      <c r="I80" s="177"/>
      <c r="J80" s="177"/>
      <c r="K80" s="178">
        <v>0</v>
      </c>
      <c r="L80" s="178">
        <v>5880.3675000000003</v>
      </c>
      <c r="M80" s="179">
        <v>0</v>
      </c>
      <c r="N80" s="180">
        <v>0</v>
      </c>
      <c r="P80" s="52" t="s">
        <v>234</v>
      </c>
      <c r="Q80" s="138">
        <f t="shared" si="0"/>
        <v>5880.3675000000003</v>
      </c>
      <c r="R80" s="105">
        <f>IF(OR(P80&lt;&gt;Lookup!$D$132,SUMIF($P$43:$P$100,Lookup!$D$132,$Q$43:$Q$100)=0),0,
Q80/SUMIF($P$43:$P$100,Lookup!$D$132,$Q$43:$Q$100))</f>
        <v>0</v>
      </c>
    </row>
    <row r="81" spans="4:18" ht="14.1" thickBot="1" x14ac:dyDescent="0.5">
      <c r="D81" s="212"/>
      <c r="E81" s="209" t="s">
        <v>276</v>
      </c>
      <c r="F81" s="176"/>
      <c r="G81" s="177"/>
      <c r="H81" s="177"/>
      <c r="I81" s="177"/>
      <c r="J81" s="177"/>
      <c r="K81" s="178">
        <v>10698.924999999999</v>
      </c>
      <c r="L81" s="178">
        <v>48801.29</v>
      </c>
      <c r="M81" s="179">
        <v>16636.14</v>
      </c>
      <c r="N81" s="180">
        <v>0</v>
      </c>
      <c r="P81" s="52" t="s">
        <v>234</v>
      </c>
      <c r="Q81" s="138">
        <f t="shared" si="0"/>
        <v>76136.354999999996</v>
      </c>
      <c r="R81" s="105">
        <f>IF(OR(P81&lt;&gt;Lookup!$D$132,SUMIF($P$43:$P$100,Lookup!$D$132,$Q$43:$Q$100)=0),0,
Q81/SUMIF($P$43:$P$100,Lookup!$D$132,$Q$43:$Q$100))</f>
        <v>0</v>
      </c>
    </row>
    <row r="82" spans="4:18" ht="13.8" outlineLevel="1" x14ac:dyDescent="0.45">
      <c r="D82" s="210" t="s">
        <v>289</v>
      </c>
      <c r="E82" s="204" t="s">
        <v>267</v>
      </c>
      <c r="F82" s="176"/>
      <c r="G82" s="177"/>
      <c r="H82" s="177"/>
      <c r="I82" s="177"/>
      <c r="J82" s="177"/>
      <c r="K82" s="183">
        <v>0</v>
      </c>
      <c r="L82" s="183">
        <v>52068.974999999999</v>
      </c>
      <c r="M82" s="184">
        <v>624601.25887865212</v>
      </c>
      <c r="N82" s="185">
        <v>1792518.9889289821</v>
      </c>
      <c r="P82" s="52" t="s">
        <v>233</v>
      </c>
      <c r="Q82" s="138">
        <f t="shared" si="0"/>
        <v>2469189.2228076342</v>
      </c>
      <c r="R82" s="105">
        <f>IF(OR(P82&lt;&gt;Lookup!$D$132,SUMIF($P$43:$P$100,Lookup!$D$132,$Q$43:$Q$100)=0),0,
Q82/SUMIF($P$43:$P$100,Lookup!$D$132,$Q$43:$Q$100))</f>
        <v>0.38510286483891182</v>
      </c>
    </row>
    <row r="83" spans="4:18" ht="13.8" outlineLevel="1" x14ac:dyDescent="0.45">
      <c r="D83" s="211"/>
      <c r="E83" s="206" t="s">
        <v>272</v>
      </c>
      <c r="F83" s="176"/>
      <c r="G83" s="177"/>
      <c r="H83" s="177"/>
      <c r="I83" s="177"/>
      <c r="J83" s="177"/>
      <c r="K83" s="183">
        <v>0</v>
      </c>
      <c r="L83" s="183">
        <v>0</v>
      </c>
      <c r="M83" s="184">
        <v>0</v>
      </c>
      <c r="N83" s="185">
        <v>0</v>
      </c>
      <c r="P83" s="52" t="s">
        <v>233</v>
      </c>
      <c r="Q83" s="138">
        <f t="shared" si="0"/>
        <v>0</v>
      </c>
      <c r="R83" s="105">
        <f>IF(OR(P83&lt;&gt;Lookup!$D$132,SUMIF($P$43:$P$100,Lookup!$D$132,$Q$43:$Q$100)=0),0,
Q83/SUMIF($P$43:$P$100,Lookup!$D$132,$Q$43:$Q$100))</f>
        <v>0</v>
      </c>
    </row>
    <row r="84" spans="4:18" ht="13.8" outlineLevel="1" x14ac:dyDescent="0.45">
      <c r="D84" s="211"/>
      <c r="E84" s="206" t="s">
        <v>273</v>
      </c>
      <c r="F84" s="176"/>
      <c r="G84" s="177"/>
      <c r="H84" s="177"/>
      <c r="I84" s="177"/>
      <c r="J84" s="177"/>
      <c r="K84" s="183">
        <v>163233.82999999999</v>
      </c>
      <c r="L84" s="183">
        <v>383536.5</v>
      </c>
      <c r="M84" s="184">
        <v>137615.35999999999</v>
      </c>
      <c r="N84" s="185">
        <v>691633.69</v>
      </c>
      <c r="P84" s="52" t="s">
        <v>233</v>
      </c>
      <c r="Q84" s="138">
        <f t="shared" si="0"/>
        <v>1376019.38</v>
      </c>
      <c r="R84" s="105">
        <f>IF(OR(P84&lt;&gt;Lookup!$D$132,SUMIF($P$43:$P$100,Lookup!$D$132,$Q$43:$Q$100)=0),0,
Q84/SUMIF($P$43:$P$100,Lookup!$D$132,$Q$43:$Q$100))</f>
        <v>0.21460850404543763</v>
      </c>
    </row>
    <row r="85" spans="4:18" ht="13.8" outlineLevel="1" x14ac:dyDescent="0.45">
      <c r="D85" s="211"/>
      <c r="E85" s="206" t="s">
        <v>274</v>
      </c>
      <c r="F85" s="176"/>
      <c r="G85" s="177"/>
      <c r="H85" s="177"/>
      <c r="I85" s="177"/>
      <c r="J85" s="177"/>
      <c r="K85" s="183">
        <v>0</v>
      </c>
      <c r="L85" s="183">
        <v>0</v>
      </c>
      <c r="M85" s="184">
        <v>0</v>
      </c>
      <c r="N85" s="185">
        <v>0</v>
      </c>
      <c r="P85" s="52" t="s">
        <v>233</v>
      </c>
      <c r="Q85" s="138">
        <f t="shared" si="0"/>
        <v>0</v>
      </c>
      <c r="R85" s="105">
        <f>IF(OR(P85&lt;&gt;Lookup!$D$132,SUMIF($P$43:$P$100,Lookup!$D$132,$Q$43:$Q$100)=0),0,
Q85/SUMIF($P$43:$P$100,Lookup!$D$132,$Q$43:$Q$100))</f>
        <v>0</v>
      </c>
    </row>
    <row r="86" spans="4:18" ht="13.8" outlineLevel="1" x14ac:dyDescent="0.45">
      <c r="D86" s="211"/>
      <c r="E86" s="207" t="s">
        <v>275</v>
      </c>
      <c r="F86" s="176"/>
      <c r="G86" s="177"/>
      <c r="H86" s="177"/>
      <c r="I86" s="177"/>
      <c r="J86" s="177"/>
      <c r="K86" s="183">
        <v>0</v>
      </c>
      <c r="L86" s="183">
        <v>0</v>
      </c>
      <c r="M86" s="184">
        <v>0</v>
      </c>
      <c r="N86" s="185">
        <v>0</v>
      </c>
      <c r="P86" s="52" t="s">
        <v>233</v>
      </c>
      <c r="Q86" s="138">
        <f t="shared" si="0"/>
        <v>0</v>
      </c>
      <c r="R86" s="105">
        <f>IF(OR(P86&lt;&gt;Lookup!$D$132,SUMIF($P$43:$P$100,Lookup!$D$132,$Q$43:$Q$100)=0),0,
Q86/SUMIF($P$43:$P$100,Lookup!$D$132,$Q$43:$Q$100))</f>
        <v>0</v>
      </c>
    </row>
    <row r="87" spans="4:18" ht="14.1" outlineLevel="1" thickBot="1" x14ac:dyDescent="0.5">
      <c r="D87" s="211"/>
      <c r="E87" s="209" t="s">
        <v>276</v>
      </c>
      <c r="F87" s="176"/>
      <c r="G87" s="177"/>
      <c r="H87" s="177"/>
      <c r="I87" s="177"/>
      <c r="J87" s="177"/>
      <c r="K87" s="183">
        <v>0</v>
      </c>
      <c r="L87" s="183">
        <v>0</v>
      </c>
      <c r="M87" s="184">
        <v>0</v>
      </c>
      <c r="N87" s="185">
        <v>0</v>
      </c>
      <c r="P87" s="52" t="s">
        <v>233</v>
      </c>
      <c r="Q87" s="138">
        <f t="shared" si="0"/>
        <v>0</v>
      </c>
      <c r="R87" s="105">
        <f>IF(OR(P87&lt;&gt;Lookup!$D$132,SUMIF($P$43:$P$100,Lookup!$D$132,$Q$43:$Q$100)=0),0,
Q87/SUMIF($P$43:$P$100,Lookup!$D$132,$Q$43:$Q$100))</f>
        <v>0</v>
      </c>
    </row>
    <row r="88" spans="4:18" ht="13.8" outlineLevel="1" x14ac:dyDescent="0.45">
      <c r="D88" s="213" t="s">
        <v>290</v>
      </c>
      <c r="E88" s="214" t="s">
        <v>274</v>
      </c>
      <c r="F88" s="176"/>
      <c r="G88" s="177"/>
      <c r="H88" s="177"/>
      <c r="I88" s="177"/>
      <c r="J88" s="177"/>
      <c r="K88" s="178">
        <v>0</v>
      </c>
      <c r="L88" s="178">
        <v>0</v>
      </c>
      <c r="M88" s="179">
        <v>0</v>
      </c>
      <c r="N88" s="180">
        <v>0</v>
      </c>
      <c r="P88" s="52" t="s">
        <v>179</v>
      </c>
      <c r="Q88" s="138">
        <f t="shared" si="0"/>
        <v>0</v>
      </c>
      <c r="R88" s="105">
        <f>IF(OR(P88&lt;&gt;Lookup!$D$132,SUMIF($P$43:$P$100,Lookup!$D$132,$Q$43:$Q$100)=0),0,
Q88/SUMIF($P$43:$P$100,Lookup!$D$132,$Q$43:$Q$100))</f>
        <v>0</v>
      </c>
    </row>
    <row r="89" spans="4:18" ht="14.1" outlineLevel="1" thickBot="1" x14ac:dyDescent="0.5">
      <c r="D89" s="215" t="s">
        <v>291</v>
      </c>
      <c r="E89" s="216" t="s">
        <v>274</v>
      </c>
      <c r="F89" s="176"/>
      <c r="G89" s="177"/>
      <c r="H89" s="177"/>
      <c r="I89" s="177"/>
      <c r="J89" s="177"/>
      <c r="K89" s="183">
        <v>0</v>
      </c>
      <c r="L89" s="183">
        <v>0</v>
      </c>
      <c r="M89" s="184">
        <v>0</v>
      </c>
      <c r="N89" s="185">
        <v>0</v>
      </c>
      <c r="P89" s="52" t="s">
        <v>179</v>
      </c>
      <c r="Q89" s="138">
        <f t="shared" si="0"/>
        <v>0</v>
      </c>
      <c r="R89" s="105">
        <f>IF(OR(P89&lt;&gt;Lookup!$D$132,SUMIF($P$43:$P$100,Lookup!$D$132,$Q$43:$Q$100)=0),0,
Q89/SUMIF($P$43:$P$100,Lookup!$D$132,$Q$43:$Q$100))</f>
        <v>0</v>
      </c>
    </row>
    <row r="90" spans="4:18" ht="13.8" outlineLevel="1" x14ac:dyDescent="0.45">
      <c r="D90" s="205" t="s">
        <v>292</v>
      </c>
      <c r="E90" s="204" t="s">
        <v>267</v>
      </c>
      <c r="F90" s="176"/>
      <c r="G90" s="177"/>
      <c r="H90" s="177"/>
      <c r="I90" s="177"/>
      <c r="J90" s="177"/>
      <c r="K90" s="178">
        <v>0</v>
      </c>
      <c r="L90" s="178">
        <v>0</v>
      </c>
      <c r="M90" s="179">
        <v>0</v>
      </c>
      <c r="N90" s="180">
        <v>0</v>
      </c>
      <c r="P90" s="52" t="s">
        <v>233</v>
      </c>
      <c r="Q90" s="138">
        <f t="shared" si="0"/>
        <v>0</v>
      </c>
      <c r="R90" s="105">
        <f>IF(OR(P90&lt;&gt;Lookup!$D$132,SUMIF($P$43:$P$100,Lookup!$D$132,$Q$43:$Q$100)=0),0,
Q90/SUMIF($P$43:$P$100,Lookup!$D$132,$Q$43:$Q$100))</f>
        <v>0</v>
      </c>
    </row>
    <row r="91" spans="4:18" ht="13.8" outlineLevel="1" x14ac:dyDescent="0.45">
      <c r="D91" s="205"/>
      <c r="E91" s="206" t="s">
        <v>272</v>
      </c>
      <c r="F91" s="176"/>
      <c r="G91" s="177"/>
      <c r="H91" s="177"/>
      <c r="I91" s="177"/>
      <c r="J91" s="177"/>
      <c r="K91" s="178">
        <v>830.93771415938977</v>
      </c>
      <c r="L91" s="178">
        <v>830.93771415938977</v>
      </c>
      <c r="M91" s="179">
        <v>830.93771415938977</v>
      </c>
      <c r="N91" s="180">
        <v>830.93771415938977</v>
      </c>
      <c r="P91" s="52" t="s">
        <v>233</v>
      </c>
      <c r="Q91" s="138">
        <f t="shared" si="0"/>
        <v>3323.7508566375591</v>
      </c>
      <c r="R91" s="105">
        <f>IF(OR(P91&lt;&gt;Lookup!$D$132,SUMIF($P$43:$P$100,Lookup!$D$132,$Q$43:$Q$100)=0),0,
Q91/SUMIF($P$43:$P$100,Lookup!$D$132,$Q$43:$Q$100))</f>
        <v>5.1838310530388635E-4</v>
      </c>
    </row>
    <row r="92" spans="4:18" ht="13.8" outlineLevel="1" x14ac:dyDescent="0.45">
      <c r="D92" s="205"/>
      <c r="E92" s="206" t="s">
        <v>273</v>
      </c>
      <c r="F92" s="176"/>
      <c r="G92" s="177"/>
      <c r="H92" s="177"/>
      <c r="I92" s="177"/>
      <c r="J92" s="177"/>
      <c r="K92" s="178">
        <v>18733.868464684427</v>
      </c>
      <c r="L92" s="178">
        <v>18733.868464684427</v>
      </c>
      <c r="M92" s="179">
        <v>18733.868464684427</v>
      </c>
      <c r="N92" s="180">
        <v>18733.868464684427</v>
      </c>
      <c r="P92" s="52" t="s">
        <v>233</v>
      </c>
      <c r="Q92" s="138">
        <f t="shared" si="0"/>
        <v>74935.473858737707</v>
      </c>
      <c r="R92" s="105">
        <f>IF(OR(P92&lt;&gt;Lookup!$D$132,SUMIF($P$43:$P$100,Lookup!$D$132,$Q$43:$Q$100)=0),0,
Q92/SUMIF($P$43:$P$100,Lookup!$D$132,$Q$43:$Q$100))</f>
        <v>1.168718273776035E-2</v>
      </c>
    </row>
    <row r="93" spans="4:18" ht="13.8" outlineLevel="1" x14ac:dyDescent="0.45">
      <c r="D93" s="205"/>
      <c r="E93" s="206" t="s">
        <v>274</v>
      </c>
      <c r="F93" s="176"/>
      <c r="G93" s="177"/>
      <c r="H93" s="177"/>
      <c r="I93" s="177"/>
      <c r="J93" s="177"/>
      <c r="K93" s="178">
        <v>287655.52868354146</v>
      </c>
      <c r="L93" s="178">
        <v>287655.52868354146</v>
      </c>
      <c r="M93" s="179">
        <v>287655.52868354146</v>
      </c>
      <c r="N93" s="180">
        <v>287655.52868354146</v>
      </c>
      <c r="P93" s="52" t="s">
        <v>233</v>
      </c>
      <c r="Q93" s="138">
        <f t="shared" si="0"/>
        <v>1150622.1147341658</v>
      </c>
      <c r="R93" s="105">
        <f>IF(OR(P93&lt;&gt;Lookup!$D$132,SUMIF($P$43:$P$100,Lookup!$D$132,$Q$43:$Q$100)=0),0,
Q93/SUMIF($P$43:$P$100,Lookup!$D$132,$Q$43:$Q$100))</f>
        <v>0.17945480590883631</v>
      </c>
    </row>
    <row r="94" spans="4:18" ht="13.8" outlineLevel="1" x14ac:dyDescent="0.45">
      <c r="D94" s="217"/>
      <c r="E94" s="207" t="s">
        <v>275</v>
      </c>
      <c r="F94" s="176"/>
      <c r="G94" s="177"/>
      <c r="H94" s="177"/>
      <c r="I94" s="177"/>
      <c r="J94" s="177"/>
      <c r="K94" s="178">
        <v>11473.652477064221</v>
      </c>
      <c r="L94" s="178">
        <v>11473.652477064221</v>
      </c>
      <c r="M94" s="179">
        <v>11473.652477064221</v>
      </c>
      <c r="N94" s="180">
        <v>11473.652477064221</v>
      </c>
      <c r="P94" s="52" t="s">
        <v>233</v>
      </c>
      <c r="Q94" s="138">
        <f t="shared" si="0"/>
        <v>45894.609908256884</v>
      </c>
      <c r="R94" s="105">
        <f>IF(OR(P94&lt;&gt;Lookup!$D$132,SUMIF($P$43:$P$100,Lookup!$D$132,$Q$43:$Q$100)=0),0,
Q94/SUMIF($P$43:$P$100,Lookup!$D$132,$Q$43:$Q$100))</f>
        <v>7.1578741690105632E-3</v>
      </c>
    </row>
    <row r="95" spans="4:18" ht="13.8" outlineLevel="1" x14ac:dyDescent="0.45">
      <c r="D95" s="205"/>
      <c r="E95" s="206" t="s">
        <v>276</v>
      </c>
      <c r="F95" s="176"/>
      <c r="G95" s="177"/>
      <c r="H95" s="177"/>
      <c r="I95" s="177"/>
      <c r="J95" s="177"/>
      <c r="K95" s="178">
        <v>0</v>
      </c>
      <c r="L95" s="178">
        <v>0</v>
      </c>
      <c r="M95" s="179">
        <v>0</v>
      </c>
      <c r="N95" s="180">
        <v>0</v>
      </c>
      <c r="P95" s="52" t="s">
        <v>233</v>
      </c>
      <c r="Q95" s="138">
        <f t="shared" si="0"/>
        <v>0</v>
      </c>
      <c r="R95" s="105">
        <f>IF(OR(P95&lt;&gt;Lookup!$D$132,SUMIF($P$43:$P$100,Lookup!$D$132,$Q$43:$Q$100)=0),0,
Q95/SUMIF($P$43:$P$100,Lookup!$D$132,$Q$43:$Q$100))</f>
        <v>0</v>
      </c>
    </row>
    <row r="96" spans="4:18" ht="14.1" outlineLevel="1" thickBot="1" x14ac:dyDescent="0.5">
      <c r="D96" s="205"/>
      <c r="E96" s="218" t="s">
        <v>293</v>
      </c>
      <c r="F96" s="176"/>
      <c r="G96" s="177"/>
      <c r="H96" s="177"/>
      <c r="I96" s="177"/>
      <c r="J96" s="177"/>
      <c r="K96" s="178">
        <v>11072</v>
      </c>
      <c r="L96" s="178">
        <v>11072</v>
      </c>
      <c r="M96" s="179">
        <v>11072</v>
      </c>
      <c r="N96" s="180">
        <v>11072</v>
      </c>
      <c r="P96" s="52" t="s">
        <v>233</v>
      </c>
      <c r="Q96" s="138">
        <f t="shared" si="0"/>
        <v>44288</v>
      </c>
      <c r="R96" s="105">
        <f>IF(OR(P96&lt;&gt;Lookup!$D$132,SUMIF($P$43:$P$100,Lookup!$D$132,$Q$43:$Q$100)=0),0,
Q96/SUMIF($P$43:$P$100,Lookup!$D$132,$Q$43:$Q$100))</f>
        <v>6.9073020084676005E-3</v>
      </c>
    </row>
    <row r="97" spans="4:18" ht="13.8" x14ac:dyDescent="0.45">
      <c r="D97" s="219" t="s">
        <v>294</v>
      </c>
      <c r="E97" s="214" t="s">
        <v>274</v>
      </c>
      <c r="F97" s="176"/>
      <c r="G97" s="177"/>
      <c r="H97" s="177"/>
      <c r="I97" s="177"/>
      <c r="J97" s="177"/>
      <c r="K97" s="183">
        <v>0</v>
      </c>
      <c r="L97" s="183">
        <v>0</v>
      </c>
      <c r="M97" s="184">
        <v>0</v>
      </c>
      <c r="N97" s="185">
        <v>0</v>
      </c>
      <c r="P97" s="52" t="s">
        <v>234</v>
      </c>
      <c r="Q97" s="138">
        <f t="shared" si="0"/>
        <v>0</v>
      </c>
      <c r="R97" s="105">
        <f>IF(OR(P97&lt;&gt;Lookup!$D$132,SUMIF($P$43:$P$100,Lookup!$D$132,$Q$43:$Q$100)=0),0,
Q97/SUMIF($P$43:$P$100,Lookup!$D$132,$Q$43:$Q$100))</f>
        <v>0</v>
      </c>
    </row>
    <row r="98" spans="4:18" ht="14.1" outlineLevel="1" thickBot="1" x14ac:dyDescent="0.5">
      <c r="D98" s="220" t="s">
        <v>295</v>
      </c>
      <c r="E98" s="221" t="s">
        <v>274</v>
      </c>
      <c r="F98" s="176"/>
      <c r="G98" s="177"/>
      <c r="H98" s="177"/>
      <c r="I98" s="177"/>
      <c r="J98" s="177"/>
      <c r="K98" s="178">
        <v>359889.19539996359</v>
      </c>
      <c r="L98" s="178">
        <v>364699.67370762251</v>
      </c>
      <c r="M98" s="179">
        <v>261975.19202684265</v>
      </c>
      <c r="N98" s="180">
        <v>221960.35934296326</v>
      </c>
      <c r="P98" s="52" t="s">
        <v>179</v>
      </c>
      <c r="Q98" s="138">
        <f t="shared" si="0"/>
        <v>1208524.4204773919</v>
      </c>
      <c r="R98" s="105">
        <f>IF(OR(P98&lt;&gt;Lookup!$D$132,SUMIF($P$43:$P$100,Lookup!$D$132,$Q$43:$Q$100)=0),0,
Q98/SUMIF($P$43:$P$100,Lookup!$D$132,$Q$43:$Q$100))</f>
        <v>0</v>
      </c>
    </row>
    <row r="99" spans="4:18" ht="13.8" x14ac:dyDescent="0.45">
      <c r="D99" s="219" t="s">
        <v>296</v>
      </c>
      <c r="E99" s="214" t="s">
        <v>274</v>
      </c>
      <c r="F99" s="176"/>
      <c r="G99" s="177"/>
      <c r="H99" s="177"/>
      <c r="I99" s="177"/>
      <c r="J99" s="177"/>
      <c r="K99" s="183">
        <v>0</v>
      </c>
      <c r="L99" s="183">
        <v>0</v>
      </c>
      <c r="M99" s="184">
        <v>0</v>
      </c>
      <c r="N99" s="185">
        <v>0</v>
      </c>
      <c r="P99" s="52" t="s">
        <v>234</v>
      </c>
      <c r="Q99" s="138">
        <f t="shared" si="0"/>
        <v>0</v>
      </c>
      <c r="R99" s="105">
        <f>IF(OR(P99&lt;&gt;Lookup!$D$132,SUMIF($P$43:$P$100,Lookup!$D$132,$Q$43:$Q$100)=0),0,
Q99/SUMIF($P$43:$P$100,Lookup!$D$132,$Q$43:$Q$100))</f>
        <v>0</v>
      </c>
    </row>
    <row r="100" spans="4:18" ht="14.1" outlineLevel="1" thickBot="1" x14ac:dyDescent="0.5">
      <c r="D100" s="220" t="s">
        <v>297</v>
      </c>
      <c r="E100" s="216" t="s">
        <v>274</v>
      </c>
      <c r="F100" s="188"/>
      <c r="G100" s="189"/>
      <c r="H100" s="189"/>
      <c r="I100" s="189"/>
      <c r="J100" s="189"/>
      <c r="K100" s="190">
        <v>0</v>
      </c>
      <c r="L100" s="190">
        <v>0</v>
      </c>
      <c r="M100" s="191">
        <v>0</v>
      </c>
      <c r="N100" s="192">
        <v>0</v>
      </c>
      <c r="P100" s="52" t="s">
        <v>179</v>
      </c>
      <c r="Q100" s="138">
        <f t="shared" si="0"/>
        <v>0</v>
      </c>
      <c r="R100" s="105">
        <f>IF(OR(P100&lt;&gt;Lookup!$D$132,SUMIF($P$43:$P$100,Lookup!$D$132,$Q$43:$Q$100)=0),0,
Q100/SUMIF($P$43:$P$100,Lookup!$D$132,$Q$43:$Q$100))</f>
        <v>0</v>
      </c>
    </row>
    <row r="101" spans="4:18" ht="10.5" thickBot="1" x14ac:dyDescent="0.4">
      <c r="D101" s="9"/>
      <c r="E101" s="9"/>
      <c r="F101" s="9"/>
      <c r="G101" s="9"/>
      <c r="H101" s="9"/>
      <c r="I101" s="9"/>
      <c r="J101" s="9"/>
      <c r="K101" s="9"/>
      <c r="L101" s="9"/>
      <c r="M101" s="9"/>
      <c r="N101" s="9"/>
    </row>
    <row r="102" spans="4:18" ht="18.600000000000001" thickBot="1" x14ac:dyDescent="0.4">
      <c r="D102" s="194" t="s">
        <v>298</v>
      </c>
      <c r="E102" s="195"/>
      <c r="F102" s="195"/>
      <c r="G102" s="195"/>
      <c r="H102" s="195"/>
      <c r="I102" s="195"/>
      <c r="J102" s="195"/>
      <c r="K102" s="195"/>
      <c r="L102" s="195"/>
      <c r="M102" s="195"/>
      <c r="N102" s="196"/>
    </row>
    <row r="103" spans="4:18" ht="14.85" customHeight="1" thickBot="1" x14ac:dyDescent="0.4">
      <c r="D103" s="34"/>
      <c r="E103" s="198"/>
      <c r="F103" s="263" t="s">
        <v>255</v>
      </c>
      <c r="G103" s="264"/>
      <c r="H103" s="264"/>
      <c r="I103" s="264"/>
      <c r="J103" s="264"/>
      <c r="K103" s="264"/>
      <c r="L103" s="264"/>
      <c r="M103" s="264"/>
      <c r="N103" s="265"/>
    </row>
    <row r="104" spans="4:18" ht="14.7" thickBot="1" x14ac:dyDescent="0.4">
      <c r="D104" s="222"/>
      <c r="E104" s="223"/>
      <c r="F104" s="163" t="s">
        <v>258</v>
      </c>
      <c r="G104" s="164" t="s">
        <v>259</v>
      </c>
      <c r="H104" s="164" t="s">
        <v>260</v>
      </c>
      <c r="I104" s="164" t="s">
        <v>261</v>
      </c>
      <c r="J104" s="164" t="s">
        <v>262</v>
      </c>
      <c r="K104" s="164" t="s">
        <v>263</v>
      </c>
      <c r="L104" s="164" t="s">
        <v>264</v>
      </c>
      <c r="M104" s="165" t="s">
        <v>265</v>
      </c>
      <c r="N104" s="166" t="s">
        <v>266</v>
      </c>
    </row>
    <row r="105" spans="4:18" ht="13.8" x14ac:dyDescent="0.45">
      <c r="D105" s="203" t="s">
        <v>282</v>
      </c>
      <c r="E105" s="204" t="s">
        <v>267</v>
      </c>
      <c r="F105" s="224"/>
      <c r="G105" s="225"/>
      <c r="H105" s="225"/>
      <c r="I105" s="225"/>
      <c r="J105" s="225"/>
      <c r="K105" s="226">
        <v>0</v>
      </c>
      <c r="L105" s="226">
        <v>0</v>
      </c>
      <c r="M105" s="227">
        <v>0</v>
      </c>
      <c r="N105" s="228">
        <v>0</v>
      </c>
    </row>
    <row r="106" spans="4:18" ht="13.8" x14ac:dyDescent="0.45">
      <c r="D106" s="205"/>
      <c r="E106" s="206" t="s">
        <v>272</v>
      </c>
      <c r="F106" s="169"/>
      <c r="G106" s="170"/>
      <c r="H106" s="170"/>
      <c r="I106" s="170"/>
      <c r="J106" s="170"/>
      <c r="K106" s="171">
        <v>0</v>
      </c>
      <c r="L106" s="171">
        <v>4</v>
      </c>
      <c r="M106" s="172">
        <v>1</v>
      </c>
      <c r="N106" s="229">
        <v>1</v>
      </c>
    </row>
    <row r="107" spans="4:18" ht="13.8" x14ac:dyDescent="0.45">
      <c r="D107" s="205"/>
      <c r="E107" s="206" t="s">
        <v>273</v>
      </c>
      <c r="F107" s="169"/>
      <c r="G107" s="170"/>
      <c r="H107" s="170"/>
      <c r="I107" s="170"/>
      <c r="J107" s="170"/>
      <c r="K107" s="171">
        <v>5</v>
      </c>
      <c r="L107" s="171">
        <v>21</v>
      </c>
      <c r="M107" s="172">
        <v>9</v>
      </c>
      <c r="N107" s="229">
        <v>3</v>
      </c>
    </row>
    <row r="108" spans="4:18" ht="13.8" x14ac:dyDescent="0.45">
      <c r="D108" s="205"/>
      <c r="E108" s="206" t="s">
        <v>274</v>
      </c>
      <c r="F108" s="169"/>
      <c r="G108" s="170"/>
      <c r="H108" s="170"/>
      <c r="I108" s="170"/>
      <c r="J108" s="170"/>
      <c r="K108" s="171">
        <v>19</v>
      </c>
      <c r="L108" s="171">
        <v>193</v>
      </c>
      <c r="M108" s="172">
        <v>609</v>
      </c>
      <c r="N108" s="229">
        <v>1279</v>
      </c>
    </row>
    <row r="109" spans="4:18" ht="13.8" x14ac:dyDescent="0.45">
      <c r="D109" s="205"/>
      <c r="E109" s="207" t="s">
        <v>275</v>
      </c>
      <c r="F109" s="176"/>
      <c r="G109" s="177"/>
      <c r="H109" s="177"/>
      <c r="I109" s="177"/>
      <c r="J109" s="177"/>
      <c r="K109" s="178">
        <v>0</v>
      </c>
      <c r="L109" s="178">
        <v>0</v>
      </c>
      <c r="M109" s="179">
        <v>0</v>
      </c>
      <c r="N109" s="230">
        <v>0</v>
      </c>
    </row>
    <row r="110" spans="4:18" ht="14.1" thickBot="1" x14ac:dyDescent="0.5">
      <c r="D110" s="208"/>
      <c r="E110" s="209" t="s">
        <v>276</v>
      </c>
      <c r="F110" s="176"/>
      <c r="G110" s="177"/>
      <c r="H110" s="177"/>
      <c r="I110" s="177"/>
      <c r="J110" s="177"/>
      <c r="K110" s="178">
        <v>1980</v>
      </c>
      <c r="L110" s="178">
        <v>2412</v>
      </c>
      <c r="M110" s="179">
        <v>1334</v>
      </c>
      <c r="N110" s="230">
        <v>1229</v>
      </c>
    </row>
    <row r="111" spans="4:18" ht="13.8" outlineLevel="1" x14ac:dyDescent="0.45">
      <c r="D111" s="203" t="s">
        <v>283</v>
      </c>
      <c r="E111" s="204" t="s">
        <v>267</v>
      </c>
      <c r="F111" s="176"/>
      <c r="G111" s="177"/>
      <c r="H111" s="177"/>
      <c r="I111" s="177"/>
      <c r="J111" s="177"/>
      <c r="K111" s="183">
        <v>0</v>
      </c>
      <c r="L111" s="183">
        <v>0</v>
      </c>
      <c r="M111" s="184">
        <v>0</v>
      </c>
      <c r="N111" s="231">
        <v>0</v>
      </c>
    </row>
    <row r="112" spans="4:18" ht="13.8" outlineLevel="1" x14ac:dyDescent="0.45">
      <c r="D112" s="205"/>
      <c r="E112" s="206" t="s">
        <v>272</v>
      </c>
      <c r="F112" s="176"/>
      <c r="G112" s="177"/>
      <c r="H112" s="177"/>
      <c r="I112" s="177"/>
      <c r="J112" s="177"/>
      <c r="K112" s="183">
        <v>0</v>
      </c>
      <c r="L112" s="183">
        <v>0</v>
      </c>
      <c r="M112" s="184">
        <v>0</v>
      </c>
      <c r="N112" s="231">
        <v>1</v>
      </c>
    </row>
    <row r="113" spans="4:14" ht="13.8" outlineLevel="1" x14ac:dyDescent="0.45">
      <c r="D113" s="205"/>
      <c r="E113" s="206" t="s">
        <v>273</v>
      </c>
      <c r="F113" s="176"/>
      <c r="G113" s="177"/>
      <c r="H113" s="177"/>
      <c r="I113" s="177"/>
      <c r="J113" s="177"/>
      <c r="K113" s="183">
        <v>0</v>
      </c>
      <c r="L113" s="183">
        <v>0</v>
      </c>
      <c r="M113" s="184">
        <v>1</v>
      </c>
      <c r="N113" s="231">
        <v>58</v>
      </c>
    </row>
    <row r="114" spans="4:14" ht="13.8" outlineLevel="1" x14ac:dyDescent="0.45">
      <c r="D114" s="205"/>
      <c r="E114" s="206" t="s">
        <v>274</v>
      </c>
      <c r="F114" s="176"/>
      <c r="G114" s="177"/>
      <c r="H114" s="177"/>
      <c r="I114" s="177"/>
      <c r="J114" s="177"/>
      <c r="K114" s="183">
        <v>0</v>
      </c>
      <c r="L114" s="183">
        <v>0</v>
      </c>
      <c r="M114" s="184">
        <v>5</v>
      </c>
      <c r="N114" s="231">
        <v>120</v>
      </c>
    </row>
    <row r="115" spans="4:14" ht="13.8" outlineLevel="1" x14ac:dyDescent="0.45">
      <c r="D115" s="205"/>
      <c r="E115" s="207" t="s">
        <v>275</v>
      </c>
      <c r="F115" s="176"/>
      <c r="G115" s="177"/>
      <c r="H115" s="177"/>
      <c r="I115" s="177"/>
      <c r="J115" s="177"/>
      <c r="K115" s="183">
        <v>0</v>
      </c>
      <c r="L115" s="183">
        <v>0</v>
      </c>
      <c r="M115" s="184">
        <v>0</v>
      </c>
      <c r="N115" s="231">
        <v>0</v>
      </c>
    </row>
    <row r="116" spans="4:14" ht="14.1" outlineLevel="1" thickBot="1" x14ac:dyDescent="0.5">
      <c r="D116" s="208"/>
      <c r="E116" s="209" t="s">
        <v>276</v>
      </c>
      <c r="F116" s="176"/>
      <c r="G116" s="177"/>
      <c r="H116" s="177"/>
      <c r="I116" s="177"/>
      <c r="J116" s="177"/>
      <c r="K116" s="183">
        <v>0</v>
      </c>
      <c r="L116" s="183">
        <v>0</v>
      </c>
      <c r="M116" s="184">
        <v>5</v>
      </c>
      <c r="N116" s="231">
        <v>117</v>
      </c>
    </row>
    <row r="117" spans="4:14" ht="13.8" outlineLevel="1" x14ac:dyDescent="0.45">
      <c r="D117" s="203" t="s">
        <v>284</v>
      </c>
      <c r="E117" s="204" t="s">
        <v>267</v>
      </c>
      <c r="F117" s="176"/>
      <c r="G117" s="177"/>
      <c r="H117" s="177"/>
      <c r="I117" s="177"/>
      <c r="J117" s="177"/>
      <c r="K117" s="178">
        <v>0</v>
      </c>
      <c r="L117" s="178">
        <v>0</v>
      </c>
      <c r="M117" s="179">
        <v>0</v>
      </c>
      <c r="N117" s="230">
        <v>0</v>
      </c>
    </row>
    <row r="118" spans="4:14" ht="13.8" outlineLevel="1" x14ac:dyDescent="0.45">
      <c r="D118" s="205"/>
      <c r="E118" s="206" t="s">
        <v>272</v>
      </c>
      <c r="F118" s="176"/>
      <c r="G118" s="177"/>
      <c r="H118" s="177"/>
      <c r="I118" s="177"/>
      <c r="J118" s="177"/>
      <c r="K118" s="178">
        <v>0</v>
      </c>
      <c r="L118" s="178">
        <v>0</v>
      </c>
      <c r="M118" s="179">
        <v>0</v>
      </c>
      <c r="N118" s="230">
        <v>0</v>
      </c>
    </row>
    <row r="119" spans="4:14" ht="13.8" outlineLevel="1" x14ac:dyDescent="0.45">
      <c r="D119" s="205"/>
      <c r="E119" s="206" t="s">
        <v>273</v>
      </c>
      <c r="F119" s="176"/>
      <c r="G119" s="177"/>
      <c r="H119" s="177"/>
      <c r="I119" s="177"/>
      <c r="J119" s="177"/>
      <c r="K119" s="178">
        <v>74.220783538388844</v>
      </c>
      <c r="L119" s="178">
        <v>74.220783538388844</v>
      </c>
      <c r="M119" s="179">
        <v>74.220783538388844</v>
      </c>
      <c r="N119" s="230">
        <v>74.220783538388844</v>
      </c>
    </row>
    <row r="120" spans="4:14" ht="13.8" outlineLevel="1" x14ac:dyDescent="0.45">
      <c r="D120" s="205"/>
      <c r="E120" s="206" t="s">
        <v>274</v>
      </c>
      <c r="F120" s="176"/>
      <c r="G120" s="177"/>
      <c r="H120" s="177"/>
      <c r="I120" s="177"/>
      <c r="J120" s="177"/>
      <c r="K120" s="178">
        <v>1142.1268808025013</v>
      </c>
      <c r="L120" s="178">
        <v>1142.1268808025013</v>
      </c>
      <c r="M120" s="179">
        <v>1142.1268808025013</v>
      </c>
      <c r="N120" s="230">
        <v>1142.1268808025013</v>
      </c>
    </row>
    <row r="121" spans="4:14" ht="13.8" outlineLevel="1" x14ac:dyDescent="0.45">
      <c r="D121" s="205"/>
      <c r="E121" s="207" t="s">
        <v>275</v>
      </c>
      <c r="F121" s="176"/>
      <c r="G121" s="177"/>
      <c r="H121" s="177"/>
      <c r="I121" s="177"/>
      <c r="J121" s="177"/>
      <c r="K121" s="178">
        <v>0</v>
      </c>
      <c r="L121" s="178">
        <v>0</v>
      </c>
      <c r="M121" s="179">
        <v>0</v>
      </c>
      <c r="N121" s="230"/>
    </row>
    <row r="122" spans="4:14" ht="14.1" outlineLevel="1" thickBot="1" x14ac:dyDescent="0.5">
      <c r="D122" s="208"/>
      <c r="E122" s="209" t="s">
        <v>276</v>
      </c>
      <c r="F122" s="176"/>
      <c r="G122" s="177"/>
      <c r="H122" s="177"/>
      <c r="I122" s="177"/>
      <c r="J122" s="177"/>
      <c r="K122" s="178">
        <v>2343.1921892895143</v>
      </c>
      <c r="L122" s="178">
        <v>2343.1921892895143</v>
      </c>
      <c r="M122" s="179">
        <v>2343.1921892895143</v>
      </c>
      <c r="N122" s="230">
        <v>2343.1921892895143</v>
      </c>
    </row>
    <row r="123" spans="4:14" ht="13.8" outlineLevel="1" x14ac:dyDescent="0.45">
      <c r="D123" s="210" t="s">
        <v>285</v>
      </c>
      <c r="E123" s="204" t="s">
        <v>267</v>
      </c>
      <c r="F123" s="176"/>
      <c r="G123" s="177"/>
      <c r="H123" s="177"/>
      <c r="I123" s="177"/>
      <c r="J123" s="177"/>
      <c r="K123" s="183">
        <v>0</v>
      </c>
      <c r="L123" s="183">
        <v>0</v>
      </c>
      <c r="M123" s="184">
        <v>0</v>
      </c>
      <c r="N123" s="231">
        <v>0</v>
      </c>
    </row>
    <row r="124" spans="4:14" ht="13.8" outlineLevel="1" x14ac:dyDescent="0.45">
      <c r="D124" s="211"/>
      <c r="E124" s="206" t="s">
        <v>272</v>
      </c>
      <c r="F124" s="176"/>
      <c r="G124" s="177"/>
      <c r="H124" s="177"/>
      <c r="I124" s="177"/>
      <c r="J124" s="177"/>
      <c r="K124" s="183"/>
      <c r="L124" s="183"/>
      <c r="M124" s="184"/>
      <c r="N124" s="231"/>
    </row>
    <row r="125" spans="4:14" ht="13.8" outlineLevel="1" x14ac:dyDescent="0.45">
      <c r="D125" s="211"/>
      <c r="E125" s="206" t="s">
        <v>273</v>
      </c>
      <c r="F125" s="176"/>
      <c r="G125" s="177"/>
      <c r="H125" s="177"/>
      <c r="I125" s="177"/>
      <c r="J125" s="177"/>
      <c r="K125" s="183"/>
      <c r="L125" s="183"/>
      <c r="M125" s="184"/>
      <c r="N125" s="231"/>
    </row>
    <row r="126" spans="4:14" ht="13.8" outlineLevel="1" x14ac:dyDescent="0.45">
      <c r="D126" s="211"/>
      <c r="E126" s="206" t="s">
        <v>274</v>
      </c>
      <c r="F126" s="176"/>
      <c r="G126" s="177"/>
      <c r="H126" s="177"/>
      <c r="I126" s="177"/>
      <c r="J126" s="177"/>
      <c r="K126" s="183">
        <v>0</v>
      </c>
      <c r="L126" s="183">
        <v>0</v>
      </c>
      <c r="M126" s="184">
        <v>0</v>
      </c>
      <c r="N126" s="231">
        <v>0</v>
      </c>
    </row>
    <row r="127" spans="4:14" ht="13.8" outlineLevel="1" x14ac:dyDescent="0.45">
      <c r="D127" s="211"/>
      <c r="E127" s="207" t="s">
        <v>275</v>
      </c>
      <c r="F127" s="176"/>
      <c r="G127" s="177"/>
      <c r="H127" s="177"/>
      <c r="I127" s="177"/>
      <c r="J127" s="177"/>
      <c r="K127" s="183">
        <v>0</v>
      </c>
      <c r="L127" s="183">
        <v>0</v>
      </c>
      <c r="M127" s="184">
        <v>0</v>
      </c>
      <c r="N127" s="231">
        <v>0</v>
      </c>
    </row>
    <row r="128" spans="4:14" ht="14.1" outlineLevel="1" thickBot="1" x14ac:dyDescent="0.5">
      <c r="D128" s="212"/>
      <c r="E128" s="209" t="s">
        <v>276</v>
      </c>
      <c r="F128" s="176"/>
      <c r="G128" s="177"/>
      <c r="H128" s="177"/>
      <c r="I128" s="177"/>
      <c r="J128" s="177"/>
      <c r="K128" s="183">
        <v>559663.68446526362</v>
      </c>
      <c r="L128" s="183">
        <v>572449.96440798289</v>
      </c>
      <c r="M128" s="184">
        <v>580602.68418797362</v>
      </c>
      <c r="N128" s="231">
        <v>586526.60287703166</v>
      </c>
    </row>
    <row r="129" spans="4:14" ht="13.8" outlineLevel="1" x14ac:dyDescent="0.45">
      <c r="D129" s="210" t="s">
        <v>286</v>
      </c>
      <c r="E129" s="204" t="s">
        <v>267</v>
      </c>
      <c r="F129" s="176"/>
      <c r="G129" s="177"/>
      <c r="H129" s="177"/>
      <c r="I129" s="177"/>
      <c r="J129" s="177"/>
      <c r="K129" s="178">
        <v>0</v>
      </c>
      <c r="L129" s="178">
        <v>0</v>
      </c>
      <c r="M129" s="179">
        <v>0</v>
      </c>
      <c r="N129" s="230">
        <v>0</v>
      </c>
    </row>
    <row r="130" spans="4:14" ht="13.8" outlineLevel="1" x14ac:dyDescent="0.45">
      <c r="D130" s="211"/>
      <c r="E130" s="206" t="s">
        <v>272</v>
      </c>
      <c r="F130" s="176"/>
      <c r="G130" s="177"/>
      <c r="H130" s="177"/>
      <c r="I130" s="177"/>
      <c r="J130" s="177"/>
      <c r="K130" s="178"/>
      <c r="L130" s="178"/>
      <c r="M130" s="179"/>
      <c r="N130" s="230"/>
    </row>
    <row r="131" spans="4:14" ht="13.8" outlineLevel="1" x14ac:dyDescent="0.45">
      <c r="D131" s="211"/>
      <c r="E131" s="206" t="s">
        <v>273</v>
      </c>
      <c r="F131" s="176"/>
      <c r="G131" s="177"/>
      <c r="H131" s="177"/>
      <c r="I131" s="177"/>
      <c r="J131" s="177"/>
      <c r="K131" s="178"/>
      <c r="L131" s="178"/>
      <c r="M131" s="179"/>
      <c r="N131" s="230"/>
    </row>
    <row r="132" spans="4:14" ht="13.8" outlineLevel="1" x14ac:dyDescent="0.45">
      <c r="D132" s="211"/>
      <c r="E132" s="206" t="s">
        <v>274</v>
      </c>
      <c r="F132" s="176"/>
      <c r="G132" s="177"/>
      <c r="H132" s="177"/>
      <c r="I132" s="177"/>
      <c r="J132" s="177"/>
      <c r="K132" s="178">
        <v>676.19621810856688</v>
      </c>
      <c r="L132" s="178">
        <v>946.67470535199368</v>
      </c>
      <c r="M132" s="179">
        <v>1217.1531925954205</v>
      </c>
      <c r="N132" s="230">
        <v>1352.3924362171338</v>
      </c>
    </row>
    <row r="133" spans="4:14" ht="13.8" outlineLevel="1" x14ac:dyDescent="0.45">
      <c r="D133" s="211"/>
      <c r="E133" s="207" t="s">
        <v>275</v>
      </c>
      <c r="F133" s="176"/>
      <c r="G133" s="177"/>
      <c r="H133" s="177"/>
      <c r="I133" s="177"/>
      <c r="J133" s="177"/>
      <c r="K133" s="178">
        <v>0</v>
      </c>
      <c r="L133" s="178">
        <v>0</v>
      </c>
      <c r="M133" s="179">
        <v>0</v>
      </c>
      <c r="N133" s="230">
        <v>0</v>
      </c>
    </row>
    <row r="134" spans="4:14" ht="14.1" outlineLevel="1" thickBot="1" x14ac:dyDescent="0.5">
      <c r="D134" s="212"/>
      <c r="E134" s="209" t="s">
        <v>276</v>
      </c>
      <c r="F134" s="176"/>
      <c r="G134" s="177"/>
      <c r="H134" s="177"/>
      <c r="I134" s="177"/>
      <c r="J134" s="177"/>
      <c r="K134" s="178">
        <v>53775.276209661039</v>
      </c>
      <c r="L134" s="178">
        <v>53775.276209661039</v>
      </c>
      <c r="M134" s="179">
        <v>53775.276209661039</v>
      </c>
      <c r="N134" s="230">
        <v>53775.276209661039</v>
      </c>
    </row>
    <row r="135" spans="4:14" ht="13.8" x14ac:dyDescent="0.45">
      <c r="D135" s="210" t="s">
        <v>287</v>
      </c>
      <c r="E135" s="204" t="s">
        <v>267</v>
      </c>
      <c r="F135" s="176"/>
      <c r="G135" s="177"/>
      <c r="H135" s="177"/>
      <c r="I135" s="177"/>
      <c r="J135" s="177"/>
      <c r="K135" s="183">
        <v>0</v>
      </c>
      <c r="L135" s="183">
        <v>0</v>
      </c>
      <c r="M135" s="184">
        <v>0</v>
      </c>
      <c r="N135" s="231">
        <v>0</v>
      </c>
    </row>
    <row r="136" spans="4:14" ht="13.8" x14ac:dyDescent="0.45">
      <c r="D136" s="211"/>
      <c r="E136" s="206" t="s">
        <v>272</v>
      </c>
      <c r="F136" s="176"/>
      <c r="G136" s="177"/>
      <c r="H136" s="177"/>
      <c r="I136" s="177"/>
      <c r="J136" s="177"/>
      <c r="K136" s="183">
        <v>0</v>
      </c>
      <c r="L136" s="183">
        <v>1</v>
      </c>
      <c r="M136" s="184">
        <v>1</v>
      </c>
      <c r="N136" s="231">
        <v>1</v>
      </c>
    </row>
    <row r="137" spans="4:14" ht="13.8" x14ac:dyDescent="0.45">
      <c r="D137" s="211"/>
      <c r="E137" s="206" t="s">
        <v>273</v>
      </c>
      <c r="F137" s="176"/>
      <c r="G137" s="177"/>
      <c r="H137" s="177"/>
      <c r="I137" s="177"/>
      <c r="J137" s="177"/>
      <c r="K137" s="183">
        <v>0</v>
      </c>
      <c r="L137" s="183">
        <v>2</v>
      </c>
      <c r="M137" s="184">
        <v>3</v>
      </c>
      <c r="N137" s="231">
        <v>2</v>
      </c>
    </row>
    <row r="138" spans="4:14" ht="13.8" x14ac:dyDescent="0.45">
      <c r="D138" s="211"/>
      <c r="E138" s="206" t="s">
        <v>274</v>
      </c>
      <c r="F138" s="176"/>
      <c r="G138" s="177"/>
      <c r="H138" s="177"/>
      <c r="I138" s="177"/>
      <c r="J138" s="177"/>
      <c r="K138" s="183">
        <v>18</v>
      </c>
      <c r="L138" s="183">
        <v>168</v>
      </c>
      <c r="M138" s="184">
        <v>86</v>
      </c>
      <c r="N138" s="231">
        <v>0</v>
      </c>
    </row>
    <row r="139" spans="4:14" ht="13.8" x14ac:dyDescent="0.45">
      <c r="D139" s="211"/>
      <c r="E139" s="207" t="s">
        <v>275</v>
      </c>
      <c r="F139" s="176"/>
      <c r="G139" s="177"/>
      <c r="H139" s="177"/>
      <c r="I139" s="177"/>
      <c r="J139" s="177"/>
      <c r="K139" s="183">
        <v>0</v>
      </c>
      <c r="L139" s="183">
        <v>0</v>
      </c>
      <c r="M139" s="184">
        <v>0</v>
      </c>
      <c r="N139" s="231">
        <v>0</v>
      </c>
    </row>
    <row r="140" spans="4:14" ht="14.1" thickBot="1" x14ac:dyDescent="0.5">
      <c r="D140" s="212"/>
      <c r="E140" s="209" t="s">
        <v>276</v>
      </c>
      <c r="F140" s="176"/>
      <c r="G140" s="177"/>
      <c r="H140" s="177"/>
      <c r="I140" s="177"/>
      <c r="J140" s="177"/>
      <c r="K140" s="183">
        <v>1869</v>
      </c>
      <c r="L140" s="183">
        <v>2569</v>
      </c>
      <c r="M140" s="184">
        <v>1592</v>
      </c>
      <c r="N140" s="231">
        <v>1244</v>
      </c>
    </row>
    <row r="141" spans="4:14" ht="13.8" x14ac:dyDescent="0.45">
      <c r="D141" s="210" t="s">
        <v>288</v>
      </c>
      <c r="E141" s="204" t="s">
        <v>267</v>
      </c>
      <c r="F141" s="176"/>
      <c r="G141" s="177"/>
      <c r="H141" s="177"/>
      <c r="I141" s="177"/>
      <c r="J141" s="177"/>
      <c r="K141" s="178">
        <v>0</v>
      </c>
      <c r="L141" s="178">
        <v>0</v>
      </c>
      <c r="M141" s="179">
        <v>0</v>
      </c>
      <c r="N141" s="230">
        <v>0</v>
      </c>
    </row>
    <row r="142" spans="4:14" ht="13.8" x14ac:dyDescent="0.45">
      <c r="D142" s="211"/>
      <c r="E142" s="206" t="s">
        <v>272</v>
      </c>
      <c r="F142" s="176"/>
      <c r="G142" s="177"/>
      <c r="H142" s="177"/>
      <c r="I142" s="177"/>
      <c r="J142" s="177"/>
      <c r="K142" s="178">
        <v>0</v>
      </c>
      <c r="L142" s="178">
        <v>3</v>
      </c>
      <c r="M142" s="179">
        <v>0</v>
      </c>
      <c r="N142" s="230">
        <v>0</v>
      </c>
    </row>
    <row r="143" spans="4:14" ht="13.8" x14ac:dyDescent="0.45">
      <c r="D143" s="211"/>
      <c r="E143" s="206" t="s">
        <v>273</v>
      </c>
      <c r="F143" s="176"/>
      <c r="G143" s="177"/>
      <c r="H143" s="177"/>
      <c r="I143" s="177"/>
      <c r="J143" s="177"/>
      <c r="K143" s="178">
        <v>5</v>
      </c>
      <c r="L143" s="178">
        <v>19</v>
      </c>
      <c r="M143" s="179">
        <v>6</v>
      </c>
      <c r="N143" s="230">
        <v>0</v>
      </c>
    </row>
    <row r="144" spans="4:14" ht="13.8" x14ac:dyDescent="0.45">
      <c r="D144" s="211"/>
      <c r="E144" s="206" t="s">
        <v>274</v>
      </c>
      <c r="F144" s="176"/>
      <c r="G144" s="177"/>
      <c r="H144" s="177"/>
      <c r="I144" s="177"/>
      <c r="J144" s="177"/>
      <c r="K144" s="178">
        <v>0</v>
      </c>
      <c r="L144" s="178">
        <v>25</v>
      </c>
      <c r="M144" s="179">
        <v>523</v>
      </c>
      <c r="N144" s="230">
        <v>1513</v>
      </c>
    </row>
    <row r="145" spans="2:14" ht="13.8" x14ac:dyDescent="0.45">
      <c r="D145" s="211"/>
      <c r="E145" s="207" t="s">
        <v>275</v>
      </c>
      <c r="F145" s="176"/>
      <c r="G145" s="177"/>
      <c r="H145" s="177"/>
      <c r="I145" s="177"/>
      <c r="J145" s="177"/>
      <c r="K145" s="178">
        <v>0</v>
      </c>
      <c r="L145" s="178">
        <v>0</v>
      </c>
      <c r="M145" s="179">
        <v>0</v>
      </c>
      <c r="N145" s="230">
        <v>0</v>
      </c>
    </row>
    <row r="146" spans="2:14" ht="14.1" thickBot="1" x14ac:dyDescent="0.5">
      <c r="D146" s="212"/>
      <c r="E146" s="209" t="s">
        <v>276</v>
      </c>
      <c r="F146" s="176"/>
      <c r="G146" s="177"/>
      <c r="H146" s="177"/>
      <c r="I146" s="177"/>
      <c r="J146" s="177"/>
      <c r="K146" s="178">
        <v>694</v>
      </c>
      <c r="L146" s="178">
        <v>1211</v>
      </c>
      <c r="M146" s="179">
        <v>732</v>
      </c>
      <c r="N146" s="230">
        <v>2669</v>
      </c>
    </row>
    <row r="147" spans="2:14" ht="13.8" outlineLevel="1" x14ac:dyDescent="0.45">
      <c r="D147" s="210" t="s">
        <v>289</v>
      </c>
      <c r="E147" s="204" t="s">
        <v>267</v>
      </c>
      <c r="F147" s="176"/>
      <c r="G147" s="177"/>
      <c r="H147" s="177"/>
      <c r="I147" s="177"/>
      <c r="J147" s="177"/>
      <c r="K147" s="183">
        <v>0</v>
      </c>
      <c r="L147" s="183">
        <v>0</v>
      </c>
      <c r="M147" s="184">
        <v>0</v>
      </c>
      <c r="N147" s="231">
        <v>0</v>
      </c>
    </row>
    <row r="148" spans="2:14" ht="13.8" outlineLevel="1" x14ac:dyDescent="0.45">
      <c r="D148" s="211"/>
      <c r="E148" s="206" t="s">
        <v>272</v>
      </c>
      <c r="F148" s="176"/>
      <c r="G148" s="177"/>
      <c r="H148" s="177"/>
      <c r="I148" s="177"/>
      <c r="J148" s="177"/>
      <c r="K148" s="183">
        <v>0</v>
      </c>
      <c r="L148" s="183">
        <v>0</v>
      </c>
      <c r="M148" s="184">
        <v>0</v>
      </c>
      <c r="N148" s="231">
        <v>0</v>
      </c>
    </row>
    <row r="149" spans="2:14" ht="13.8" outlineLevel="1" x14ac:dyDescent="0.45">
      <c r="D149" s="211"/>
      <c r="E149" s="206" t="s">
        <v>273</v>
      </c>
      <c r="F149" s="176"/>
      <c r="G149" s="177"/>
      <c r="H149" s="177"/>
      <c r="I149" s="177"/>
      <c r="J149" s="177"/>
      <c r="K149" s="183">
        <v>0</v>
      </c>
      <c r="L149" s="183">
        <v>0</v>
      </c>
      <c r="M149" s="184">
        <v>0</v>
      </c>
      <c r="N149" s="231">
        <v>0</v>
      </c>
    </row>
    <row r="150" spans="2:14" ht="13.8" outlineLevel="1" x14ac:dyDescent="0.45">
      <c r="D150" s="211"/>
      <c r="E150" s="206" t="s">
        <v>274</v>
      </c>
      <c r="F150" s="176"/>
      <c r="G150" s="177"/>
      <c r="H150" s="177"/>
      <c r="I150" s="177"/>
      <c r="J150" s="177"/>
      <c r="K150" s="183">
        <v>0</v>
      </c>
      <c r="L150" s="183">
        <v>0</v>
      </c>
      <c r="M150" s="184">
        <v>0</v>
      </c>
      <c r="N150" s="231">
        <v>0</v>
      </c>
    </row>
    <row r="151" spans="2:14" ht="13.8" outlineLevel="1" x14ac:dyDescent="0.45">
      <c r="D151" s="211"/>
      <c r="E151" s="207" t="s">
        <v>275</v>
      </c>
      <c r="F151" s="176"/>
      <c r="G151" s="177"/>
      <c r="H151" s="177"/>
      <c r="I151" s="177"/>
      <c r="J151" s="177"/>
      <c r="K151" s="183">
        <v>0</v>
      </c>
      <c r="L151" s="183">
        <v>0</v>
      </c>
      <c r="M151" s="184">
        <v>0</v>
      </c>
      <c r="N151" s="231">
        <v>0</v>
      </c>
    </row>
    <row r="152" spans="2:14" ht="14.1" outlineLevel="1" thickBot="1" x14ac:dyDescent="0.5">
      <c r="D152" s="211"/>
      <c r="E152" s="209" t="s">
        <v>276</v>
      </c>
      <c r="F152" s="176"/>
      <c r="G152" s="177"/>
      <c r="H152" s="177"/>
      <c r="I152" s="177"/>
      <c r="J152" s="177"/>
      <c r="K152" s="183">
        <v>0</v>
      </c>
      <c r="L152" s="183">
        <v>0</v>
      </c>
      <c r="M152" s="184">
        <v>0</v>
      </c>
      <c r="N152" s="231">
        <v>0</v>
      </c>
    </row>
    <row r="153" spans="2:14" ht="13.8" x14ac:dyDescent="0.45">
      <c r="D153" s="213" t="s">
        <v>290</v>
      </c>
      <c r="E153" s="214" t="s">
        <v>274</v>
      </c>
      <c r="F153" s="176"/>
      <c r="G153" s="177"/>
      <c r="H153" s="177"/>
      <c r="I153" s="177"/>
      <c r="J153" s="177"/>
      <c r="K153" s="178">
        <v>0</v>
      </c>
      <c r="L153" s="178">
        <v>0</v>
      </c>
      <c r="M153" s="179">
        <v>0</v>
      </c>
      <c r="N153" s="230">
        <v>0</v>
      </c>
    </row>
    <row r="154" spans="2:14" ht="14.1" thickBot="1" x14ac:dyDescent="0.5">
      <c r="D154" s="215" t="s">
        <v>291</v>
      </c>
      <c r="E154" s="216" t="s">
        <v>274</v>
      </c>
      <c r="F154" s="188"/>
      <c r="G154" s="189"/>
      <c r="H154" s="189"/>
      <c r="I154" s="189"/>
      <c r="J154" s="189"/>
      <c r="K154" s="232">
        <v>0</v>
      </c>
      <c r="L154" s="232">
        <v>0</v>
      </c>
      <c r="M154" s="233">
        <v>0</v>
      </c>
      <c r="N154" s="234">
        <v>0</v>
      </c>
    </row>
    <row r="156" spans="2:14" s="88" customFormat="1" ht="15" x14ac:dyDescent="0.35">
      <c r="B156" s="88" t="s">
        <v>31</v>
      </c>
    </row>
  </sheetData>
  <mergeCells count="3">
    <mergeCell ref="F11:N11"/>
    <mergeCell ref="F41:N41"/>
    <mergeCell ref="F103:N103"/>
  </mergeCells>
  <conditionalFormatting sqref="B2">
    <cfRule type="cellIs" dxfId="21" priority="1" operator="notEqual">
      <formula>"No Errors Found"</formula>
    </cfRule>
  </conditionalFormatting>
  <dataValidations count="1">
    <dataValidation type="list" allowBlank="1" showInputMessage="1" showErrorMessage="1" sqref="P43:P100" xr:uid="{2B45DC9B-C815-4047-A9C4-508B6F4A675C}">
      <formula1>LU_AER_Expense_Classification</formula1>
    </dataValidation>
  </dataValidations>
  <hyperlinks>
    <hyperlink ref="B3:D3" location="Cover!A1" display="Go to Cover Sheet" xr:uid="{1D04DAF7-2D1E-43A6-BFE6-79CA4E1693B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58058-B284-41DD-8A9D-5F24850FF8B3}">
  <sheetPr>
    <tabColor theme="4" tint="0.59999389629810485"/>
  </sheetPr>
  <dimension ref="A1:P31"/>
  <sheetViews>
    <sheetView showGridLines="0" zoomScaleNormal="100" workbookViewId="0">
      <pane xSplit="1" ySplit="11" topLeftCell="B12" activePane="bottomRight" state="frozen"/>
      <selection activeCell="N11" sqref="F4:U25"/>
      <selection pane="topRight" activeCell="N11" sqref="F4:U25"/>
      <selection pane="bottomLeft" activeCell="N11" sqref="F4:U25"/>
      <selection pane="bottomRight" activeCell="B12" sqref="B12"/>
    </sheetView>
  </sheetViews>
  <sheetFormatPr defaultColWidth="9.33203125" defaultRowHeight="10.199999999999999" outlineLevelRow="1" x14ac:dyDescent="0.35"/>
  <cols>
    <col min="1" max="3" width="2.796875" style="83" customWidth="1"/>
    <col min="4" max="4" width="29.46484375" style="83" customWidth="1"/>
    <col min="5" max="5" width="15.6640625" style="83" customWidth="1"/>
    <col min="6" max="6" width="8.1328125" style="83" bestFit="1" customWidth="1"/>
    <col min="7" max="7" width="12.06640625" style="83" bestFit="1" customWidth="1"/>
    <col min="8" max="8" width="10.1328125" style="83" bestFit="1" customWidth="1"/>
    <col min="9" max="9" width="12.59765625" style="83" customWidth="1"/>
    <col min="10" max="16" width="17.59765625" style="83" customWidth="1"/>
    <col min="17" max="16384" width="9.33203125" style="83"/>
  </cols>
  <sheetData>
    <row r="1" spans="1:16" ht="18.899999999999999" x14ac:dyDescent="0.35">
      <c r="A1" s="65">
        <f>IF(SUM($A13:$A27)&gt;0,1,0)</f>
        <v>0</v>
      </c>
      <c r="B1" s="82" t="s">
        <v>310</v>
      </c>
    </row>
    <row r="2" spans="1:16" x14ac:dyDescent="0.35">
      <c r="B2" s="84" t="str">
        <f>Title_Msg</f>
        <v>No Errors Found</v>
      </c>
    </row>
    <row r="3" spans="1:16" ht="12.3" x14ac:dyDescent="0.35">
      <c r="B3" s="85" t="s">
        <v>50</v>
      </c>
      <c r="C3" s="85"/>
      <c r="D3" s="85"/>
      <c r="E3" s="86"/>
    </row>
    <row r="4" spans="1:16" ht="12.3" x14ac:dyDescent="0.35">
      <c r="B4" s="87" t="str">
        <f>Model_Name</f>
        <v>Cost Benefit Analysis - Advanced Metering within the regulated NT electricity networks</v>
      </c>
      <c r="E4" s="59"/>
      <c r="F4" s="59"/>
      <c r="G4" s="59"/>
      <c r="H4" s="59"/>
      <c r="J4" s="59"/>
      <c r="K4" s="59"/>
    </row>
    <row r="5" spans="1:16" s="127" customFormat="1" x14ac:dyDescent="0.35"/>
    <row r="6" spans="1:16" s="127" customFormat="1" ht="12.3" hidden="1" outlineLevel="1" x14ac:dyDescent="0.35">
      <c r="B6" s="128" t="str">
        <f>Lookup!B15</f>
        <v>Period Start Date</v>
      </c>
      <c r="J6" s="129">
        <f>Lookup!J15</f>
        <v>42917</v>
      </c>
      <c r="K6" s="129">
        <f>Lookup!K15</f>
        <v>43282</v>
      </c>
      <c r="L6" s="129">
        <f>Lookup!L15</f>
        <v>43647</v>
      </c>
      <c r="M6" s="129">
        <f>Lookup!M15</f>
        <v>44013</v>
      </c>
      <c r="N6" s="129">
        <f>Lookup!N15</f>
        <v>44378</v>
      </c>
      <c r="O6" s="129">
        <f>Lookup!O15</f>
        <v>44743</v>
      </c>
      <c r="P6" s="129">
        <f>Lookup!P15</f>
        <v>45108</v>
      </c>
    </row>
    <row r="7" spans="1:16" s="127" customFormat="1" ht="12.3" hidden="1" outlineLevel="1" x14ac:dyDescent="0.35">
      <c r="B7" s="128" t="str">
        <f>Lookup!B16</f>
        <v>Period End Date</v>
      </c>
      <c r="J7" s="129">
        <f>Lookup!J16</f>
        <v>43281</v>
      </c>
      <c r="K7" s="129">
        <f>Lookup!K16</f>
        <v>43646</v>
      </c>
      <c r="L7" s="129">
        <f>Lookup!L16</f>
        <v>44012</v>
      </c>
      <c r="M7" s="129">
        <f>Lookup!M16</f>
        <v>44377</v>
      </c>
      <c r="N7" s="129">
        <f>Lookup!N16</f>
        <v>44742</v>
      </c>
      <c r="O7" s="129">
        <f>Lookup!O16</f>
        <v>45107</v>
      </c>
      <c r="P7" s="129">
        <f>Lookup!P16</f>
        <v>45473</v>
      </c>
    </row>
    <row r="8" spans="1:16" s="127" customFormat="1" ht="12.3" hidden="1" outlineLevel="1" x14ac:dyDescent="0.35">
      <c r="B8" s="128" t="str">
        <f>Lookup!B17</f>
        <v>Period Counter</v>
      </c>
      <c r="J8" s="130">
        <f>Lookup!J17</f>
        <v>1</v>
      </c>
      <c r="K8" s="130">
        <f>Lookup!K17</f>
        <v>2</v>
      </c>
      <c r="L8" s="130">
        <f>Lookup!L17</f>
        <v>3</v>
      </c>
      <c r="M8" s="130">
        <f>Lookup!M17</f>
        <v>4</v>
      </c>
      <c r="N8" s="130">
        <f>Lookup!N17</f>
        <v>5</v>
      </c>
      <c r="O8" s="130">
        <f>Lookup!O17</f>
        <v>6</v>
      </c>
      <c r="P8" s="130">
        <f>Lookup!P17</f>
        <v>7</v>
      </c>
    </row>
    <row r="9" spans="1:16" s="127" customFormat="1" ht="12.3" hidden="1" outlineLevel="1" x14ac:dyDescent="0.35">
      <c r="B9" s="128" t="str">
        <f>Lookup!B18</f>
        <v>Year</v>
      </c>
      <c r="J9" s="131">
        <f>Lookup!J18</f>
        <v>2018</v>
      </c>
      <c r="K9" s="131">
        <f>Lookup!K18</f>
        <v>2019</v>
      </c>
      <c r="L9" s="131">
        <f>Lookup!L18</f>
        <v>2020</v>
      </c>
      <c r="M9" s="131">
        <f>Lookup!M18</f>
        <v>2021</v>
      </c>
      <c r="N9" s="131">
        <f>Lookup!N18</f>
        <v>2022</v>
      </c>
      <c r="O9" s="131">
        <f>Lookup!O18</f>
        <v>2023</v>
      </c>
      <c r="P9" s="131">
        <f>Lookup!P18</f>
        <v>2024</v>
      </c>
    </row>
    <row r="10" spans="1:16" s="127" customFormat="1" ht="12.3" hidden="1" outlineLevel="1" x14ac:dyDescent="0.35">
      <c r="B10" s="128" t="str">
        <f>Lookup!B19</f>
        <v>Period Type</v>
      </c>
      <c r="J10" s="131" t="str">
        <f>Lookup!J19</f>
        <v>Actual</v>
      </c>
      <c r="K10" s="131" t="str">
        <f>Lookup!K19</f>
        <v>Actual</v>
      </c>
      <c r="L10" s="131" t="str">
        <f>Lookup!L19</f>
        <v>Actual</v>
      </c>
      <c r="M10" s="131" t="str">
        <f>Lookup!M19</f>
        <v>Base Year</v>
      </c>
      <c r="N10" s="131" t="str">
        <f>Lookup!N19</f>
        <v>Forecast</v>
      </c>
      <c r="O10" s="131" t="str">
        <f>Lookup!O19</f>
        <v>Forecast</v>
      </c>
      <c r="P10" s="131" t="str">
        <f>Lookup!P19</f>
        <v>Forecast</v>
      </c>
    </row>
    <row r="11" spans="1:16" s="127" customFormat="1" ht="12.3" collapsed="1" x14ac:dyDescent="0.35">
      <c r="B11" s="132" t="str">
        <f>Lookup!B20</f>
        <v>Regulatory Year</v>
      </c>
      <c r="E11" s="133" t="str">
        <f>Lookup!E20</f>
        <v>Source</v>
      </c>
      <c r="F11" s="133" t="str">
        <f>Lookup!F20</f>
        <v>Unit</v>
      </c>
      <c r="G11" s="133" t="str">
        <f>Lookup!G20</f>
        <v>Basis</v>
      </c>
      <c r="H11" s="133" t="str">
        <f>Lookup!H20</f>
        <v>Timing</v>
      </c>
      <c r="J11" s="133" t="str">
        <f>Lookup!J20</f>
        <v>RY18</v>
      </c>
      <c r="K11" s="133" t="str">
        <f>Lookup!K20</f>
        <v>RY19</v>
      </c>
      <c r="L11" s="133" t="str">
        <f>Lookup!L20</f>
        <v>RY20</v>
      </c>
      <c r="M11" s="133" t="str">
        <f>Lookup!M20</f>
        <v>RY21</v>
      </c>
      <c r="N11" s="133" t="str">
        <f>Lookup!N20</f>
        <v>RY22</v>
      </c>
      <c r="O11" s="133" t="str">
        <f>Lookup!O20</f>
        <v>RY23</v>
      </c>
      <c r="P11" s="133" t="str">
        <f>Lookup!P20</f>
        <v>RY24</v>
      </c>
    </row>
    <row r="12" spans="1:16" s="127" customFormat="1" x14ac:dyDescent="0.35"/>
    <row r="13" spans="1:16" s="88" customFormat="1" ht="15" x14ac:dyDescent="0.35">
      <c r="B13" s="88" t="str">
        <f>B1</f>
        <v>Input - Non network capex assumptions</v>
      </c>
    </row>
    <row r="15" spans="1:16" s="90" customFormat="1" ht="14.1" x14ac:dyDescent="0.35">
      <c r="C15" s="90" t="s">
        <v>311</v>
      </c>
    </row>
    <row r="17" spans="1:16" ht="12.3" x14ac:dyDescent="0.35">
      <c r="D17" s="68" t="s">
        <v>88</v>
      </c>
      <c r="E17" s="67" t="s">
        <v>63</v>
      </c>
      <c r="F17" s="67" t="s">
        <v>64</v>
      </c>
      <c r="G17" s="67" t="s">
        <v>65</v>
      </c>
      <c r="H17" s="67" t="s">
        <v>66</v>
      </c>
      <c r="I17" s="7"/>
      <c r="J17" s="67" t="str">
        <f>Lookup!J$20</f>
        <v>RY18</v>
      </c>
      <c r="K17" s="67" t="str">
        <f>Lookup!K$20</f>
        <v>RY19</v>
      </c>
      <c r="L17" s="67" t="str">
        <f>Lookup!L$20</f>
        <v>RY20</v>
      </c>
      <c r="M17" s="67" t="str">
        <f>Lookup!M$20</f>
        <v>RY21</v>
      </c>
      <c r="N17" s="67" t="str">
        <f>Lookup!N$20</f>
        <v>RY22</v>
      </c>
      <c r="O17" s="67" t="str">
        <f>Lookup!O$20</f>
        <v>RY23</v>
      </c>
      <c r="P17" s="67" t="str">
        <f>Lookup!P$20</f>
        <v>RY24</v>
      </c>
    </row>
    <row r="19" spans="1:16" ht="12.3" x14ac:dyDescent="0.35">
      <c r="D19" s="12" t="s">
        <v>368</v>
      </c>
      <c r="E19" s="69" t="s">
        <v>198</v>
      </c>
      <c r="F19" s="62" t="str">
        <f>Dollars</f>
        <v>Dollars</v>
      </c>
      <c r="G19" s="62" t="str">
        <f>Real2018</f>
        <v>Real $2018</v>
      </c>
      <c r="H19" s="62" t="str">
        <f>End_year</f>
        <v>End year</v>
      </c>
      <c r="J19" s="92">
        <v>0</v>
      </c>
      <c r="K19" s="92">
        <v>0</v>
      </c>
      <c r="L19" s="92">
        <v>378650</v>
      </c>
      <c r="M19" s="92">
        <v>74760</v>
      </c>
      <c r="N19" s="92">
        <v>30936</v>
      </c>
      <c r="O19" s="92">
        <v>152815</v>
      </c>
      <c r="P19" s="92">
        <v>94104</v>
      </c>
    </row>
    <row r="21" spans="1:16" ht="12.3" x14ac:dyDescent="0.35">
      <c r="D21" s="12" t="s">
        <v>312</v>
      </c>
      <c r="E21" s="69" t="s">
        <v>198</v>
      </c>
      <c r="F21" s="62" t="str">
        <f>Dollars</f>
        <v>Dollars</v>
      </c>
      <c r="G21" s="62" t="str">
        <f>Real2018</f>
        <v>Real $2018</v>
      </c>
      <c r="H21" s="62" t="str">
        <f>End_year</f>
        <v>End year</v>
      </c>
      <c r="J21" s="92">
        <v>0</v>
      </c>
      <c r="K21" s="92">
        <v>0</v>
      </c>
      <c r="L21" s="92">
        <v>0</v>
      </c>
      <c r="M21" s="92">
        <v>0</v>
      </c>
      <c r="N21" s="92">
        <v>0</v>
      </c>
      <c r="O21" s="92">
        <v>0</v>
      </c>
      <c r="P21" s="92">
        <v>0</v>
      </c>
    </row>
    <row r="22" spans="1:16" ht="12.3" x14ac:dyDescent="0.35">
      <c r="D22" s="12" t="s">
        <v>313</v>
      </c>
      <c r="E22" s="62" t="str">
        <f t="shared" ref="E22:E24" si="0">E21</f>
        <v>PowerWater</v>
      </c>
      <c r="F22" s="62" t="str">
        <f>Dollars</f>
        <v>Dollars</v>
      </c>
      <c r="G22" s="62" t="str">
        <f>Real2018</f>
        <v>Real $2018</v>
      </c>
      <c r="H22" s="62" t="str">
        <f>End_year</f>
        <v>End year</v>
      </c>
      <c r="J22" s="92">
        <v>0</v>
      </c>
      <c r="K22" s="92">
        <v>0</v>
      </c>
      <c r="L22" s="92">
        <v>0</v>
      </c>
      <c r="M22" s="92">
        <v>0</v>
      </c>
      <c r="N22" s="92">
        <v>0</v>
      </c>
      <c r="O22" s="92">
        <v>0</v>
      </c>
      <c r="P22" s="92">
        <v>0</v>
      </c>
    </row>
    <row r="23" spans="1:16" ht="12.3" x14ac:dyDescent="0.35">
      <c r="D23" s="12" t="s">
        <v>315</v>
      </c>
      <c r="E23" s="62" t="str">
        <f t="shared" si="0"/>
        <v>PowerWater</v>
      </c>
      <c r="F23" s="62" t="str">
        <f>Dollars</f>
        <v>Dollars</v>
      </c>
      <c r="G23" s="62" t="str">
        <f>Real2018</f>
        <v>Real $2018</v>
      </c>
      <c r="H23" s="62" t="str">
        <f>End_year</f>
        <v>End year</v>
      </c>
      <c r="J23" s="92">
        <v>0</v>
      </c>
      <c r="K23" s="92">
        <v>0</v>
      </c>
      <c r="L23" s="92">
        <v>0</v>
      </c>
      <c r="M23" s="92">
        <v>0</v>
      </c>
      <c r="N23" s="92">
        <v>0</v>
      </c>
      <c r="O23" s="92">
        <v>0</v>
      </c>
      <c r="P23" s="92">
        <v>0</v>
      </c>
    </row>
    <row r="24" spans="1:16" ht="12.3" x14ac:dyDescent="0.35">
      <c r="D24" s="12" t="s">
        <v>314</v>
      </c>
      <c r="E24" s="62" t="str">
        <f t="shared" si="0"/>
        <v>PowerWater</v>
      </c>
      <c r="F24" s="62" t="str">
        <f>Dollars</f>
        <v>Dollars</v>
      </c>
      <c r="G24" s="62" t="str">
        <f>Real2018</f>
        <v>Real $2018</v>
      </c>
      <c r="H24" s="62" t="str">
        <f>End_year</f>
        <v>End year</v>
      </c>
      <c r="J24" s="92">
        <v>0</v>
      </c>
      <c r="K24" s="92">
        <v>0</v>
      </c>
      <c r="L24" s="92">
        <v>0</v>
      </c>
      <c r="M24" s="92">
        <v>0</v>
      </c>
      <c r="N24" s="92">
        <v>0</v>
      </c>
      <c r="O24" s="92">
        <v>0</v>
      </c>
      <c r="P24" s="92">
        <v>0</v>
      </c>
    </row>
    <row r="25" spans="1:16" x14ac:dyDescent="0.35">
      <c r="J25" s="237"/>
      <c r="K25" s="237"/>
      <c r="L25" s="237"/>
      <c r="M25" s="237"/>
      <c r="N25" s="237"/>
      <c r="O25" s="237"/>
      <c r="P25" s="237"/>
    </row>
    <row r="26" spans="1:16" ht="12.3" x14ac:dyDescent="0.35">
      <c r="D26" s="91" t="s">
        <v>226</v>
      </c>
      <c r="E26" s="94" t="s">
        <v>89</v>
      </c>
      <c r="F26" s="94" t="str">
        <f>F21</f>
        <v>Dollars</v>
      </c>
      <c r="G26" s="94" t="str">
        <f>G21</f>
        <v>Real $2018</v>
      </c>
      <c r="H26" s="94" t="str">
        <f>H21</f>
        <v>End year</v>
      </c>
      <c r="J26" s="139">
        <f t="shared" ref="J26:P26" si="1">SUM(J21:J24)</f>
        <v>0</v>
      </c>
      <c r="K26" s="139">
        <f t="shared" si="1"/>
        <v>0</v>
      </c>
      <c r="L26" s="139">
        <f t="shared" si="1"/>
        <v>0</v>
      </c>
      <c r="M26" s="139">
        <f t="shared" si="1"/>
        <v>0</v>
      </c>
      <c r="N26" s="139">
        <f t="shared" si="1"/>
        <v>0</v>
      </c>
      <c r="O26" s="139">
        <f t="shared" si="1"/>
        <v>0</v>
      </c>
      <c r="P26" s="139">
        <f t="shared" si="1"/>
        <v>0</v>
      </c>
    </row>
    <row r="28" spans="1:16" s="127" customFormat="1" ht="12.3" x14ac:dyDescent="0.35">
      <c r="A28" s="126">
        <f>IF(SUM($J28:$P28)&gt;0,1,0)</f>
        <v>0</v>
      </c>
      <c r="D28" s="128" t="s">
        <v>92</v>
      </c>
      <c r="J28" s="137">
        <f>IF(ISERROR(J26),1,0)</f>
        <v>0</v>
      </c>
      <c r="K28" s="137">
        <f t="shared" ref="K28:P28" si="2">IF(ISERROR(K26),1,0)</f>
        <v>0</v>
      </c>
      <c r="L28" s="137">
        <f t="shared" si="2"/>
        <v>0</v>
      </c>
      <c r="M28" s="137">
        <f t="shared" si="2"/>
        <v>0</v>
      </c>
      <c r="N28" s="137">
        <f t="shared" si="2"/>
        <v>0</v>
      </c>
      <c r="O28" s="137">
        <f t="shared" si="2"/>
        <v>0</v>
      </c>
      <c r="P28" s="137">
        <f t="shared" si="2"/>
        <v>0</v>
      </c>
    </row>
    <row r="30" spans="1:16" s="88" customFormat="1" ht="15" x14ac:dyDescent="0.35">
      <c r="B30" s="88" t="s">
        <v>31</v>
      </c>
    </row>
    <row r="31" spans="1:16" x14ac:dyDescent="0.35">
      <c r="B31" s="155" t="s">
        <v>248</v>
      </c>
    </row>
  </sheetData>
  <dataConsolidate/>
  <conditionalFormatting sqref="B2">
    <cfRule type="cellIs" dxfId="20" priority="1" operator="notEqual">
      <formula>"No Errors Found"</formula>
    </cfRule>
  </conditionalFormatting>
  <hyperlinks>
    <hyperlink ref="B3:D3" location="Cover!A1" display="Go to Cover Sheet" xr:uid="{B23688C9-1201-4450-BCE1-5CA8CEADCDD7}"/>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A464B-C4BE-4524-A3E2-C6C066317F27}">
  <sheetPr>
    <tabColor rgb="FFFFFF00"/>
  </sheetPr>
  <dimension ref="A1:AW11"/>
  <sheetViews>
    <sheetView showGridLines="0" zoomScaleNormal="100" workbookViewId="0">
      <pane xSplit="1" ySplit="11" topLeftCell="B12" activePane="bottomRight" state="frozen"/>
      <selection activeCell="N11" sqref="F4:U25"/>
      <selection pane="topRight" activeCell="N11" sqref="F4:U25"/>
      <selection pane="bottomLeft" activeCell="N11" sqref="F4:U25"/>
      <selection pane="bottomRight" activeCell="B12" sqref="B12"/>
    </sheetView>
  </sheetViews>
  <sheetFormatPr defaultColWidth="9.33203125" defaultRowHeight="10.199999999999999" outlineLevelRow="1" x14ac:dyDescent="0.35"/>
  <cols>
    <col min="1" max="3" width="2.796875" style="127" customWidth="1"/>
    <col min="4" max="4" width="71.59765625" style="127" customWidth="1"/>
    <col min="5" max="5" width="25.796875" style="127" customWidth="1"/>
    <col min="6" max="6" width="12.59765625" style="127" customWidth="1"/>
    <col min="7" max="7" width="20.6640625" style="127" customWidth="1"/>
    <col min="8" max="8" width="12.59765625" style="127" customWidth="1"/>
    <col min="9" max="9" width="17.9296875" style="127" customWidth="1"/>
    <col min="10" max="49" width="16.59765625" style="127" customWidth="1"/>
    <col min="50" max="16384" width="9.33203125" style="127"/>
  </cols>
  <sheetData>
    <row r="1" spans="1:49" s="251" customFormat="1" ht="18.899999999999999" x14ac:dyDescent="0.35">
      <c r="A1" s="249">
        <f>IF(SUM($A11:$A1134)&gt;0,1,0)</f>
        <v>0</v>
      </c>
      <c r="B1" s="250" t="str">
        <f>"Calculations - "&amp;INDEX(LU_Scenario_Name,$J$1)</f>
        <v>Calculations - Base Case - Advanced capable meters</v>
      </c>
      <c r="F1" s="246" t="s">
        <v>326</v>
      </c>
      <c r="I1" s="252" t="s">
        <v>126</v>
      </c>
      <c r="J1" s="253">
        <v>2</v>
      </c>
    </row>
    <row r="2" spans="1:49" s="251" customFormat="1" x14ac:dyDescent="0.35">
      <c r="B2" s="254" t="str">
        <f>Title_Msg</f>
        <v>No Errors Found</v>
      </c>
    </row>
    <row r="3" spans="1:49" s="251" customFormat="1" ht="12.3" x14ac:dyDescent="0.35">
      <c r="B3" s="255" t="s">
        <v>50</v>
      </c>
      <c r="C3" s="255"/>
      <c r="D3" s="255"/>
      <c r="E3" s="256"/>
    </row>
    <row r="4" spans="1:49" s="251" customFormat="1" ht="12.3" x14ac:dyDescent="0.35">
      <c r="B4" s="257" t="str">
        <f>Model_Name</f>
        <v>Cost Benefit Analysis - Advanced Metering within the regulated NT electricity networks</v>
      </c>
    </row>
    <row r="6" spans="1:49" ht="12.3" hidden="1" outlineLevel="1" x14ac:dyDescent="0.35">
      <c r="B6" s="128" t="str">
        <f>Lookup!B15</f>
        <v>Period Start Date</v>
      </c>
      <c r="J6" s="129">
        <f>Lookup!J15</f>
        <v>42917</v>
      </c>
      <c r="K6" s="129">
        <f>Lookup!K15</f>
        <v>43282</v>
      </c>
      <c r="L6" s="129">
        <f>Lookup!L15</f>
        <v>43647</v>
      </c>
      <c r="M6" s="129">
        <f>Lookup!M15</f>
        <v>44013</v>
      </c>
      <c r="N6" s="129">
        <f>Lookup!N15</f>
        <v>44378</v>
      </c>
      <c r="O6" s="129">
        <f>Lookup!O15</f>
        <v>44743</v>
      </c>
      <c r="P6" s="129">
        <f>Lookup!P15</f>
        <v>45108</v>
      </c>
      <c r="Q6" s="129">
        <f>Lookup!Q15</f>
        <v>45474</v>
      </c>
      <c r="R6" s="129">
        <f>Lookup!R15</f>
        <v>45839</v>
      </c>
      <c r="S6" s="129">
        <f>Lookup!S15</f>
        <v>46204</v>
      </c>
      <c r="T6" s="129">
        <f>Lookup!T15</f>
        <v>46569</v>
      </c>
      <c r="U6" s="129">
        <f>Lookup!U15</f>
        <v>46935</v>
      </c>
      <c r="V6" s="129">
        <f>Lookup!V15</f>
        <v>47300</v>
      </c>
      <c r="W6" s="129">
        <f>Lookup!W15</f>
        <v>47665</v>
      </c>
      <c r="X6" s="129">
        <f>Lookup!X15</f>
        <v>48030</v>
      </c>
      <c r="Y6" s="129">
        <f>Lookup!Y15</f>
        <v>48396</v>
      </c>
      <c r="Z6" s="129">
        <f>Lookup!Z15</f>
        <v>48761</v>
      </c>
      <c r="AA6" s="129">
        <f>Lookup!AA15</f>
        <v>49126</v>
      </c>
      <c r="AB6" s="129">
        <f>Lookup!AB15</f>
        <v>49491</v>
      </c>
      <c r="AC6" s="129">
        <f>Lookup!AC15</f>
        <v>49857</v>
      </c>
      <c r="AD6" s="129">
        <f>Lookup!AD15</f>
        <v>50222</v>
      </c>
      <c r="AE6" s="129">
        <f>Lookup!AE15</f>
        <v>50587</v>
      </c>
      <c r="AF6" s="129">
        <f>Lookup!AF15</f>
        <v>50952</v>
      </c>
      <c r="AG6" s="129">
        <f>Lookup!AG15</f>
        <v>51318</v>
      </c>
      <c r="AH6" s="129">
        <f>Lookup!AH15</f>
        <v>51683</v>
      </c>
      <c r="AI6" s="129">
        <f>Lookup!AI15</f>
        <v>52048</v>
      </c>
      <c r="AJ6" s="129">
        <f>Lookup!AJ15</f>
        <v>52413</v>
      </c>
      <c r="AK6" s="129">
        <f>Lookup!AK15</f>
        <v>52779</v>
      </c>
      <c r="AL6" s="129">
        <f>Lookup!AL15</f>
        <v>53144</v>
      </c>
      <c r="AM6" s="129">
        <f>Lookup!AM15</f>
        <v>53509</v>
      </c>
      <c r="AN6" s="129">
        <f>Lookup!AN15</f>
        <v>53874</v>
      </c>
      <c r="AO6" s="129">
        <f>Lookup!AO15</f>
        <v>54240</v>
      </c>
      <c r="AP6" s="129">
        <f>Lookup!AP15</f>
        <v>54605</v>
      </c>
      <c r="AQ6" s="129">
        <f>Lookup!AQ15</f>
        <v>54970</v>
      </c>
      <c r="AR6" s="129">
        <f>Lookup!AR15</f>
        <v>55335</v>
      </c>
      <c r="AS6" s="129">
        <f>Lookup!AS15</f>
        <v>55701</v>
      </c>
      <c r="AT6" s="129">
        <f>Lookup!AT15</f>
        <v>56066</v>
      </c>
      <c r="AU6" s="129">
        <f>Lookup!AU15</f>
        <v>56431</v>
      </c>
      <c r="AV6" s="129">
        <f>Lookup!AV15</f>
        <v>56796</v>
      </c>
      <c r="AW6" s="129">
        <f>Lookup!AW15</f>
        <v>57162</v>
      </c>
    </row>
    <row r="7" spans="1:49" ht="12.3" hidden="1" outlineLevel="1" x14ac:dyDescent="0.35">
      <c r="B7" s="128" t="str">
        <f>Lookup!B16</f>
        <v>Period End Date</v>
      </c>
      <c r="J7" s="129">
        <f>Lookup!J16</f>
        <v>43281</v>
      </c>
      <c r="K7" s="129">
        <f>Lookup!K16</f>
        <v>43646</v>
      </c>
      <c r="L7" s="129">
        <f>Lookup!L16</f>
        <v>44012</v>
      </c>
      <c r="M7" s="129">
        <f>Lookup!M16</f>
        <v>44377</v>
      </c>
      <c r="N7" s="129">
        <f>Lookup!N16</f>
        <v>44742</v>
      </c>
      <c r="O7" s="129">
        <f>Lookup!O16</f>
        <v>45107</v>
      </c>
      <c r="P7" s="129">
        <f>Lookup!P16</f>
        <v>45473</v>
      </c>
      <c r="Q7" s="129">
        <f>Lookup!Q16</f>
        <v>45838</v>
      </c>
      <c r="R7" s="129">
        <f>Lookup!R16</f>
        <v>46203</v>
      </c>
      <c r="S7" s="129">
        <f>Lookup!S16</f>
        <v>46568</v>
      </c>
      <c r="T7" s="129">
        <f>Lookup!T16</f>
        <v>46934</v>
      </c>
      <c r="U7" s="129">
        <f>Lookup!U16</f>
        <v>47299</v>
      </c>
      <c r="V7" s="129">
        <f>Lookup!V16</f>
        <v>47664</v>
      </c>
      <c r="W7" s="129">
        <f>Lookup!W16</f>
        <v>48029</v>
      </c>
      <c r="X7" s="129">
        <f>Lookup!X16</f>
        <v>48395</v>
      </c>
      <c r="Y7" s="129">
        <f>Lookup!Y16</f>
        <v>48760</v>
      </c>
      <c r="Z7" s="129">
        <f>Lookup!Z16</f>
        <v>49125</v>
      </c>
      <c r="AA7" s="129">
        <f>Lookup!AA16</f>
        <v>49490</v>
      </c>
      <c r="AB7" s="129">
        <f>Lookup!AB16</f>
        <v>49856</v>
      </c>
      <c r="AC7" s="129">
        <f>Lookup!AC16</f>
        <v>50221</v>
      </c>
      <c r="AD7" s="129">
        <f>Lookup!AD16</f>
        <v>50586</v>
      </c>
      <c r="AE7" s="129">
        <f>Lookup!AE16</f>
        <v>50951</v>
      </c>
      <c r="AF7" s="129">
        <f>Lookup!AF16</f>
        <v>51317</v>
      </c>
      <c r="AG7" s="129">
        <f>Lookup!AG16</f>
        <v>51682</v>
      </c>
      <c r="AH7" s="129">
        <f>Lookup!AH16</f>
        <v>52047</v>
      </c>
      <c r="AI7" s="129">
        <f>Lookup!AI16</f>
        <v>52412</v>
      </c>
      <c r="AJ7" s="129">
        <f>Lookup!AJ16</f>
        <v>52778</v>
      </c>
      <c r="AK7" s="129">
        <f>Lookup!AK16</f>
        <v>53143</v>
      </c>
      <c r="AL7" s="129">
        <f>Lookup!AL16</f>
        <v>53508</v>
      </c>
      <c r="AM7" s="129">
        <f>Lookup!AM16</f>
        <v>53873</v>
      </c>
      <c r="AN7" s="129">
        <f>Lookup!AN16</f>
        <v>54239</v>
      </c>
      <c r="AO7" s="129">
        <f>Lookup!AO16</f>
        <v>54604</v>
      </c>
      <c r="AP7" s="129">
        <f>Lookup!AP16</f>
        <v>54969</v>
      </c>
      <c r="AQ7" s="129">
        <f>Lookup!AQ16</f>
        <v>55334</v>
      </c>
      <c r="AR7" s="129">
        <f>Lookup!AR16</f>
        <v>55700</v>
      </c>
      <c r="AS7" s="129">
        <f>Lookup!AS16</f>
        <v>56065</v>
      </c>
      <c r="AT7" s="129">
        <f>Lookup!AT16</f>
        <v>56430</v>
      </c>
      <c r="AU7" s="129">
        <f>Lookup!AU16</f>
        <v>56795</v>
      </c>
      <c r="AV7" s="129">
        <f>Lookup!AV16</f>
        <v>57161</v>
      </c>
      <c r="AW7" s="129">
        <f>Lookup!AW16</f>
        <v>57526</v>
      </c>
    </row>
    <row r="8" spans="1:49" ht="12.3" hidden="1" outlineLevel="1" x14ac:dyDescent="0.35">
      <c r="B8" s="128" t="str">
        <f>Lookup!B17</f>
        <v>Period Counter</v>
      </c>
      <c r="J8" s="130">
        <f>Lookup!J17</f>
        <v>1</v>
      </c>
      <c r="K8" s="130">
        <f>Lookup!K17</f>
        <v>2</v>
      </c>
      <c r="L8" s="130">
        <f>Lookup!L17</f>
        <v>3</v>
      </c>
      <c r="M8" s="130">
        <f>Lookup!M17</f>
        <v>4</v>
      </c>
      <c r="N8" s="130">
        <f>Lookup!N17</f>
        <v>5</v>
      </c>
      <c r="O8" s="130">
        <f>Lookup!O17</f>
        <v>6</v>
      </c>
      <c r="P8" s="130">
        <f>Lookup!P17</f>
        <v>7</v>
      </c>
      <c r="Q8" s="130">
        <f>Lookup!Q17</f>
        <v>8</v>
      </c>
      <c r="R8" s="130">
        <f>Lookup!R17</f>
        <v>9</v>
      </c>
      <c r="S8" s="130">
        <f>Lookup!S17</f>
        <v>10</v>
      </c>
      <c r="T8" s="130">
        <f>Lookup!T17</f>
        <v>11</v>
      </c>
      <c r="U8" s="130">
        <f>Lookup!U17</f>
        <v>12</v>
      </c>
      <c r="V8" s="130">
        <f>Lookup!V17</f>
        <v>13</v>
      </c>
      <c r="W8" s="130">
        <f>Lookup!W17</f>
        <v>14</v>
      </c>
      <c r="X8" s="130">
        <f>Lookup!X17</f>
        <v>15</v>
      </c>
      <c r="Y8" s="130">
        <f>Lookup!Y17</f>
        <v>16</v>
      </c>
      <c r="Z8" s="130">
        <f>Lookup!Z17</f>
        <v>17</v>
      </c>
      <c r="AA8" s="130">
        <f>Lookup!AA17</f>
        <v>18</v>
      </c>
      <c r="AB8" s="130">
        <f>Lookup!AB17</f>
        <v>19</v>
      </c>
      <c r="AC8" s="130">
        <f>Lookup!AC17</f>
        <v>20</v>
      </c>
      <c r="AD8" s="130">
        <f>Lookup!AD17</f>
        <v>21</v>
      </c>
      <c r="AE8" s="130">
        <f>Lookup!AE17</f>
        <v>22</v>
      </c>
      <c r="AF8" s="130">
        <f>Lookup!AF17</f>
        <v>23</v>
      </c>
      <c r="AG8" s="130">
        <f>Lookup!AG17</f>
        <v>24</v>
      </c>
      <c r="AH8" s="130">
        <f>Lookup!AH17</f>
        <v>25</v>
      </c>
      <c r="AI8" s="130">
        <f>Lookup!AI17</f>
        <v>26</v>
      </c>
      <c r="AJ8" s="130">
        <f>Lookup!AJ17</f>
        <v>27</v>
      </c>
      <c r="AK8" s="130">
        <f>Lookup!AK17</f>
        <v>28</v>
      </c>
      <c r="AL8" s="130">
        <f>Lookup!AL17</f>
        <v>29</v>
      </c>
      <c r="AM8" s="130">
        <f>Lookup!AM17</f>
        <v>30</v>
      </c>
      <c r="AN8" s="130">
        <f>Lookup!AN17</f>
        <v>31</v>
      </c>
      <c r="AO8" s="130">
        <f>Lookup!AO17</f>
        <v>32</v>
      </c>
      <c r="AP8" s="130">
        <f>Lookup!AP17</f>
        <v>33</v>
      </c>
      <c r="AQ8" s="130">
        <f>Lookup!AQ17</f>
        <v>34</v>
      </c>
      <c r="AR8" s="130">
        <f>Lookup!AR17</f>
        <v>35</v>
      </c>
      <c r="AS8" s="130">
        <f>Lookup!AS17</f>
        <v>36</v>
      </c>
      <c r="AT8" s="130">
        <f>Lookup!AT17</f>
        <v>37</v>
      </c>
      <c r="AU8" s="130">
        <f>Lookup!AU17</f>
        <v>38</v>
      </c>
      <c r="AV8" s="130">
        <f>Lookup!AV17</f>
        <v>39</v>
      </c>
      <c r="AW8" s="130">
        <f>Lookup!AW17</f>
        <v>40</v>
      </c>
    </row>
    <row r="9" spans="1:49" ht="12.3" hidden="1" outlineLevel="1" x14ac:dyDescent="0.35">
      <c r="B9" s="128" t="str">
        <f>Lookup!B18</f>
        <v>Year</v>
      </c>
      <c r="J9" s="131">
        <f>Lookup!J18</f>
        <v>2018</v>
      </c>
      <c r="K9" s="131">
        <f>Lookup!K18</f>
        <v>2019</v>
      </c>
      <c r="L9" s="131">
        <f>Lookup!L18</f>
        <v>2020</v>
      </c>
      <c r="M9" s="131">
        <f>Lookup!M18</f>
        <v>2021</v>
      </c>
      <c r="N9" s="131">
        <f>Lookup!N18</f>
        <v>2022</v>
      </c>
      <c r="O9" s="131">
        <f>Lookup!O18</f>
        <v>2023</v>
      </c>
      <c r="P9" s="131">
        <f>Lookup!P18</f>
        <v>2024</v>
      </c>
      <c r="Q9" s="131">
        <f>Lookup!Q18</f>
        <v>2025</v>
      </c>
      <c r="R9" s="131">
        <f>Lookup!R18</f>
        <v>2026</v>
      </c>
      <c r="S9" s="131">
        <f>Lookup!S18</f>
        <v>2027</v>
      </c>
      <c r="T9" s="131">
        <f>Lookup!T18</f>
        <v>2028</v>
      </c>
      <c r="U9" s="131">
        <f>Lookup!U18</f>
        <v>2029</v>
      </c>
      <c r="V9" s="131">
        <f>Lookup!V18</f>
        <v>2030</v>
      </c>
      <c r="W9" s="131">
        <f>Lookup!W18</f>
        <v>2031</v>
      </c>
      <c r="X9" s="131">
        <f>Lookup!X18</f>
        <v>2032</v>
      </c>
      <c r="Y9" s="131">
        <f>Lookup!Y18</f>
        <v>2033</v>
      </c>
      <c r="Z9" s="131">
        <f>Lookup!Z18</f>
        <v>2034</v>
      </c>
      <c r="AA9" s="131">
        <f>Lookup!AA18</f>
        <v>2035</v>
      </c>
      <c r="AB9" s="131">
        <f>Lookup!AB18</f>
        <v>2036</v>
      </c>
      <c r="AC9" s="131">
        <f>Lookup!AC18</f>
        <v>2037</v>
      </c>
      <c r="AD9" s="131">
        <f>Lookup!AD18</f>
        <v>2038</v>
      </c>
      <c r="AE9" s="131">
        <f>Lookup!AE18</f>
        <v>2039</v>
      </c>
      <c r="AF9" s="131">
        <f>Lookup!AF18</f>
        <v>2040</v>
      </c>
      <c r="AG9" s="131">
        <f>Lookup!AG18</f>
        <v>2041</v>
      </c>
      <c r="AH9" s="131">
        <f>Lookup!AH18</f>
        <v>2042</v>
      </c>
      <c r="AI9" s="131">
        <f>Lookup!AI18</f>
        <v>2043</v>
      </c>
      <c r="AJ9" s="131">
        <f>Lookup!AJ18</f>
        <v>2044</v>
      </c>
      <c r="AK9" s="131">
        <f>Lookup!AK18</f>
        <v>2045</v>
      </c>
      <c r="AL9" s="131">
        <f>Lookup!AL18</f>
        <v>2046</v>
      </c>
      <c r="AM9" s="131">
        <f>Lookup!AM18</f>
        <v>2047</v>
      </c>
      <c r="AN9" s="131">
        <f>Lookup!AN18</f>
        <v>2048</v>
      </c>
      <c r="AO9" s="131">
        <f>Lookup!AO18</f>
        <v>2049</v>
      </c>
      <c r="AP9" s="131">
        <f>Lookup!AP18</f>
        <v>2050</v>
      </c>
      <c r="AQ9" s="131">
        <f>Lookup!AQ18</f>
        <v>2051</v>
      </c>
      <c r="AR9" s="131">
        <f>Lookup!AR18</f>
        <v>2052</v>
      </c>
      <c r="AS9" s="131">
        <f>Lookup!AS18</f>
        <v>2053</v>
      </c>
      <c r="AT9" s="131">
        <f>Lookup!AT18</f>
        <v>2054</v>
      </c>
      <c r="AU9" s="131">
        <f>Lookup!AU18</f>
        <v>2055</v>
      </c>
      <c r="AV9" s="131">
        <f>Lookup!AV18</f>
        <v>2056</v>
      </c>
      <c r="AW9" s="131">
        <f>Lookup!AW18</f>
        <v>2057</v>
      </c>
    </row>
    <row r="10" spans="1:49" ht="12.3" hidden="1" outlineLevel="1" x14ac:dyDescent="0.35">
      <c r="B10" s="128" t="str">
        <f>Lookup!B19</f>
        <v>Period Type</v>
      </c>
      <c r="J10" s="131" t="str">
        <f>Lookup!J19</f>
        <v>Actual</v>
      </c>
      <c r="K10" s="131" t="str">
        <f>Lookup!K19</f>
        <v>Actual</v>
      </c>
      <c r="L10" s="131" t="str">
        <f>Lookup!L19</f>
        <v>Actual</v>
      </c>
      <c r="M10" s="131" t="str">
        <f>Lookup!M19</f>
        <v>Base Year</v>
      </c>
      <c r="N10" s="131" t="str">
        <f>Lookup!N19</f>
        <v>Forecast</v>
      </c>
      <c r="O10" s="131" t="str">
        <f>Lookup!O19</f>
        <v>Forecast</v>
      </c>
      <c r="P10" s="131" t="str">
        <f>Lookup!P19</f>
        <v>Forecast</v>
      </c>
      <c r="Q10" s="131" t="str">
        <f>Lookup!Q19</f>
        <v>Forecast</v>
      </c>
      <c r="R10" s="131" t="str">
        <f>Lookup!R19</f>
        <v>Forecast</v>
      </c>
      <c r="S10" s="131" t="str">
        <f>Lookup!S19</f>
        <v>Forecast</v>
      </c>
      <c r="T10" s="131" t="str">
        <f>Lookup!T19</f>
        <v>Forecast</v>
      </c>
      <c r="U10" s="131" t="str">
        <f>Lookup!U19</f>
        <v>Forecast</v>
      </c>
      <c r="V10" s="131" t="str">
        <f>Lookup!V19</f>
        <v>Forecast</v>
      </c>
      <c r="W10" s="131" t="str">
        <f>Lookup!W19</f>
        <v>Forecast</v>
      </c>
      <c r="X10" s="131" t="str">
        <f>Lookup!X19</f>
        <v>Forecast</v>
      </c>
      <c r="Y10" s="131" t="str">
        <f>Lookup!Y19</f>
        <v>Forecast</v>
      </c>
      <c r="Z10" s="131" t="str">
        <f>Lookup!Z19</f>
        <v>Forecast</v>
      </c>
      <c r="AA10" s="131" t="str">
        <f>Lookup!AA19</f>
        <v>Forecast</v>
      </c>
      <c r="AB10" s="131" t="str">
        <f>Lookup!AB19</f>
        <v>Forecast</v>
      </c>
      <c r="AC10" s="131" t="str">
        <f>Lookup!AC19</f>
        <v>Forecast</v>
      </c>
      <c r="AD10" s="131" t="str">
        <f>Lookup!AD19</f>
        <v>Forecast</v>
      </c>
      <c r="AE10" s="131" t="str">
        <f>Lookup!AE19</f>
        <v>Forecast</v>
      </c>
      <c r="AF10" s="131" t="str">
        <f>Lookup!AF19</f>
        <v>Forecast</v>
      </c>
      <c r="AG10" s="131" t="str">
        <f>Lookup!AG19</f>
        <v>Forecast</v>
      </c>
      <c r="AH10" s="131" t="str">
        <f>Lookup!AH19</f>
        <v>Forecast</v>
      </c>
      <c r="AI10" s="131" t="str">
        <f>Lookup!AI19</f>
        <v>Forecast</v>
      </c>
      <c r="AJ10" s="131" t="str">
        <f>Lookup!AJ19</f>
        <v>Forecast</v>
      </c>
      <c r="AK10" s="131" t="str">
        <f>Lookup!AK19</f>
        <v>Forecast</v>
      </c>
      <c r="AL10" s="131" t="str">
        <f>Lookup!AL19</f>
        <v>Forecast</v>
      </c>
      <c r="AM10" s="131" t="str">
        <f>Lookup!AM19</f>
        <v>Forecast</v>
      </c>
      <c r="AN10" s="131" t="str">
        <f>Lookup!AN19</f>
        <v>Forecast</v>
      </c>
      <c r="AO10" s="131" t="str">
        <f>Lookup!AO19</f>
        <v>Forecast</v>
      </c>
      <c r="AP10" s="131" t="str">
        <f>Lookup!AP19</f>
        <v>Forecast</v>
      </c>
      <c r="AQ10" s="131" t="str">
        <f>Lookup!AQ19</f>
        <v>Forecast</v>
      </c>
      <c r="AR10" s="131" t="str">
        <f>Lookup!AR19</f>
        <v>Forecast</v>
      </c>
      <c r="AS10" s="131" t="str">
        <f>Lookup!AS19</f>
        <v>Forecast</v>
      </c>
      <c r="AT10" s="131" t="str">
        <f>Lookup!AT19</f>
        <v>Forecast</v>
      </c>
      <c r="AU10" s="131" t="str">
        <f>Lookup!AU19</f>
        <v>Forecast</v>
      </c>
      <c r="AV10" s="131" t="str">
        <f>Lookup!AV19</f>
        <v>Forecast</v>
      </c>
      <c r="AW10" s="131" t="str">
        <f>Lookup!AW19</f>
        <v>Forecast</v>
      </c>
    </row>
    <row r="11" spans="1:49" ht="12.3" collapsed="1" x14ac:dyDescent="0.35">
      <c r="B11" s="132" t="str">
        <f>Lookup!B20</f>
        <v>Regulatory Year</v>
      </c>
      <c r="E11" s="133" t="str">
        <f>Lookup!E20</f>
        <v>Source</v>
      </c>
      <c r="F11" s="133" t="str">
        <f>Lookup!F20</f>
        <v>Unit</v>
      </c>
      <c r="G11" s="133" t="str">
        <f>Lookup!G20</f>
        <v>Basis</v>
      </c>
      <c r="H11" s="133" t="str">
        <f>Lookup!H20</f>
        <v>Timing</v>
      </c>
      <c r="J11" s="133" t="str">
        <f>Lookup!J20</f>
        <v>RY18</v>
      </c>
      <c r="K11" s="133" t="str">
        <f>Lookup!K20</f>
        <v>RY19</v>
      </c>
      <c r="L11" s="133" t="str">
        <f>Lookup!L20</f>
        <v>RY20</v>
      </c>
      <c r="M11" s="133" t="str">
        <f>Lookup!M20</f>
        <v>RY21</v>
      </c>
      <c r="N11" s="133" t="str">
        <f>Lookup!N20</f>
        <v>RY22</v>
      </c>
      <c r="O11" s="133" t="str">
        <f>Lookup!O20</f>
        <v>RY23</v>
      </c>
      <c r="P11" s="133" t="str">
        <f>Lookup!P20</f>
        <v>RY24</v>
      </c>
      <c r="Q11" s="133" t="str">
        <f>Lookup!Q20</f>
        <v>RY25</v>
      </c>
      <c r="R11" s="133" t="str">
        <f>Lookup!R20</f>
        <v>RY26</v>
      </c>
      <c r="S11" s="133" t="str">
        <f>Lookup!S20</f>
        <v>RY27</v>
      </c>
      <c r="T11" s="133" t="str">
        <f>Lookup!T20</f>
        <v>RY28</v>
      </c>
      <c r="U11" s="133" t="str">
        <f>Lookup!U20</f>
        <v>RY29</v>
      </c>
      <c r="V11" s="133" t="str">
        <f>Lookup!V20</f>
        <v>RY30</v>
      </c>
      <c r="W11" s="133" t="str">
        <f>Lookup!W20</f>
        <v>RY31</v>
      </c>
      <c r="X11" s="133" t="str">
        <f>Lookup!X20</f>
        <v>RY32</v>
      </c>
      <c r="Y11" s="133" t="str">
        <f>Lookup!Y20</f>
        <v>RY33</v>
      </c>
      <c r="Z11" s="133" t="str">
        <f>Lookup!Z20</f>
        <v>RY34</v>
      </c>
      <c r="AA11" s="133" t="str">
        <f>Lookup!AA20</f>
        <v>RY35</v>
      </c>
      <c r="AB11" s="133" t="str">
        <f>Lookup!AB20</f>
        <v>RY36</v>
      </c>
      <c r="AC11" s="133" t="str">
        <f>Lookup!AC20</f>
        <v>RY37</v>
      </c>
      <c r="AD11" s="133" t="str">
        <f>Lookup!AD20</f>
        <v>RY38</v>
      </c>
      <c r="AE11" s="133" t="str">
        <f>Lookup!AE20</f>
        <v>RY39</v>
      </c>
      <c r="AF11" s="133" t="str">
        <f>Lookup!AF20</f>
        <v>RY40</v>
      </c>
      <c r="AG11" s="133" t="str">
        <f>Lookup!AG20</f>
        <v>RY41</v>
      </c>
      <c r="AH11" s="133" t="str">
        <f>Lookup!AH20</f>
        <v>RY42</v>
      </c>
      <c r="AI11" s="133" t="str">
        <f>Lookup!AI20</f>
        <v>RY43</v>
      </c>
      <c r="AJ11" s="133" t="str">
        <f>Lookup!AJ20</f>
        <v>RY44</v>
      </c>
      <c r="AK11" s="133" t="str">
        <f>Lookup!AK20</f>
        <v>RY45</v>
      </c>
      <c r="AL11" s="133" t="str">
        <f>Lookup!AL20</f>
        <v>RY46</v>
      </c>
      <c r="AM11" s="133" t="str">
        <f>Lookup!AM20</f>
        <v>RY47</v>
      </c>
      <c r="AN11" s="133" t="str">
        <f>Lookup!AN20</f>
        <v>RY48</v>
      </c>
      <c r="AO11" s="133" t="str">
        <f>Lookup!AO20</f>
        <v>RY49</v>
      </c>
      <c r="AP11" s="133" t="str">
        <f>Lookup!AP20</f>
        <v>RY50</v>
      </c>
      <c r="AQ11" s="133" t="str">
        <f>Lookup!AQ20</f>
        <v>RY51</v>
      </c>
      <c r="AR11" s="133" t="str">
        <f>Lookup!AR20</f>
        <v>RY52</v>
      </c>
      <c r="AS11" s="133" t="str">
        <f>Lookup!AS20</f>
        <v>RY53</v>
      </c>
      <c r="AT11" s="133" t="str">
        <f>Lookup!AT20</f>
        <v>RY54</v>
      </c>
      <c r="AU11" s="133" t="str">
        <f>Lookup!AU20</f>
        <v>RY55</v>
      </c>
      <c r="AV11" s="133" t="str">
        <f>Lookup!AV20</f>
        <v>RY56</v>
      </c>
      <c r="AW11" s="133" t="str">
        <f>Lookup!AW20</f>
        <v>RY57</v>
      </c>
    </row>
  </sheetData>
  <conditionalFormatting sqref="B2">
    <cfRule type="cellIs" dxfId="19" priority="1" operator="notEqual">
      <formula>"No Errors Found"</formula>
    </cfRule>
  </conditionalFormatting>
  <hyperlinks>
    <hyperlink ref="B3:D3" location="Cover!A1" display="Go to Cover Sheet" xr:uid="{9BDDE6D0-94D6-42C3-9BEB-2801D927D284}"/>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FB11F-B971-4A87-8A5A-02078B69682C}">
  <sheetPr>
    <tabColor rgb="FFFFFF00"/>
  </sheetPr>
  <dimension ref="A1:AW11"/>
  <sheetViews>
    <sheetView showGridLines="0" zoomScaleNormal="100" workbookViewId="0">
      <pane xSplit="1" ySplit="11" topLeftCell="B12" activePane="bottomRight" state="frozen"/>
      <selection activeCell="N11" sqref="F4:U25"/>
      <selection pane="topRight" activeCell="N11" sqref="F4:U25"/>
      <selection pane="bottomLeft" activeCell="N11" sqref="F4:U25"/>
      <selection pane="bottomRight" activeCell="B12" sqref="B12"/>
    </sheetView>
  </sheetViews>
  <sheetFormatPr defaultColWidth="9.33203125" defaultRowHeight="10.199999999999999" outlineLevelRow="1" x14ac:dyDescent="0.35"/>
  <cols>
    <col min="1" max="3" width="2.796875" style="127" customWidth="1"/>
    <col min="4" max="4" width="71.59765625" style="127" customWidth="1"/>
    <col min="5" max="5" width="25.796875" style="127" customWidth="1"/>
    <col min="6" max="6" width="12.59765625" style="127" customWidth="1"/>
    <col min="7" max="7" width="20.6640625" style="127" customWidth="1"/>
    <col min="8" max="8" width="12.59765625" style="127" customWidth="1"/>
    <col min="9" max="9" width="17.9296875" style="127" customWidth="1"/>
    <col min="10" max="49" width="16.59765625" style="127" customWidth="1"/>
    <col min="50" max="16384" width="9.33203125" style="127"/>
  </cols>
  <sheetData>
    <row r="1" spans="1:49" s="251" customFormat="1" ht="18.899999999999999" x14ac:dyDescent="0.35">
      <c r="A1" s="249">
        <f>IF(SUM($A11:$A1134)&gt;0,1,0)</f>
        <v>0</v>
      </c>
      <c r="B1" s="250" t="str">
        <f>"Calculations - "&amp;INDEX(LU_Scenario_Name,$J$1)</f>
        <v>Calculations - Targeted roll out</v>
      </c>
      <c r="F1" s="246" t="s">
        <v>326</v>
      </c>
      <c r="I1" s="252" t="s">
        <v>126</v>
      </c>
      <c r="J1" s="253">
        <v>3</v>
      </c>
    </row>
    <row r="2" spans="1:49" s="251" customFormat="1" x14ac:dyDescent="0.35">
      <c r="B2" s="254" t="str">
        <f>Title_Msg</f>
        <v>No Errors Found</v>
      </c>
    </row>
    <row r="3" spans="1:49" s="251" customFormat="1" ht="12.3" x14ac:dyDescent="0.35">
      <c r="B3" s="255" t="s">
        <v>50</v>
      </c>
      <c r="C3" s="255"/>
      <c r="D3" s="255"/>
      <c r="E3" s="256"/>
    </row>
    <row r="4" spans="1:49" s="251" customFormat="1" ht="12.3" x14ac:dyDescent="0.35">
      <c r="B4" s="257" t="str">
        <f>Model_Name</f>
        <v>Cost Benefit Analysis - Advanced Metering within the regulated NT electricity networks</v>
      </c>
    </row>
    <row r="6" spans="1:49" ht="12.3" hidden="1" outlineLevel="1" x14ac:dyDescent="0.35">
      <c r="B6" s="128" t="str">
        <f>Lookup!B15</f>
        <v>Period Start Date</v>
      </c>
      <c r="J6" s="129">
        <f>Lookup!J15</f>
        <v>42917</v>
      </c>
      <c r="K6" s="129">
        <f>Lookup!K15</f>
        <v>43282</v>
      </c>
      <c r="L6" s="129">
        <f>Lookup!L15</f>
        <v>43647</v>
      </c>
      <c r="M6" s="129">
        <f>Lookup!M15</f>
        <v>44013</v>
      </c>
      <c r="N6" s="129">
        <f>Lookup!N15</f>
        <v>44378</v>
      </c>
      <c r="O6" s="129">
        <f>Lookup!O15</f>
        <v>44743</v>
      </c>
      <c r="P6" s="129">
        <f>Lookup!P15</f>
        <v>45108</v>
      </c>
      <c r="Q6" s="129">
        <f>Lookup!Q15</f>
        <v>45474</v>
      </c>
      <c r="R6" s="129">
        <f>Lookup!R15</f>
        <v>45839</v>
      </c>
      <c r="S6" s="129">
        <f>Lookup!S15</f>
        <v>46204</v>
      </c>
      <c r="T6" s="129">
        <f>Lookup!T15</f>
        <v>46569</v>
      </c>
      <c r="U6" s="129">
        <f>Lookup!U15</f>
        <v>46935</v>
      </c>
      <c r="V6" s="129">
        <f>Lookup!V15</f>
        <v>47300</v>
      </c>
      <c r="W6" s="129">
        <f>Lookup!W15</f>
        <v>47665</v>
      </c>
      <c r="X6" s="129">
        <f>Lookup!X15</f>
        <v>48030</v>
      </c>
      <c r="Y6" s="129">
        <f>Lookup!Y15</f>
        <v>48396</v>
      </c>
      <c r="Z6" s="129">
        <f>Lookup!Z15</f>
        <v>48761</v>
      </c>
      <c r="AA6" s="129">
        <f>Lookup!AA15</f>
        <v>49126</v>
      </c>
      <c r="AB6" s="129">
        <f>Lookup!AB15</f>
        <v>49491</v>
      </c>
      <c r="AC6" s="129">
        <f>Lookup!AC15</f>
        <v>49857</v>
      </c>
      <c r="AD6" s="129">
        <f>Lookup!AD15</f>
        <v>50222</v>
      </c>
      <c r="AE6" s="129">
        <f>Lookup!AE15</f>
        <v>50587</v>
      </c>
      <c r="AF6" s="129">
        <f>Lookup!AF15</f>
        <v>50952</v>
      </c>
      <c r="AG6" s="129">
        <f>Lookup!AG15</f>
        <v>51318</v>
      </c>
      <c r="AH6" s="129">
        <f>Lookup!AH15</f>
        <v>51683</v>
      </c>
      <c r="AI6" s="129">
        <f>Lookup!AI15</f>
        <v>52048</v>
      </c>
      <c r="AJ6" s="129">
        <f>Lookup!AJ15</f>
        <v>52413</v>
      </c>
      <c r="AK6" s="129">
        <f>Lookup!AK15</f>
        <v>52779</v>
      </c>
      <c r="AL6" s="129">
        <f>Lookup!AL15</f>
        <v>53144</v>
      </c>
      <c r="AM6" s="129">
        <f>Lookup!AM15</f>
        <v>53509</v>
      </c>
      <c r="AN6" s="129">
        <f>Lookup!AN15</f>
        <v>53874</v>
      </c>
      <c r="AO6" s="129">
        <f>Lookup!AO15</f>
        <v>54240</v>
      </c>
      <c r="AP6" s="129">
        <f>Lookup!AP15</f>
        <v>54605</v>
      </c>
      <c r="AQ6" s="129">
        <f>Lookup!AQ15</f>
        <v>54970</v>
      </c>
      <c r="AR6" s="129">
        <f>Lookup!AR15</f>
        <v>55335</v>
      </c>
      <c r="AS6" s="129">
        <f>Lookup!AS15</f>
        <v>55701</v>
      </c>
      <c r="AT6" s="129">
        <f>Lookup!AT15</f>
        <v>56066</v>
      </c>
      <c r="AU6" s="129">
        <f>Lookup!AU15</f>
        <v>56431</v>
      </c>
      <c r="AV6" s="129">
        <f>Lookup!AV15</f>
        <v>56796</v>
      </c>
      <c r="AW6" s="129">
        <f>Lookup!AW15</f>
        <v>57162</v>
      </c>
    </row>
    <row r="7" spans="1:49" ht="12.3" hidden="1" outlineLevel="1" x14ac:dyDescent="0.35">
      <c r="B7" s="128" t="str">
        <f>Lookup!B16</f>
        <v>Period End Date</v>
      </c>
      <c r="J7" s="129">
        <f>Lookup!J16</f>
        <v>43281</v>
      </c>
      <c r="K7" s="129">
        <f>Lookup!K16</f>
        <v>43646</v>
      </c>
      <c r="L7" s="129">
        <f>Lookup!L16</f>
        <v>44012</v>
      </c>
      <c r="M7" s="129">
        <f>Lookup!M16</f>
        <v>44377</v>
      </c>
      <c r="N7" s="129">
        <f>Lookup!N16</f>
        <v>44742</v>
      </c>
      <c r="O7" s="129">
        <f>Lookup!O16</f>
        <v>45107</v>
      </c>
      <c r="P7" s="129">
        <f>Lookup!P16</f>
        <v>45473</v>
      </c>
      <c r="Q7" s="129">
        <f>Lookup!Q16</f>
        <v>45838</v>
      </c>
      <c r="R7" s="129">
        <f>Lookup!R16</f>
        <v>46203</v>
      </c>
      <c r="S7" s="129">
        <f>Lookup!S16</f>
        <v>46568</v>
      </c>
      <c r="T7" s="129">
        <f>Lookup!T16</f>
        <v>46934</v>
      </c>
      <c r="U7" s="129">
        <f>Lookup!U16</f>
        <v>47299</v>
      </c>
      <c r="V7" s="129">
        <f>Lookup!V16</f>
        <v>47664</v>
      </c>
      <c r="W7" s="129">
        <f>Lookup!W16</f>
        <v>48029</v>
      </c>
      <c r="X7" s="129">
        <f>Lookup!X16</f>
        <v>48395</v>
      </c>
      <c r="Y7" s="129">
        <f>Lookup!Y16</f>
        <v>48760</v>
      </c>
      <c r="Z7" s="129">
        <f>Lookup!Z16</f>
        <v>49125</v>
      </c>
      <c r="AA7" s="129">
        <f>Lookup!AA16</f>
        <v>49490</v>
      </c>
      <c r="AB7" s="129">
        <f>Lookup!AB16</f>
        <v>49856</v>
      </c>
      <c r="AC7" s="129">
        <f>Lookup!AC16</f>
        <v>50221</v>
      </c>
      <c r="AD7" s="129">
        <f>Lookup!AD16</f>
        <v>50586</v>
      </c>
      <c r="AE7" s="129">
        <f>Lookup!AE16</f>
        <v>50951</v>
      </c>
      <c r="AF7" s="129">
        <f>Lookup!AF16</f>
        <v>51317</v>
      </c>
      <c r="AG7" s="129">
        <f>Lookup!AG16</f>
        <v>51682</v>
      </c>
      <c r="AH7" s="129">
        <f>Lookup!AH16</f>
        <v>52047</v>
      </c>
      <c r="AI7" s="129">
        <f>Lookup!AI16</f>
        <v>52412</v>
      </c>
      <c r="AJ7" s="129">
        <f>Lookup!AJ16</f>
        <v>52778</v>
      </c>
      <c r="AK7" s="129">
        <f>Lookup!AK16</f>
        <v>53143</v>
      </c>
      <c r="AL7" s="129">
        <f>Lookup!AL16</f>
        <v>53508</v>
      </c>
      <c r="AM7" s="129">
        <f>Lookup!AM16</f>
        <v>53873</v>
      </c>
      <c r="AN7" s="129">
        <f>Lookup!AN16</f>
        <v>54239</v>
      </c>
      <c r="AO7" s="129">
        <f>Lookup!AO16</f>
        <v>54604</v>
      </c>
      <c r="AP7" s="129">
        <f>Lookup!AP16</f>
        <v>54969</v>
      </c>
      <c r="AQ7" s="129">
        <f>Lookup!AQ16</f>
        <v>55334</v>
      </c>
      <c r="AR7" s="129">
        <f>Lookup!AR16</f>
        <v>55700</v>
      </c>
      <c r="AS7" s="129">
        <f>Lookup!AS16</f>
        <v>56065</v>
      </c>
      <c r="AT7" s="129">
        <f>Lookup!AT16</f>
        <v>56430</v>
      </c>
      <c r="AU7" s="129">
        <f>Lookup!AU16</f>
        <v>56795</v>
      </c>
      <c r="AV7" s="129">
        <f>Lookup!AV16</f>
        <v>57161</v>
      </c>
      <c r="AW7" s="129">
        <f>Lookup!AW16</f>
        <v>57526</v>
      </c>
    </row>
    <row r="8" spans="1:49" ht="12.3" hidden="1" outlineLevel="1" x14ac:dyDescent="0.35">
      <c r="B8" s="128" t="str">
        <f>Lookup!B17</f>
        <v>Period Counter</v>
      </c>
      <c r="J8" s="130">
        <f>Lookup!J17</f>
        <v>1</v>
      </c>
      <c r="K8" s="130">
        <f>Lookup!K17</f>
        <v>2</v>
      </c>
      <c r="L8" s="130">
        <f>Lookup!L17</f>
        <v>3</v>
      </c>
      <c r="M8" s="130">
        <f>Lookup!M17</f>
        <v>4</v>
      </c>
      <c r="N8" s="130">
        <f>Lookup!N17</f>
        <v>5</v>
      </c>
      <c r="O8" s="130">
        <f>Lookup!O17</f>
        <v>6</v>
      </c>
      <c r="P8" s="130">
        <f>Lookup!P17</f>
        <v>7</v>
      </c>
      <c r="Q8" s="130">
        <f>Lookup!Q17</f>
        <v>8</v>
      </c>
      <c r="R8" s="130">
        <f>Lookup!R17</f>
        <v>9</v>
      </c>
      <c r="S8" s="130">
        <f>Lookup!S17</f>
        <v>10</v>
      </c>
      <c r="T8" s="130">
        <f>Lookup!T17</f>
        <v>11</v>
      </c>
      <c r="U8" s="130">
        <f>Lookup!U17</f>
        <v>12</v>
      </c>
      <c r="V8" s="130">
        <f>Lookup!V17</f>
        <v>13</v>
      </c>
      <c r="W8" s="130">
        <f>Lookup!W17</f>
        <v>14</v>
      </c>
      <c r="X8" s="130">
        <f>Lookup!X17</f>
        <v>15</v>
      </c>
      <c r="Y8" s="130">
        <f>Lookup!Y17</f>
        <v>16</v>
      </c>
      <c r="Z8" s="130">
        <f>Lookup!Z17</f>
        <v>17</v>
      </c>
      <c r="AA8" s="130">
        <f>Lookup!AA17</f>
        <v>18</v>
      </c>
      <c r="AB8" s="130">
        <f>Lookup!AB17</f>
        <v>19</v>
      </c>
      <c r="AC8" s="130">
        <f>Lookup!AC17</f>
        <v>20</v>
      </c>
      <c r="AD8" s="130">
        <f>Lookup!AD17</f>
        <v>21</v>
      </c>
      <c r="AE8" s="130">
        <f>Lookup!AE17</f>
        <v>22</v>
      </c>
      <c r="AF8" s="130">
        <f>Lookup!AF17</f>
        <v>23</v>
      </c>
      <c r="AG8" s="130">
        <f>Lookup!AG17</f>
        <v>24</v>
      </c>
      <c r="AH8" s="130">
        <f>Lookup!AH17</f>
        <v>25</v>
      </c>
      <c r="AI8" s="130">
        <f>Lookup!AI17</f>
        <v>26</v>
      </c>
      <c r="AJ8" s="130">
        <f>Lookup!AJ17</f>
        <v>27</v>
      </c>
      <c r="AK8" s="130">
        <f>Lookup!AK17</f>
        <v>28</v>
      </c>
      <c r="AL8" s="130">
        <f>Lookup!AL17</f>
        <v>29</v>
      </c>
      <c r="AM8" s="130">
        <f>Lookup!AM17</f>
        <v>30</v>
      </c>
      <c r="AN8" s="130">
        <f>Lookup!AN17</f>
        <v>31</v>
      </c>
      <c r="AO8" s="130">
        <f>Lookup!AO17</f>
        <v>32</v>
      </c>
      <c r="AP8" s="130">
        <f>Lookup!AP17</f>
        <v>33</v>
      </c>
      <c r="AQ8" s="130">
        <f>Lookup!AQ17</f>
        <v>34</v>
      </c>
      <c r="AR8" s="130">
        <f>Lookup!AR17</f>
        <v>35</v>
      </c>
      <c r="AS8" s="130">
        <f>Lookup!AS17</f>
        <v>36</v>
      </c>
      <c r="AT8" s="130">
        <f>Lookup!AT17</f>
        <v>37</v>
      </c>
      <c r="AU8" s="130">
        <f>Lookup!AU17</f>
        <v>38</v>
      </c>
      <c r="AV8" s="130">
        <f>Lookup!AV17</f>
        <v>39</v>
      </c>
      <c r="AW8" s="130">
        <f>Lookup!AW17</f>
        <v>40</v>
      </c>
    </row>
    <row r="9" spans="1:49" ht="12.3" hidden="1" outlineLevel="1" x14ac:dyDescent="0.35">
      <c r="B9" s="128" t="str">
        <f>Lookup!B18</f>
        <v>Year</v>
      </c>
      <c r="J9" s="131">
        <f>Lookup!J18</f>
        <v>2018</v>
      </c>
      <c r="K9" s="131">
        <f>Lookup!K18</f>
        <v>2019</v>
      </c>
      <c r="L9" s="131">
        <f>Lookup!L18</f>
        <v>2020</v>
      </c>
      <c r="M9" s="131">
        <f>Lookup!M18</f>
        <v>2021</v>
      </c>
      <c r="N9" s="131">
        <f>Lookup!N18</f>
        <v>2022</v>
      </c>
      <c r="O9" s="131">
        <f>Lookup!O18</f>
        <v>2023</v>
      </c>
      <c r="P9" s="131">
        <f>Lookup!P18</f>
        <v>2024</v>
      </c>
      <c r="Q9" s="131">
        <f>Lookup!Q18</f>
        <v>2025</v>
      </c>
      <c r="R9" s="131">
        <f>Lookup!R18</f>
        <v>2026</v>
      </c>
      <c r="S9" s="131">
        <f>Lookup!S18</f>
        <v>2027</v>
      </c>
      <c r="T9" s="131">
        <f>Lookup!T18</f>
        <v>2028</v>
      </c>
      <c r="U9" s="131">
        <f>Lookup!U18</f>
        <v>2029</v>
      </c>
      <c r="V9" s="131">
        <f>Lookup!V18</f>
        <v>2030</v>
      </c>
      <c r="W9" s="131">
        <f>Lookup!W18</f>
        <v>2031</v>
      </c>
      <c r="X9" s="131">
        <f>Lookup!X18</f>
        <v>2032</v>
      </c>
      <c r="Y9" s="131">
        <f>Lookup!Y18</f>
        <v>2033</v>
      </c>
      <c r="Z9" s="131">
        <f>Lookup!Z18</f>
        <v>2034</v>
      </c>
      <c r="AA9" s="131">
        <f>Lookup!AA18</f>
        <v>2035</v>
      </c>
      <c r="AB9" s="131">
        <f>Lookup!AB18</f>
        <v>2036</v>
      </c>
      <c r="AC9" s="131">
        <f>Lookup!AC18</f>
        <v>2037</v>
      </c>
      <c r="AD9" s="131">
        <f>Lookup!AD18</f>
        <v>2038</v>
      </c>
      <c r="AE9" s="131">
        <f>Lookup!AE18</f>
        <v>2039</v>
      </c>
      <c r="AF9" s="131">
        <f>Lookup!AF18</f>
        <v>2040</v>
      </c>
      <c r="AG9" s="131">
        <f>Lookup!AG18</f>
        <v>2041</v>
      </c>
      <c r="AH9" s="131">
        <f>Lookup!AH18</f>
        <v>2042</v>
      </c>
      <c r="AI9" s="131">
        <f>Lookup!AI18</f>
        <v>2043</v>
      </c>
      <c r="AJ9" s="131">
        <f>Lookup!AJ18</f>
        <v>2044</v>
      </c>
      <c r="AK9" s="131">
        <f>Lookup!AK18</f>
        <v>2045</v>
      </c>
      <c r="AL9" s="131">
        <f>Lookup!AL18</f>
        <v>2046</v>
      </c>
      <c r="AM9" s="131">
        <f>Lookup!AM18</f>
        <v>2047</v>
      </c>
      <c r="AN9" s="131">
        <f>Lookup!AN18</f>
        <v>2048</v>
      </c>
      <c r="AO9" s="131">
        <f>Lookup!AO18</f>
        <v>2049</v>
      </c>
      <c r="AP9" s="131">
        <f>Lookup!AP18</f>
        <v>2050</v>
      </c>
      <c r="AQ9" s="131">
        <f>Lookup!AQ18</f>
        <v>2051</v>
      </c>
      <c r="AR9" s="131">
        <f>Lookup!AR18</f>
        <v>2052</v>
      </c>
      <c r="AS9" s="131">
        <f>Lookup!AS18</f>
        <v>2053</v>
      </c>
      <c r="AT9" s="131">
        <f>Lookup!AT18</f>
        <v>2054</v>
      </c>
      <c r="AU9" s="131">
        <f>Lookup!AU18</f>
        <v>2055</v>
      </c>
      <c r="AV9" s="131">
        <f>Lookup!AV18</f>
        <v>2056</v>
      </c>
      <c r="AW9" s="131">
        <f>Lookup!AW18</f>
        <v>2057</v>
      </c>
    </row>
    <row r="10" spans="1:49" ht="12.3" hidden="1" outlineLevel="1" x14ac:dyDescent="0.35">
      <c r="B10" s="128" t="str">
        <f>Lookup!B19</f>
        <v>Period Type</v>
      </c>
      <c r="J10" s="131" t="str">
        <f>Lookup!J19</f>
        <v>Actual</v>
      </c>
      <c r="K10" s="131" t="str">
        <f>Lookup!K19</f>
        <v>Actual</v>
      </c>
      <c r="L10" s="131" t="str">
        <f>Lookup!L19</f>
        <v>Actual</v>
      </c>
      <c r="M10" s="131" t="str">
        <f>Lookup!M19</f>
        <v>Base Year</v>
      </c>
      <c r="N10" s="131" t="str">
        <f>Lookup!N19</f>
        <v>Forecast</v>
      </c>
      <c r="O10" s="131" t="str">
        <f>Lookup!O19</f>
        <v>Forecast</v>
      </c>
      <c r="P10" s="131" t="str">
        <f>Lookup!P19</f>
        <v>Forecast</v>
      </c>
      <c r="Q10" s="131" t="str">
        <f>Lookup!Q19</f>
        <v>Forecast</v>
      </c>
      <c r="R10" s="131" t="str">
        <f>Lookup!R19</f>
        <v>Forecast</v>
      </c>
      <c r="S10" s="131" t="str">
        <f>Lookup!S19</f>
        <v>Forecast</v>
      </c>
      <c r="T10" s="131" t="str">
        <f>Lookup!T19</f>
        <v>Forecast</v>
      </c>
      <c r="U10" s="131" t="str">
        <f>Lookup!U19</f>
        <v>Forecast</v>
      </c>
      <c r="V10" s="131" t="str">
        <f>Lookup!V19</f>
        <v>Forecast</v>
      </c>
      <c r="W10" s="131" t="str">
        <f>Lookup!W19</f>
        <v>Forecast</v>
      </c>
      <c r="X10" s="131" t="str">
        <f>Lookup!X19</f>
        <v>Forecast</v>
      </c>
      <c r="Y10" s="131" t="str">
        <f>Lookup!Y19</f>
        <v>Forecast</v>
      </c>
      <c r="Z10" s="131" t="str">
        <f>Lookup!Z19</f>
        <v>Forecast</v>
      </c>
      <c r="AA10" s="131" t="str">
        <f>Lookup!AA19</f>
        <v>Forecast</v>
      </c>
      <c r="AB10" s="131" t="str">
        <f>Lookup!AB19</f>
        <v>Forecast</v>
      </c>
      <c r="AC10" s="131" t="str">
        <f>Lookup!AC19</f>
        <v>Forecast</v>
      </c>
      <c r="AD10" s="131" t="str">
        <f>Lookup!AD19</f>
        <v>Forecast</v>
      </c>
      <c r="AE10" s="131" t="str">
        <f>Lookup!AE19</f>
        <v>Forecast</v>
      </c>
      <c r="AF10" s="131" t="str">
        <f>Lookup!AF19</f>
        <v>Forecast</v>
      </c>
      <c r="AG10" s="131" t="str">
        <f>Lookup!AG19</f>
        <v>Forecast</v>
      </c>
      <c r="AH10" s="131" t="str">
        <f>Lookup!AH19</f>
        <v>Forecast</v>
      </c>
      <c r="AI10" s="131" t="str">
        <f>Lookup!AI19</f>
        <v>Forecast</v>
      </c>
      <c r="AJ10" s="131" t="str">
        <f>Lookup!AJ19</f>
        <v>Forecast</v>
      </c>
      <c r="AK10" s="131" t="str">
        <f>Lookup!AK19</f>
        <v>Forecast</v>
      </c>
      <c r="AL10" s="131" t="str">
        <f>Lookup!AL19</f>
        <v>Forecast</v>
      </c>
      <c r="AM10" s="131" t="str">
        <f>Lookup!AM19</f>
        <v>Forecast</v>
      </c>
      <c r="AN10" s="131" t="str">
        <f>Lookup!AN19</f>
        <v>Forecast</v>
      </c>
      <c r="AO10" s="131" t="str">
        <f>Lookup!AO19</f>
        <v>Forecast</v>
      </c>
      <c r="AP10" s="131" t="str">
        <f>Lookup!AP19</f>
        <v>Forecast</v>
      </c>
      <c r="AQ10" s="131" t="str">
        <f>Lookup!AQ19</f>
        <v>Forecast</v>
      </c>
      <c r="AR10" s="131" t="str">
        <f>Lookup!AR19</f>
        <v>Forecast</v>
      </c>
      <c r="AS10" s="131" t="str">
        <f>Lookup!AS19</f>
        <v>Forecast</v>
      </c>
      <c r="AT10" s="131" t="str">
        <f>Lookup!AT19</f>
        <v>Forecast</v>
      </c>
      <c r="AU10" s="131" t="str">
        <f>Lookup!AU19</f>
        <v>Forecast</v>
      </c>
      <c r="AV10" s="131" t="str">
        <f>Lookup!AV19</f>
        <v>Forecast</v>
      </c>
      <c r="AW10" s="131" t="str">
        <f>Lookup!AW19</f>
        <v>Forecast</v>
      </c>
    </row>
    <row r="11" spans="1:49" ht="12.3" collapsed="1" x14ac:dyDescent="0.35">
      <c r="B11" s="132" t="str">
        <f>Lookup!B20</f>
        <v>Regulatory Year</v>
      </c>
      <c r="E11" s="133" t="str">
        <f>Lookup!E20</f>
        <v>Source</v>
      </c>
      <c r="F11" s="133" t="str">
        <f>Lookup!F20</f>
        <v>Unit</v>
      </c>
      <c r="G11" s="133" t="str">
        <f>Lookup!G20</f>
        <v>Basis</v>
      </c>
      <c r="H11" s="133" t="str">
        <f>Lookup!H20</f>
        <v>Timing</v>
      </c>
      <c r="J11" s="133" t="str">
        <f>Lookup!J20</f>
        <v>RY18</v>
      </c>
      <c r="K11" s="133" t="str">
        <f>Lookup!K20</f>
        <v>RY19</v>
      </c>
      <c r="L11" s="133" t="str">
        <f>Lookup!L20</f>
        <v>RY20</v>
      </c>
      <c r="M11" s="133" t="str">
        <f>Lookup!M20</f>
        <v>RY21</v>
      </c>
      <c r="N11" s="133" t="str">
        <f>Lookup!N20</f>
        <v>RY22</v>
      </c>
      <c r="O11" s="133" t="str">
        <f>Lookup!O20</f>
        <v>RY23</v>
      </c>
      <c r="P11" s="133" t="str">
        <f>Lookup!P20</f>
        <v>RY24</v>
      </c>
      <c r="Q11" s="133" t="str">
        <f>Lookup!Q20</f>
        <v>RY25</v>
      </c>
      <c r="R11" s="133" t="str">
        <f>Lookup!R20</f>
        <v>RY26</v>
      </c>
      <c r="S11" s="133" t="str">
        <f>Lookup!S20</f>
        <v>RY27</v>
      </c>
      <c r="T11" s="133" t="str">
        <f>Lookup!T20</f>
        <v>RY28</v>
      </c>
      <c r="U11" s="133" t="str">
        <f>Lookup!U20</f>
        <v>RY29</v>
      </c>
      <c r="V11" s="133" t="str">
        <f>Lookup!V20</f>
        <v>RY30</v>
      </c>
      <c r="W11" s="133" t="str">
        <f>Lookup!W20</f>
        <v>RY31</v>
      </c>
      <c r="X11" s="133" t="str">
        <f>Lookup!X20</f>
        <v>RY32</v>
      </c>
      <c r="Y11" s="133" t="str">
        <f>Lookup!Y20</f>
        <v>RY33</v>
      </c>
      <c r="Z11" s="133" t="str">
        <f>Lookup!Z20</f>
        <v>RY34</v>
      </c>
      <c r="AA11" s="133" t="str">
        <f>Lookup!AA20</f>
        <v>RY35</v>
      </c>
      <c r="AB11" s="133" t="str">
        <f>Lookup!AB20</f>
        <v>RY36</v>
      </c>
      <c r="AC11" s="133" t="str">
        <f>Lookup!AC20</f>
        <v>RY37</v>
      </c>
      <c r="AD11" s="133" t="str">
        <f>Lookup!AD20</f>
        <v>RY38</v>
      </c>
      <c r="AE11" s="133" t="str">
        <f>Lookup!AE20</f>
        <v>RY39</v>
      </c>
      <c r="AF11" s="133" t="str">
        <f>Lookup!AF20</f>
        <v>RY40</v>
      </c>
      <c r="AG11" s="133" t="str">
        <f>Lookup!AG20</f>
        <v>RY41</v>
      </c>
      <c r="AH11" s="133" t="str">
        <f>Lookup!AH20</f>
        <v>RY42</v>
      </c>
      <c r="AI11" s="133" t="str">
        <f>Lookup!AI20</f>
        <v>RY43</v>
      </c>
      <c r="AJ11" s="133" t="str">
        <f>Lookup!AJ20</f>
        <v>RY44</v>
      </c>
      <c r="AK11" s="133" t="str">
        <f>Lookup!AK20</f>
        <v>RY45</v>
      </c>
      <c r="AL11" s="133" t="str">
        <f>Lookup!AL20</f>
        <v>RY46</v>
      </c>
      <c r="AM11" s="133" t="str">
        <f>Lookup!AM20</f>
        <v>RY47</v>
      </c>
      <c r="AN11" s="133" t="str">
        <f>Lookup!AN20</f>
        <v>RY48</v>
      </c>
      <c r="AO11" s="133" t="str">
        <f>Lookup!AO20</f>
        <v>RY49</v>
      </c>
      <c r="AP11" s="133" t="str">
        <f>Lookup!AP20</f>
        <v>RY50</v>
      </c>
      <c r="AQ11" s="133" t="str">
        <f>Lookup!AQ20</f>
        <v>RY51</v>
      </c>
      <c r="AR11" s="133" t="str">
        <f>Lookup!AR20</f>
        <v>RY52</v>
      </c>
      <c r="AS11" s="133" t="str">
        <f>Lookup!AS20</f>
        <v>RY53</v>
      </c>
      <c r="AT11" s="133" t="str">
        <f>Lookup!AT20</f>
        <v>RY54</v>
      </c>
      <c r="AU11" s="133" t="str">
        <f>Lookup!AU20</f>
        <v>RY55</v>
      </c>
      <c r="AV11" s="133" t="str">
        <f>Lookup!AV20</f>
        <v>RY56</v>
      </c>
      <c r="AW11" s="133" t="str">
        <f>Lookup!AW20</f>
        <v>RY57</v>
      </c>
    </row>
  </sheetData>
  <conditionalFormatting sqref="B2">
    <cfRule type="cellIs" dxfId="18" priority="1" operator="notEqual">
      <formula>"No Errors Found"</formula>
    </cfRule>
  </conditionalFormatting>
  <hyperlinks>
    <hyperlink ref="B3:D3" location="Cover!A1" display="Go to Cover Sheet" xr:uid="{2E1978B7-FBCD-4539-A2E1-D093850ADBD1}"/>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EB5B2-4C28-4F5C-B90C-60570EA2591E}">
  <sheetPr>
    <tabColor rgb="FFFFFF00"/>
  </sheetPr>
  <dimension ref="A1:AW11"/>
  <sheetViews>
    <sheetView showGridLines="0" zoomScaleNormal="100" workbookViewId="0">
      <pane xSplit="1" ySplit="11" topLeftCell="B12" activePane="bottomRight" state="frozen"/>
      <selection activeCell="N11" sqref="F4:U25"/>
      <selection pane="topRight" activeCell="N11" sqref="F4:U25"/>
      <selection pane="bottomLeft" activeCell="N11" sqref="F4:U25"/>
      <selection pane="bottomRight" activeCell="B12" sqref="B12"/>
    </sheetView>
  </sheetViews>
  <sheetFormatPr defaultColWidth="9.33203125" defaultRowHeight="10.199999999999999" outlineLevelRow="1" x14ac:dyDescent="0.35"/>
  <cols>
    <col min="1" max="3" width="2.796875" style="127" customWidth="1"/>
    <col min="4" max="4" width="71.59765625" style="127" customWidth="1"/>
    <col min="5" max="5" width="25.796875" style="127" customWidth="1"/>
    <col min="6" max="6" width="12.59765625" style="127" customWidth="1"/>
    <col min="7" max="7" width="20.6640625" style="127" customWidth="1"/>
    <col min="8" max="8" width="12.59765625" style="127" customWidth="1"/>
    <col min="9" max="9" width="17.9296875" style="127" customWidth="1"/>
    <col min="10" max="49" width="16.59765625" style="127" customWidth="1"/>
    <col min="50" max="16384" width="9.33203125" style="127"/>
  </cols>
  <sheetData>
    <row r="1" spans="1:49" s="251" customFormat="1" ht="18.899999999999999" x14ac:dyDescent="0.35">
      <c r="A1" s="249">
        <f>IF(SUM($A11:$A1134)&gt;0,1,0)</f>
        <v>0</v>
      </c>
      <c r="B1" s="250" t="str">
        <f>"Calculations - "&amp;INDEX(LU_Scenario_Name,$J$1)</f>
        <v>Calculations - Advanced meters, enabled immediately</v>
      </c>
      <c r="F1" s="246" t="s">
        <v>326</v>
      </c>
      <c r="I1" s="252" t="s">
        <v>126</v>
      </c>
      <c r="J1" s="253">
        <v>4</v>
      </c>
    </row>
    <row r="2" spans="1:49" s="251" customFormat="1" x14ac:dyDescent="0.35">
      <c r="B2" s="254" t="str">
        <f>Title_Msg</f>
        <v>No Errors Found</v>
      </c>
    </row>
    <row r="3" spans="1:49" s="251" customFormat="1" ht="12.3" x14ac:dyDescent="0.35">
      <c r="B3" s="255" t="s">
        <v>50</v>
      </c>
      <c r="C3" s="255"/>
      <c r="D3" s="255"/>
      <c r="E3" s="256"/>
    </row>
    <row r="4" spans="1:49" s="251" customFormat="1" ht="12.3" x14ac:dyDescent="0.35">
      <c r="B4" s="257" t="str">
        <f>Model_Name</f>
        <v>Cost Benefit Analysis - Advanced Metering within the regulated NT electricity networks</v>
      </c>
    </row>
    <row r="6" spans="1:49" ht="12.3" hidden="1" outlineLevel="1" x14ac:dyDescent="0.35">
      <c r="B6" s="128" t="str">
        <f>Lookup!B15</f>
        <v>Period Start Date</v>
      </c>
      <c r="J6" s="129">
        <f>Lookup!J15</f>
        <v>42917</v>
      </c>
      <c r="K6" s="129">
        <f>Lookup!K15</f>
        <v>43282</v>
      </c>
      <c r="L6" s="129">
        <f>Lookup!L15</f>
        <v>43647</v>
      </c>
      <c r="M6" s="129">
        <f>Lookup!M15</f>
        <v>44013</v>
      </c>
      <c r="N6" s="129">
        <f>Lookup!N15</f>
        <v>44378</v>
      </c>
      <c r="O6" s="129">
        <f>Lookup!O15</f>
        <v>44743</v>
      </c>
      <c r="P6" s="129">
        <f>Lookup!P15</f>
        <v>45108</v>
      </c>
      <c r="Q6" s="129">
        <f>Lookup!Q15</f>
        <v>45474</v>
      </c>
      <c r="R6" s="129">
        <f>Lookup!R15</f>
        <v>45839</v>
      </c>
      <c r="S6" s="129">
        <f>Lookup!S15</f>
        <v>46204</v>
      </c>
      <c r="T6" s="129">
        <f>Lookup!T15</f>
        <v>46569</v>
      </c>
      <c r="U6" s="129">
        <f>Lookup!U15</f>
        <v>46935</v>
      </c>
      <c r="V6" s="129">
        <f>Lookup!V15</f>
        <v>47300</v>
      </c>
      <c r="W6" s="129">
        <f>Lookup!W15</f>
        <v>47665</v>
      </c>
      <c r="X6" s="129">
        <f>Lookup!X15</f>
        <v>48030</v>
      </c>
      <c r="Y6" s="129">
        <f>Lookup!Y15</f>
        <v>48396</v>
      </c>
      <c r="Z6" s="129">
        <f>Lookup!Z15</f>
        <v>48761</v>
      </c>
      <c r="AA6" s="129">
        <f>Lookup!AA15</f>
        <v>49126</v>
      </c>
      <c r="AB6" s="129">
        <f>Lookup!AB15</f>
        <v>49491</v>
      </c>
      <c r="AC6" s="129">
        <f>Lookup!AC15</f>
        <v>49857</v>
      </c>
      <c r="AD6" s="129">
        <f>Lookup!AD15</f>
        <v>50222</v>
      </c>
      <c r="AE6" s="129">
        <f>Lookup!AE15</f>
        <v>50587</v>
      </c>
      <c r="AF6" s="129">
        <f>Lookup!AF15</f>
        <v>50952</v>
      </c>
      <c r="AG6" s="129">
        <f>Lookup!AG15</f>
        <v>51318</v>
      </c>
      <c r="AH6" s="129">
        <f>Lookup!AH15</f>
        <v>51683</v>
      </c>
      <c r="AI6" s="129">
        <f>Lookup!AI15</f>
        <v>52048</v>
      </c>
      <c r="AJ6" s="129">
        <f>Lookup!AJ15</f>
        <v>52413</v>
      </c>
      <c r="AK6" s="129">
        <f>Lookup!AK15</f>
        <v>52779</v>
      </c>
      <c r="AL6" s="129">
        <f>Lookup!AL15</f>
        <v>53144</v>
      </c>
      <c r="AM6" s="129">
        <f>Lookup!AM15</f>
        <v>53509</v>
      </c>
      <c r="AN6" s="129">
        <f>Lookup!AN15</f>
        <v>53874</v>
      </c>
      <c r="AO6" s="129">
        <f>Lookup!AO15</f>
        <v>54240</v>
      </c>
      <c r="AP6" s="129">
        <f>Lookup!AP15</f>
        <v>54605</v>
      </c>
      <c r="AQ6" s="129">
        <f>Lookup!AQ15</f>
        <v>54970</v>
      </c>
      <c r="AR6" s="129">
        <f>Lookup!AR15</f>
        <v>55335</v>
      </c>
      <c r="AS6" s="129">
        <f>Lookup!AS15</f>
        <v>55701</v>
      </c>
      <c r="AT6" s="129">
        <f>Lookup!AT15</f>
        <v>56066</v>
      </c>
      <c r="AU6" s="129">
        <f>Lookup!AU15</f>
        <v>56431</v>
      </c>
      <c r="AV6" s="129">
        <f>Lookup!AV15</f>
        <v>56796</v>
      </c>
      <c r="AW6" s="129">
        <f>Lookup!AW15</f>
        <v>57162</v>
      </c>
    </row>
    <row r="7" spans="1:49" ht="12.3" hidden="1" outlineLevel="1" x14ac:dyDescent="0.35">
      <c r="B7" s="128" t="str">
        <f>Lookup!B16</f>
        <v>Period End Date</v>
      </c>
      <c r="J7" s="129">
        <f>Lookup!J16</f>
        <v>43281</v>
      </c>
      <c r="K7" s="129">
        <f>Lookup!K16</f>
        <v>43646</v>
      </c>
      <c r="L7" s="129">
        <f>Lookup!L16</f>
        <v>44012</v>
      </c>
      <c r="M7" s="129">
        <f>Lookup!M16</f>
        <v>44377</v>
      </c>
      <c r="N7" s="129">
        <f>Lookup!N16</f>
        <v>44742</v>
      </c>
      <c r="O7" s="129">
        <f>Lookup!O16</f>
        <v>45107</v>
      </c>
      <c r="P7" s="129">
        <f>Lookup!P16</f>
        <v>45473</v>
      </c>
      <c r="Q7" s="129">
        <f>Lookup!Q16</f>
        <v>45838</v>
      </c>
      <c r="R7" s="129">
        <f>Lookup!R16</f>
        <v>46203</v>
      </c>
      <c r="S7" s="129">
        <f>Lookup!S16</f>
        <v>46568</v>
      </c>
      <c r="T7" s="129">
        <f>Lookup!T16</f>
        <v>46934</v>
      </c>
      <c r="U7" s="129">
        <f>Lookup!U16</f>
        <v>47299</v>
      </c>
      <c r="V7" s="129">
        <f>Lookup!V16</f>
        <v>47664</v>
      </c>
      <c r="W7" s="129">
        <f>Lookup!W16</f>
        <v>48029</v>
      </c>
      <c r="X7" s="129">
        <f>Lookup!X16</f>
        <v>48395</v>
      </c>
      <c r="Y7" s="129">
        <f>Lookup!Y16</f>
        <v>48760</v>
      </c>
      <c r="Z7" s="129">
        <f>Lookup!Z16</f>
        <v>49125</v>
      </c>
      <c r="AA7" s="129">
        <f>Lookup!AA16</f>
        <v>49490</v>
      </c>
      <c r="AB7" s="129">
        <f>Lookup!AB16</f>
        <v>49856</v>
      </c>
      <c r="AC7" s="129">
        <f>Lookup!AC16</f>
        <v>50221</v>
      </c>
      <c r="AD7" s="129">
        <f>Lookup!AD16</f>
        <v>50586</v>
      </c>
      <c r="AE7" s="129">
        <f>Lookup!AE16</f>
        <v>50951</v>
      </c>
      <c r="AF7" s="129">
        <f>Lookup!AF16</f>
        <v>51317</v>
      </c>
      <c r="AG7" s="129">
        <f>Lookup!AG16</f>
        <v>51682</v>
      </c>
      <c r="AH7" s="129">
        <f>Lookup!AH16</f>
        <v>52047</v>
      </c>
      <c r="AI7" s="129">
        <f>Lookup!AI16</f>
        <v>52412</v>
      </c>
      <c r="AJ7" s="129">
        <f>Lookup!AJ16</f>
        <v>52778</v>
      </c>
      <c r="AK7" s="129">
        <f>Lookup!AK16</f>
        <v>53143</v>
      </c>
      <c r="AL7" s="129">
        <f>Lookup!AL16</f>
        <v>53508</v>
      </c>
      <c r="AM7" s="129">
        <f>Lookup!AM16</f>
        <v>53873</v>
      </c>
      <c r="AN7" s="129">
        <f>Lookup!AN16</f>
        <v>54239</v>
      </c>
      <c r="AO7" s="129">
        <f>Lookup!AO16</f>
        <v>54604</v>
      </c>
      <c r="AP7" s="129">
        <f>Lookup!AP16</f>
        <v>54969</v>
      </c>
      <c r="AQ7" s="129">
        <f>Lookup!AQ16</f>
        <v>55334</v>
      </c>
      <c r="AR7" s="129">
        <f>Lookup!AR16</f>
        <v>55700</v>
      </c>
      <c r="AS7" s="129">
        <f>Lookup!AS16</f>
        <v>56065</v>
      </c>
      <c r="AT7" s="129">
        <f>Lookup!AT16</f>
        <v>56430</v>
      </c>
      <c r="AU7" s="129">
        <f>Lookup!AU16</f>
        <v>56795</v>
      </c>
      <c r="AV7" s="129">
        <f>Lookup!AV16</f>
        <v>57161</v>
      </c>
      <c r="AW7" s="129">
        <f>Lookup!AW16</f>
        <v>57526</v>
      </c>
    </row>
    <row r="8" spans="1:49" ht="12.3" hidden="1" outlineLevel="1" x14ac:dyDescent="0.35">
      <c r="B8" s="128" t="str">
        <f>Lookup!B17</f>
        <v>Period Counter</v>
      </c>
      <c r="J8" s="130">
        <f>Lookup!J17</f>
        <v>1</v>
      </c>
      <c r="K8" s="130">
        <f>Lookup!K17</f>
        <v>2</v>
      </c>
      <c r="L8" s="130">
        <f>Lookup!L17</f>
        <v>3</v>
      </c>
      <c r="M8" s="130">
        <f>Lookup!M17</f>
        <v>4</v>
      </c>
      <c r="N8" s="130">
        <f>Lookup!N17</f>
        <v>5</v>
      </c>
      <c r="O8" s="130">
        <f>Lookup!O17</f>
        <v>6</v>
      </c>
      <c r="P8" s="130">
        <f>Lookup!P17</f>
        <v>7</v>
      </c>
      <c r="Q8" s="130">
        <f>Lookup!Q17</f>
        <v>8</v>
      </c>
      <c r="R8" s="130">
        <f>Lookup!R17</f>
        <v>9</v>
      </c>
      <c r="S8" s="130">
        <f>Lookup!S17</f>
        <v>10</v>
      </c>
      <c r="T8" s="130">
        <f>Lookup!T17</f>
        <v>11</v>
      </c>
      <c r="U8" s="130">
        <f>Lookup!U17</f>
        <v>12</v>
      </c>
      <c r="V8" s="130">
        <f>Lookup!V17</f>
        <v>13</v>
      </c>
      <c r="W8" s="130">
        <f>Lookup!W17</f>
        <v>14</v>
      </c>
      <c r="X8" s="130">
        <f>Lookup!X17</f>
        <v>15</v>
      </c>
      <c r="Y8" s="130">
        <f>Lookup!Y17</f>
        <v>16</v>
      </c>
      <c r="Z8" s="130">
        <f>Lookup!Z17</f>
        <v>17</v>
      </c>
      <c r="AA8" s="130">
        <f>Lookup!AA17</f>
        <v>18</v>
      </c>
      <c r="AB8" s="130">
        <f>Lookup!AB17</f>
        <v>19</v>
      </c>
      <c r="AC8" s="130">
        <f>Lookup!AC17</f>
        <v>20</v>
      </c>
      <c r="AD8" s="130">
        <f>Lookup!AD17</f>
        <v>21</v>
      </c>
      <c r="AE8" s="130">
        <f>Lookup!AE17</f>
        <v>22</v>
      </c>
      <c r="AF8" s="130">
        <f>Lookup!AF17</f>
        <v>23</v>
      </c>
      <c r="AG8" s="130">
        <f>Lookup!AG17</f>
        <v>24</v>
      </c>
      <c r="AH8" s="130">
        <f>Lookup!AH17</f>
        <v>25</v>
      </c>
      <c r="AI8" s="130">
        <f>Lookup!AI17</f>
        <v>26</v>
      </c>
      <c r="AJ8" s="130">
        <f>Lookup!AJ17</f>
        <v>27</v>
      </c>
      <c r="AK8" s="130">
        <f>Lookup!AK17</f>
        <v>28</v>
      </c>
      <c r="AL8" s="130">
        <f>Lookup!AL17</f>
        <v>29</v>
      </c>
      <c r="AM8" s="130">
        <f>Lookup!AM17</f>
        <v>30</v>
      </c>
      <c r="AN8" s="130">
        <f>Lookup!AN17</f>
        <v>31</v>
      </c>
      <c r="AO8" s="130">
        <f>Lookup!AO17</f>
        <v>32</v>
      </c>
      <c r="AP8" s="130">
        <f>Lookup!AP17</f>
        <v>33</v>
      </c>
      <c r="AQ8" s="130">
        <f>Lookup!AQ17</f>
        <v>34</v>
      </c>
      <c r="AR8" s="130">
        <f>Lookup!AR17</f>
        <v>35</v>
      </c>
      <c r="AS8" s="130">
        <f>Lookup!AS17</f>
        <v>36</v>
      </c>
      <c r="AT8" s="130">
        <f>Lookup!AT17</f>
        <v>37</v>
      </c>
      <c r="AU8" s="130">
        <f>Lookup!AU17</f>
        <v>38</v>
      </c>
      <c r="AV8" s="130">
        <f>Lookup!AV17</f>
        <v>39</v>
      </c>
      <c r="AW8" s="130">
        <f>Lookup!AW17</f>
        <v>40</v>
      </c>
    </row>
    <row r="9" spans="1:49" ht="12.3" hidden="1" outlineLevel="1" x14ac:dyDescent="0.35">
      <c r="B9" s="128" t="str">
        <f>Lookup!B18</f>
        <v>Year</v>
      </c>
      <c r="J9" s="131">
        <f>Lookup!J18</f>
        <v>2018</v>
      </c>
      <c r="K9" s="131">
        <f>Lookup!K18</f>
        <v>2019</v>
      </c>
      <c r="L9" s="131">
        <f>Lookup!L18</f>
        <v>2020</v>
      </c>
      <c r="M9" s="131">
        <f>Lookup!M18</f>
        <v>2021</v>
      </c>
      <c r="N9" s="131">
        <f>Lookup!N18</f>
        <v>2022</v>
      </c>
      <c r="O9" s="131">
        <f>Lookup!O18</f>
        <v>2023</v>
      </c>
      <c r="P9" s="131">
        <f>Lookup!P18</f>
        <v>2024</v>
      </c>
      <c r="Q9" s="131">
        <f>Lookup!Q18</f>
        <v>2025</v>
      </c>
      <c r="R9" s="131">
        <f>Lookup!R18</f>
        <v>2026</v>
      </c>
      <c r="S9" s="131">
        <f>Lookup!S18</f>
        <v>2027</v>
      </c>
      <c r="T9" s="131">
        <f>Lookup!T18</f>
        <v>2028</v>
      </c>
      <c r="U9" s="131">
        <f>Lookup!U18</f>
        <v>2029</v>
      </c>
      <c r="V9" s="131">
        <f>Lookup!V18</f>
        <v>2030</v>
      </c>
      <c r="W9" s="131">
        <f>Lookup!W18</f>
        <v>2031</v>
      </c>
      <c r="X9" s="131">
        <f>Lookup!X18</f>
        <v>2032</v>
      </c>
      <c r="Y9" s="131">
        <f>Lookup!Y18</f>
        <v>2033</v>
      </c>
      <c r="Z9" s="131">
        <f>Lookup!Z18</f>
        <v>2034</v>
      </c>
      <c r="AA9" s="131">
        <f>Lookup!AA18</f>
        <v>2035</v>
      </c>
      <c r="AB9" s="131">
        <f>Lookup!AB18</f>
        <v>2036</v>
      </c>
      <c r="AC9" s="131">
        <f>Lookup!AC18</f>
        <v>2037</v>
      </c>
      <c r="AD9" s="131">
        <f>Lookup!AD18</f>
        <v>2038</v>
      </c>
      <c r="AE9" s="131">
        <f>Lookup!AE18</f>
        <v>2039</v>
      </c>
      <c r="AF9" s="131">
        <f>Lookup!AF18</f>
        <v>2040</v>
      </c>
      <c r="AG9" s="131">
        <f>Lookup!AG18</f>
        <v>2041</v>
      </c>
      <c r="AH9" s="131">
        <f>Lookup!AH18</f>
        <v>2042</v>
      </c>
      <c r="AI9" s="131">
        <f>Lookup!AI18</f>
        <v>2043</v>
      </c>
      <c r="AJ9" s="131">
        <f>Lookup!AJ18</f>
        <v>2044</v>
      </c>
      <c r="AK9" s="131">
        <f>Lookup!AK18</f>
        <v>2045</v>
      </c>
      <c r="AL9" s="131">
        <f>Lookup!AL18</f>
        <v>2046</v>
      </c>
      <c r="AM9" s="131">
        <f>Lookup!AM18</f>
        <v>2047</v>
      </c>
      <c r="AN9" s="131">
        <f>Lookup!AN18</f>
        <v>2048</v>
      </c>
      <c r="AO9" s="131">
        <f>Lookup!AO18</f>
        <v>2049</v>
      </c>
      <c r="AP9" s="131">
        <f>Lookup!AP18</f>
        <v>2050</v>
      </c>
      <c r="AQ9" s="131">
        <f>Lookup!AQ18</f>
        <v>2051</v>
      </c>
      <c r="AR9" s="131">
        <f>Lookup!AR18</f>
        <v>2052</v>
      </c>
      <c r="AS9" s="131">
        <f>Lookup!AS18</f>
        <v>2053</v>
      </c>
      <c r="AT9" s="131">
        <f>Lookup!AT18</f>
        <v>2054</v>
      </c>
      <c r="AU9" s="131">
        <f>Lookup!AU18</f>
        <v>2055</v>
      </c>
      <c r="AV9" s="131">
        <f>Lookup!AV18</f>
        <v>2056</v>
      </c>
      <c r="AW9" s="131">
        <f>Lookup!AW18</f>
        <v>2057</v>
      </c>
    </row>
    <row r="10" spans="1:49" ht="12.3" hidden="1" outlineLevel="1" x14ac:dyDescent="0.35">
      <c r="B10" s="128" t="str">
        <f>Lookup!B19</f>
        <v>Period Type</v>
      </c>
      <c r="J10" s="131" t="str">
        <f>Lookup!J19</f>
        <v>Actual</v>
      </c>
      <c r="K10" s="131" t="str">
        <f>Lookup!K19</f>
        <v>Actual</v>
      </c>
      <c r="L10" s="131" t="str">
        <f>Lookup!L19</f>
        <v>Actual</v>
      </c>
      <c r="M10" s="131" t="str">
        <f>Lookup!M19</f>
        <v>Base Year</v>
      </c>
      <c r="N10" s="131" t="str">
        <f>Lookup!N19</f>
        <v>Forecast</v>
      </c>
      <c r="O10" s="131" t="str">
        <f>Lookup!O19</f>
        <v>Forecast</v>
      </c>
      <c r="P10" s="131" t="str">
        <f>Lookup!P19</f>
        <v>Forecast</v>
      </c>
      <c r="Q10" s="131" t="str">
        <f>Lookup!Q19</f>
        <v>Forecast</v>
      </c>
      <c r="R10" s="131" t="str">
        <f>Lookup!R19</f>
        <v>Forecast</v>
      </c>
      <c r="S10" s="131" t="str">
        <f>Lookup!S19</f>
        <v>Forecast</v>
      </c>
      <c r="T10" s="131" t="str">
        <f>Lookup!T19</f>
        <v>Forecast</v>
      </c>
      <c r="U10" s="131" t="str">
        <f>Lookup!U19</f>
        <v>Forecast</v>
      </c>
      <c r="V10" s="131" t="str">
        <f>Lookup!V19</f>
        <v>Forecast</v>
      </c>
      <c r="W10" s="131" t="str">
        <f>Lookup!W19</f>
        <v>Forecast</v>
      </c>
      <c r="X10" s="131" t="str">
        <f>Lookup!X19</f>
        <v>Forecast</v>
      </c>
      <c r="Y10" s="131" t="str">
        <f>Lookup!Y19</f>
        <v>Forecast</v>
      </c>
      <c r="Z10" s="131" t="str">
        <f>Lookup!Z19</f>
        <v>Forecast</v>
      </c>
      <c r="AA10" s="131" t="str">
        <f>Lookup!AA19</f>
        <v>Forecast</v>
      </c>
      <c r="AB10" s="131" t="str">
        <f>Lookup!AB19</f>
        <v>Forecast</v>
      </c>
      <c r="AC10" s="131" t="str">
        <f>Lookup!AC19</f>
        <v>Forecast</v>
      </c>
      <c r="AD10" s="131" t="str">
        <f>Lookup!AD19</f>
        <v>Forecast</v>
      </c>
      <c r="AE10" s="131" t="str">
        <f>Lookup!AE19</f>
        <v>Forecast</v>
      </c>
      <c r="AF10" s="131" t="str">
        <f>Lookup!AF19</f>
        <v>Forecast</v>
      </c>
      <c r="AG10" s="131" t="str">
        <f>Lookup!AG19</f>
        <v>Forecast</v>
      </c>
      <c r="AH10" s="131" t="str">
        <f>Lookup!AH19</f>
        <v>Forecast</v>
      </c>
      <c r="AI10" s="131" t="str">
        <f>Lookup!AI19</f>
        <v>Forecast</v>
      </c>
      <c r="AJ10" s="131" t="str">
        <f>Lookup!AJ19</f>
        <v>Forecast</v>
      </c>
      <c r="AK10" s="131" t="str">
        <f>Lookup!AK19</f>
        <v>Forecast</v>
      </c>
      <c r="AL10" s="131" t="str">
        <f>Lookup!AL19</f>
        <v>Forecast</v>
      </c>
      <c r="AM10" s="131" t="str">
        <f>Lookup!AM19</f>
        <v>Forecast</v>
      </c>
      <c r="AN10" s="131" t="str">
        <f>Lookup!AN19</f>
        <v>Forecast</v>
      </c>
      <c r="AO10" s="131" t="str">
        <f>Lookup!AO19</f>
        <v>Forecast</v>
      </c>
      <c r="AP10" s="131" t="str">
        <f>Lookup!AP19</f>
        <v>Forecast</v>
      </c>
      <c r="AQ10" s="131" t="str">
        <f>Lookup!AQ19</f>
        <v>Forecast</v>
      </c>
      <c r="AR10" s="131" t="str">
        <f>Lookup!AR19</f>
        <v>Forecast</v>
      </c>
      <c r="AS10" s="131" t="str">
        <f>Lookup!AS19</f>
        <v>Forecast</v>
      </c>
      <c r="AT10" s="131" t="str">
        <f>Lookup!AT19</f>
        <v>Forecast</v>
      </c>
      <c r="AU10" s="131" t="str">
        <f>Lookup!AU19</f>
        <v>Forecast</v>
      </c>
      <c r="AV10" s="131" t="str">
        <f>Lookup!AV19</f>
        <v>Forecast</v>
      </c>
      <c r="AW10" s="131" t="str">
        <f>Lookup!AW19</f>
        <v>Forecast</v>
      </c>
    </row>
    <row r="11" spans="1:49" ht="12.3" collapsed="1" x14ac:dyDescent="0.35">
      <c r="B11" s="132" t="str">
        <f>Lookup!B20</f>
        <v>Regulatory Year</v>
      </c>
      <c r="E11" s="133" t="str">
        <f>Lookup!E20</f>
        <v>Source</v>
      </c>
      <c r="F11" s="133" t="str">
        <f>Lookup!F20</f>
        <v>Unit</v>
      </c>
      <c r="G11" s="133" t="str">
        <f>Lookup!G20</f>
        <v>Basis</v>
      </c>
      <c r="H11" s="133" t="str">
        <f>Lookup!H20</f>
        <v>Timing</v>
      </c>
      <c r="J11" s="133" t="str">
        <f>Lookup!J20</f>
        <v>RY18</v>
      </c>
      <c r="K11" s="133" t="str">
        <f>Lookup!K20</f>
        <v>RY19</v>
      </c>
      <c r="L11" s="133" t="str">
        <f>Lookup!L20</f>
        <v>RY20</v>
      </c>
      <c r="M11" s="133" t="str">
        <f>Lookup!M20</f>
        <v>RY21</v>
      </c>
      <c r="N11" s="133" t="str">
        <f>Lookup!N20</f>
        <v>RY22</v>
      </c>
      <c r="O11" s="133" t="str">
        <f>Lookup!O20</f>
        <v>RY23</v>
      </c>
      <c r="P11" s="133" t="str">
        <f>Lookup!P20</f>
        <v>RY24</v>
      </c>
      <c r="Q11" s="133" t="str">
        <f>Lookup!Q20</f>
        <v>RY25</v>
      </c>
      <c r="R11" s="133" t="str">
        <f>Lookup!R20</f>
        <v>RY26</v>
      </c>
      <c r="S11" s="133" t="str">
        <f>Lookup!S20</f>
        <v>RY27</v>
      </c>
      <c r="T11" s="133" t="str">
        <f>Lookup!T20</f>
        <v>RY28</v>
      </c>
      <c r="U11" s="133" t="str">
        <f>Lookup!U20</f>
        <v>RY29</v>
      </c>
      <c r="V11" s="133" t="str">
        <f>Lookup!V20</f>
        <v>RY30</v>
      </c>
      <c r="W11" s="133" t="str">
        <f>Lookup!W20</f>
        <v>RY31</v>
      </c>
      <c r="X11" s="133" t="str">
        <f>Lookup!X20</f>
        <v>RY32</v>
      </c>
      <c r="Y11" s="133" t="str">
        <f>Lookup!Y20</f>
        <v>RY33</v>
      </c>
      <c r="Z11" s="133" t="str">
        <f>Lookup!Z20</f>
        <v>RY34</v>
      </c>
      <c r="AA11" s="133" t="str">
        <f>Lookup!AA20</f>
        <v>RY35</v>
      </c>
      <c r="AB11" s="133" t="str">
        <f>Lookup!AB20</f>
        <v>RY36</v>
      </c>
      <c r="AC11" s="133" t="str">
        <f>Lookup!AC20</f>
        <v>RY37</v>
      </c>
      <c r="AD11" s="133" t="str">
        <f>Lookup!AD20</f>
        <v>RY38</v>
      </c>
      <c r="AE11" s="133" t="str">
        <f>Lookup!AE20</f>
        <v>RY39</v>
      </c>
      <c r="AF11" s="133" t="str">
        <f>Lookup!AF20</f>
        <v>RY40</v>
      </c>
      <c r="AG11" s="133" t="str">
        <f>Lookup!AG20</f>
        <v>RY41</v>
      </c>
      <c r="AH11" s="133" t="str">
        <f>Lookup!AH20</f>
        <v>RY42</v>
      </c>
      <c r="AI11" s="133" t="str">
        <f>Lookup!AI20</f>
        <v>RY43</v>
      </c>
      <c r="AJ11" s="133" t="str">
        <f>Lookup!AJ20</f>
        <v>RY44</v>
      </c>
      <c r="AK11" s="133" t="str">
        <f>Lookup!AK20</f>
        <v>RY45</v>
      </c>
      <c r="AL11" s="133" t="str">
        <f>Lookup!AL20</f>
        <v>RY46</v>
      </c>
      <c r="AM11" s="133" t="str">
        <f>Lookup!AM20</f>
        <v>RY47</v>
      </c>
      <c r="AN11" s="133" t="str">
        <f>Lookup!AN20</f>
        <v>RY48</v>
      </c>
      <c r="AO11" s="133" t="str">
        <f>Lookup!AO20</f>
        <v>RY49</v>
      </c>
      <c r="AP11" s="133" t="str">
        <f>Lookup!AP20</f>
        <v>RY50</v>
      </c>
      <c r="AQ11" s="133" t="str">
        <f>Lookup!AQ20</f>
        <v>RY51</v>
      </c>
      <c r="AR11" s="133" t="str">
        <f>Lookup!AR20</f>
        <v>RY52</v>
      </c>
      <c r="AS11" s="133" t="str">
        <f>Lookup!AS20</f>
        <v>RY53</v>
      </c>
      <c r="AT11" s="133" t="str">
        <f>Lookup!AT20</f>
        <v>RY54</v>
      </c>
      <c r="AU11" s="133" t="str">
        <f>Lookup!AU20</f>
        <v>RY55</v>
      </c>
      <c r="AV11" s="133" t="str">
        <f>Lookup!AV20</f>
        <v>RY56</v>
      </c>
      <c r="AW11" s="133" t="str">
        <f>Lookup!AW20</f>
        <v>RY57</v>
      </c>
    </row>
  </sheetData>
  <conditionalFormatting sqref="B2">
    <cfRule type="cellIs" dxfId="17" priority="1" operator="notEqual">
      <formula>"No Errors Found"</formula>
    </cfRule>
  </conditionalFormatting>
  <hyperlinks>
    <hyperlink ref="B3:D3" location="Cover!A1" display="Go to Cover Sheet" xr:uid="{696F2E1C-F992-4D2F-9B09-3CB41D15AB30}"/>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C9C96-72C5-46BF-81A6-EC4F753B714C}">
  <sheetPr>
    <tabColor rgb="FFFFFF00"/>
  </sheetPr>
  <dimension ref="A1:AW11"/>
  <sheetViews>
    <sheetView showGridLines="0" zoomScaleNormal="100" workbookViewId="0">
      <pane xSplit="1" ySplit="11" topLeftCell="B12" activePane="bottomRight" state="frozen"/>
      <selection activeCell="N11" sqref="F4:U25"/>
      <selection pane="topRight" activeCell="N11" sqref="F4:U25"/>
      <selection pane="bottomLeft" activeCell="N11" sqref="F4:U25"/>
      <selection pane="bottomRight" activeCell="B12" sqref="B12"/>
    </sheetView>
  </sheetViews>
  <sheetFormatPr defaultColWidth="9.33203125" defaultRowHeight="10.199999999999999" outlineLevelRow="1" x14ac:dyDescent="0.35"/>
  <cols>
    <col min="1" max="3" width="2.796875" style="127" customWidth="1"/>
    <col min="4" max="4" width="71.59765625" style="127" customWidth="1"/>
    <col min="5" max="5" width="25.796875" style="127" customWidth="1"/>
    <col min="6" max="6" width="12.59765625" style="127" customWidth="1"/>
    <col min="7" max="7" width="20.6640625" style="127" customWidth="1"/>
    <col min="8" max="8" width="12.59765625" style="127" customWidth="1"/>
    <col min="9" max="9" width="17.9296875" style="127" customWidth="1"/>
    <col min="10" max="49" width="16.59765625" style="127" customWidth="1"/>
    <col min="50" max="16384" width="9.33203125" style="127"/>
  </cols>
  <sheetData>
    <row r="1" spans="1:49" s="251" customFormat="1" ht="18.899999999999999" x14ac:dyDescent="0.35">
      <c r="A1" s="249">
        <f>IF(SUM($A11:$A1134)&gt;0,1,0)</f>
        <v>0</v>
      </c>
      <c r="B1" s="250" t="str">
        <f>"Calculations - "&amp;INDEX(LU_Scenario_Name,$J$1)</f>
        <v>Calculations - Advanced capable meters, enabled strategically</v>
      </c>
      <c r="F1" s="246" t="s">
        <v>326</v>
      </c>
      <c r="I1" s="252" t="s">
        <v>126</v>
      </c>
      <c r="J1" s="253">
        <v>5</v>
      </c>
    </row>
    <row r="2" spans="1:49" s="251" customFormat="1" x14ac:dyDescent="0.35">
      <c r="B2" s="254" t="str">
        <f>Title_Msg</f>
        <v>No Errors Found</v>
      </c>
    </row>
    <row r="3" spans="1:49" s="251" customFormat="1" ht="12.3" x14ac:dyDescent="0.35">
      <c r="B3" s="255" t="s">
        <v>50</v>
      </c>
      <c r="C3" s="255"/>
      <c r="D3" s="255"/>
      <c r="E3" s="256"/>
    </row>
    <row r="4" spans="1:49" s="251" customFormat="1" ht="12.3" x14ac:dyDescent="0.35">
      <c r="B4" s="257" t="str">
        <f>Model_Name</f>
        <v>Cost Benefit Analysis - Advanced Metering within the regulated NT electricity networks</v>
      </c>
    </row>
    <row r="6" spans="1:49" ht="12.3" hidden="1" outlineLevel="1" x14ac:dyDescent="0.35">
      <c r="B6" s="128" t="str">
        <f>Lookup!B15</f>
        <v>Period Start Date</v>
      </c>
      <c r="J6" s="129">
        <f>Lookup!J15</f>
        <v>42917</v>
      </c>
      <c r="K6" s="129">
        <f>Lookup!K15</f>
        <v>43282</v>
      </c>
      <c r="L6" s="129">
        <f>Lookup!L15</f>
        <v>43647</v>
      </c>
      <c r="M6" s="129">
        <f>Lookup!M15</f>
        <v>44013</v>
      </c>
      <c r="N6" s="129">
        <f>Lookup!N15</f>
        <v>44378</v>
      </c>
      <c r="O6" s="129">
        <f>Lookup!O15</f>
        <v>44743</v>
      </c>
      <c r="P6" s="129">
        <f>Lookup!P15</f>
        <v>45108</v>
      </c>
      <c r="Q6" s="129">
        <f>Lookup!Q15</f>
        <v>45474</v>
      </c>
      <c r="R6" s="129">
        <f>Lookup!R15</f>
        <v>45839</v>
      </c>
      <c r="S6" s="129">
        <f>Lookup!S15</f>
        <v>46204</v>
      </c>
      <c r="T6" s="129">
        <f>Lookup!T15</f>
        <v>46569</v>
      </c>
      <c r="U6" s="129">
        <f>Lookup!U15</f>
        <v>46935</v>
      </c>
      <c r="V6" s="129">
        <f>Lookup!V15</f>
        <v>47300</v>
      </c>
      <c r="W6" s="129">
        <f>Lookup!W15</f>
        <v>47665</v>
      </c>
      <c r="X6" s="129">
        <f>Lookup!X15</f>
        <v>48030</v>
      </c>
      <c r="Y6" s="129">
        <f>Lookup!Y15</f>
        <v>48396</v>
      </c>
      <c r="Z6" s="129">
        <f>Lookup!Z15</f>
        <v>48761</v>
      </c>
      <c r="AA6" s="129">
        <f>Lookup!AA15</f>
        <v>49126</v>
      </c>
      <c r="AB6" s="129">
        <f>Lookup!AB15</f>
        <v>49491</v>
      </c>
      <c r="AC6" s="129">
        <f>Lookup!AC15</f>
        <v>49857</v>
      </c>
      <c r="AD6" s="129">
        <f>Lookup!AD15</f>
        <v>50222</v>
      </c>
      <c r="AE6" s="129">
        <f>Lookup!AE15</f>
        <v>50587</v>
      </c>
      <c r="AF6" s="129">
        <f>Lookup!AF15</f>
        <v>50952</v>
      </c>
      <c r="AG6" s="129">
        <f>Lookup!AG15</f>
        <v>51318</v>
      </c>
      <c r="AH6" s="129">
        <f>Lookup!AH15</f>
        <v>51683</v>
      </c>
      <c r="AI6" s="129">
        <f>Lookup!AI15</f>
        <v>52048</v>
      </c>
      <c r="AJ6" s="129">
        <f>Lookup!AJ15</f>
        <v>52413</v>
      </c>
      <c r="AK6" s="129">
        <f>Lookup!AK15</f>
        <v>52779</v>
      </c>
      <c r="AL6" s="129">
        <f>Lookup!AL15</f>
        <v>53144</v>
      </c>
      <c r="AM6" s="129">
        <f>Lookup!AM15</f>
        <v>53509</v>
      </c>
      <c r="AN6" s="129">
        <f>Lookup!AN15</f>
        <v>53874</v>
      </c>
      <c r="AO6" s="129">
        <f>Lookup!AO15</f>
        <v>54240</v>
      </c>
      <c r="AP6" s="129">
        <f>Lookup!AP15</f>
        <v>54605</v>
      </c>
      <c r="AQ6" s="129">
        <f>Lookup!AQ15</f>
        <v>54970</v>
      </c>
      <c r="AR6" s="129">
        <f>Lookup!AR15</f>
        <v>55335</v>
      </c>
      <c r="AS6" s="129">
        <f>Lookup!AS15</f>
        <v>55701</v>
      </c>
      <c r="AT6" s="129">
        <f>Lookup!AT15</f>
        <v>56066</v>
      </c>
      <c r="AU6" s="129">
        <f>Lookup!AU15</f>
        <v>56431</v>
      </c>
      <c r="AV6" s="129">
        <f>Lookup!AV15</f>
        <v>56796</v>
      </c>
      <c r="AW6" s="129">
        <f>Lookup!AW15</f>
        <v>57162</v>
      </c>
    </row>
    <row r="7" spans="1:49" ht="12.3" hidden="1" outlineLevel="1" x14ac:dyDescent="0.35">
      <c r="B7" s="128" t="str">
        <f>Lookup!B16</f>
        <v>Period End Date</v>
      </c>
      <c r="J7" s="129">
        <f>Lookup!J16</f>
        <v>43281</v>
      </c>
      <c r="K7" s="129">
        <f>Lookup!K16</f>
        <v>43646</v>
      </c>
      <c r="L7" s="129">
        <f>Lookup!L16</f>
        <v>44012</v>
      </c>
      <c r="M7" s="129">
        <f>Lookup!M16</f>
        <v>44377</v>
      </c>
      <c r="N7" s="129">
        <f>Lookup!N16</f>
        <v>44742</v>
      </c>
      <c r="O7" s="129">
        <f>Lookup!O16</f>
        <v>45107</v>
      </c>
      <c r="P7" s="129">
        <f>Lookup!P16</f>
        <v>45473</v>
      </c>
      <c r="Q7" s="129">
        <f>Lookup!Q16</f>
        <v>45838</v>
      </c>
      <c r="R7" s="129">
        <f>Lookup!R16</f>
        <v>46203</v>
      </c>
      <c r="S7" s="129">
        <f>Lookup!S16</f>
        <v>46568</v>
      </c>
      <c r="T7" s="129">
        <f>Lookup!T16</f>
        <v>46934</v>
      </c>
      <c r="U7" s="129">
        <f>Lookup!U16</f>
        <v>47299</v>
      </c>
      <c r="V7" s="129">
        <f>Lookup!V16</f>
        <v>47664</v>
      </c>
      <c r="W7" s="129">
        <f>Lookup!W16</f>
        <v>48029</v>
      </c>
      <c r="X7" s="129">
        <f>Lookup!X16</f>
        <v>48395</v>
      </c>
      <c r="Y7" s="129">
        <f>Lookup!Y16</f>
        <v>48760</v>
      </c>
      <c r="Z7" s="129">
        <f>Lookup!Z16</f>
        <v>49125</v>
      </c>
      <c r="AA7" s="129">
        <f>Lookup!AA16</f>
        <v>49490</v>
      </c>
      <c r="AB7" s="129">
        <f>Lookup!AB16</f>
        <v>49856</v>
      </c>
      <c r="AC7" s="129">
        <f>Lookup!AC16</f>
        <v>50221</v>
      </c>
      <c r="AD7" s="129">
        <f>Lookup!AD16</f>
        <v>50586</v>
      </c>
      <c r="AE7" s="129">
        <f>Lookup!AE16</f>
        <v>50951</v>
      </c>
      <c r="AF7" s="129">
        <f>Lookup!AF16</f>
        <v>51317</v>
      </c>
      <c r="AG7" s="129">
        <f>Lookup!AG16</f>
        <v>51682</v>
      </c>
      <c r="AH7" s="129">
        <f>Lookup!AH16</f>
        <v>52047</v>
      </c>
      <c r="AI7" s="129">
        <f>Lookup!AI16</f>
        <v>52412</v>
      </c>
      <c r="AJ7" s="129">
        <f>Lookup!AJ16</f>
        <v>52778</v>
      </c>
      <c r="AK7" s="129">
        <f>Lookup!AK16</f>
        <v>53143</v>
      </c>
      <c r="AL7" s="129">
        <f>Lookup!AL16</f>
        <v>53508</v>
      </c>
      <c r="AM7" s="129">
        <f>Lookup!AM16</f>
        <v>53873</v>
      </c>
      <c r="AN7" s="129">
        <f>Lookup!AN16</f>
        <v>54239</v>
      </c>
      <c r="AO7" s="129">
        <f>Lookup!AO16</f>
        <v>54604</v>
      </c>
      <c r="AP7" s="129">
        <f>Lookup!AP16</f>
        <v>54969</v>
      </c>
      <c r="AQ7" s="129">
        <f>Lookup!AQ16</f>
        <v>55334</v>
      </c>
      <c r="AR7" s="129">
        <f>Lookup!AR16</f>
        <v>55700</v>
      </c>
      <c r="AS7" s="129">
        <f>Lookup!AS16</f>
        <v>56065</v>
      </c>
      <c r="AT7" s="129">
        <f>Lookup!AT16</f>
        <v>56430</v>
      </c>
      <c r="AU7" s="129">
        <f>Lookup!AU16</f>
        <v>56795</v>
      </c>
      <c r="AV7" s="129">
        <f>Lookup!AV16</f>
        <v>57161</v>
      </c>
      <c r="AW7" s="129">
        <f>Lookup!AW16</f>
        <v>57526</v>
      </c>
    </row>
    <row r="8" spans="1:49" ht="12.3" hidden="1" outlineLevel="1" x14ac:dyDescent="0.35">
      <c r="B8" s="128" t="str">
        <f>Lookup!B17</f>
        <v>Period Counter</v>
      </c>
      <c r="J8" s="130">
        <f>Lookup!J17</f>
        <v>1</v>
      </c>
      <c r="K8" s="130">
        <f>Lookup!K17</f>
        <v>2</v>
      </c>
      <c r="L8" s="130">
        <f>Lookup!L17</f>
        <v>3</v>
      </c>
      <c r="M8" s="130">
        <f>Lookup!M17</f>
        <v>4</v>
      </c>
      <c r="N8" s="130">
        <f>Lookup!N17</f>
        <v>5</v>
      </c>
      <c r="O8" s="130">
        <f>Lookup!O17</f>
        <v>6</v>
      </c>
      <c r="P8" s="130">
        <f>Lookup!P17</f>
        <v>7</v>
      </c>
      <c r="Q8" s="130">
        <f>Lookup!Q17</f>
        <v>8</v>
      </c>
      <c r="R8" s="130">
        <f>Lookup!R17</f>
        <v>9</v>
      </c>
      <c r="S8" s="130">
        <f>Lookup!S17</f>
        <v>10</v>
      </c>
      <c r="T8" s="130">
        <f>Lookup!T17</f>
        <v>11</v>
      </c>
      <c r="U8" s="130">
        <f>Lookup!U17</f>
        <v>12</v>
      </c>
      <c r="V8" s="130">
        <f>Lookup!V17</f>
        <v>13</v>
      </c>
      <c r="W8" s="130">
        <f>Lookup!W17</f>
        <v>14</v>
      </c>
      <c r="X8" s="130">
        <f>Lookup!X17</f>
        <v>15</v>
      </c>
      <c r="Y8" s="130">
        <f>Lookup!Y17</f>
        <v>16</v>
      </c>
      <c r="Z8" s="130">
        <f>Lookup!Z17</f>
        <v>17</v>
      </c>
      <c r="AA8" s="130">
        <f>Lookup!AA17</f>
        <v>18</v>
      </c>
      <c r="AB8" s="130">
        <f>Lookup!AB17</f>
        <v>19</v>
      </c>
      <c r="AC8" s="130">
        <f>Lookup!AC17</f>
        <v>20</v>
      </c>
      <c r="AD8" s="130">
        <f>Lookup!AD17</f>
        <v>21</v>
      </c>
      <c r="AE8" s="130">
        <f>Lookup!AE17</f>
        <v>22</v>
      </c>
      <c r="AF8" s="130">
        <f>Lookup!AF17</f>
        <v>23</v>
      </c>
      <c r="AG8" s="130">
        <f>Lookup!AG17</f>
        <v>24</v>
      </c>
      <c r="AH8" s="130">
        <f>Lookup!AH17</f>
        <v>25</v>
      </c>
      <c r="AI8" s="130">
        <f>Lookup!AI17</f>
        <v>26</v>
      </c>
      <c r="AJ8" s="130">
        <f>Lookup!AJ17</f>
        <v>27</v>
      </c>
      <c r="AK8" s="130">
        <f>Lookup!AK17</f>
        <v>28</v>
      </c>
      <c r="AL8" s="130">
        <f>Lookup!AL17</f>
        <v>29</v>
      </c>
      <c r="AM8" s="130">
        <f>Lookup!AM17</f>
        <v>30</v>
      </c>
      <c r="AN8" s="130">
        <f>Lookup!AN17</f>
        <v>31</v>
      </c>
      <c r="AO8" s="130">
        <f>Lookup!AO17</f>
        <v>32</v>
      </c>
      <c r="AP8" s="130">
        <f>Lookup!AP17</f>
        <v>33</v>
      </c>
      <c r="AQ8" s="130">
        <f>Lookup!AQ17</f>
        <v>34</v>
      </c>
      <c r="AR8" s="130">
        <f>Lookup!AR17</f>
        <v>35</v>
      </c>
      <c r="AS8" s="130">
        <f>Lookup!AS17</f>
        <v>36</v>
      </c>
      <c r="AT8" s="130">
        <f>Lookup!AT17</f>
        <v>37</v>
      </c>
      <c r="AU8" s="130">
        <f>Lookup!AU17</f>
        <v>38</v>
      </c>
      <c r="AV8" s="130">
        <f>Lookup!AV17</f>
        <v>39</v>
      </c>
      <c r="AW8" s="130">
        <f>Lookup!AW17</f>
        <v>40</v>
      </c>
    </row>
    <row r="9" spans="1:49" ht="12.3" hidden="1" outlineLevel="1" x14ac:dyDescent="0.35">
      <c r="B9" s="128" t="str">
        <f>Lookup!B18</f>
        <v>Year</v>
      </c>
      <c r="J9" s="131">
        <f>Lookup!J18</f>
        <v>2018</v>
      </c>
      <c r="K9" s="131">
        <f>Lookup!K18</f>
        <v>2019</v>
      </c>
      <c r="L9" s="131">
        <f>Lookup!L18</f>
        <v>2020</v>
      </c>
      <c r="M9" s="131">
        <f>Lookup!M18</f>
        <v>2021</v>
      </c>
      <c r="N9" s="131">
        <f>Lookup!N18</f>
        <v>2022</v>
      </c>
      <c r="O9" s="131">
        <f>Lookup!O18</f>
        <v>2023</v>
      </c>
      <c r="P9" s="131">
        <f>Lookup!P18</f>
        <v>2024</v>
      </c>
      <c r="Q9" s="131">
        <f>Lookup!Q18</f>
        <v>2025</v>
      </c>
      <c r="R9" s="131">
        <f>Lookup!R18</f>
        <v>2026</v>
      </c>
      <c r="S9" s="131">
        <f>Lookup!S18</f>
        <v>2027</v>
      </c>
      <c r="T9" s="131">
        <f>Lookup!T18</f>
        <v>2028</v>
      </c>
      <c r="U9" s="131">
        <f>Lookup!U18</f>
        <v>2029</v>
      </c>
      <c r="V9" s="131">
        <f>Lookup!V18</f>
        <v>2030</v>
      </c>
      <c r="W9" s="131">
        <f>Lookup!W18</f>
        <v>2031</v>
      </c>
      <c r="X9" s="131">
        <f>Lookup!X18</f>
        <v>2032</v>
      </c>
      <c r="Y9" s="131">
        <f>Lookup!Y18</f>
        <v>2033</v>
      </c>
      <c r="Z9" s="131">
        <f>Lookup!Z18</f>
        <v>2034</v>
      </c>
      <c r="AA9" s="131">
        <f>Lookup!AA18</f>
        <v>2035</v>
      </c>
      <c r="AB9" s="131">
        <f>Lookup!AB18</f>
        <v>2036</v>
      </c>
      <c r="AC9" s="131">
        <f>Lookup!AC18</f>
        <v>2037</v>
      </c>
      <c r="AD9" s="131">
        <f>Lookup!AD18</f>
        <v>2038</v>
      </c>
      <c r="AE9" s="131">
        <f>Lookup!AE18</f>
        <v>2039</v>
      </c>
      <c r="AF9" s="131">
        <f>Lookup!AF18</f>
        <v>2040</v>
      </c>
      <c r="AG9" s="131">
        <f>Lookup!AG18</f>
        <v>2041</v>
      </c>
      <c r="AH9" s="131">
        <f>Lookup!AH18</f>
        <v>2042</v>
      </c>
      <c r="AI9" s="131">
        <f>Lookup!AI18</f>
        <v>2043</v>
      </c>
      <c r="AJ9" s="131">
        <f>Lookup!AJ18</f>
        <v>2044</v>
      </c>
      <c r="AK9" s="131">
        <f>Lookup!AK18</f>
        <v>2045</v>
      </c>
      <c r="AL9" s="131">
        <f>Lookup!AL18</f>
        <v>2046</v>
      </c>
      <c r="AM9" s="131">
        <f>Lookup!AM18</f>
        <v>2047</v>
      </c>
      <c r="AN9" s="131">
        <f>Lookup!AN18</f>
        <v>2048</v>
      </c>
      <c r="AO9" s="131">
        <f>Lookup!AO18</f>
        <v>2049</v>
      </c>
      <c r="AP9" s="131">
        <f>Lookup!AP18</f>
        <v>2050</v>
      </c>
      <c r="AQ9" s="131">
        <f>Lookup!AQ18</f>
        <v>2051</v>
      </c>
      <c r="AR9" s="131">
        <f>Lookup!AR18</f>
        <v>2052</v>
      </c>
      <c r="AS9" s="131">
        <f>Lookup!AS18</f>
        <v>2053</v>
      </c>
      <c r="AT9" s="131">
        <f>Lookup!AT18</f>
        <v>2054</v>
      </c>
      <c r="AU9" s="131">
        <f>Lookup!AU18</f>
        <v>2055</v>
      </c>
      <c r="AV9" s="131">
        <f>Lookup!AV18</f>
        <v>2056</v>
      </c>
      <c r="AW9" s="131">
        <f>Lookup!AW18</f>
        <v>2057</v>
      </c>
    </row>
    <row r="10" spans="1:49" ht="12.3" hidden="1" outlineLevel="1" x14ac:dyDescent="0.35">
      <c r="B10" s="128" t="str">
        <f>Lookup!B19</f>
        <v>Period Type</v>
      </c>
      <c r="J10" s="131" t="str">
        <f>Lookup!J19</f>
        <v>Actual</v>
      </c>
      <c r="K10" s="131" t="str">
        <f>Lookup!K19</f>
        <v>Actual</v>
      </c>
      <c r="L10" s="131" t="str">
        <f>Lookup!L19</f>
        <v>Actual</v>
      </c>
      <c r="M10" s="131" t="str">
        <f>Lookup!M19</f>
        <v>Base Year</v>
      </c>
      <c r="N10" s="131" t="str">
        <f>Lookup!N19</f>
        <v>Forecast</v>
      </c>
      <c r="O10" s="131" t="str">
        <f>Lookup!O19</f>
        <v>Forecast</v>
      </c>
      <c r="P10" s="131" t="str">
        <f>Lookup!P19</f>
        <v>Forecast</v>
      </c>
      <c r="Q10" s="131" t="str">
        <f>Lookup!Q19</f>
        <v>Forecast</v>
      </c>
      <c r="R10" s="131" t="str">
        <f>Lookup!R19</f>
        <v>Forecast</v>
      </c>
      <c r="S10" s="131" t="str">
        <f>Lookup!S19</f>
        <v>Forecast</v>
      </c>
      <c r="T10" s="131" t="str">
        <f>Lookup!T19</f>
        <v>Forecast</v>
      </c>
      <c r="U10" s="131" t="str">
        <f>Lookup!U19</f>
        <v>Forecast</v>
      </c>
      <c r="V10" s="131" t="str">
        <f>Lookup!V19</f>
        <v>Forecast</v>
      </c>
      <c r="W10" s="131" t="str">
        <f>Lookup!W19</f>
        <v>Forecast</v>
      </c>
      <c r="X10" s="131" t="str">
        <f>Lookup!X19</f>
        <v>Forecast</v>
      </c>
      <c r="Y10" s="131" t="str">
        <f>Lookup!Y19</f>
        <v>Forecast</v>
      </c>
      <c r="Z10" s="131" t="str">
        <f>Lookup!Z19</f>
        <v>Forecast</v>
      </c>
      <c r="AA10" s="131" t="str">
        <f>Lookup!AA19</f>
        <v>Forecast</v>
      </c>
      <c r="AB10" s="131" t="str">
        <f>Lookup!AB19</f>
        <v>Forecast</v>
      </c>
      <c r="AC10" s="131" t="str">
        <f>Lookup!AC19</f>
        <v>Forecast</v>
      </c>
      <c r="AD10" s="131" t="str">
        <f>Lookup!AD19</f>
        <v>Forecast</v>
      </c>
      <c r="AE10" s="131" t="str">
        <f>Lookup!AE19</f>
        <v>Forecast</v>
      </c>
      <c r="AF10" s="131" t="str">
        <f>Lookup!AF19</f>
        <v>Forecast</v>
      </c>
      <c r="AG10" s="131" t="str">
        <f>Lookup!AG19</f>
        <v>Forecast</v>
      </c>
      <c r="AH10" s="131" t="str">
        <f>Lookup!AH19</f>
        <v>Forecast</v>
      </c>
      <c r="AI10" s="131" t="str">
        <f>Lookup!AI19</f>
        <v>Forecast</v>
      </c>
      <c r="AJ10" s="131" t="str">
        <f>Lookup!AJ19</f>
        <v>Forecast</v>
      </c>
      <c r="AK10" s="131" t="str">
        <f>Lookup!AK19</f>
        <v>Forecast</v>
      </c>
      <c r="AL10" s="131" t="str">
        <f>Lookup!AL19</f>
        <v>Forecast</v>
      </c>
      <c r="AM10" s="131" t="str">
        <f>Lookup!AM19</f>
        <v>Forecast</v>
      </c>
      <c r="AN10" s="131" t="str">
        <f>Lookup!AN19</f>
        <v>Forecast</v>
      </c>
      <c r="AO10" s="131" t="str">
        <f>Lookup!AO19</f>
        <v>Forecast</v>
      </c>
      <c r="AP10" s="131" t="str">
        <f>Lookup!AP19</f>
        <v>Forecast</v>
      </c>
      <c r="AQ10" s="131" t="str">
        <f>Lookup!AQ19</f>
        <v>Forecast</v>
      </c>
      <c r="AR10" s="131" t="str">
        <f>Lookup!AR19</f>
        <v>Forecast</v>
      </c>
      <c r="AS10" s="131" t="str">
        <f>Lookup!AS19</f>
        <v>Forecast</v>
      </c>
      <c r="AT10" s="131" t="str">
        <f>Lookup!AT19</f>
        <v>Forecast</v>
      </c>
      <c r="AU10" s="131" t="str">
        <f>Lookup!AU19</f>
        <v>Forecast</v>
      </c>
      <c r="AV10" s="131" t="str">
        <f>Lookup!AV19</f>
        <v>Forecast</v>
      </c>
      <c r="AW10" s="131" t="str">
        <f>Lookup!AW19</f>
        <v>Forecast</v>
      </c>
    </row>
    <row r="11" spans="1:49" ht="12.3" collapsed="1" x14ac:dyDescent="0.35">
      <c r="B11" s="132" t="str">
        <f>Lookup!B20</f>
        <v>Regulatory Year</v>
      </c>
      <c r="E11" s="133" t="str">
        <f>Lookup!E20</f>
        <v>Source</v>
      </c>
      <c r="F11" s="133" t="str">
        <f>Lookup!F20</f>
        <v>Unit</v>
      </c>
      <c r="G11" s="133" t="str">
        <f>Lookup!G20</f>
        <v>Basis</v>
      </c>
      <c r="H11" s="133" t="str">
        <f>Lookup!H20</f>
        <v>Timing</v>
      </c>
      <c r="J11" s="133" t="str">
        <f>Lookup!J20</f>
        <v>RY18</v>
      </c>
      <c r="K11" s="133" t="str">
        <f>Lookup!K20</f>
        <v>RY19</v>
      </c>
      <c r="L11" s="133" t="str">
        <f>Lookup!L20</f>
        <v>RY20</v>
      </c>
      <c r="M11" s="133" t="str">
        <f>Lookup!M20</f>
        <v>RY21</v>
      </c>
      <c r="N11" s="133" t="str">
        <f>Lookup!N20</f>
        <v>RY22</v>
      </c>
      <c r="O11" s="133" t="str">
        <f>Lookup!O20</f>
        <v>RY23</v>
      </c>
      <c r="P11" s="133" t="str">
        <f>Lookup!P20</f>
        <v>RY24</v>
      </c>
      <c r="Q11" s="133" t="str">
        <f>Lookup!Q20</f>
        <v>RY25</v>
      </c>
      <c r="R11" s="133" t="str">
        <f>Lookup!R20</f>
        <v>RY26</v>
      </c>
      <c r="S11" s="133" t="str">
        <f>Lookup!S20</f>
        <v>RY27</v>
      </c>
      <c r="T11" s="133" t="str">
        <f>Lookup!T20</f>
        <v>RY28</v>
      </c>
      <c r="U11" s="133" t="str">
        <f>Lookup!U20</f>
        <v>RY29</v>
      </c>
      <c r="V11" s="133" t="str">
        <f>Lookup!V20</f>
        <v>RY30</v>
      </c>
      <c r="W11" s="133" t="str">
        <f>Lookup!W20</f>
        <v>RY31</v>
      </c>
      <c r="X11" s="133" t="str">
        <f>Lookup!X20</f>
        <v>RY32</v>
      </c>
      <c r="Y11" s="133" t="str">
        <f>Lookup!Y20</f>
        <v>RY33</v>
      </c>
      <c r="Z11" s="133" t="str">
        <f>Lookup!Z20</f>
        <v>RY34</v>
      </c>
      <c r="AA11" s="133" t="str">
        <f>Lookup!AA20</f>
        <v>RY35</v>
      </c>
      <c r="AB11" s="133" t="str">
        <f>Lookup!AB20</f>
        <v>RY36</v>
      </c>
      <c r="AC11" s="133" t="str">
        <f>Lookup!AC20</f>
        <v>RY37</v>
      </c>
      <c r="AD11" s="133" t="str">
        <f>Lookup!AD20</f>
        <v>RY38</v>
      </c>
      <c r="AE11" s="133" t="str">
        <f>Lookup!AE20</f>
        <v>RY39</v>
      </c>
      <c r="AF11" s="133" t="str">
        <f>Lookup!AF20</f>
        <v>RY40</v>
      </c>
      <c r="AG11" s="133" t="str">
        <f>Lookup!AG20</f>
        <v>RY41</v>
      </c>
      <c r="AH11" s="133" t="str">
        <f>Lookup!AH20</f>
        <v>RY42</v>
      </c>
      <c r="AI11" s="133" t="str">
        <f>Lookup!AI20</f>
        <v>RY43</v>
      </c>
      <c r="AJ11" s="133" t="str">
        <f>Lookup!AJ20</f>
        <v>RY44</v>
      </c>
      <c r="AK11" s="133" t="str">
        <f>Lookup!AK20</f>
        <v>RY45</v>
      </c>
      <c r="AL11" s="133" t="str">
        <f>Lookup!AL20</f>
        <v>RY46</v>
      </c>
      <c r="AM11" s="133" t="str">
        <f>Lookup!AM20</f>
        <v>RY47</v>
      </c>
      <c r="AN11" s="133" t="str">
        <f>Lookup!AN20</f>
        <v>RY48</v>
      </c>
      <c r="AO11" s="133" t="str">
        <f>Lookup!AO20</f>
        <v>RY49</v>
      </c>
      <c r="AP11" s="133" t="str">
        <f>Lookup!AP20</f>
        <v>RY50</v>
      </c>
      <c r="AQ11" s="133" t="str">
        <f>Lookup!AQ20</f>
        <v>RY51</v>
      </c>
      <c r="AR11" s="133" t="str">
        <f>Lookup!AR20</f>
        <v>RY52</v>
      </c>
      <c r="AS11" s="133" t="str">
        <f>Lookup!AS20</f>
        <v>RY53</v>
      </c>
      <c r="AT11" s="133" t="str">
        <f>Lookup!AT20</f>
        <v>RY54</v>
      </c>
      <c r="AU11" s="133" t="str">
        <f>Lookup!AU20</f>
        <v>RY55</v>
      </c>
      <c r="AV11" s="133" t="str">
        <f>Lookup!AV20</f>
        <v>RY56</v>
      </c>
      <c r="AW11" s="133" t="str">
        <f>Lookup!AW20</f>
        <v>RY57</v>
      </c>
    </row>
  </sheetData>
  <conditionalFormatting sqref="B2">
    <cfRule type="cellIs" dxfId="16" priority="1" operator="notEqual">
      <formula>"No Errors Found"</formula>
    </cfRule>
  </conditionalFormatting>
  <hyperlinks>
    <hyperlink ref="B3:D3" location="Cover!A1" display="Go to Cover Sheet" xr:uid="{96642EC5-31FA-49B7-BC15-4173816405B4}"/>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CC94E-ACA9-49CE-A9CC-CF2766EABFA2}">
  <sheetPr>
    <tabColor rgb="FFFFFF00"/>
  </sheetPr>
  <dimension ref="A1:AW11"/>
  <sheetViews>
    <sheetView showGridLines="0" zoomScaleNormal="100" workbookViewId="0">
      <pane xSplit="1" ySplit="11" topLeftCell="B12" activePane="bottomRight" state="frozen"/>
      <selection activeCell="N11" sqref="F4:U25"/>
      <selection pane="topRight" activeCell="N11" sqref="F4:U25"/>
      <selection pane="bottomLeft" activeCell="N11" sqref="F4:U25"/>
      <selection pane="bottomRight" activeCell="B12" sqref="B12"/>
    </sheetView>
  </sheetViews>
  <sheetFormatPr defaultColWidth="9.33203125" defaultRowHeight="10.199999999999999" outlineLevelRow="1" x14ac:dyDescent="0.35"/>
  <cols>
    <col min="1" max="3" width="2.796875" style="127" customWidth="1"/>
    <col min="4" max="4" width="71.59765625" style="127" customWidth="1"/>
    <col min="5" max="5" width="25.796875" style="127" customWidth="1"/>
    <col min="6" max="6" width="12.59765625" style="127" customWidth="1"/>
    <col min="7" max="7" width="20.6640625" style="127" customWidth="1"/>
    <col min="8" max="8" width="12.59765625" style="127" customWidth="1"/>
    <col min="9" max="9" width="17.9296875" style="127" customWidth="1"/>
    <col min="10" max="49" width="16.59765625" style="127" customWidth="1"/>
    <col min="50" max="16384" width="9.33203125" style="127"/>
  </cols>
  <sheetData>
    <row r="1" spans="1:49" s="251" customFormat="1" ht="18.899999999999999" x14ac:dyDescent="0.35">
      <c r="A1" s="249">
        <f>IF(SUM($A11:$A1134)&gt;0,1,0)</f>
        <v>0</v>
      </c>
      <c r="B1" s="250" t="str">
        <f>"Calculations - "&amp;INDEX(LU_Scenario_Name,$J$1)</f>
        <v>Calculations - Transition via advanced meters</v>
      </c>
      <c r="F1" s="246" t="s">
        <v>326</v>
      </c>
      <c r="I1" s="252" t="s">
        <v>126</v>
      </c>
      <c r="J1" s="253">
        <v>6</v>
      </c>
    </row>
    <row r="2" spans="1:49" s="251" customFormat="1" x14ac:dyDescent="0.35">
      <c r="B2" s="254" t="str">
        <f>Title_Msg</f>
        <v>No Errors Found</v>
      </c>
    </row>
    <row r="3" spans="1:49" s="251" customFormat="1" ht="12.3" x14ac:dyDescent="0.35">
      <c r="B3" s="255" t="s">
        <v>50</v>
      </c>
      <c r="C3" s="255"/>
      <c r="D3" s="255"/>
      <c r="E3" s="256"/>
    </row>
    <row r="4" spans="1:49" s="251" customFormat="1" ht="12.3" x14ac:dyDescent="0.35">
      <c r="B4" s="257" t="str">
        <f>Model_Name</f>
        <v>Cost Benefit Analysis - Advanced Metering within the regulated NT electricity networks</v>
      </c>
    </row>
    <row r="6" spans="1:49" ht="12.3" hidden="1" outlineLevel="1" x14ac:dyDescent="0.35">
      <c r="B6" s="128" t="str">
        <f>Lookup!B15</f>
        <v>Period Start Date</v>
      </c>
      <c r="J6" s="129">
        <f>Lookup!J15</f>
        <v>42917</v>
      </c>
      <c r="K6" s="129">
        <f>Lookup!K15</f>
        <v>43282</v>
      </c>
      <c r="L6" s="129">
        <f>Lookup!L15</f>
        <v>43647</v>
      </c>
      <c r="M6" s="129">
        <f>Lookup!M15</f>
        <v>44013</v>
      </c>
      <c r="N6" s="129">
        <f>Lookup!N15</f>
        <v>44378</v>
      </c>
      <c r="O6" s="129">
        <f>Lookup!O15</f>
        <v>44743</v>
      </c>
      <c r="P6" s="129">
        <f>Lookup!P15</f>
        <v>45108</v>
      </c>
      <c r="Q6" s="129">
        <f>Lookup!Q15</f>
        <v>45474</v>
      </c>
      <c r="R6" s="129">
        <f>Lookup!R15</f>
        <v>45839</v>
      </c>
      <c r="S6" s="129">
        <f>Lookup!S15</f>
        <v>46204</v>
      </c>
      <c r="T6" s="129">
        <f>Lookup!T15</f>
        <v>46569</v>
      </c>
      <c r="U6" s="129">
        <f>Lookup!U15</f>
        <v>46935</v>
      </c>
      <c r="V6" s="129">
        <f>Lookup!V15</f>
        <v>47300</v>
      </c>
      <c r="W6" s="129">
        <f>Lookup!W15</f>
        <v>47665</v>
      </c>
      <c r="X6" s="129">
        <f>Lookup!X15</f>
        <v>48030</v>
      </c>
      <c r="Y6" s="129">
        <f>Lookup!Y15</f>
        <v>48396</v>
      </c>
      <c r="Z6" s="129">
        <f>Lookup!Z15</f>
        <v>48761</v>
      </c>
      <c r="AA6" s="129">
        <f>Lookup!AA15</f>
        <v>49126</v>
      </c>
      <c r="AB6" s="129">
        <f>Lookup!AB15</f>
        <v>49491</v>
      </c>
      <c r="AC6" s="129">
        <f>Lookup!AC15</f>
        <v>49857</v>
      </c>
      <c r="AD6" s="129">
        <f>Lookup!AD15</f>
        <v>50222</v>
      </c>
      <c r="AE6" s="129">
        <f>Lookup!AE15</f>
        <v>50587</v>
      </c>
      <c r="AF6" s="129">
        <f>Lookup!AF15</f>
        <v>50952</v>
      </c>
      <c r="AG6" s="129">
        <f>Lookup!AG15</f>
        <v>51318</v>
      </c>
      <c r="AH6" s="129">
        <f>Lookup!AH15</f>
        <v>51683</v>
      </c>
      <c r="AI6" s="129">
        <f>Lookup!AI15</f>
        <v>52048</v>
      </c>
      <c r="AJ6" s="129">
        <f>Lookup!AJ15</f>
        <v>52413</v>
      </c>
      <c r="AK6" s="129">
        <f>Lookup!AK15</f>
        <v>52779</v>
      </c>
      <c r="AL6" s="129">
        <f>Lookup!AL15</f>
        <v>53144</v>
      </c>
      <c r="AM6" s="129">
        <f>Lookup!AM15</f>
        <v>53509</v>
      </c>
      <c r="AN6" s="129">
        <f>Lookup!AN15</f>
        <v>53874</v>
      </c>
      <c r="AO6" s="129">
        <f>Lookup!AO15</f>
        <v>54240</v>
      </c>
      <c r="AP6" s="129">
        <f>Lookup!AP15</f>
        <v>54605</v>
      </c>
      <c r="AQ6" s="129">
        <f>Lookup!AQ15</f>
        <v>54970</v>
      </c>
      <c r="AR6" s="129">
        <f>Lookup!AR15</f>
        <v>55335</v>
      </c>
      <c r="AS6" s="129">
        <f>Lookup!AS15</f>
        <v>55701</v>
      </c>
      <c r="AT6" s="129">
        <f>Lookup!AT15</f>
        <v>56066</v>
      </c>
      <c r="AU6" s="129">
        <f>Lookup!AU15</f>
        <v>56431</v>
      </c>
      <c r="AV6" s="129">
        <f>Lookup!AV15</f>
        <v>56796</v>
      </c>
      <c r="AW6" s="129">
        <f>Lookup!AW15</f>
        <v>57162</v>
      </c>
    </row>
    <row r="7" spans="1:49" ht="12.3" hidden="1" outlineLevel="1" x14ac:dyDescent="0.35">
      <c r="B7" s="128" t="str">
        <f>Lookup!B16</f>
        <v>Period End Date</v>
      </c>
      <c r="J7" s="129">
        <f>Lookup!J16</f>
        <v>43281</v>
      </c>
      <c r="K7" s="129">
        <f>Lookup!K16</f>
        <v>43646</v>
      </c>
      <c r="L7" s="129">
        <f>Lookup!L16</f>
        <v>44012</v>
      </c>
      <c r="M7" s="129">
        <f>Lookup!M16</f>
        <v>44377</v>
      </c>
      <c r="N7" s="129">
        <f>Lookup!N16</f>
        <v>44742</v>
      </c>
      <c r="O7" s="129">
        <f>Lookup!O16</f>
        <v>45107</v>
      </c>
      <c r="P7" s="129">
        <f>Lookup!P16</f>
        <v>45473</v>
      </c>
      <c r="Q7" s="129">
        <f>Lookup!Q16</f>
        <v>45838</v>
      </c>
      <c r="R7" s="129">
        <f>Lookup!R16</f>
        <v>46203</v>
      </c>
      <c r="S7" s="129">
        <f>Lookup!S16</f>
        <v>46568</v>
      </c>
      <c r="T7" s="129">
        <f>Lookup!T16</f>
        <v>46934</v>
      </c>
      <c r="U7" s="129">
        <f>Lookup!U16</f>
        <v>47299</v>
      </c>
      <c r="V7" s="129">
        <f>Lookup!V16</f>
        <v>47664</v>
      </c>
      <c r="W7" s="129">
        <f>Lookup!W16</f>
        <v>48029</v>
      </c>
      <c r="X7" s="129">
        <f>Lookup!X16</f>
        <v>48395</v>
      </c>
      <c r="Y7" s="129">
        <f>Lookup!Y16</f>
        <v>48760</v>
      </c>
      <c r="Z7" s="129">
        <f>Lookup!Z16</f>
        <v>49125</v>
      </c>
      <c r="AA7" s="129">
        <f>Lookup!AA16</f>
        <v>49490</v>
      </c>
      <c r="AB7" s="129">
        <f>Lookup!AB16</f>
        <v>49856</v>
      </c>
      <c r="AC7" s="129">
        <f>Lookup!AC16</f>
        <v>50221</v>
      </c>
      <c r="AD7" s="129">
        <f>Lookup!AD16</f>
        <v>50586</v>
      </c>
      <c r="AE7" s="129">
        <f>Lookup!AE16</f>
        <v>50951</v>
      </c>
      <c r="AF7" s="129">
        <f>Lookup!AF16</f>
        <v>51317</v>
      </c>
      <c r="AG7" s="129">
        <f>Lookup!AG16</f>
        <v>51682</v>
      </c>
      <c r="AH7" s="129">
        <f>Lookup!AH16</f>
        <v>52047</v>
      </c>
      <c r="AI7" s="129">
        <f>Lookup!AI16</f>
        <v>52412</v>
      </c>
      <c r="AJ7" s="129">
        <f>Lookup!AJ16</f>
        <v>52778</v>
      </c>
      <c r="AK7" s="129">
        <f>Lookup!AK16</f>
        <v>53143</v>
      </c>
      <c r="AL7" s="129">
        <f>Lookup!AL16</f>
        <v>53508</v>
      </c>
      <c r="AM7" s="129">
        <f>Lookup!AM16</f>
        <v>53873</v>
      </c>
      <c r="AN7" s="129">
        <f>Lookup!AN16</f>
        <v>54239</v>
      </c>
      <c r="AO7" s="129">
        <f>Lookup!AO16</f>
        <v>54604</v>
      </c>
      <c r="AP7" s="129">
        <f>Lookup!AP16</f>
        <v>54969</v>
      </c>
      <c r="AQ7" s="129">
        <f>Lookup!AQ16</f>
        <v>55334</v>
      </c>
      <c r="AR7" s="129">
        <f>Lookup!AR16</f>
        <v>55700</v>
      </c>
      <c r="AS7" s="129">
        <f>Lookup!AS16</f>
        <v>56065</v>
      </c>
      <c r="AT7" s="129">
        <f>Lookup!AT16</f>
        <v>56430</v>
      </c>
      <c r="AU7" s="129">
        <f>Lookup!AU16</f>
        <v>56795</v>
      </c>
      <c r="AV7" s="129">
        <f>Lookup!AV16</f>
        <v>57161</v>
      </c>
      <c r="AW7" s="129">
        <f>Lookup!AW16</f>
        <v>57526</v>
      </c>
    </row>
    <row r="8" spans="1:49" ht="12.3" hidden="1" outlineLevel="1" x14ac:dyDescent="0.35">
      <c r="B8" s="128" t="str">
        <f>Lookup!B17</f>
        <v>Period Counter</v>
      </c>
      <c r="J8" s="130">
        <f>Lookup!J17</f>
        <v>1</v>
      </c>
      <c r="K8" s="130">
        <f>Lookup!K17</f>
        <v>2</v>
      </c>
      <c r="L8" s="130">
        <f>Lookup!L17</f>
        <v>3</v>
      </c>
      <c r="M8" s="130">
        <f>Lookup!M17</f>
        <v>4</v>
      </c>
      <c r="N8" s="130">
        <f>Lookup!N17</f>
        <v>5</v>
      </c>
      <c r="O8" s="130">
        <f>Lookup!O17</f>
        <v>6</v>
      </c>
      <c r="P8" s="130">
        <f>Lookup!P17</f>
        <v>7</v>
      </c>
      <c r="Q8" s="130">
        <f>Lookup!Q17</f>
        <v>8</v>
      </c>
      <c r="R8" s="130">
        <f>Lookup!R17</f>
        <v>9</v>
      </c>
      <c r="S8" s="130">
        <f>Lookup!S17</f>
        <v>10</v>
      </c>
      <c r="T8" s="130">
        <f>Lookup!T17</f>
        <v>11</v>
      </c>
      <c r="U8" s="130">
        <f>Lookup!U17</f>
        <v>12</v>
      </c>
      <c r="V8" s="130">
        <f>Lookup!V17</f>
        <v>13</v>
      </c>
      <c r="W8" s="130">
        <f>Lookup!W17</f>
        <v>14</v>
      </c>
      <c r="X8" s="130">
        <f>Lookup!X17</f>
        <v>15</v>
      </c>
      <c r="Y8" s="130">
        <f>Lookup!Y17</f>
        <v>16</v>
      </c>
      <c r="Z8" s="130">
        <f>Lookup!Z17</f>
        <v>17</v>
      </c>
      <c r="AA8" s="130">
        <f>Lookup!AA17</f>
        <v>18</v>
      </c>
      <c r="AB8" s="130">
        <f>Lookup!AB17</f>
        <v>19</v>
      </c>
      <c r="AC8" s="130">
        <f>Lookup!AC17</f>
        <v>20</v>
      </c>
      <c r="AD8" s="130">
        <f>Lookup!AD17</f>
        <v>21</v>
      </c>
      <c r="AE8" s="130">
        <f>Lookup!AE17</f>
        <v>22</v>
      </c>
      <c r="AF8" s="130">
        <f>Lookup!AF17</f>
        <v>23</v>
      </c>
      <c r="AG8" s="130">
        <f>Lookup!AG17</f>
        <v>24</v>
      </c>
      <c r="AH8" s="130">
        <f>Lookup!AH17</f>
        <v>25</v>
      </c>
      <c r="AI8" s="130">
        <f>Lookup!AI17</f>
        <v>26</v>
      </c>
      <c r="AJ8" s="130">
        <f>Lookup!AJ17</f>
        <v>27</v>
      </c>
      <c r="AK8" s="130">
        <f>Lookup!AK17</f>
        <v>28</v>
      </c>
      <c r="AL8" s="130">
        <f>Lookup!AL17</f>
        <v>29</v>
      </c>
      <c r="AM8" s="130">
        <f>Lookup!AM17</f>
        <v>30</v>
      </c>
      <c r="AN8" s="130">
        <f>Lookup!AN17</f>
        <v>31</v>
      </c>
      <c r="AO8" s="130">
        <f>Lookup!AO17</f>
        <v>32</v>
      </c>
      <c r="AP8" s="130">
        <f>Lookup!AP17</f>
        <v>33</v>
      </c>
      <c r="AQ8" s="130">
        <f>Lookup!AQ17</f>
        <v>34</v>
      </c>
      <c r="AR8" s="130">
        <f>Lookup!AR17</f>
        <v>35</v>
      </c>
      <c r="AS8" s="130">
        <f>Lookup!AS17</f>
        <v>36</v>
      </c>
      <c r="AT8" s="130">
        <f>Lookup!AT17</f>
        <v>37</v>
      </c>
      <c r="AU8" s="130">
        <f>Lookup!AU17</f>
        <v>38</v>
      </c>
      <c r="AV8" s="130">
        <f>Lookup!AV17</f>
        <v>39</v>
      </c>
      <c r="AW8" s="130">
        <f>Lookup!AW17</f>
        <v>40</v>
      </c>
    </row>
    <row r="9" spans="1:49" ht="12.3" hidden="1" outlineLevel="1" x14ac:dyDescent="0.35">
      <c r="B9" s="128" t="str">
        <f>Lookup!B18</f>
        <v>Year</v>
      </c>
      <c r="J9" s="131">
        <f>Lookup!J18</f>
        <v>2018</v>
      </c>
      <c r="K9" s="131">
        <f>Lookup!K18</f>
        <v>2019</v>
      </c>
      <c r="L9" s="131">
        <f>Lookup!L18</f>
        <v>2020</v>
      </c>
      <c r="M9" s="131">
        <f>Lookup!M18</f>
        <v>2021</v>
      </c>
      <c r="N9" s="131">
        <f>Lookup!N18</f>
        <v>2022</v>
      </c>
      <c r="O9" s="131">
        <f>Lookup!O18</f>
        <v>2023</v>
      </c>
      <c r="P9" s="131">
        <f>Lookup!P18</f>
        <v>2024</v>
      </c>
      <c r="Q9" s="131">
        <f>Lookup!Q18</f>
        <v>2025</v>
      </c>
      <c r="R9" s="131">
        <f>Lookup!R18</f>
        <v>2026</v>
      </c>
      <c r="S9" s="131">
        <f>Lookup!S18</f>
        <v>2027</v>
      </c>
      <c r="T9" s="131">
        <f>Lookup!T18</f>
        <v>2028</v>
      </c>
      <c r="U9" s="131">
        <f>Lookup!U18</f>
        <v>2029</v>
      </c>
      <c r="V9" s="131">
        <f>Lookup!V18</f>
        <v>2030</v>
      </c>
      <c r="W9" s="131">
        <f>Lookup!W18</f>
        <v>2031</v>
      </c>
      <c r="X9" s="131">
        <f>Lookup!X18</f>
        <v>2032</v>
      </c>
      <c r="Y9" s="131">
        <f>Lookup!Y18</f>
        <v>2033</v>
      </c>
      <c r="Z9" s="131">
        <f>Lookup!Z18</f>
        <v>2034</v>
      </c>
      <c r="AA9" s="131">
        <f>Lookup!AA18</f>
        <v>2035</v>
      </c>
      <c r="AB9" s="131">
        <f>Lookup!AB18</f>
        <v>2036</v>
      </c>
      <c r="AC9" s="131">
        <f>Lookup!AC18</f>
        <v>2037</v>
      </c>
      <c r="AD9" s="131">
        <f>Lookup!AD18</f>
        <v>2038</v>
      </c>
      <c r="AE9" s="131">
        <f>Lookup!AE18</f>
        <v>2039</v>
      </c>
      <c r="AF9" s="131">
        <f>Lookup!AF18</f>
        <v>2040</v>
      </c>
      <c r="AG9" s="131">
        <f>Lookup!AG18</f>
        <v>2041</v>
      </c>
      <c r="AH9" s="131">
        <f>Lookup!AH18</f>
        <v>2042</v>
      </c>
      <c r="AI9" s="131">
        <f>Lookup!AI18</f>
        <v>2043</v>
      </c>
      <c r="AJ9" s="131">
        <f>Lookup!AJ18</f>
        <v>2044</v>
      </c>
      <c r="AK9" s="131">
        <f>Lookup!AK18</f>
        <v>2045</v>
      </c>
      <c r="AL9" s="131">
        <f>Lookup!AL18</f>
        <v>2046</v>
      </c>
      <c r="AM9" s="131">
        <f>Lookup!AM18</f>
        <v>2047</v>
      </c>
      <c r="AN9" s="131">
        <f>Lookup!AN18</f>
        <v>2048</v>
      </c>
      <c r="AO9" s="131">
        <f>Lookup!AO18</f>
        <v>2049</v>
      </c>
      <c r="AP9" s="131">
        <f>Lookup!AP18</f>
        <v>2050</v>
      </c>
      <c r="AQ9" s="131">
        <f>Lookup!AQ18</f>
        <v>2051</v>
      </c>
      <c r="AR9" s="131">
        <f>Lookup!AR18</f>
        <v>2052</v>
      </c>
      <c r="AS9" s="131">
        <f>Lookup!AS18</f>
        <v>2053</v>
      </c>
      <c r="AT9" s="131">
        <f>Lookup!AT18</f>
        <v>2054</v>
      </c>
      <c r="AU9" s="131">
        <f>Lookup!AU18</f>
        <v>2055</v>
      </c>
      <c r="AV9" s="131">
        <f>Lookup!AV18</f>
        <v>2056</v>
      </c>
      <c r="AW9" s="131">
        <f>Lookup!AW18</f>
        <v>2057</v>
      </c>
    </row>
    <row r="10" spans="1:49" ht="12.3" hidden="1" outlineLevel="1" x14ac:dyDescent="0.35">
      <c r="B10" s="128" t="str">
        <f>Lookup!B19</f>
        <v>Period Type</v>
      </c>
      <c r="J10" s="131" t="str">
        <f>Lookup!J19</f>
        <v>Actual</v>
      </c>
      <c r="K10" s="131" t="str">
        <f>Lookup!K19</f>
        <v>Actual</v>
      </c>
      <c r="L10" s="131" t="str">
        <f>Lookup!L19</f>
        <v>Actual</v>
      </c>
      <c r="M10" s="131" t="str">
        <f>Lookup!M19</f>
        <v>Base Year</v>
      </c>
      <c r="N10" s="131" t="str">
        <f>Lookup!N19</f>
        <v>Forecast</v>
      </c>
      <c r="O10" s="131" t="str">
        <f>Lookup!O19</f>
        <v>Forecast</v>
      </c>
      <c r="P10" s="131" t="str">
        <f>Lookup!P19</f>
        <v>Forecast</v>
      </c>
      <c r="Q10" s="131" t="str">
        <f>Lookup!Q19</f>
        <v>Forecast</v>
      </c>
      <c r="R10" s="131" t="str">
        <f>Lookup!R19</f>
        <v>Forecast</v>
      </c>
      <c r="S10" s="131" t="str">
        <f>Lookup!S19</f>
        <v>Forecast</v>
      </c>
      <c r="T10" s="131" t="str">
        <f>Lookup!T19</f>
        <v>Forecast</v>
      </c>
      <c r="U10" s="131" t="str">
        <f>Lookup!U19</f>
        <v>Forecast</v>
      </c>
      <c r="V10" s="131" t="str">
        <f>Lookup!V19</f>
        <v>Forecast</v>
      </c>
      <c r="W10" s="131" t="str">
        <f>Lookup!W19</f>
        <v>Forecast</v>
      </c>
      <c r="X10" s="131" t="str">
        <f>Lookup!X19</f>
        <v>Forecast</v>
      </c>
      <c r="Y10" s="131" t="str">
        <f>Lookup!Y19</f>
        <v>Forecast</v>
      </c>
      <c r="Z10" s="131" t="str">
        <f>Lookup!Z19</f>
        <v>Forecast</v>
      </c>
      <c r="AA10" s="131" t="str">
        <f>Lookup!AA19</f>
        <v>Forecast</v>
      </c>
      <c r="AB10" s="131" t="str">
        <f>Lookup!AB19</f>
        <v>Forecast</v>
      </c>
      <c r="AC10" s="131" t="str">
        <f>Lookup!AC19</f>
        <v>Forecast</v>
      </c>
      <c r="AD10" s="131" t="str">
        <f>Lookup!AD19</f>
        <v>Forecast</v>
      </c>
      <c r="AE10" s="131" t="str">
        <f>Lookup!AE19</f>
        <v>Forecast</v>
      </c>
      <c r="AF10" s="131" t="str">
        <f>Lookup!AF19</f>
        <v>Forecast</v>
      </c>
      <c r="AG10" s="131" t="str">
        <f>Lookup!AG19</f>
        <v>Forecast</v>
      </c>
      <c r="AH10" s="131" t="str">
        <f>Lookup!AH19</f>
        <v>Forecast</v>
      </c>
      <c r="AI10" s="131" t="str">
        <f>Lookup!AI19</f>
        <v>Forecast</v>
      </c>
      <c r="AJ10" s="131" t="str">
        <f>Lookup!AJ19</f>
        <v>Forecast</v>
      </c>
      <c r="AK10" s="131" t="str">
        <f>Lookup!AK19</f>
        <v>Forecast</v>
      </c>
      <c r="AL10" s="131" t="str">
        <f>Lookup!AL19</f>
        <v>Forecast</v>
      </c>
      <c r="AM10" s="131" t="str">
        <f>Lookup!AM19</f>
        <v>Forecast</v>
      </c>
      <c r="AN10" s="131" t="str">
        <f>Lookup!AN19</f>
        <v>Forecast</v>
      </c>
      <c r="AO10" s="131" t="str">
        <f>Lookup!AO19</f>
        <v>Forecast</v>
      </c>
      <c r="AP10" s="131" t="str">
        <f>Lookup!AP19</f>
        <v>Forecast</v>
      </c>
      <c r="AQ10" s="131" t="str">
        <f>Lookup!AQ19</f>
        <v>Forecast</v>
      </c>
      <c r="AR10" s="131" t="str">
        <f>Lookup!AR19</f>
        <v>Forecast</v>
      </c>
      <c r="AS10" s="131" t="str">
        <f>Lookup!AS19</f>
        <v>Forecast</v>
      </c>
      <c r="AT10" s="131" t="str">
        <f>Lookup!AT19</f>
        <v>Forecast</v>
      </c>
      <c r="AU10" s="131" t="str">
        <f>Lookup!AU19</f>
        <v>Forecast</v>
      </c>
      <c r="AV10" s="131" t="str">
        <f>Lookup!AV19</f>
        <v>Forecast</v>
      </c>
      <c r="AW10" s="131" t="str">
        <f>Lookup!AW19</f>
        <v>Forecast</v>
      </c>
    </row>
    <row r="11" spans="1:49" ht="12.3" collapsed="1" x14ac:dyDescent="0.35">
      <c r="B11" s="132" t="str">
        <f>Lookup!B20</f>
        <v>Regulatory Year</v>
      </c>
      <c r="E11" s="133" t="str">
        <f>Lookup!E20</f>
        <v>Source</v>
      </c>
      <c r="F11" s="133" t="str">
        <f>Lookup!F20</f>
        <v>Unit</v>
      </c>
      <c r="G11" s="133" t="str">
        <f>Lookup!G20</f>
        <v>Basis</v>
      </c>
      <c r="H11" s="133" t="str">
        <f>Lookup!H20</f>
        <v>Timing</v>
      </c>
      <c r="J11" s="133" t="str">
        <f>Lookup!J20</f>
        <v>RY18</v>
      </c>
      <c r="K11" s="133" t="str">
        <f>Lookup!K20</f>
        <v>RY19</v>
      </c>
      <c r="L11" s="133" t="str">
        <f>Lookup!L20</f>
        <v>RY20</v>
      </c>
      <c r="M11" s="133" t="str">
        <f>Lookup!M20</f>
        <v>RY21</v>
      </c>
      <c r="N11" s="133" t="str">
        <f>Lookup!N20</f>
        <v>RY22</v>
      </c>
      <c r="O11" s="133" t="str">
        <f>Lookup!O20</f>
        <v>RY23</v>
      </c>
      <c r="P11" s="133" t="str">
        <f>Lookup!P20</f>
        <v>RY24</v>
      </c>
      <c r="Q11" s="133" t="str">
        <f>Lookup!Q20</f>
        <v>RY25</v>
      </c>
      <c r="R11" s="133" t="str">
        <f>Lookup!R20</f>
        <v>RY26</v>
      </c>
      <c r="S11" s="133" t="str">
        <f>Lookup!S20</f>
        <v>RY27</v>
      </c>
      <c r="T11" s="133" t="str">
        <f>Lookup!T20</f>
        <v>RY28</v>
      </c>
      <c r="U11" s="133" t="str">
        <f>Lookup!U20</f>
        <v>RY29</v>
      </c>
      <c r="V11" s="133" t="str">
        <f>Lookup!V20</f>
        <v>RY30</v>
      </c>
      <c r="W11" s="133" t="str">
        <f>Lookup!W20</f>
        <v>RY31</v>
      </c>
      <c r="X11" s="133" t="str">
        <f>Lookup!X20</f>
        <v>RY32</v>
      </c>
      <c r="Y11" s="133" t="str">
        <f>Lookup!Y20</f>
        <v>RY33</v>
      </c>
      <c r="Z11" s="133" t="str">
        <f>Lookup!Z20</f>
        <v>RY34</v>
      </c>
      <c r="AA11" s="133" t="str">
        <f>Lookup!AA20</f>
        <v>RY35</v>
      </c>
      <c r="AB11" s="133" t="str">
        <f>Lookup!AB20</f>
        <v>RY36</v>
      </c>
      <c r="AC11" s="133" t="str">
        <f>Lookup!AC20</f>
        <v>RY37</v>
      </c>
      <c r="AD11" s="133" t="str">
        <f>Lookup!AD20</f>
        <v>RY38</v>
      </c>
      <c r="AE11" s="133" t="str">
        <f>Lookup!AE20</f>
        <v>RY39</v>
      </c>
      <c r="AF11" s="133" t="str">
        <f>Lookup!AF20</f>
        <v>RY40</v>
      </c>
      <c r="AG11" s="133" t="str">
        <f>Lookup!AG20</f>
        <v>RY41</v>
      </c>
      <c r="AH11" s="133" t="str">
        <f>Lookup!AH20</f>
        <v>RY42</v>
      </c>
      <c r="AI11" s="133" t="str">
        <f>Lookup!AI20</f>
        <v>RY43</v>
      </c>
      <c r="AJ11" s="133" t="str">
        <f>Lookup!AJ20</f>
        <v>RY44</v>
      </c>
      <c r="AK11" s="133" t="str">
        <f>Lookup!AK20</f>
        <v>RY45</v>
      </c>
      <c r="AL11" s="133" t="str">
        <f>Lookup!AL20</f>
        <v>RY46</v>
      </c>
      <c r="AM11" s="133" t="str">
        <f>Lookup!AM20</f>
        <v>RY47</v>
      </c>
      <c r="AN11" s="133" t="str">
        <f>Lookup!AN20</f>
        <v>RY48</v>
      </c>
      <c r="AO11" s="133" t="str">
        <f>Lookup!AO20</f>
        <v>RY49</v>
      </c>
      <c r="AP11" s="133" t="str">
        <f>Lookup!AP20</f>
        <v>RY50</v>
      </c>
      <c r="AQ11" s="133" t="str">
        <f>Lookup!AQ20</f>
        <v>RY51</v>
      </c>
      <c r="AR11" s="133" t="str">
        <f>Lookup!AR20</f>
        <v>RY52</v>
      </c>
      <c r="AS11" s="133" t="str">
        <f>Lookup!AS20</f>
        <v>RY53</v>
      </c>
      <c r="AT11" s="133" t="str">
        <f>Lookup!AT20</f>
        <v>RY54</v>
      </c>
      <c r="AU11" s="133" t="str">
        <f>Lookup!AU20</f>
        <v>RY55</v>
      </c>
      <c r="AV11" s="133" t="str">
        <f>Lookup!AV20</f>
        <v>RY56</v>
      </c>
      <c r="AW11" s="133" t="str">
        <f>Lookup!AW20</f>
        <v>RY57</v>
      </c>
    </row>
  </sheetData>
  <conditionalFormatting sqref="B2">
    <cfRule type="cellIs" dxfId="15" priority="1" operator="notEqual">
      <formula>"No Errors Found"</formula>
    </cfRule>
  </conditionalFormatting>
  <hyperlinks>
    <hyperlink ref="B3:D3" location="Cover!A1" display="Go to Cover Sheet" xr:uid="{0A4FF193-33D8-4C4E-9871-B97DF09CFDDA}"/>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F7070-50E3-426F-BDE1-BBAF5061ADC6}">
  <sheetPr>
    <tabColor rgb="FFFFFF00"/>
  </sheetPr>
  <dimension ref="A1:AW11"/>
  <sheetViews>
    <sheetView showGridLines="0" zoomScaleNormal="100" workbookViewId="0">
      <pane xSplit="1" ySplit="11" topLeftCell="B12" activePane="bottomRight" state="frozen"/>
      <selection activeCell="N11" sqref="F4:U25"/>
      <selection pane="topRight" activeCell="N11" sqref="F4:U25"/>
      <selection pane="bottomLeft" activeCell="N11" sqref="F4:U25"/>
      <selection pane="bottomRight" activeCell="B12" sqref="B12"/>
    </sheetView>
  </sheetViews>
  <sheetFormatPr defaultColWidth="9.33203125" defaultRowHeight="10.199999999999999" outlineLevelRow="1" x14ac:dyDescent="0.35"/>
  <cols>
    <col min="1" max="3" width="2.796875" style="83" customWidth="1"/>
    <col min="4" max="4" width="65.6640625" style="83" customWidth="1"/>
    <col min="5" max="5" width="19.73046875" style="83" customWidth="1"/>
    <col min="6" max="8" width="15.59765625" style="83" customWidth="1"/>
    <col min="9" max="49" width="12.59765625" style="83" customWidth="1"/>
    <col min="50" max="16384" width="9.33203125" style="83"/>
  </cols>
  <sheetData>
    <row r="1" spans="1:49" s="242" customFormat="1" ht="18.899999999999999" x14ac:dyDescent="0.35">
      <c r="A1" s="240">
        <v>0</v>
      </c>
      <c r="B1" s="241" t="s">
        <v>127</v>
      </c>
      <c r="E1" s="246" t="s">
        <v>326</v>
      </c>
    </row>
    <row r="2" spans="1:49" s="242" customFormat="1" x14ac:dyDescent="0.35">
      <c r="B2" s="243" t="s">
        <v>327</v>
      </c>
    </row>
    <row r="3" spans="1:49" s="242" customFormat="1" ht="12.3" x14ac:dyDescent="0.35">
      <c r="B3" s="244" t="s">
        <v>50</v>
      </c>
      <c r="C3" s="244"/>
      <c r="D3" s="244"/>
      <c r="E3" s="245"/>
    </row>
    <row r="4" spans="1:49" s="242" customFormat="1" ht="12.3" x14ac:dyDescent="0.35">
      <c r="B4" s="247" t="s">
        <v>178</v>
      </c>
    </row>
    <row r="6" spans="1:49" ht="12.3" hidden="1" outlineLevel="1" x14ac:dyDescent="0.35">
      <c r="B6" s="12" t="s">
        <v>52</v>
      </c>
      <c r="J6" s="60">
        <v>42917</v>
      </c>
      <c r="K6" s="60">
        <v>43282</v>
      </c>
      <c r="L6" s="60">
        <v>43647</v>
      </c>
      <c r="M6" s="60">
        <v>44013</v>
      </c>
      <c r="N6" s="60">
        <v>44378</v>
      </c>
      <c r="O6" s="60">
        <v>44743</v>
      </c>
      <c r="P6" s="60">
        <v>45108</v>
      </c>
      <c r="Q6" s="60">
        <v>45474</v>
      </c>
      <c r="R6" s="60">
        <v>45839</v>
      </c>
      <c r="S6" s="60">
        <v>46204</v>
      </c>
      <c r="T6" s="60">
        <v>46569</v>
      </c>
      <c r="U6" s="60">
        <v>46935</v>
      </c>
      <c r="V6" s="60">
        <v>47300</v>
      </c>
      <c r="W6" s="60">
        <v>47665</v>
      </c>
      <c r="X6" s="60">
        <v>48030</v>
      </c>
      <c r="Y6" s="60">
        <v>48396</v>
      </c>
      <c r="Z6" s="60">
        <v>48761</v>
      </c>
      <c r="AA6" s="60">
        <v>49126</v>
      </c>
      <c r="AB6" s="60">
        <v>49491</v>
      </c>
      <c r="AC6" s="60">
        <v>49857</v>
      </c>
      <c r="AD6" s="60">
        <v>50222</v>
      </c>
      <c r="AE6" s="60">
        <v>50587</v>
      </c>
      <c r="AF6" s="60">
        <v>50952</v>
      </c>
      <c r="AG6" s="60">
        <v>51318</v>
      </c>
      <c r="AH6" s="60">
        <v>51683</v>
      </c>
      <c r="AI6" s="60">
        <v>52048</v>
      </c>
      <c r="AJ6" s="60">
        <v>52413</v>
      </c>
      <c r="AK6" s="60">
        <v>52779</v>
      </c>
      <c r="AL6" s="60">
        <v>53144</v>
      </c>
      <c r="AM6" s="60">
        <v>53509</v>
      </c>
      <c r="AN6" s="60">
        <v>53874</v>
      </c>
      <c r="AO6" s="60">
        <v>54240</v>
      </c>
      <c r="AP6" s="60">
        <v>54605</v>
      </c>
      <c r="AQ6" s="60">
        <v>54970</v>
      </c>
      <c r="AR6" s="60">
        <v>55335</v>
      </c>
      <c r="AS6" s="60">
        <v>55701</v>
      </c>
      <c r="AT6" s="60">
        <v>56066</v>
      </c>
      <c r="AU6" s="60">
        <v>56431</v>
      </c>
      <c r="AV6" s="60">
        <v>56796</v>
      </c>
      <c r="AW6" s="60">
        <v>57162</v>
      </c>
    </row>
    <row r="7" spans="1:49" ht="12.3" hidden="1" outlineLevel="1" x14ac:dyDescent="0.35">
      <c r="B7" s="12" t="s">
        <v>53</v>
      </c>
      <c r="J7" s="60">
        <v>43281</v>
      </c>
      <c r="K7" s="60">
        <v>43646</v>
      </c>
      <c r="L7" s="60">
        <v>44012</v>
      </c>
      <c r="M7" s="60">
        <v>44377</v>
      </c>
      <c r="N7" s="60">
        <v>44742</v>
      </c>
      <c r="O7" s="60">
        <v>45107</v>
      </c>
      <c r="P7" s="60">
        <v>45473</v>
      </c>
      <c r="Q7" s="60">
        <v>45838</v>
      </c>
      <c r="R7" s="60">
        <v>46203</v>
      </c>
      <c r="S7" s="60">
        <v>46568</v>
      </c>
      <c r="T7" s="60">
        <v>46934</v>
      </c>
      <c r="U7" s="60">
        <v>47299</v>
      </c>
      <c r="V7" s="60">
        <v>47664</v>
      </c>
      <c r="W7" s="60">
        <v>48029</v>
      </c>
      <c r="X7" s="60">
        <v>48395</v>
      </c>
      <c r="Y7" s="60">
        <v>48760</v>
      </c>
      <c r="Z7" s="60">
        <v>49125</v>
      </c>
      <c r="AA7" s="60">
        <v>49490</v>
      </c>
      <c r="AB7" s="60">
        <v>49856</v>
      </c>
      <c r="AC7" s="60">
        <v>50221</v>
      </c>
      <c r="AD7" s="60">
        <v>50586</v>
      </c>
      <c r="AE7" s="60">
        <v>50951</v>
      </c>
      <c r="AF7" s="60">
        <v>51317</v>
      </c>
      <c r="AG7" s="60">
        <v>51682</v>
      </c>
      <c r="AH7" s="60">
        <v>52047</v>
      </c>
      <c r="AI7" s="60">
        <v>52412</v>
      </c>
      <c r="AJ7" s="60">
        <v>52778</v>
      </c>
      <c r="AK7" s="60">
        <v>53143</v>
      </c>
      <c r="AL7" s="60">
        <v>53508</v>
      </c>
      <c r="AM7" s="60">
        <v>53873</v>
      </c>
      <c r="AN7" s="60">
        <v>54239</v>
      </c>
      <c r="AO7" s="60">
        <v>54604</v>
      </c>
      <c r="AP7" s="60">
        <v>54969</v>
      </c>
      <c r="AQ7" s="60">
        <v>55334</v>
      </c>
      <c r="AR7" s="60">
        <v>55700</v>
      </c>
      <c r="AS7" s="60">
        <v>56065</v>
      </c>
      <c r="AT7" s="60">
        <v>56430</v>
      </c>
      <c r="AU7" s="60">
        <v>56795</v>
      </c>
      <c r="AV7" s="60">
        <v>57161</v>
      </c>
      <c r="AW7" s="60">
        <v>57526</v>
      </c>
    </row>
    <row r="8" spans="1:49" ht="12.3" hidden="1" outlineLevel="1" x14ac:dyDescent="0.35">
      <c r="B8" s="12" t="s">
        <v>51</v>
      </c>
      <c r="J8" s="61">
        <v>1</v>
      </c>
      <c r="K8" s="61">
        <v>2</v>
      </c>
      <c r="L8" s="61">
        <v>3</v>
      </c>
      <c r="M8" s="61">
        <v>4</v>
      </c>
      <c r="N8" s="61">
        <v>5</v>
      </c>
      <c r="O8" s="61">
        <v>6</v>
      </c>
      <c r="P8" s="61">
        <v>7</v>
      </c>
      <c r="Q8" s="61">
        <v>8</v>
      </c>
      <c r="R8" s="61">
        <v>9</v>
      </c>
      <c r="S8" s="61">
        <v>10</v>
      </c>
      <c r="T8" s="61">
        <v>11</v>
      </c>
      <c r="U8" s="61">
        <v>12</v>
      </c>
      <c r="V8" s="61">
        <v>13</v>
      </c>
      <c r="W8" s="61">
        <v>14</v>
      </c>
      <c r="X8" s="61">
        <v>15</v>
      </c>
      <c r="Y8" s="61">
        <v>16</v>
      </c>
      <c r="Z8" s="61">
        <v>17</v>
      </c>
      <c r="AA8" s="61">
        <v>18</v>
      </c>
      <c r="AB8" s="61">
        <v>19</v>
      </c>
      <c r="AC8" s="61">
        <v>20</v>
      </c>
      <c r="AD8" s="61">
        <v>21</v>
      </c>
      <c r="AE8" s="61">
        <v>22</v>
      </c>
      <c r="AF8" s="61">
        <v>23</v>
      </c>
      <c r="AG8" s="61">
        <v>24</v>
      </c>
      <c r="AH8" s="61">
        <v>25</v>
      </c>
      <c r="AI8" s="61">
        <v>26</v>
      </c>
      <c r="AJ8" s="61">
        <v>27</v>
      </c>
      <c r="AK8" s="61">
        <v>28</v>
      </c>
      <c r="AL8" s="61">
        <v>29</v>
      </c>
      <c r="AM8" s="61">
        <v>30</v>
      </c>
      <c r="AN8" s="61">
        <v>31</v>
      </c>
      <c r="AO8" s="61">
        <v>32</v>
      </c>
      <c r="AP8" s="61">
        <v>33</v>
      </c>
      <c r="AQ8" s="61">
        <v>34</v>
      </c>
      <c r="AR8" s="61">
        <v>35</v>
      </c>
      <c r="AS8" s="61">
        <v>36</v>
      </c>
      <c r="AT8" s="61">
        <v>37</v>
      </c>
      <c r="AU8" s="61">
        <v>38</v>
      </c>
      <c r="AV8" s="61">
        <v>39</v>
      </c>
      <c r="AW8" s="61">
        <v>40</v>
      </c>
    </row>
    <row r="9" spans="1:49" ht="12.3" hidden="1" outlineLevel="1" x14ac:dyDescent="0.35">
      <c r="B9" s="12" t="s">
        <v>58</v>
      </c>
      <c r="J9" s="62">
        <v>2018</v>
      </c>
      <c r="K9" s="62">
        <v>2019</v>
      </c>
      <c r="L9" s="62">
        <v>2020</v>
      </c>
      <c r="M9" s="62">
        <v>2021</v>
      </c>
      <c r="N9" s="62">
        <v>2022</v>
      </c>
      <c r="O9" s="62">
        <v>2023</v>
      </c>
      <c r="P9" s="62">
        <v>2024</v>
      </c>
      <c r="Q9" s="62">
        <v>2025</v>
      </c>
      <c r="R9" s="62">
        <v>2026</v>
      </c>
      <c r="S9" s="62">
        <v>2027</v>
      </c>
      <c r="T9" s="62">
        <v>2028</v>
      </c>
      <c r="U9" s="62">
        <v>2029</v>
      </c>
      <c r="V9" s="62">
        <v>2030</v>
      </c>
      <c r="W9" s="62">
        <v>2031</v>
      </c>
      <c r="X9" s="62">
        <v>2032</v>
      </c>
      <c r="Y9" s="62">
        <v>2033</v>
      </c>
      <c r="Z9" s="62">
        <v>2034</v>
      </c>
      <c r="AA9" s="62">
        <v>2035</v>
      </c>
      <c r="AB9" s="62">
        <v>2036</v>
      </c>
      <c r="AC9" s="62">
        <v>2037</v>
      </c>
      <c r="AD9" s="62">
        <v>2038</v>
      </c>
      <c r="AE9" s="62">
        <v>2039</v>
      </c>
      <c r="AF9" s="62">
        <v>2040</v>
      </c>
      <c r="AG9" s="62">
        <v>2041</v>
      </c>
      <c r="AH9" s="62">
        <v>2042</v>
      </c>
      <c r="AI9" s="62">
        <v>2043</v>
      </c>
      <c r="AJ9" s="62">
        <v>2044</v>
      </c>
      <c r="AK9" s="62">
        <v>2045</v>
      </c>
      <c r="AL9" s="62">
        <v>2046</v>
      </c>
      <c r="AM9" s="62">
        <v>2047</v>
      </c>
      <c r="AN9" s="62">
        <v>2048</v>
      </c>
      <c r="AO9" s="62">
        <v>2049</v>
      </c>
      <c r="AP9" s="62">
        <v>2050</v>
      </c>
      <c r="AQ9" s="62">
        <v>2051</v>
      </c>
      <c r="AR9" s="62">
        <v>2052</v>
      </c>
      <c r="AS9" s="62">
        <v>2053</v>
      </c>
      <c r="AT9" s="62">
        <v>2054</v>
      </c>
      <c r="AU9" s="62">
        <v>2055</v>
      </c>
      <c r="AV9" s="62">
        <v>2056</v>
      </c>
      <c r="AW9" s="62">
        <v>2057</v>
      </c>
    </row>
    <row r="10" spans="1:49" ht="12.3" hidden="1" outlineLevel="1" x14ac:dyDescent="0.35">
      <c r="B10" s="12" t="s">
        <v>59</v>
      </c>
      <c r="J10" s="62" t="s">
        <v>60</v>
      </c>
      <c r="K10" s="62" t="s">
        <v>60</v>
      </c>
      <c r="L10" s="62" t="s">
        <v>60</v>
      </c>
      <c r="M10" s="62" t="s">
        <v>57</v>
      </c>
      <c r="N10" s="62" t="s">
        <v>61</v>
      </c>
      <c r="O10" s="62" t="s">
        <v>61</v>
      </c>
      <c r="P10" s="62" t="s">
        <v>61</v>
      </c>
      <c r="Q10" s="62" t="s">
        <v>61</v>
      </c>
      <c r="R10" s="62" t="s">
        <v>61</v>
      </c>
      <c r="S10" s="62" t="s">
        <v>61</v>
      </c>
      <c r="T10" s="62" t="s">
        <v>61</v>
      </c>
      <c r="U10" s="62" t="s">
        <v>61</v>
      </c>
      <c r="V10" s="62" t="s">
        <v>61</v>
      </c>
      <c r="W10" s="62" t="s">
        <v>61</v>
      </c>
      <c r="X10" s="62" t="s">
        <v>61</v>
      </c>
      <c r="Y10" s="62" t="s">
        <v>61</v>
      </c>
      <c r="Z10" s="62" t="s">
        <v>61</v>
      </c>
      <c r="AA10" s="62" t="s">
        <v>61</v>
      </c>
      <c r="AB10" s="62" t="s">
        <v>61</v>
      </c>
      <c r="AC10" s="62" t="s">
        <v>61</v>
      </c>
      <c r="AD10" s="62" t="s">
        <v>61</v>
      </c>
      <c r="AE10" s="62" t="s">
        <v>61</v>
      </c>
      <c r="AF10" s="62" t="s">
        <v>61</v>
      </c>
      <c r="AG10" s="62" t="s">
        <v>61</v>
      </c>
      <c r="AH10" s="62" t="s">
        <v>61</v>
      </c>
      <c r="AI10" s="62" t="s">
        <v>61</v>
      </c>
      <c r="AJ10" s="62" t="s">
        <v>61</v>
      </c>
      <c r="AK10" s="62" t="s">
        <v>61</v>
      </c>
      <c r="AL10" s="62" t="s">
        <v>61</v>
      </c>
      <c r="AM10" s="62" t="s">
        <v>61</v>
      </c>
      <c r="AN10" s="62" t="s">
        <v>61</v>
      </c>
      <c r="AO10" s="62" t="s">
        <v>61</v>
      </c>
      <c r="AP10" s="62" t="s">
        <v>61</v>
      </c>
      <c r="AQ10" s="62" t="s">
        <v>61</v>
      </c>
      <c r="AR10" s="62" t="s">
        <v>61</v>
      </c>
      <c r="AS10" s="62" t="s">
        <v>61</v>
      </c>
      <c r="AT10" s="62" t="s">
        <v>61</v>
      </c>
      <c r="AU10" s="62" t="s">
        <v>61</v>
      </c>
      <c r="AV10" s="62" t="s">
        <v>61</v>
      </c>
      <c r="AW10" s="62" t="s">
        <v>61</v>
      </c>
    </row>
    <row r="11" spans="1:49" ht="12.3" collapsed="1" x14ac:dyDescent="0.35">
      <c r="B11" s="91" t="s">
        <v>62</v>
      </c>
      <c r="E11" s="59" t="s">
        <v>63</v>
      </c>
      <c r="F11" s="59" t="s">
        <v>64</v>
      </c>
      <c r="G11" s="59" t="s">
        <v>65</v>
      </c>
      <c r="H11" s="59" t="s">
        <v>66</v>
      </c>
      <c r="J11" s="59" t="s">
        <v>199</v>
      </c>
      <c r="K11" s="59" t="s">
        <v>304</v>
      </c>
      <c r="L11" s="59" t="s">
        <v>305</v>
      </c>
      <c r="M11" s="59" t="s">
        <v>306</v>
      </c>
      <c r="N11" s="59" t="s">
        <v>307</v>
      </c>
      <c r="O11" s="59" t="s">
        <v>308</v>
      </c>
      <c r="P11" s="59" t="s">
        <v>309</v>
      </c>
      <c r="Q11" s="59" t="s">
        <v>145</v>
      </c>
      <c r="R11" s="59" t="s">
        <v>328</v>
      </c>
      <c r="S11" s="59" t="s">
        <v>329</v>
      </c>
      <c r="T11" s="59" t="s">
        <v>330</v>
      </c>
      <c r="U11" s="59" t="s">
        <v>331</v>
      </c>
      <c r="V11" s="59" t="s">
        <v>332</v>
      </c>
      <c r="W11" s="59" t="s">
        <v>333</v>
      </c>
      <c r="X11" s="59" t="s">
        <v>334</v>
      </c>
      <c r="Y11" s="59" t="s">
        <v>335</v>
      </c>
      <c r="Z11" s="59" t="s">
        <v>336</v>
      </c>
      <c r="AA11" s="59" t="s">
        <v>337</v>
      </c>
      <c r="AB11" s="59" t="s">
        <v>338</v>
      </c>
      <c r="AC11" s="59" t="s">
        <v>339</v>
      </c>
      <c r="AD11" s="59" t="s">
        <v>340</v>
      </c>
      <c r="AE11" s="59" t="s">
        <v>341</v>
      </c>
      <c r="AF11" s="59" t="s">
        <v>342</v>
      </c>
      <c r="AG11" s="59" t="s">
        <v>343</v>
      </c>
      <c r="AH11" s="59" t="s">
        <v>344</v>
      </c>
      <c r="AI11" s="59" t="s">
        <v>345</v>
      </c>
      <c r="AJ11" s="59" t="s">
        <v>346</v>
      </c>
      <c r="AK11" s="59" t="s">
        <v>347</v>
      </c>
      <c r="AL11" s="59" t="s">
        <v>348</v>
      </c>
      <c r="AM11" s="59" t="s">
        <v>349</v>
      </c>
      <c r="AN11" s="59" t="s">
        <v>350</v>
      </c>
      <c r="AO11" s="59" t="s">
        <v>351</v>
      </c>
      <c r="AP11" s="59" t="s">
        <v>352</v>
      </c>
      <c r="AQ11" s="59" t="s">
        <v>353</v>
      </c>
      <c r="AR11" s="59" t="s">
        <v>354</v>
      </c>
      <c r="AS11" s="59" t="s">
        <v>355</v>
      </c>
      <c r="AT11" s="59" t="s">
        <v>356</v>
      </c>
      <c r="AU11" s="59" t="s">
        <v>357</v>
      </c>
      <c r="AV11" s="59" t="s">
        <v>358</v>
      </c>
      <c r="AW11" s="59" t="s">
        <v>359</v>
      </c>
    </row>
  </sheetData>
  <conditionalFormatting sqref="B2">
    <cfRule type="cellIs" dxfId="14" priority="1" operator="notEqual">
      <formula>"No Errors Found"</formula>
    </cfRule>
  </conditionalFormatting>
  <hyperlinks>
    <hyperlink ref="B3:D3" location="Cover!A1" display="Go to Cover Sheet" xr:uid="{6850C500-A56A-4A8A-A36E-EB1648D3EE53}"/>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C97CC-D06D-419F-A916-949BCAE118A7}">
  <sheetPr>
    <tabColor rgb="FFFFFF00"/>
  </sheetPr>
  <dimension ref="A1:P53"/>
  <sheetViews>
    <sheetView showGridLines="0" zoomScaleNormal="100" workbookViewId="0">
      <pane xSplit="1" ySplit="4" topLeftCell="B5" activePane="bottomRight" state="frozen"/>
      <selection activeCell="N11" sqref="F4:U25"/>
      <selection pane="topRight" activeCell="N11" sqref="F4:U25"/>
      <selection pane="bottomLeft" activeCell="N11" sqref="F4:U25"/>
      <selection pane="bottomRight" activeCell="B5" sqref="B5"/>
    </sheetView>
  </sheetViews>
  <sheetFormatPr defaultColWidth="9.33203125" defaultRowHeight="10.199999999999999" outlineLevelRow="1" x14ac:dyDescent="0.35"/>
  <cols>
    <col min="1" max="3" width="2.796875" style="83" customWidth="1"/>
    <col min="4" max="4" width="52.796875" style="83" customWidth="1"/>
    <col min="5" max="5" width="15.06640625" style="83" bestFit="1" customWidth="1"/>
    <col min="6" max="6" width="10.265625" style="83" bestFit="1" customWidth="1"/>
    <col min="7" max="7" width="12.06640625" style="83" bestFit="1" customWidth="1"/>
    <col min="8" max="8" width="9.796875" style="83" bestFit="1" customWidth="1"/>
    <col min="9" max="9" width="3.59765625" style="83" customWidth="1"/>
    <col min="10" max="10" width="5.265625" style="83" customWidth="1"/>
    <col min="11" max="15" width="17.59765625" style="83" customWidth="1"/>
    <col min="16" max="16" width="10.59765625" style="83" customWidth="1"/>
    <col min="17" max="22" width="17.59765625" style="83" customWidth="1"/>
    <col min="23" max="23" width="9.33203125" style="83"/>
    <col min="24" max="29" width="17.59765625" style="83" customWidth="1"/>
    <col min="30" max="30" width="9.33203125" style="83"/>
    <col min="31" max="36" width="17.59765625" style="83" customWidth="1"/>
    <col min="37" max="16384" width="9.33203125" style="83"/>
  </cols>
  <sheetData>
    <row r="1" spans="1:15" s="242" customFormat="1" ht="18.899999999999999" x14ac:dyDescent="0.35">
      <c r="A1" s="240">
        <v>0</v>
      </c>
      <c r="B1" s="241" t="s">
        <v>136</v>
      </c>
      <c r="K1" s="246" t="s">
        <v>326</v>
      </c>
    </row>
    <row r="2" spans="1:15" s="242" customFormat="1" x14ac:dyDescent="0.35">
      <c r="B2" s="243" t="s">
        <v>327</v>
      </c>
    </row>
    <row r="3" spans="1:15" s="242" customFormat="1" ht="12.3" x14ac:dyDescent="0.35">
      <c r="B3" s="244" t="s">
        <v>50</v>
      </c>
      <c r="C3" s="244"/>
      <c r="D3" s="244"/>
      <c r="E3" s="245"/>
    </row>
    <row r="4" spans="1:15" s="242" customFormat="1" ht="12.3" x14ac:dyDescent="0.35">
      <c r="B4" s="247" t="s">
        <v>178</v>
      </c>
      <c r="E4" s="248"/>
      <c r="F4" s="248"/>
      <c r="G4" s="248"/>
      <c r="H4" s="248"/>
      <c r="J4" s="248"/>
      <c r="K4" s="248"/>
    </row>
    <row r="6" spans="1:15" s="88" customFormat="1" ht="15" x14ac:dyDescent="0.35">
      <c r="B6" s="88" t="s">
        <v>136</v>
      </c>
    </row>
    <row r="7" spans="1:15" s="89" customFormat="1" ht="4.5" customHeight="1" x14ac:dyDescent="0.35"/>
    <row r="8" spans="1:15" s="90" customFormat="1" ht="14.1" x14ac:dyDescent="0.35">
      <c r="C8" s="90" t="s">
        <v>137</v>
      </c>
    </row>
    <row r="10" spans="1:15" ht="12.3" x14ac:dyDescent="0.35">
      <c r="J10" s="102"/>
      <c r="K10" s="102" t="s">
        <v>217</v>
      </c>
      <c r="L10" s="98"/>
      <c r="M10" s="98"/>
      <c r="N10" s="98"/>
      <c r="O10" s="98"/>
    </row>
    <row r="11" spans="1:15" ht="73.5" customHeight="1" x14ac:dyDescent="0.35">
      <c r="D11" s="68" t="s">
        <v>122</v>
      </c>
      <c r="E11" s="103" t="s">
        <v>63</v>
      </c>
      <c r="F11" s="103" t="s">
        <v>64</v>
      </c>
      <c r="G11" s="103" t="s">
        <v>65</v>
      </c>
      <c r="H11" s="103" t="s">
        <v>66</v>
      </c>
      <c r="K11" s="104" t="s">
        <v>158</v>
      </c>
      <c r="L11" s="104" t="s">
        <v>160</v>
      </c>
      <c r="M11" s="144" t="s">
        <v>125</v>
      </c>
      <c r="N11" s="104" t="s">
        <v>152</v>
      </c>
      <c r="O11" s="104" t="s">
        <v>159</v>
      </c>
    </row>
    <row r="12" spans="1:15" ht="12.3" x14ac:dyDescent="0.35">
      <c r="L12" s="66"/>
      <c r="M12" s="140"/>
      <c r="N12" s="66"/>
    </row>
    <row r="13" spans="1:15" ht="12.3" hidden="1" outlineLevel="1" x14ac:dyDescent="0.35">
      <c r="D13" s="12" t="s">
        <v>183</v>
      </c>
      <c r="E13" s="62" t="s">
        <v>135</v>
      </c>
      <c r="F13" s="62" t="s">
        <v>75</v>
      </c>
      <c r="G13" s="62" t="s">
        <v>67</v>
      </c>
      <c r="H13" s="62" t="s">
        <v>81</v>
      </c>
      <c r="K13" s="101">
        <v>0</v>
      </c>
      <c r="L13" s="101">
        <v>0</v>
      </c>
      <c r="M13" s="112">
        <v>0</v>
      </c>
      <c r="N13" s="101">
        <v>0</v>
      </c>
      <c r="O13" s="101">
        <v>0</v>
      </c>
    </row>
    <row r="14" spans="1:15" ht="12.3" hidden="1" outlineLevel="1" x14ac:dyDescent="0.35">
      <c r="D14" s="12" t="s">
        <v>184</v>
      </c>
      <c r="E14" s="62" t="s">
        <v>135</v>
      </c>
      <c r="F14" s="62" t="s">
        <v>75</v>
      </c>
      <c r="G14" s="62" t="s">
        <v>67</v>
      </c>
      <c r="H14" s="62" t="s">
        <v>81</v>
      </c>
      <c r="K14" s="101">
        <v>0</v>
      </c>
      <c r="L14" s="101">
        <v>0</v>
      </c>
      <c r="M14" s="112">
        <v>0</v>
      </c>
      <c r="N14" s="101">
        <v>0</v>
      </c>
      <c r="O14" s="101">
        <v>0</v>
      </c>
    </row>
    <row r="15" spans="1:15" ht="12.3" hidden="1" outlineLevel="1" x14ac:dyDescent="0.35">
      <c r="D15" s="12" t="s">
        <v>185</v>
      </c>
      <c r="E15" s="62" t="s">
        <v>135</v>
      </c>
      <c r="F15" s="62" t="s">
        <v>75</v>
      </c>
      <c r="G15" s="62" t="s">
        <v>67</v>
      </c>
      <c r="H15" s="62" t="s">
        <v>81</v>
      </c>
      <c r="K15" s="101">
        <v>0</v>
      </c>
      <c r="L15" s="101">
        <v>0</v>
      </c>
      <c r="M15" s="112">
        <v>0</v>
      </c>
      <c r="N15" s="101">
        <v>0</v>
      </c>
      <c r="O15" s="101">
        <v>0</v>
      </c>
    </row>
    <row r="16" spans="1:15" ht="12.3" hidden="1" outlineLevel="1" x14ac:dyDescent="0.35">
      <c r="D16" s="12" t="s">
        <v>186</v>
      </c>
      <c r="E16" s="62" t="s">
        <v>135</v>
      </c>
      <c r="F16" s="62" t="s">
        <v>75</v>
      </c>
      <c r="G16" s="62" t="s">
        <v>67</v>
      </c>
      <c r="H16" s="62" t="s">
        <v>81</v>
      </c>
      <c r="K16" s="101">
        <v>0</v>
      </c>
      <c r="L16" s="101">
        <v>0</v>
      </c>
      <c r="M16" s="112">
        <v>0</v>
      </c>
      <c r="N16" s="101">
        <v>0</v>
      </c>
      <c r="O16" s="101">
        <v>0</v>
      </c>
    </row>
    <row r="17" spans="4:16" ht="12.3" hidden="1" outlineLevel="1" x14ac:dyDescent="0.35">
      <c r="D17" s="12" t="s">
        <v>187</v>
      </c>
      <c r="E17" s="62" t="s">
        <v>135</v>
      </c>
      <c r="F17" s="62" t="s">
        <v>75</v>
      </c>
      <c r="G17" s="62" t="s">
        <v>67</v>
      </c>
      <c r="H17" s="62" t="s">
        <v>81</v>
      </c>
      <c r="K17" s="101">
        <v>0</v>
      </c>
      <c r="L17" s="101">
        <v>0</v>
      </c>
      <c r="M17" s="112">
        <v>0</v>
      </c>
      <c r="N17" s="101">
        <v>0</v>
      </c>
      <c r="O17" s="101">
        <v>0</v>
      </c>
    </row>
    <row r="18" spans="4:16" hidden="1" outlineLevel="1" x14ac:dyDescent="0.35">
      <c r="M18" s="120"/>
    </row>
    <row r="19" spans="4:16" ht="12.3" collapsed="1" x14ac:dyDescent="0.35">
      <c r="D19" s="91" t="s">
        <v>128</v>
      </c>
      <c r="E19" s="94" t="s">
        <v>89</v>
      </c>
      <c r="F19" s="94" t="s">
        <v>75</v>
      </c>
      <c r="G19" s="94" t="s">
        <v>67</v>
      </c>
      <c r="H19" s="94" t="s">
        <v>81</v>
      </c>
      <c r="K19" s="99">
        <v>0</v>
      </c>
      <c r="L19" s="99">
        <v>0</v>
      </c>
      <c r="M19" s="141">
        <v>0</v>
      </c>
      <c r="N19" s="99">
        <v>0</v>
      </c>
      <c r="O19" s="99">
        <v>0</v>
      </c>
    </row>
    <row r="20" spans="4:16" x14ac:dyDescent="0.35">
      <c r="M20" s="120"/>
    </row>
    <row r="21" spans="4:16" ht="12.3" x14ac:dyDescent="0.35">
      <c r="D21" s="12" t="s">
        <v>181</v>
      </c>
      <c r="E21" s="62" t="s">
        <v>135</v>
      </c>
      <c r="F21" s="62" t="s">
        <v>75</v>
      </c>
      <c r="G21" s="62" t="s">
        <v>67</v>
      </c>
      <c r="H21" s="62" t="s">
        <v>81</v>
      </c>
      <c r="K21" s="258" t="s">
        <v>367</v>
      </c>
      <c r="L21" s="258" t="s">
        <v>367</v>
      </c>
      <c r="M21" s="259" t="s">
        <v>367</v>
      </c>
      <c r="N21" s="258" t="s">
        <v>367</v>
      </c>
      <c r="O21" s="258" t="s">
        <v>367</v>
      </c>
      <c r="P21" s="238"/>
    </row>
    <row r="22" spans="4:16" ht="12.3" x14ac:dyDescent="0.35">
      <c r="D22" s="12" t="s">
        <v>182</v>
      </c>
      <c r="E22" s="62" t="s">
        <v>135</v>
      </c>
      <c r="F22" s="62" t="s">
        <v>75</v>
      </c>
      <c r="G22" s="62" t="s">
        <v>67</v>
      </c>
      <c r="H22" s="62" t="s">
        <v>81</v>
      </c>
      <c r="K22" s="258" t="s">
        <v>367</v>
      </c>
      <c r="L22" s="258" t="s">
        <v>367</v>
      </c>
      <c r="M22" s="259" t="s">
        <v>367</v>
      </c>
      <c r="N22" s="258" t="s">
        <v>367</v>
      </c>
      <c r="O22" s="258" t="s">
        <v>367</v>
      </c>
      <c r="P22" s="238"/>
    </row>
    <row r="23" spans="4:16" ht="12.3" x14ac:dyDescent="0.35">
      <c r="D23" s="12" t="s">
        <v>129</v>
      </c>
      <c r="E23" s="62" t="s">
        <v>135</v>
      </c>
      <c r="F23" s="62" t="s">
        <v>75</v>
      </c>
      <c r="G23" s="62" t="s">
        <v>67</v>
      </c>
      <c r="H23" s="62" t="s">
        <v>81</v>
      </c>
      <c r="K23" s="258" t="s">
        <v>367</v>
      </c>
      <c r="L23" s="258" t="s">
        <v>367</v>
      </c>
      <c r="M23" s="259" t="s">
        <v>367</v>
      </c>
      <c r="N23" s="258" t="s">
        <v>367</v>
      </c>
      <c r="O23" s="258" t="s">
        <v>367</v>
      </c>
      <c r="P23" s="238"/>
    </row>
    <row r="24" spans="4:16" ht="12.3" x14ac:dyDescent="0.35">
      <c r="D24" s="12" t="s">
        <v>130</v>
      </c>
      <c r="E24" s="62" t="s">
        <v>135</v>
      </c>
      <c r="F24" s="62" t="s">
        <v>75</v>
      </c>
      <c r="G24" s="62" t="s">
        <v>67</v>
      </c>
      <c r="H24" s="62" t="s">
        <v>81</v>
      </c>
      <c r="K24" s="258" t="s">
        <v>367</v>
      </c>
      <c r="L24" s="258" t="s">
        <v>367</v>
      </c>
      <c r="M24" s="259" t="s">
        <v>367</v>
      </c>
      <c r="N24" s="258" t="s">
        <v>367</v>
      </c>
      <c r="O24" s="258" t="s">
        <v>367</v>
      </c>
      <c r="P24" s="238"/>
    </row>
    <row r="25" spans="4:16" ht="12.3" x14ac:dyDescent="0.35">
      <c r="D25" s="12" t="s">
        <v>188</v>
      </c>
      <c r="E25" s="62" t="s">
        <v>135</v>
      </c>
      <c r="F25" s="62" t="s">
        <v>75</v>
      </c>
      <c r="G25" s="62" t="s">
        <v>67</v>
      </c>
      <c r="H25" s="62" t="s">
        <v>81</v>
      </c>
      <c r="K25" s="258" t="s">
        <v>367</v>
      </c>
      <c r="L25" s="258" t="s">
        <v>367</v>
      </c>
      <c r="M25" s="259" t="s">
        <v>367</v>
      </c>
      <c r="N25" s="258" t="s">
        <v>367</v>
      </c>
      <c r="O25" s="258" t="s">
        <v>367</v>
      </c>
      <c r="P25" s="238"/>
    </row>
    <row r="26" spans="4:16" ht="12.3" x14ac:dyDescent="0.35">
      <c r="D26" s="12" t="s">
        <v>189</v>
      </c>
      <c r="E26" s="62" t="s">
        <v>135</v>
      </c>
      <c r="F26" s="62" t="s">
        <v>75</v>
      </c>
      <c r="G26" s="62" t="s">
        <v>67</v>
      </c>
      <c r="H26" s="62" t="s">
        <v>81</v>
      </c>
      <c r="K26" s="258" t="s">
        <v>367</v>
      </c>
      <c r="L26" s="258" t="s">
        <v>367</v>
      </c>
      <c r="M26" s="259" t="s">
        <v>367</v>
      </c>
      <c r="N26" s="258" t="s">
        <v>367</v>
      </c>
      <c r="O26" s="258" t="s">
        <v>367</v>
      </c>
      <c r="P26" s="238"/>
    </row>
    <row r="27" spans="4:16" ht="12.3" x14ac:dyDescent="0.35">
      <c r="D27" s="12" t="s">
        <v>190</v>
      </c>
      <c r="E27" s="62" t="s">
        <v>135</v>
      </c>
      <c r="F27" s="62" t="s">
        <v>75</v>
      </c>
      <c r="G27" s="62" t="s">
        <v>67</v>
      </c>
      <c r="H27" s="62" t="s">
        <v>81</v>
      </c>
      <c r="K27" s="258" t="s">
        <v>367</v>
      </c>
      <c r="L27" s="258" t="s">
        <v>367</v>
      </c>
      <c r="M27" s="259" t="s">
        <v>367</v>
      </c>
      <c r="N27" s="258" t="s">
        <v>367</v>
      </c>
      <c r="O27" s="258" t="s">
        <v>367</v>
      </c>
      <c r="P27" s="238"/>
    </row>
    <row r="28" spans="4:16" ht="12.3" x14ac:dyDescent="0.35">
      <c r="D28" s="12" t="s">
        <v>191</v>
      </c>
      <c r="E28" s="62" t="s">
        <v>135</v>
      </c>
      <c r="F28" s="62" t="s">
        <v>75</v>
      </c>
      <c r="G28" s="62" t="s">
        <v>67</v>
      </c>
      <c r="H28" s="62" t="s">
        <v>81</v>
      </c>
      <c r="K28" s="258" t="s">
        <v>367</v>
      </c>
      <c r="L28" s="258" t="s">
        <v>367</v>
      </c>
      <c r="M28" s="259" t="s">
        <v>367</v>
      </c>
      <c r="N28" s="258" t="s">
        <v>367</v>
      </c>
      <c r="O28" s="258" t="s">
        <v>367</v>
      </c>
      <c r="P28" s="238"/>
    </row>
    <row r="29" spans="4:16" ht="12.3" x14ac:dyDescent="0.35">
      <c r="D29" s="12" t="s">
        <v>192</v>
      </c>
      <c r="E29" s="62" t="s">
        <v>135</v>
      </c>
      <c r="F29" s="62" t="s">
        <v>75</v>
      </c>
      <c r="G29" s="62" t="s">
        <v>67</v>
      </c>
      <c r="H29" s="62" t="s">
        <v>81</v>
      </c>
      <c r="K29" s="258" t="s">
        <v>367</v>
      </c>
      <c r="L29" s="258" t="s">
        <v>367</v>
      </c>
      <c r="M29" s="259" t="s">
        <v>367</v>
      </c>
      <c r="N29" s="258" t="s">
        <v>367</v>
      </c>
      <c r="O29" s="258" t="s">
        <v>367</v>
      </c>
      <c r="P29" s="238"/>
    </row>
    <row r="30" spans="4:16" ht="12.3" x14ac:dyDescent="0.35">
      <c r="D30" s="12" t="s">
        <v>193</v>
      </c>
      <c r="E30" s="62" t="s">
        <v>135</v>
      </c>
      <c r="F30" s="62" t="s">
        <v>75</v>
      </c>
      <c r="G30" s="62" t="s">
        <v>67</v>
      </c>
      <c r="H30" s="62" t="s">
        <v>81</v>
      </c>
      <c r="K30" s="258" t="s">
        <v>367</v>
      </c>
      <c r="L30" s="258" t="s">
        <v>367</v>
      </c>
      <c r="M30" s="259" t="s">
        <v>367</v>
      </c>
      <c r="N30" s="258" t="s">
        <v>367</v>
      </c>
      <c r="O30" s="258" t="s">
        <v>367</v>
      </c>
      <c r="P30" s="238"/>
    </row>
    <row r="31" spans="4:16" ht="12.3" x14ac:dyDescent="0.35">
      <c r="D31" s="12" t="s">
        <v>197</v>
      </c>
      <c r="E31" s="62" t="s">
        <v>135</v>
      </c>
      <c r="F31" s="62" t="s">
        <v>75</v>
      </c>
      <c r="G31" s="62" t="s">
        <v>67</v>
      </c>
      <c r="H31" s="62" t="s">
        <v>81</v>
      </c>
      <c r="K31" s="258" t="s">
        <v>367</v>
      </c>
      <c r="L31" s="258" t="s">
        <v>367</v>
      </c>
      <c r="M31" s="259" t="s">
        <v>367</v>
      </c>
      <c r="N31" s="258" t="s">
        <v>367</v>
      </c>
      <c r="O31" s="258" t="s">
        <v>367</v>
      </c>
      <c r="P31" s="238"/>
    </row>
    <row r="32" spans="4:16" x14ac:dyDescent="0.35">
      <c r="M32" s="120"/>
    </row>
    <row r="33" spans="1:16" ht="12.3" x14ac:dyDescent="0.35">
      <c r="D33" s="91" t="s">
        <v>131</v>
      </c>
      <c r="E33" s="94" t="s">
        <v>89</v>
      </c>
      <c r="F33" s="94" t="s">
        <v>75</v>
      </c>
      <c r="G33" s="94" t="s">
        <v>67</v>
      </c>
      <c r="H33" s="94" t="s">
        <v>81</v>
      </c>
      <c r="K33" s="99">
        <v>-126.17689975860938</v>
      </c>
      <c r="L33" s="99">
        <v>-141.07853680208373</v>
      </c>
      <c r="M33" s="141">
        <v>-140.83128653180469</v>
      </c>
      <c r="N33" s="99">
        <v>-140.69075745398814</v>
      </c>
      <c r="O33" s="99">
        <v>-141.15739262633372</v>
      </c>
    </row>
    <row r="34" spans="1:16" x14ac:dyDescent="0.35">
      <c r="M34" s="120"/>
    </row>
    <row r="35" spans="1:16" ht="12.6" thickBot="1" x14ac:dyDescent="0.4">
      <c r="D35" s="91" t="s">
        <v>132</v>
      </c>
      <c r="E35" s="94" t="s">
        <v>89</v>
      </c>
      <c r="F35" s="94" t="s">
        <v>75</v>
      </c>
      <c r="G35" s="94" t="s">
        <v>67</v>
      </c>
      <c r="H35" s="94" t="s">
        <v>81</v>
      </c>
      <c r="K35" s="100">
        <v>-126.17689975860938</v>
      </c>
      <c r="L35" s="100">
        <v>-141.07853680208373</v>
      </c>
      <c r="M35" s="142">
        <v>-140.83128653180469</v>
      </c>
      <c r="N35" s="100">
        <v>-140.69075745398814</v>
      </c>
      <c r="O35" s="100">
        <v>-141.15739262633372</v>
      </c>
    </row>
    <row r="36" spans="1:16" ht="12.6" thickTop="1" x14ac:dyDescent="0.35">
      <c r="K36" s="101"/>
      <c r="L36" s="101"/>
      <c r="M36" s="112"/>
      <c r="N36" s="101"/>
      <c r="O36" s="101"/>
    </row>
    <row r="37" spans="1:16" ht="12.3" x14ac:dyDescent="0.35">
      <c r="D37" s="12" t="s">
        <v>203</v>
      </c>
      <c r="E37" s="62" t="s">
        <v>89</v>
      </c>
      <c r="F37" s="62" t="s">
        <v>74</v>
      </c>
      <c r="G37" s="62" t="s">
        <v>33</v>
      </c>
      <c r="H37" s="62" t="s">
        <v>33</v>
      </c>
      <c r="K37" s="61">
        <v>1</v>
      </c>
      <c r="L37" s="61">
        <v>4</v>
      </c>
      <c r="M37" s="143">
        <v>3</v>
      </c>
      <c r="N37" s="61">
        <v>2</v>
      </c>
      <c r="O37" s="61">
        <v>5</v>
      </c>
    </row>
    <row r="38" spans="1:16" ht="12.3" x14ac:dyDescent="0.35">
      <c r="D38" s="12" t="s">
        <v>205</v>
      </c>
      <c r="E38" s="62" t="s">
        <v>89</v>
      </c>
      <c r="F38" s="62" t="s">
        <v>75</v>
      </c>
      <c r="G38" s="62" t="s">
        <v>67</v>
      </c>
      <c r="H38" s="62" t="s">
        <v>81</v>
      </c>
      <c r="K38" s="101">
        <v>0</v>
      </c>
      <c r="L38" s="101">
        <v>14.901637043474352</v>
      </c>
      <c r="M38" s="112">
        <v>14.654386773195313</v>
      </c>
      <c r="N38" s="101">
        <v>14.513857695378761</v>
      </c>
      <c r="O38" s="101">
        <v>14.980492867724337</v>
      </c>
    </row>
    <row r="39" spans="1:16" ht="12.3" x14ac:dyDescent="0.35">
      <c r="D39" s="12"/>
      <c r="M39" s="120"/>
    </row>
    <row r="40" spans="1:16" ht="12.3" x14ac:dyDescent="0.35">
      <c r="D40" s="12" t="s">
        <v>316</v>
      </c>
      <c r="E40" s="62" t="s">
        <v>89</v>
      </c>
      <c r="F40" s="62" t="s">
        <v>75</v>
      </c>
      <c r="G40" s="62" t="s">
        <v>67</v>
      </c>
      <c r="H40" s="62" t="s">
        <v>81</v>
      </c>
      <c r="K40" s="258" t="s">
        <v>367</v>
      </c>
      <c r="L40" s="258" t="s">
        <v>367</v>
      </c>
      <c r="M40" s="259" t="s">
        <v>367</v>
      </c>
      <c r="N40" s="258" t="s">
        <v>367</v>
      </c>
      <c r="O40" s="258" t="s">
        <v>367</v>
      </c>
    </row>
    <row r="41" spans="1:16" ht="12.3" x14ac:dyDescent="0.35">
      <c r="D41" s="12" t="s">
        <v>317</v>
      </c>
      <c r="E41" s="62" t="s">
        <v>89</v>
      </c>
      <c r="F41" s="62" t="s">
        <v>75</v>
      </c>
      <c r="G41" s="62" t="s">
        <v>67</v>
      </c>
      <c r="H41" s="62" t="s">
        <v>81</v>
      </c>
      <c r="K41" s="258" t="s">
        <v>367</v>
      </c>
      <c r="L41" s="258" t="s">
        <v>367</v>
      </c>
      <c r="M41" s="259" t="s">
        <v>367</v>
      </c>
      <c r="N41" s="258" t="s">
        <v>367</v>
      </c>
      <c r="O41" s="258" t="s">
        <v>367</v>
      </c>
    </row>
    <row r="42" spans="1:16" ht="12.3" x14ac:dyDescent="0.35">
      <c r="D42" s="12"/>
      <c r="E42" s="62"/>
      <c r="F42" s="62"/>
      <c r="G42" s="62"/>
      <c r="H42" s="62"/>
      <c r="K42" s="101"/>
      <c r="L42" s="101"/>
      <c r="M42" s="112"/>
      <c r="N42" s="101"/>
      <c r="O42" s="101"/>
    </row>
    <row r="43" spans="1:16" ht="12.3" x14ac:dyDescent="0.35">
      <c r="D43" s="91" t="s">
        <v>318</v>
      </c>
      <c r="E43" s="94" t="s">
        <v>89</v>
      </c>
      <c r="F43" s="94" t="s">
        <v>75</v>
      </c>
      <c r="G43" s="94" t="s">
        <v>67</v>
      </c>
      <c r="H43" s="94" t="s">
        <v>81</v>
      </c>
      <c r="K43" s="260" t="s">
        <v>367</v>
      </c>
      <c r="L43" s="260" t="s">
        <v>367</v>
      </c>
      <c r="M43" s="261" t="s">
        <v>367</v>
      </c>
      <c r="N43" s="260" t="s">
        <v>367</v>
      </c>
      <c r="O43" s="260" t="s">
        <v>367</v>
      </c>
    </row>
    <row r="45" spans="1:16" ht="12.3" x14ac:dyDescent="0.35">
      <c r="A45" s="65">
        <v>0</v>
      </c>
      <c r="D45" s="12" t="s">
        <v>92</v>
      </c>
      <c r="K45" s="70">
        <v>0</v>
      </c>
      <c r="L45" s="70">
        <v>0</v>
      </c>
      <c r="M45" s="70">
        <v>0</v>
      </c>
      <c r="N45" s="70">
        <v>0</v>
      </c>
      <c r="O45" s="70">
        <v>0</v>
      </c>
    </row>
    <row r="47" spans="1:16" ht="12.3" x14ac:dyDescent="0.35">
      <c r="D47" s="91" t="s">
        <v>214</v>
      </c>
    </row>
    <row r="48" spans="1:16" ht="17.850000000000001" customHeight="1" x14ac:dyDescent="0.35">
      <c r="D48" s="269" t="s">
        <v>215</v>
      </c>
      <c r="E48" s="270"/>
      <c r="F48" s="270"/>
      <c r="G48" s="270"/>
      <c r="H48" s="270"/>
      <c r="I48" s="270"/>
      <c r="J48" s="270"/>
      <c r="K48" s="270"/>
      <c r="L48" s="270"/>
      <c r="M48" s="270"/>
      <c r="N48" s="270"/>
      <c r="O48" s="270"/>
      <c r="P48" s="270"/>
    </row>
    <row r="49" spans="2:16" ht="17.850000000000001" customHeight="1" x14ac:dyDescent="0.35">
      <c r="D49" s="270"/>
      <c r="E49" s="270"/>
      <c r="F49" s="270"/>
      <c r="G49" s="270"/>
      <c r="H49" s="270"/>
      <c r="I49" s="270"/>
      <c r="J49" s="270"/>
      <c r="K49" s="270"/>
      <c r="L49" s="270"/>
      <c r="M49" s="270"/>
      <c r="N49" s="270"/>
      <c r="O49" s="270"/>
      <c r="P49" s="270"/>
    </row>
    <row r="50" spans="2:16" x14ac:dyDescent="0.35">
      <c r="D50" s="269" t="s">
        <v>216</v>
      </c>
      <c r="E50" s="270"/>
      <c r="F50" s="270"/>
      <c r="G50" s="270"/>
      <c r="H50" s="270"/>
      <c r="I50" s="270"/>
      <c r="J50" s="270"/>
      <c r="K50" s="270"/>
      <c r="L50" s="270"/>
      <c r="M50" s="270"/>
      <c r="N50" s="270"/>
      <c r="O50" s="270"/>
      <c r="P50" s="270"/>
    </row>
    <row r="51" spans="2:16" ht="13.35" customHeight="1" x14ac:dyDescent="0.35">
      <c r="D51" s="270"/>
      <c r="E51" s="270"/>
      <c r="F51" s="270"/>
      <c r="G51" s="270"/>
      <c r="H51" s="270"/>
      <c r="I51" s="270"/>
      <c r="J51" s="270"/>
      <c r="K51" s="270"/>
      <c r="L51" s="270"/>
      <c r="M51" s="270"/>
      <c r="N51" s="270"/>
      <c r="O51" s="270"/>
      <c r="P51" s="270"/>
    </row>
    <row r="53" spans="2:16" s="88" customFormat="1" ht="15" x14ac:dyDescent="0.35">
      <c r="B53" s="88" t="s">
        <v>31</v>
      </c>
    </row>
  </sheetData>
  <mergeCells count="2">
    <mergeCell ref="D48:P49"/>
    <mergeCell ref="D50:P51"/>
  </mergeCells>
  <conditionalFormatting sqref="B2">
    <cfRule type="cellIs" dxfId="13" priority="1" operator="notEqual">
      <formula>"No Errors Found"</formula>
    </cfRule>
  </conditionalFormatting>
  <hyperlinks>
    <hyperlink ref="B3:D3" location="Cover!A1" display="Go to Cover Sheet" xr:uid="{1EC3B382-6A36-4670-86B2-5DD9C9BF61F5}"/>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05838-199E-47A0-BBFB-09A7D5E0794F}">
  <sheetPr>
    <tabColor theme="0" tint="-0.14999847407452621"/>
  </sheetPr>
  <dimension ref="A1:Q32"/>
  <sheetViews>
    <sheetView showGridLines="0" zoomScaleNormal="100" workbookViewId="0">
      <pane xSplit="1" ySplit="4" topLeftCell="B5" activePane="bottomRight" state="frozen"/>
      <selection activeCell="N11" sqref="F4:U25"/>
      <selection pane="topRight" activeCell="N11" sqref="F4:U25"/>
      <selection pane="bottomLeft" activeCell="N11" sqref="F4:U25"/>
      <selection pane="bottomRight" activeCell="B5" sqref="B5"/>
    </sheetView>
  </sheetViews>
  <sheetFormatPr defaultColWidth="9.33203125" defaultRowHeight="10.199999999999999" x14ac:dyDescent="0.35"/>
  <cols>
    <col min="1" max="3" width="2.796875" style="83" customWidth="1"/>
    <col min="4" max="4" width="50.1328125" style="83" customWidth="1"/>
    <col min="5" max="5" width="17.73046875" style="83" customWidth="1"/>
    <col min="6" max="29" width="17.59765625" style="83" customWidth="1"/>
    <col min="30" max="16384" width="9.33203125" style="83"/>
  </cols>
  <sheetData>
    <row r="1" spans="1:17" ht="18.899999999999999" x14ac:dyDescent="0.35">
      <c r="A1" s="65">
        <v>0</v>
      </c>
      <c r="B1" s="82" t="s">
        <v>173</v>
      </c>
    </row>
    <row r="2" spans="1:17" x14ac:dyDescent="0.35">
      <c r="B2" s="84" t="s">
        <v>327</v>
      </c>
    </row>
    <row r="3" spans="1:17" x14ac:dyDescent="0.35">
      <c r="B3" s="85" t="s">
        <v>50</v>
      </c>
      <c r="C3" s="85"/>
      <c r="D3" s="85"/>
    </row>
    <row r="4" spans="1:17" ht="12.3" x14ac:dyDescent="0.35">
      <c r="B4" s="87" t="s">
        <v>178</v>
      </c>
    </row>
    <row r="6" spans="1:17" s="88" customFormat="1" ht="15" x14ac:dyDescent="0.35">
      <c r="B6" s="88" t="s">
        <v>176</v>
      </c>
    </row>
    <row r="7" spans="1:17" s="89" customFormat="1" ht="4.5" customHeight="1" x14ac:dyDescent="0.35"/>
    <row r="8" spans="1:17" s="90" customFormat="1" ht="14.1" x14ac:dyDescent="0.35">
      <c r="C8" s="90" t="s">
        <v>174</v>
      </c>
    </row>
    <row r="10" spans="1:17" ht="12.3" x14ac:dyDescent="0.35">
      <c r="D10" s="12" t="s">
        <v>180</v>
      </c>
      <c r="F10" s="81">
        <v>0.02</v>
      </c>
    </row>
    <row r="12" spans="1:17" ht="12.3" x14ac:dyDescent="0.35">
      <c r="D12" s="91" t="s">
        <v>123</v>
      </c>
      <c r="E12" s="91" t="s">
        <v>177</v>
      </c>
      <c r="F12" s="235" t="s">
        <v>134</v>
      </c>
      <c r="G12" s="113">
        <v>0.01</v>
      </c>
      <c r="H12" s="113">
        <v>1.2500000000000001E-2</v>
      </c>
      <c r="I12" s="113">
        <v>1.5000000000000001E-2</v>
      </c>
      <c r="J12" s="113">
        <v>1.7500000000000002E-2</v>
      </c>
      <c r="K12" s="114">
        <v>0.02</v>
      </c>
      <c r="L12" s="113">
        <v>2.2499999999999999E-2</v>
      </c>
      <c r="M12" s="113">
        <v>2.4999999999999998E-2</v>
      </c>
      <c r="N12" s="113">
        <v>2.7499999999999997E-2</v>
      </c>
      <c r="O12" s="113">
        <v>2.9999999999999995E-2</v>
      </c>
      <c r="Q12" s="59" t="s">
        <v>204</v>
      </c>
    </row>
    <row r="13" spans="1:17" ht="12.3" x14ac:dyDescent="0.35">
      <c r="D13" s="15"/>
      <c r="E13" s="15"/>
      <c r="F13" s="112"/>
      <c r="G13" s="101">
        <v>0</v>
      </c>
      <c r="H13" s="101">
        <v>0</v>
      </c>
      <c r="I13" s="101">
        <v>0</v>
      </c>
      <c r="J13" s="101">
        <v>0</v>
      </c>
      <c r="K13" s="101">
        <v>0</v>
      </c>
      <c r="L13" s="101">
        <v>0</v>
      </c>
      <c r="M13" s="101">
        <v>0</v>
      </c>
      <c r="N13" s="101">
        <v>0</v>
      </c>
      <c r="O13" s="101">
        <v>0</v>
      </c>
      <c r="Q13" s="138"/>
    </row>
    <row r="14" spans="1:17" ht="12.3" x14ac:dyDescent="0.35">
      <c r="D14" s="12" t="s">
        <v>158</v>
      </c>
      <c r="E14" s="12" t="s">
        <v>320</v>
      </c>
      <c r="F14" s="112">
        <v>-126.17689975860938</v>
      </c>
      <c r="G14" s="101">
        <v>-118.29009124394931</v>
      </c>
      <c r="H14" s="101">
        <v>-120.27704382827963</v>
      </c>
      <c r="I14" s="101">
        <v>-122.25340067839154</v>
      </c>
      <c r="J14" s="101">
        <v>-124.21981547903258</v>
      </c>
      <c r="K14" s="101">
        <v>-126.17689975860938</v>
      </c>
      <c r="L14" s="101">
        <v>-128.12522558973271</v>
      </c>
      <c r="M14" s="101">
        <v>-130.06532812078473</v>
      </c>
      <c r="N14" s="101">
        <v>-131.9977079487648</v>
      </c>
      <c r="O14" s="101">
        <v>-133.92283334306785</v>
      </c>
      <c r="Q14" s="138">
        <v>-7.74593358445847</v>
      </c>
    </row>
    <row r="15" spans="1:17" ht="12.3" x14ac:dyDescent="0.35">
      <c r="D15" s="12" t="s">
        <v>160</v>
      </c>
      <c r="E15" s="12" t="s">
        <v>166</v>
      </c>
      <c r="F15" s="112">
        <v>-141.07853680208373</v>
      </c>
      <c r="G15" s="101">
        <v>-130.07858014854057</v>
      </c>
      <c r="H15" s="101">
        <v>-132.83168341100003</v>
      </c>
      <c r="I15" s="101">
        <v>-135.58256693136602</v>
      </c>
      <c r="J15" s="101">
        <v>-138.33145101515373</v>
      </c>
      <c r="K15" s="101">
        <v>-141.07853680208373</v>
      </c>
      <c r="L15" s="101">
        <v>-143.82400773259124</v>
      </c>
      <c r="M15" s="101">
        <v>-146.55085902772399</v>
      </c>
      <c r="N15" s="101">
        <v>-149.29358649235476</v>
      </c>
      <c r="O15" s="101">
        <v>-152.03515639004036</v>
      </c>
      <c r="Q15" s="138">
        <v>-10.956619587956624</v>
      </c>
    </row>
    <row r="16" spans="1:17" ht="12.3" x14ac:dyDescent="0.35">
      <c r="D16" s="12" t="s">
        <v>125</v>
      </c>
      <c r="E16" s="12" t="s">
        <v>167</v>
      </c>
      <c r="F16" s="112">
        <v>-140.83128653180469</v>
      </c>
      <c r="G16" s="101">
        <v>-129.43630858788512</v>
      </c>
      <c r="H16" s="101">
        <v>-132.28831376960284</v>
      </c>
      <c r="I16" s="101">
        <v>-135.13800160752945</v>
      </c>
      <c r="J16" s="101">
        <v>-137.98559232328418</v>
      </c>
      <c r="K16" s="101">
        <v>-140.83128653180469</v>
      </c>
      <c r="L16" s="101">
        <v>-143.67526673808854</v>
      </c>
      <c r="M16" s="101">
        <v>-146.5176987294935</v>
      </c>
      <c r="N16" s="101">
        <v>-149.35873287042355</v>
      </c>
      <c r="O16" s="101">
        <v>-152.19850530580223</v>
      </c>
      <c r="Q16" s="138">
        <v>-11.367218773997536</v>
      </c>
    </row>
    <row r="17" spans="2:17" ht="12.3" x14ac:dyDescent="0.35">
      <c r="D17" s="12" t="s">
        <v>152</v>
      </c>
      <c r="E17" s="12" t="s">
        <v>168</v>
      </c>
      <c r="F17" s="112">
        <v>-140.69075745398814</v>
      </c>
      <c r="G17" s="101">
        <v>-129.71533333886498</v>
      </c>
      <c r="H17" s="101">
        <v>-132.46210929675459</v>
      </c>
      <c r="I17" s="101">
        <v>-135.20679565578271</v>
      </c>
      <c r="J17" s="101">
        <v>-137.94961167389448</v>
      </c>
      <c r="K17" s="101">
        <v>-140.69075745398814</v>
      </c>
      <c r="L17" s="101">
        <v>-143.43041541008691</v>
      </c>
      <c r="M17" s="101">
        <v>-146.16875163077913</v>
      </c>
      <c r="N17" s="101">
        <v>-148.90591714665933</v>
      </c>
      <c r="O17" s="101">
        <v>-151.64204910808598</v>
      </c>
      <c r="Q17" s="138">
        <v>-10.951291654097844</v>
      </c>
    </row>
    <row r="18" spans="2:17" ht="12.3" x14ac:dyDescent="0.35">
      <c r="D18" s="12" t="s">
        <v>159</v>
      </c>
      <c r="E18" s="12" t="s">
        <v>169</v>
      </c>
      <c r="F18" s="112">
        <v>-141.15739262633372</v>
      </c>
      <c r="G18" s="101">
        <v>-129.79578116794499</v>
      </c>
      <c r="H18" s="101">
        <v>-132.63935388708745</v>
      </c>
      <c r="I18" s="101">
        <v>-135.48067027897031</v>
      </c>
      <c r="J18" s="101">
        <v>-138.31994987966002</v>
      </c>
      <c r="K18" s="101">
        <v>-141.15739262633372</v>
      </c>
      <c r="L18" s="101">
        <v>-143.99318035394782</v>
      </c>
      <c r="M18" s="101">
        <v>-146.82747818746697</v>
      </c>
      <c r="N18" s="101">
        <v>-149.66043583647831</v>
      </c>
      <c r="O18" s="101">
        <v>-152.49218879859384</v>
      </c>
      <c r="Q18" s="138">
        <v>-11.334796172260127</v>
      </c>
    </row>
    <row r="20" spans="2:17" s="90" customFormat="1" ht="14.1" x14ac:dyDescent="0.35">
      <c r="C20" s="90" t="s">
        <v>175</v>
      </c>
    </row>
    <row r="22" spans="2:17" ht="12.3" x14ac:dyDescent="0.35">
      <c r="D22" s="12" t="s">
        <v>146</v>
      </c>
      <c r="F22" s="81">
        <v>0</v>
      </c>
    </row>
    <row r="24" spans="2:17" ht="12.3" x14ac:dyDescent="0.35">
      <c r="D24" s="91" t="s">
        <v>123</v>
      </c>
      <c r="E24" s="91" t="s">
        <v>177</v>
      </c>
      <c r="F24" s="235" t="s">
        <v>134</v>
      </c>
      <c r="G24" s="113">
        <v>1.999999999999999E-2</v>
      </c>
      <c r="H24" s="113">
        <v>2.9999999999999992E-2</v>
      </c>
      <c r="I24" s="113">
        <v>3.9999999999999994E-2</v>
      </c>
      <c r="J24" s="113">
        <v>4.9999999999999996E-2</v>
      </c>
      <c r="K24" s="114">
        <v>0.06</v>
      </c>
      <c r="L24" s="113">
        <v>6.9999999999999993E-2</v>
      </c>
      <c r="M24" s="113">
        <v>7.9999999999999988E-2</v>
      </c>
      <c r="N24" s="113">
        <v>8.9999999999999983E-2</v>
      </c>
      <c r="O24" s="113">
        <v>9.9999999999999978E-2</v>
      </c>
      <c r="Q24" s="59" t="s">
        <v>204</v>
      </c>
    </row>
    <row r="25" spans="2:17" ht="12.3" x14ac:dyDescent="0.35">
      <c r="D25" s="15"/>
      <c r="E25" s="15"/>
      <c r="F25" s="112"/>
      <c r="G25" s="101">
        <v>0</v>
      </c>
      <c r="H25" s="101">
        <v>0</v>
      </c>
      <c r="I25" s="101">
        <v>0</v>
      </c>
      <c r="J25" s="101">
        <v>0</v>
      </c>
      <c r="K25" s="101">
        <v>0</v>
      </c>
      <c r="L25" s="101">
        <v>0</v>
      </c>
      <c r="M25" s="101">
        <v>0</v>
      </c>
      <c r="N25" s="101">
        <v>0</v>
      </c>
      <c r="O25" s="101">
        <v>0</v>
      </c>
      <c r="Q25" s="138"/>
    </row>
    <row r="26" spans="2:17" ht="12.3" x14ac:dyDescent="0.35">
      <c r="D26" s="12" t="s">
        <v>158</v>
      </c>
      <c r="E26" s="12" t="s">
        <v>320</v>
      </c>
      <c r="F26" s="112">
        <v>-126.17689975860938</v>
      </c>
      <c r="G26" s="101">
        <v>-116.36705099585672</v>
      </c>
      <c r="H26" s="101">
        <v>-112.55712817852741</v>
      </c>
      <c r="I26" s="101">
        <v>-109.30733513308905</v>
      </c>
      <c r="J26" s="101">
        <v>-106.52032288409217</v>
      </c>
      <c r="K26" s="101">
        <v>-104.11712322653781</v>
      </c>
      <c r="L26" s="101">
        <v>-102.03352917638497</v>
      </c>
      <c r="M26" s="101">
        <v>-100.21720194143217</v>
      </c>
      <c r="N26" s="101">
        <v>-98.625357877758049</v>
      </c>
      <c r="O26" s="101">
        <v>-97.222918310366381</v>
      </c>
      <c r="Q26" s="138">
        <v>28.953981448242999</v>
      </c>
    </row>
    <row r="27" spans="2:17" ht="12.3" x14ac:dyDescent="0.35">
      <c r="D27" s="12" t="s">
        <v>160</v>
      </c>
      <c r="E27" s="12" t="s">
        <v>166</v>
      </c>
      <c r="F27" s="112">
        <v>-141.07853680208373</v>
      </c>
      <c r="G27" s="101">
        <v>-132.78117386308639</v>
      </c>
      <c r="H27" s="101">
        <v>-129.52814577637662</v>
      </c>
      <c r="I27" s="101">
        <v>-126.73595323772112</v>
      </c>
      <c r="J27" s="101">
        <v>-124.32617539395648</v>
      </c>
      <c r="K27" s="101">
        <v>-122.23497930153886</v>
      </c>
      <c r="L27" s="101">
        <v>-120.41027817260981</v>
      </c>
      <c r="M27" s="101">
        <v>-118.80945532165079</v>
      </c>
      <c r="N27" s="101">
        <v>-117.39754048462503</v>
      </c>
      <c r="O27" s="101">
        <v>-116.14574779573658</v>
      </c>
      <c r="Q27" s="138">
        <v>24.93278900634715</v>
      </c>
    </row>
    <row r="28" spans="2:17" ht="12.3" x14ac:dyDescent="0.35">
      <c r="D28" s="12" t="s">
        <v>125</v>
      </c>
      <c r="E28" s="12" t="s">
        <v>167</v>
      </c>
      <c r="F28" s="112">
        <v>-140.83128653180469</v>
      </c>
      <c r="G28" s="101">
        <v>-132.82634272970003</v>
      </c>
      <c r="H28" s="101">
        <v>-129.6824366218321</v>
      </c>
      <c r="I28" s="101">
        <v>-126.94662826416349</v>
      </c>
      <c r="J28" s="101">
        <v>-124.58425762267278</v>
      </c>
      <c r="K28" s="101">
        <v>-122.52936496905514</v>
      </c>
      <c r="L28" s="101">
        <v>-120.7273037108354</v>
      </c>
      <c r="M28" s="101">
        <v>-119.16483337080496</v>
      </c>
      <c r="N28" s="101">
        <v>-117.78162852750368</v>
      </c>
      <c r="O28" s="101">
        <v>-116.55666949404102</v>
      </c>
      <c r="Q28" s="138">
        <v>24.274617037763676</v>
      </c>
    </row>
    <row r="29" spans="2:17" ht="12.3" x14ac:dyDescent="0.35">
      <c r="D29" s="12" t="s">
        <v>152</v>
      </c>
      <c r="E29" s="12" t="s">
        <v>168</v>
      </c>
      <c r="F29" s="112">
        <v>-140.69075745398814</v>
      </c>
      <c r="G29" s="101">
        <v>-132.37246579649087</v>
      </c>
      <c r="H29" s="101">
        <v>-129.1099602235083</v>
      </c>
      <c r="I29" s="101">
        <v>-126.30879995338073</v>
      </c>
      <c r="J29" s="101">
        <v>-123.89047879711228</v>
      </c>
      <c r="K29" s="101">
        <v>-121.79109429763292</v>
      </c>
      <c r="L29" s="101">
        <v>-119.95850289405917</v>
      </c>
      <c r="M29" s="101">
        <v>-118.35004139862649</v>
      </c>
      <c r="N29" s="101">
        <v>-116.93070133629828</v>
      </c>
      <c r="O29" s="101">
        <v>-115.67166533438267</v>
      </c>
      <c r="Q29" s="138">
        <v>25.019092119605475</v>
      </c>
    </row>
    <row r="30" spans="2:17" ht="12.3" x14ac:dyDescent="0.35">
      <c r="D30" s="12" t="s">
        <v>159</v>
      </c>
      <c r="E30" s="12" t="s">
        <v>169</v>
      </c>
      <c r="F30" s="112">
        <v>-141.15739262633372</v>
      </c>
      <c r="G30" s="101">
        <v>-133.13143299554918</v>
      </c>
      <c r="H30" s="101">
        <v>-129.97701897334127</v>
      </c>
      <c r="I30" s="101">
        <v>-127.23070270133275</v>
      </c>
      <c r="J30" s="101">
        <v>-124.85782414550209</v>
      </c>
      <c r="K30" s="101">
        <v>-122.79242357754453</v>
      </c>
      <c r="L30" s="101">
        <v>-120.97985440498486</v>
      </c>
      <c r="M30" s="101">
        <v>-119.40687615061444</v>
      </c>
      <c r="N30" s="101">
        <v>-118.0131633929733</v>
      </c>
      <c r="O30" s="101">
        <v>-116.77769644517068</v>
      </c>
      <c r="Q30" s="138">
        <v>24.379696181163041</v>
      </c>
    </row>
    <row r="32" spans="2:17" s="88" customFormat="1" ht="15" x14ac:dyDescent="0.35">
      <c r="B32" s="88" t="s">
        <v>31</v>
      </c>
    </row>
  </sheetData>
  <conditionalFormatting sqref="B2">
    <cfRule type="cellIs" dxfId="12" priority="1" operator="notEqual">
      <formula>"No Errors Found"</formula>
    </cfRule>
  </conditionalFormatting>
  <hyperlinks>
    <hyperlink ref="B3:D3" location="Cover!A1" display="Go to Cover Sheet" xr:uid="{E9979F6B-56F8-456B-90A0-B50677C45CE8}"/>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O44"/>
  <sheetViews>
    <sheetView showGridLines="0" zoomScaleNormal="100" workbookViewId="0">
      <pane xSplit="1" ySplit="4" topLeftCell="B5" activePane="bottomRight" state="frozen"/>
      <selection activeCell="N11" sqref="F4:U25"/>
      <selection pane="topRight" activeCell="N11" sqref="F4:U25"/>
      <selection pane="bottomLeft" activeCell="N11" sqref="F4:U25"/>
      <selection pane="bottomRight" activeCell="B5" sqref="B5"/>
    </sheetView>
  </sheetViews>
  <sheetFormatPr defaultColWidth="0" defaultRowHeight="10.199999999999999" x14ac:dyDescent="0.35"/>
  <cols>
    <col min="1" max="3" width="2.796875" style="7" customWidth="1"/>
    <col min="4" max="4" width="43.796875" style="7" customWidth="1"/>
    <col min="5" max="9" width="10.796875" style="7" customWidth="1"/>
    <col min="10" max="15" width="10.796875" style="7" hidden="1" customWidth="1"/>
    <col min="16" max="16384" width="9.33203125" style="7" hidden="1"/>
  </cols>
  <sheetData>
    <row r="1" spans="2:5" ht="18.899999999999999" x14ac:dyDescent="0.35">
      <c r="B1" s="5" t="s">
        <v>48</v>
      </c>
    </row>
    <row r="2" spans="2:5" x14ac:dyDescent="0.35">
      <c r="B2" s="18" t="str">
        <f>Title_Msg</f>
        <v>No Errors Found</v>
      </c>
    </row>
    <row r="3" spans="2:5" ht="12.3" x14ac:dyDescent="0.35">
      <c r="B3" s="55" t="s">
        <v>50</v>
      </c>
      <c r="C3" s="55"/>
      <c r="D3" s="55"/>
      <c r="E3" s="16"/>
    </row>
    <row r="4" spans="2:5" ht="12.3" x14ac:dyDescent="0.35">
      <c r="B4" s="46" t="str">
        <f>Model_Name</f>
        <v>Cost Benefit Analysis - Advanced Metering within the regulated NT electricity networks</v>
      </c>
    </row>
    <row r="6" spans="2:5" s="4" customFormat="1" ht="15" x14ac:dyDescent="0.35">
      <c r="B6" s="4" t="str">
        <f>B1</f>
        <v>Table of Contents</v>
      </c>
    </row>
    <row r="7" spans="2:5" s="6" customFormat="1" ht="4.5" customHeight="1" x14ac:dyDescent="0.35"/>
    <row r="8" spans="2:5" s="13" customFormat="1" ht="14.1" x14ac:dyDescent="0.35">
      <c r="C8" s="13" t="s">
        <v>170</v>
      </c>
    </row>
    <row r="9" spans="2:5" s="6" customFormat="1" ht="4.5" customHeight="1" x14ac:dyDescent="0.35"/>
    <row r="10" spans="2:5" s="6" customFormat="1" ht="11.25" customHeight="1" x14ac:dyDescent="0.35">
      <c r="D10" s="55" t="str">
        <f>Input_General!$B$1</f>
        <v>Input - Discount rate, escalation and CPI assumptions</v>
      </c>
    </row>
    <row r="11" spans="2:5" s="6" customFormat="1" ht="11.25" customHeight="1" x14ac:dyDescent="0.35">
      <c r="D11" s="55" t="str">
        <f>Input_Meters!$B$1</f>
        <v>Inputs - Meter related assumptions</v>
      </c>
    </row>
    <row r="12" spans="2:5" s="6" customFormat="1" ht="11.25" customHeight="1" x14ac:dyDescent="0.35">
      <c r="D12" s="55" t="str">
        <f>Input_Meter_Movements!$B$1</f>
        <v>Input - Meter time series assumptions</v>
      </c>
    </row>
    <row r="13" spans="2:5" s="6" customFormat="1" ht="11.25" customHeight="1" x14ac:dyDescent="0.35">
      <c r="D13" s="55" t="str">
        <f>Input_Comms!$B$1</f>
        <v>Inputs - Communications assumptions</v>
      </c>
    </row>
    <row r="14" spans="2:5" s="6" customFormat="1" ht="11.25" customHeight="1" x14ac:dyDescent="0.35">
      <c r="D14" s="55" t="str">
        <f>Input_IT!$B$1</f>
        <v>Input - IT assumptions</v>
      </c>
    </row>
    <row r="15" spans="2:5" s="6" customFormat="1" ht="11.25" customHeight="1" x14ac:dyDescent="0.35">
      <c r="D15" s="55" t="str">
        <f>Input_Services!$B$1</f>
        <v>Input - Meter service assumptions</v>
      </c>
    </row>
    <row r="16" spans="2:5" s="6" customFormat="1" ht="11.25" customHeight="1" x14ac:dyDescent="0.35">
      <c r="D16" s="55" t="str">
        <f>Input_Other!$B$1</f>
        <v>Input - Other policy and investment assumptions</v>
      </c>
    </row>
    <row r="17" spans="3:4" s="6" customFormat="1" ht="11.25" customHeight="1" x14ac:dyDescent="0.35">
      <c r="D17" s="55" t="str">
        <f>Input_RIN!$B$1</f>
        <v>Input - Metering RINs</v>
      </c>
    </row>
    <row r="18" spans="3:4" s="6" customFormat="1" ht="11.25" customHeight="1" x14ac:dyDescent="0.35">
      <c r="D18" s="55" t="str">
        <f>Input_Capex!$B$1</f>
        <v>Input - Non network capex assumptions</v>
      </c>
    </row>
    <row r="19" spans="3:4" s="6" customFormat="1" ht="4.5" customHeight="1" x14ac:dyDescent="0.35"/>
    <row r="20" spans="3:4" s="13" customFormat="1" ht="14.1" x14ac:dyDescent="0.35">
      <c r="C20" s="13" t="s">
        <v>171</v>
      </c>
    </row>
    <row r="21" spans="3:4" s="6" customFormat="1" ht="4.5" customHeight="1" x14ac:dyDescent="0.35"/>
    <row r="22" spans="3:4" s="6" customFormat="1" ht="11.25" customHeight="1" x14ac:dyDescent="0.35">
      <c r="D22" s="55" t="str">
        <f>Calc_Scenario_1!$B$1</f>
        <v>Calculations - Base Case - Advanced capable meters</v>
      </c>
    </row>
    <row r="23" spans="3:4" s="6" customFormat="1" ht="11.25" customHeight="1" x14ac:dyDescent="0.35">
      <c r="D23" s="55" t="str">
        <f>Calc_Scenario_2!$B$1</f>
        <v>Calculations - Targeted roll out</v>
      </c>
    </row>
    <row r="24" spans="3:4" s="6" customFormat="1" ht="11.25" customHeight="1" x14ac:dyDescent="0.35">
      <c r="D24" s="55" t="str">
        <f>Calc_Scenario_3!$B$1</f>
        <v>Calculations - Advanced meters, enabled immediately</v>
      </c>
    </row>
    <row r="25" spans="3:4" s="6" customFormat="1" ht="11.25" customHeight="1" x14ac:dyDescent="0.35">
      <c r="D25" s="55" t="str">
        <f>Calc_Scenario_4!$B$1</f>
        <v>Calculations - Advanced capable meters, enabled strategically</v>
      </c>
    </row>
    <row r="26" spans="3:4" s="6" customFormat="1" ht="11.25" customHeight="1" x14ac:dyDescent="0.35">
      <c r="D26" s="55" t="str">
        <f>Calc_Scenario_5!$B$1</f>
        <v>Calculations - Transition via advanced meters</v>
      </c>
    </row>
    <row r="27" spans="3:4" s="6" customFormat="1" ht="11.25" customHeight="1" x14ac:dyDescent="0.35">
      <c r="D27" s="55" t="str">
        <f>Calc_CF_Sum!$B$1</f>
        <v>Calculation - Scenario Cash Flows</v>
      </c>
    </row>
    <row r="28" spans="3:4" s="6" customFormat="1" ht="4.5" customHeight="1" x14ac:dyDescent="0.35"/>
    <row r="29" spans="3:4" s="13" customFormat="1" ht="14.1" x14ac:dyDescent="0.35">
      <c r="C29" s="13" t="s">
        <v>172</v>
      </c>
    </row>
    <row r="30" spans="3:4" s="6" customFormat="1" ht="4.5" customHeight="1" x14ac:dyDescent="0.35"/>
    <row r="31" spans="3:4" s="6" customFormat="1" ht="11.25" customHeight="1" x14ac:dyDescent="0.35">
      <c r="D31" s="55" t="str">
        <f>Output_NPV!$B$1</f>
        <v>Output - NPV Summary</v>
      </c>
    </row>
    <row r="32" spans="3:4" s="6" customFormat="1" ht="11.25" customHeight="1" x14ac:dyDescent="0.35">
      <c r="D32" s="55" t="str">
        <f>Output_Sensitivities!$B$1</f>
        <v>Outputs - Sensitivities</v>
      </c>
    </row>
    <row r="33" spans="2:4" s="6" customFormat="1" ht="11.25" customHeight="1" x14ac:dyDescent="0.35">
      <c r="D33" s="55" t="str">
        <f>Output_AER_Capex!$B$1</f>
        <v>Output - AER Capex Forecast</v>
      </c>
    </row>
    <row r="34" spans="2:4" s="6" customFormat="1" x14ac:dyDescent="0.35">
      <c r="D34" s="55" t="str">
        <f>Output_AER_Step!$B$1</f>
        <v>Output - Metering opex step changes</v>
      </c>
    </row>
    <row r="35" spans="2:4" s="6" customFormat="1" x14ac:dyDescent="0.35">
      <c r="D35" s="55" t="str">
        <f>Output_Tariffs!$B$1</f>
        <v>Output - Metering tariffs</v>
      </c>
    </row>
    <row r="36" spans="2:4" s="6" customFormat="1" x14ac:dyDescent="0.35">
      <c r="D36" s="55" t="str">
        <f>Output_RIN!$B$1</f>
        <v>Output - Forecast Metering - CA RIN (2017-18 to 2023-24)</v>
      </c>
    </row>
    <row r="37" spans="2:4" s="6" customFormat="1" x14ac:dyDescent="0.35">
      <c r="D37" s="55" t="str">
        <f>Output_AMP!$B$1</f>
        <v>Output - Asset Management Plan</v>
      </c>
    </row>
    <row r="38" spans="2:4" s="6" customFormat="1" ht="4.5" customHeight="1" x14ac:dyDescent="0.35"/>
    <row r="39" spans="2:4" s="13" customFormat="1" ht="14.1" x14ac:dyDescent="0.35">
      <c r="C39" s="13" t="s">
        <v>49</v>
      </c>
    </row>
    <row r="40" spans="2:4" s="6" customFormat="1" ht="4.5" customHeight="1" x14ac:dyDescent="0.35"/>
    <row r="41" spans="2:4" x14ac:dyDescent="0.35">
      <c r="D41" s="55" t="str">
        <f>Lookup!B1</f>
        <v>Model Lookups</v>
      </c>
    </row>
    <row r="42" spans="2:4" x14ac:dyDescent="0.35">
      <c r="D42" s="55" t="str">
        <f>Checks!B1</f>
        <v>Model Checks</v>
      </c>
    </row>
    <row r="43" spans="2:4" s="6" customFormat="1" ht="4.5" customHeight="1" x14ac:dyDescent="0.35"/>
    <row r="44" spans="2:4" s="4" customFormat="1" ht="15" x14ac:dyDescent="0.35">
      <c r="B44" s="4" t="s">
        <v>31</v>
      </c>
    </row>
  </sheetData>
  <conditionalFormatting sqref="B2">
    <cfRule type="cellIs" dxfId="29" priority="1" operator="notEqual">
      <formula>"No Errors Found"</formula>
    </cfRule>
  </conditionalFormatting>
  <hyperlinks>
    <hyperlink ref="D41" location="Lookup!A1" display="Lookup!A1" xr:uid="{00000000-0004-0000-0100-000000000000}"/>
    <hyperlink ref="D42" location="Checks!A1" display="Checks!A1" xr:uid="{00000000-0004-0000-0100-000001000000}"/>
    <hyperlink ref="B3:D3" location="Cover!A1" display="Go to Cover Sheet" xr:uid="{00000000-0004-0000-0100-000002000000}"/>
    <hyperlink ref="D10" location="Input_General!A1" display="Input_General!A1" xr:uid="{00000000-0004-0000-0100-000003000000}"/>
    <hyperlink ref="C8" location="SC_General!A1" display="SC_General!A1" xr:uid="{00000000-0004-0000-0100-000004000000}"/>
    <hyperlink ref="D13" location="Input_Comms!A1" display="Input_Comms!A1" xr:uid="{00000000-0004-0000-0100-000005000000}"/>
    <hyperlink ref="D27" location="Calc_CF_Sum!A1" display="Calc_CF_Sum!A1" xr:uid="{00000000-0004-0000-0100-000008000000}"/>
    <hyperlink ref="D11" location="Input_Meters!A1" display="Input_Meters!A1" xr:uid="{CC32993B-0CC4-4381-955F-4E2C6807FE32}"/>
    <hyperlink ref="D31" location="Output_NPV!A1" display="Output_NPV!A1" xr:uid="{E3D5187C-5A29-42AE-9DE4-CA3A04BAF368}"/>
    <hyperlink ref="D23" location="Calc_Scenario_2!A1" display="Calc_Scenario_2!A1" xr:uid="{4D788143-5563-4FEA-831A-3FBEFE0DBF12}"/>
    <hyperlink ref="D24" location="Calc_Scenario_3!A1" display="Calc_Scenario_3!A1" xr:uid="{E9FACD01-8E1B-49C6-BFD1-96664FEE432C}"/>
    <hyperlink ref="D25" location="Calc_Scenario_4!A1" display="Calc_Scenario_4!A1" xr:uid="{766E55D6-499A-4E7E-BE20-1776801B7C2D}"/>
    <hyperlink ref="D26" location="Calc_Scenario_5!A1" display="Calc_Scenario_5!A1" xr:uid="{93C9DA46-8527-4348-9443-F52B8D9C40CC}"/>
    <hyperlink ref="D22" location="Calc_Scenario_1!A1" display="Calc_Scenario_1!A1" xr:uid="{7192B781-7061-4A63-A33E-05F1F32F16CC}"/>
    <hyperlink ref="C20" location="SC_General!A1" display="SC_General!A1" xr:uid="{6122E017-AAD7-4D68-819E-FECB8C14C379}"/>
    <hyperlink ref="C29" location="SC_General!A1" display="SC_General!A1" xr:uid="{81B2F457-925C-482A-B3FB-86C366E26650}"/>
    <hyperlink ref="D32" location="Output_Sensitivities!A1" display="Output_Sensitivities!A1" xr:uid="{8FD4752C-13DB-46C9-9256-3ADC68266560}"/>
    <hyperlink ref="D14" location="Input_IT!A1" display="Input_IT!A1" xr:uid="{A53D3DA1-0FCE-4B5E-8023-BAF130A70B56}"/>
    <hyperlink ref="D15" location="Input_Services!A1" display="Input_Services!A1" xr:uid="{FBA67688-A517-4216-9FF5-0F54FF70FABE}"/>
    <hyperlink ref="D16" location="Input_Other!A1" display="Input_Other!A1" xr:uid="{0AFDA26E-5C4C-4D43-B657-DA5D10E916B9}"/>
    <hyperlink ref="D33" location="Output_AER_Capex!A1" display="Output_AER_Capex!A1" xr:uid="{D1C80258-E79F-4967-BD92-2DD1A53E6618}"/>
    <hyperlink ref="D34" location="Output_AER_Step!A1" display="Output_AER_Step!A1" xr:uid="{5C558CBB-A1DD-4B9F-9716-B02A295456C9}"/>
    <hyperlink ref="D35" location="Output_Tariffs!A1" display="Output_Tariffs!A1" xr:uid="{27461B8F-2249-4C0A-A563-D5D2CE75DE4C}"/>
    <hyperlink ref="D36" location="Output_RIN!A1" display="Output_RIN!A1" xr:uid="{FEFD1730-3F14-4EA9-B3B8-C344CFF7723F}"/>
    <hyperlink ref="D17" location="Input_RIN!A1" display="Input_RIN!A1" xr:uid="{097F96E6-004B-4519-99F3-85BA4E5AF529}"/>
    <hyperlink ref="D18" location="Input_Capex!A1" display="Input_Capex!A1" xr:uid="{C5A21674-7F54-4F90-8808-8FDCB65ECA2B}"/>
    <hyperlink ref="D37" location="Output_AMP!A1" display="Output_AMP!A1" xr:uid="{48BE29C5-D685-4B80-B3D7-22C98250B877}"/>
    <hyperlink ref="D12" location="Input_Meter_Movements!A1" display="Input_Meter_Movements!A1" xr:uid="{91CC2917-1A14-4EBF-A27D-D8148DBCCC63}"/>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E9DAA-2521-4A75-9311-24320FB8D09B}">
  <sheetPr>
    <tabColor theme="0" tint="-0.14999847407452621"/>
  </sheetPr>
  <dimension ref="A1:AW46"/>
  <sheetViews>
    <sheetView showGridLines="0" zoomScaleNormal="100" workbookViewId="0">
      <pane xSplit="1" ySplit="11" topLeftCell="B12" activePane="bottomRight" state="frozen"/>
      <selection activeCell="N11" sqref="F4:U25"/>
      <selection pane="topRight" activeCell="N11" sqref="F4:U25"/>
      <selection pane="bottomLeft" activeCell="N11" sqref="F4:U25"/>
      <selection pane="bottomRight" activeCell="B12" sqref="B12"/>
    </sheetView>
  </sheetViews>
  <sheetFormatPr defaultColWidth="9.33203125" defaultRowHeight="10.199999999999999" outlineLevelRow="1" x14ac:dyDescent="0.35"/>
  <cols>
    <col min="1" max="3" width="2.796875" style="83" customWidth="1"/>
    <col min="4" max="4" width="48.1328125" style="83" customWidth="1"/>
    <col min="5" max="5" width="17.33203125" style="83" bestFit="1" customWidth="1"/>
    <col min="6" max="6" width="10.265625" style="83" bestFit="1" customWidth="1"/>
    <col min="7" max="7" width="12.06640625" style="83" bestFit="1" customWidth="1"/>
    <col min="8" max="8" width="9.796875" style="83" bestFit="1" customWidth="1"/>
    <col min="9" max="9" width="3.59765625" style="83" customWidth="1"/>
    <col min="10" max="16" width="11.59765625" style="83" customWidth="1"/>
    <col min="17" max="17" width="3.59765625" style="83" customWidth="1"/>
    <col min="18" max="24" width="9.33203125" style="83"/>
    <col min="25" max="25" width="3.59765625" style="83" customWidth="1"/>
    <col min="26" max="16384" width="9.33203125" style="83"/>
  </cols>
  <sheetData>
    <row r="1" spans="1:16" ht="18.899999999999999" x14ac:dyDescent="0.35">
      <c r="A1" s="65">
        <v>0</v>
      </c>
      <c r="B1" s="82" t="s">
        <v>221</v>
      </c>
    </row>
    <row r="2" spans="1:16" x14ac:dyDescent="0.35">
      <c r="B2" s="84" t="s">
        <v>327</v>
      </c>
    </row>
    <row r="3" spans="1:16" ht="12.3" x14ac:dyDescent="0.35">
      <c r="B3" s="85" t="s">
        <v>50</v>
      </c>
      <c r="C3" s="85"/>
      <c r="D3" s="85"/>
      <c r="E3" s="86"/>
    </row>
    <row r="4" spans="1:16" ht="12.3" x14ac:dyDescent="0.35">
      <c r="B4" s="87" t="s">
        <v>178</v>
      </c>
      <c r="E4" s="59"/>
      <c r="F4" s="59"/>
      <c r="G4" s="59"/>
      <c r="H4" s="59"/>
      <c r="J4" s="59"/>
      <c r="K4" s="59"/>
    </row>
    <row r="6" spans="1:16" ht="12.3" hidden="1" outlineLevel="1" x14ac:dyDescent="0.35">
      <c r="B6" s="12" t="s">
        <v>52</v>
      </c>
      <c r="J6" s="60">
        <v>42917</v>
      </c>
      <c r="K6" s="60">
        <v>43282</v>
      </c>
      <c r="L6" s="60">
        <v>43647</v>
      </c>
      <c r="M6" s="60">
        <v>44013</v>
      </c>
      <c r="N6" s="60">
        <v>44378</v>
      </c>
      <c r="O6" s="60">
        <v>44743</v>
      </c>
      <c r="P6" s="60">
        <v>45108</v>
      </c>
    </row>
    <row r="7" spans="1:16" ht="12.3" hidden="1" outlineLevel="1" x14ac:dyDescent="0.35">
      <c r="B7" s="12" t="s">
        <v>53</v>
      </c>
      <c r="J7" s="60">
        <v>43281</v>
      </c>
      <c r="K7" s="60">
        <v>43646</v>
      </c>
      <c r="L7" s="60">
        <v>44012</v>
      </c>
      <c r="M7" s="60">
        <v>44377</v>
      </c>
      <c r="N7" s="60">
        <v>44742</v>
      </c>
      <c r="O7" s="60">
        <v>45107</v>
      </c>
      <c r="P7" s="60">
        <v>45473</v>
      </c>
    </row>
    <row r="8" spans="1:16" ht="12.3" hidden="1" outlineLevel="1" x14ac:dyDescent="0.35">
      <c r="B8" s="12" t="s">
        <v>51</v>
      </c>
      <c r="J8" s="61">
        <v>1</v>
      </c>
      <c r="K8" s="61">
        <v>2</v>
      </c>
      <c r="L8" s="61">
        <v>3</v>
      </c>
      <c r="M8" s="61">
        <v>4</v>
      </c>
      <c r="N8" s="61">
        <v>5</v>
      </c>
      <c r="O8" s="61">
        <v>6</v>
      </c>
      <c r="P8" s="61">
        <v>7</v>
      </c>
    </row>
    <row r="9" spans="1:16" ht="12.3" hidden="1" outlineLevel="1" x14ac:dyDescent="0.35">
      <c r="B9" s="12" t="s">
        <v>58</v>
      </c>
      <c r="J9" s="62">
        <v>2018</v>
      </c>
      <c r="K9" s="62">
        <v>2019</v>
      </c>
      <c r="L9" s="62">
        <v>2020</v>
      </c>
      <c r="M9" s="62">
        <v>2021</v>
      </c>
      <c r="N9" s="62">
        <v>2022</v>
      </c>
      <c r="O9" s="62">
        <v>2023</v>
      </c>
      <c r="P9" s="62">
        <v>2024</v>
      </c>
    </row>
    <row r="10" spans="1:16" ht="12.3" hidden="1" outlineLevel="1" x14ac:dyDescent="0.35">
      <c r="B10" s="12" t="s">
        <v>59</v>
      </c>
      <c r="J10" s="62" t="s">
        <v>60</v>
      </c>
      <c r="K10" s="62" t="s">
        <v>60</v>
      </c>
      <c r="L10" s="62" t="s">
        <v>60</v>
      </c>
      <c r="M10" s="62" t="s">
        <v>57</v>
      </c>
      <c r="N10" s="62" t="s">
        <v>61</v>
      </c>
      <c r="O10" s="62" t="s">
        <v>61</v>
      </c>
      <c r="P10" s="62" t="s">
        <v>61</v>
      </c>
    </row>
    <row r="11" spans="1:16" ht="12.3" collapsed="1" x14ac:dyDescent="0.35">
      <c r="B11" s="91" t="s">
        <v>62</v>
      </c>
      <c r="E11" s="59" t="s">
        <v>63</v>
      </c>
      <c r="F11" s="59" t="s">
        <v>64</v>
      </c>
      <c r="G11" s="59" t="s">
        <v>65</v>
      </c>
      <c r="H11" s="59" t="s">
        <v>66</v>
      </c>
      <c r="J11" s="59" t="s">
        <v>199</v>
      </c>
      <c r="K11" s="59" t="s">
        <v>304</v>
      </c>
      <c r="L11" s="59" t="s">
        <v>305</v>
      </c>
      <c r="M11" s="59" t="s">
        <v>306</v>
      </c>
      <c r="N11" s="59" t="s">
        <v>307</v>
      </c>
      <c r="O11" s="59" t="s">
        <v>308</v>
      </c>
      <c r="P11" s="59" t="s">
        <v>309</v>
      </c>
    </row>
    <row r="13" spans="1:16" s="88" customFormat="1" ht="15" x14ac:dyDescent="0.35">
      <c r="B13" s="88" t="s">
        <v>221</v>
      </c>
    </row>
    <row r="14" spans="1:16" s="89" customFormat="1" ht="4.5" customHeight="1" x14ac:dyDescent="0.35"/>
    <row r="15" spans="1:16" s="90" customFormat="1" ht="14.1" x14ac:dyDescent="0.35">
      <c r="C15" s="90" t="s">
        <v>239</v>
      </c>
    </row>
    <row r="17" spans="1:49" ht="12.3" x14ac:dyDescent="0.35">
      <c r="D17" s="68" t="s">
        <v>122</v>
      </c>
      <c r="E17" s="103" t="s">
        <v>63</v>
      </c>
      <c r="F17" s="103" t="s">
        <v>64</v>
      </c>
      <c r="G17" s="103" t="s">
        <v>65</v>
      </c>
      <c r="H17" s="103" t="s">
        <v>66</v>
      </c>
      <c r="I17" s="103"/>
      <c r="J17" s="148" t="s">
        <v>199</v>
      </c>
      <c r="K17" s="149" t="s">
        <v>304</v>
      </c>
      <c r="L17" s="148" t="s">
        <v>305</v>
      </c>
      <c r="M17" s="103" t="s">
        <v>306</v>
      </c>
      <c r="N17" s="103" t="s">
        <v>307</v>
      </c>
      <c r="O17" s="103" t="s">
        <v>308</v>
      </c>
      <c r="P17" s="149" t="s">
        <v>309</v>
      </c>
    </row>
    <row r="18" spans="1:49" x14ac:dyDescent="0.35">
      <c r="J18" s="115"/>
      <c r="K18" s="116"/>
      <c r="L18" s="115"/>
      <c r="M18" s="111"/>
      <c r="N18" s="111"/>
      <c r="O18" s="111"/>
      <c r="P18" s="116"/>
    </row>
    <row r="19" spans="1:49" ht="12.3" x14ac:dyDescent="0.35">
      <c r="D19" s="12" t="s">
        <v>222</v>
      </c>
      <c r="E19" s="62" t="s">
        <v>133</v>
      </c>
      <c r="F19" s="62" t="s">
        <v>75</v>
      </c>
      <c r="G19" s="62" t="s">
        <v>67</v>
      </c>
      <c r="H19" s="62" t="s">
        <v>81</v>
      </c>
      <c r="I19" s="101"/>
      <c r="J19" s="150">
        <v>0</v>
      </c>
      <c r="K19" s="151">
        <v>0</v>
      </c>
      <c r="L19" s="150">
        <v>0</v>
      </c>
      <c r="M19" s="154">
        <v>0</v>
      </c>
      <c r="N19" s="154">
        <v>0</v>
      </c>
      <c r="O19" s="154">
        <v>0</v>
      </c>
      <c r="P19" s="151">
        <v>0</v>
      </c>
      <c r="R19" s="239"/>
      <c r="S19" s="239"/>
      <c r="T19" s="238"/>
    </row>
    <row r="20" spans="1:49" ht="12.3" x14ac:dyDescent="0.35">
      <c r="D20" s="12" t="s">
        <v>223</v>
      </c>
      <c r="E20" s="62" t="s">
        <v>133</v>
      </c>
      <c r="F20" s="62" t="s">
        <v>75</v>
      </c>
      <c r="G20" s="62" t="s">
        <v>67</v>
      </c>
      <c r="H20" s="62" t="s">
        <v>81</v>
      </c>
      <c r="I20" s="101"/>
      <c r="J20" s="150">
        <v>1.8814766294795455</v>
      </c>
      <c r="K20" s="151">
        <v>4.081783696035818</v>
      </c>
      <c r="L20" s="150">
        <v>2.8106076650080047</v>
      </c>
      <c r="M20" s="154">
        <v>2.8631851558095578</v>
      </c>
      <c r="N20" s="154">
        <v>2.9184384172090607</v>
      </c>
      <c r="O20" s="154">
        <v>2.6764227786621944</v>
      </c>
      <c r="P20" s="151">
        <v>2.7116664443652971</v>
      </c>
      <c r="R20" s="239"/>
      <c r="S20" s="239"/>
      <c r="T20" s="238"/>
    </row>
    <row r="21" spans="1:49" ht="12.3" x14ac:dyDescent="0.35">
      <c r="D21" s="12" t="s">
        <v>224</v>
      </c>
      <c r="E21" s="62" t="s">
        <v>133</v>
      </c>
      <c r="F21" s="62" t="s">
        <v>75</v>
      </c>
      <c r="G21" s="62" t="s">
        <v>67</v>
      </c>
      <c r="H21" s="62" t="s">
        <v>81</v>
      </c>
      <c r="I21" s="101"/>
      <c r="J21" s="150">
        <v>0</v>
      </c>
      <c r="K21" s="151">
        <v>0</v>
      </c>
      <c r="L21" s="150">
        <v>2.6215161232791142</v>
      </c>
      <c r="M21" s="154">
        <v>0.15441007482968269</v>
      </c>
      <c r="N21" s="154">
        <v>0.15729421183544948</v>
      </c>
      <c r="O21" s="154">
        <v>3.7307511802941069</v>
      </c>
      <c r="P21" s="151">
        <v>0.14746784707234767</v>
      </c>
      <c r="R21" s="239"/>
      <c r="S21" s="239"/>
      <c r="T21" s="238"/>
    </row>
    <row r="22" spans="1:49" ht="12.3" x14ac:dyDescent="0.35">
      <c r="D22" s="12" t="s">
        <v>225</v>
      </c>
      <c r="E22" s="62" t="s">
        <v>133</v>
      </c>
      <c r="F22" s="62" t="s">
        <v>75</v>
      </c>
      <c r="G22" s="62" t="s">
        <v>67</v>
      </c>
      <c r="H22" s="62" t="s">
        <v>81</v>
      </c>
      <c r="I22" s="101"/>
      <c r="J22" s="150">
        <v>0.10693999999999999</v>
      </c>
      <c r="K22" s="151">
        <v>0.10702513209395938</v>
      </c>
      <c r="L22" s="150">
        <v>0.10711660812870023</v>
      </c>
      <c r="M22" s="154">
        <v>0.10721879427922858</v>
      </c>
      <c r="N22" s="154">
        <v>0.10734214972144496</v>
      </c>
      <c r="O22" s="154">
        <v>0.1074767421454331</v>
      </c>
      <c r="P22" s="151">
        <v>0.10759151191110215</v>
      </c>
      <c r="R22" s="239"/>
      <c r="S22" s="239"/>
      <c r="T22" s="238"/>
    </row>
    <row r="23" spans="1:49" ht="12.3" x14ac:dyDescent="0.35">
      <c r="D23" s="12" t="s">
        <v>226</v>
      </c>
      <c r="E23" s="62" t="s">
        <v>133</v>
      </c>
      <c r="F23" s="62" t="s">
        <v>75</v>
      </c>
      <c r="G23" s="62" t="s">
        <v>67</v>
      </c>
      <c r="H23" s="62" t="s">
        <v>81</v>
      </c>
      <c r="I23" s="101"/>
      <c r="J23" s="150">
        <v>0</v>
      </c>
      <c r="K23" s="151">
        <v>0</v>
      </c>
      <c r="L23" s="150">
        <v>0</v>
      </c>
      <c r="M23" s="154">
        <v>0</v>
      </c>
      <c r="N23" s="154">
        <v>0</v>
      </c>
      <c r="O23" s="154">
        <v>0</v>
      </c>
      <c r="P23" s="151">
        <v>0</v>
      </c>
      <c r="R23" s="239"/>
      <c r="S23" s="239"/>
      <c r="T23" s="238"/>
    </row>
    <row r="24" spans="1:49" ht="12.3" x14ac:dyDescent="0.35">
      <c r="D24" s="12" t="s">
        <v>227</v>
      </c>
      <c r="E24" s="62" t="s">
        <v>133</v>
      </c>
      <c r="F24" s="62" t="s">
        <v>75</v>
      </c>
      <c r="G24" s="62" t="s">
        <v>67</v>
      </c>
      <c r="H24" s="62" t="s">
        <v>81</v>
      </c>
      <c r="I24" s="101"/>
      <c r="J24" s="150">
        <v>0</v>
      </c>
      <c r="K24" s="151">
        <v>0</v>
      </c>
      <c r="L24" s="150">
        <v>0.106435</v>
      </c>
      <c r="M24" s="154">
        <v>0</v>
      </c>
      <c r="N24" s="154">
        <v>0</v>
      </c>
      <c r="O24" s="154">
        <v>0</v>
      </c>
      <c r="P24" s="151">
        <v>0</v>
      </c>
      <c r="R24" s="239"/>
      <c r="S24" s="239"/>
      <c r="T24" s="238"/>
    </row>
    <row r="25" spans="1:49" ht="12.3" x14ac:dyDescent="0.35">
      <c r="D25" s="12" t="s">
        <v>368</v>
      </c>
      <c r="E25" s="62" t="s">
        <v>133</v>
      </c>
      <c r="F25" s="62" t="s">
        <v>75</v>
      </c>
      <c r="G25" s="62" t="s">
        <v>67</v>
      </c>
      <c r="H25" s="62" t="s">
        <v>81</v>
      </c>
      <c r="I25" s="101"/>
      <c r="J25" s="150">
        <v>0</v>
      </c>
      <c r="K25" s="151">
        <v>0</v>
      </c>
      <c r="L25" s="150">
        <v>0.37864999999999999</v>
      </c>
      <c r="M25" s="154">
        <v>7.4759999999999993E-2</v>
      </c>
      <c r="N25" s="154">
        <v>3.0936000000000002E-2</v>
      </c>
      <c r="O25" s="154">
        <v>0.15281500000000001</v>
      </c>
      <c r="P25" s="151">
        <v>9.4103999999999993E-2</v>
      </c>
      <c r="R25" s="239"/>
      <c r="S25" s="239"/>
      <c r="T25" s="238"/>
    </row>
    <row r="26" spans="1:49" x14ac:dyDescent="0.35">
      <c r="J26" s="115"/>
      <c r="K26" s="116"/>
      <c r="L26" s="115"/>
      <c r="M26" s="111"/>
      <c r="N26" s="111"/>
      <c r="O26" s="111"/>
      <c r="P26" s="116"/>
    </row>
    <row r="27" spans="1:49" ht="12.3" x14ac:dyDescent="0.35">
      <c r="D27" s="134" t="s">
        <v>228</v>
      </c>
      <c r="E27" s="135" t="s">
        <v>89</v>
      </c>
      <c r="F27" s="135" t="s">
        <v>75</v>
      </c>
      <c r="G27" s="135" t="s">
        <v>67</v>
      </c>
      <c r="H27" s="135" t="s">
        <v>81</v>
      </c>
      <c r="I27" s="136"/>
      <c r="J27" s="152">
        <v>1.9884166294795456</v>
      </c>
      <c r="K27" s="153">
        <v>4.1888088281297771</v>
      </c>
      <c r="L27" s="152">
        <v>6.0243253964158194</v>
      </c>
      <c r="M27" s="145">
        <v>3.1995740249184692</v>
      </c>
      <c r="N27" s="145">
        <v>3.2140107787659553</v>
      </c>
      <c r="O27" s="145">
        <v>6.6674657011017349</v>
      </c>
      <c r="P27" s="153">
        <v>3.0608298033487471</v>
      </c>
    </row>
    <row r="29" spans="1:49" ht="12.3" x14ac:dyDescent="0.35">
      <c r="D29" s="12" t="s">
        <v>229</v>
      </c>
      <c r="E29" s="62" t="s">
        <v>133</v>
      </c>
      <c r="F29" s="62" t="s">
        <v>75</v>
      </c>
      <c r="G29" s="62" t="s">
        <v>67</v>
      </c>
      <c r="H29" s="62" t="s">
        <v>81</v>
      </c>
      <c r="I29" s="101"/>
      <c r="J29" s="101">
        <v>1.9884166294795456</v>
      </c>
      <c r="K29" s="101">
        <v>4.1888088281297771</v>
      </c>
      <c r="L29" s="101">
        <v>6.0243253964158194</v>
      </c>
      <c r="M29" s="101">
        <v>3.1995740249184697</v>
      </c>
      <c r="N29" s="101">
        <v>3.2140107787659544</v>
      </c>
      <c r="O29" s="101">
        <v>6.667465701101734</v>
      </c>
      <c r="P29" s="101">
        <v>3.0608298033487467</v>
      </c>
    </row>
    <row r="30" spans="1:49" ht="12.3" x14ac:dyDescent="0.35">
      <c r="A30" s="70">
        <v>0</v>
      </c>
      <c r="D30" s="12" t="s">
        <v>92</v>
      </c>
      <c r="I30" s="70"/>
      <c r="J30" s="70">
        <v>0</v>
      </c>
      <c r="K30" s="70">
        <v>0</v>
      </c>
      <c r="L30" s="70">
        <v>0</v>
      </c>
      <c r="M30" s="70">
        <v>0</v>
      </c>
      <c r="N30" s="70">
        <v>0</v>
      </c>
      <c r="O30" s="70">
        <v>0</v>
      </c>
      <c r="P30" s="70">
        <v>0</v>
      </c>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row>
    <row r="32" spans="1:49" s="90" customFormat="1" ht="14.1" x14ac:dyDescent="0.35">
      <c r="C32" s="90" t="s">
        <v>240</v>
      </c>
    </row>
    <row r="34" spans="2:16" ht="12.3" x14ac:dyDescent="0.35">
      <c r="D34" s="68" t="s">
        <v>122</v>
      </c>
      <c r="E34" s="103" t="s">
        <v>63</v>
      </c>
      <c r="F34" s="103" t="s">
        <v>64</v>
      </c>
      <c r="G34" s="103" t="s">
        <v>65</v>
      </c>
      <c r="H34" s="103" t="s">
        <v>66</v>
      </c>
      <c r="I34" s="103"/>
      <c r="J34" s="148" t="s">
        <v>199</v>
      </c>
      <c r="K34" s="149" t="s">
        <v>304</v>
      </c>
      <c r="L34" s="148" t="s">
        <v>305</v>
      </c>
      <c r="M34" s="103" t="s">
        <v>306</v>
      </c>
      <c r="N34" s="103" t="s">
        <v>307</v>
      </c>
      <c r="O34" s="103" t="s">
        <v>308</v>
      </c>
      <c r="P34" s="149" t="s">
        <v>309</v>
      </c>
    </row>
    <row r="35" spans="2:16" x14ac:dyDescent="0.35">
      <c r="J35" s="115"/>
      <c r="K35" s="116"/>
      <c r="L35" s="115"/>
      <c r="M35" s="111"/>
      <c r="N35" s="111"/>
      <c r="O35" s="111"/>
      <c r="P35" s="116"/>
    </row>
    <row r="36" spans="2:16" ht="12.3" x14ac:dyDescent="0.35">
      <c r="D36" s="12" t="s">
        <v>222</v>
      </c>
      <c r="E36" s="62" t="s">
        <v>133</v>
      </c>
      <c r="F36" s="62" t="s">
        <v>75</v>
      </c>
      <c r="G36" s="62" t="s">
        <v>100</v>
      </c>
      <c r="H36" s="62" t="s">
        <v>81</v>
      </c>
      <c r="I36" s="101"/>
      <c r="J36" s="150">
        <v>0</v>
      </c>
      <c r="K36" s="151">
        <v>0</v>
      </c>
      <c r="L36" s="150">
        <v>0</v>
      </c>
      <c r="M36" s="154">
        <v>0</v>
      </c>
      <c r="N36" s="154">
        <v>0</v>
      </c>
      <c r="O36" s="154">
        <v>0</v>
      </c>
      <c r="P36" s="151">
        <v>0</v>
      </c>
    </row>
    <row r="37" spans="2:16" ht="12.3" x14ac:dyDescent="0.35">
      <c r="D37" s="12" t="s">
        <v>223</v>
      </c>
      <c r="E37" s="62" t="s">
        <v>133</v>
      </c>
      <c r="F37" s="62" t="s">
        <v>75</v>
      </c>
      <c r="G37" s="62" t="s">
        <v>100</v>
      </c>
      <c r="H37" s="62" t="s">
        <v>81</v>
      </c>
      <c r="I37" s="101"/>
      <c r="J37" s="150">
        <v>1.9238098536428352</v>
      </c>
      <c r="K37" s="151">
        <v>4.1736238291966234</v>
      </c>
      <c r="L37" s="150">
        <v>2.8738463374706846</v>
      </c>
      <c r="M37" s="154">
        <v>2.9276068218152727</v>
      </c>
      <c r="N37" s="154">
        <v>2.9841032815962647</v>
      </c>
      <c r="O37" s="154">
        <v>2.7366422911820938</v>
      </c>
      <c r="P37" s="151">
        <v>2.7726789393635163</v>
      </c>
    </row>
    <row r="38" spans="2:16" ht="12.3" x14ac:dyDescent="0.35">
      <c r="D38" s="12" t="s">
        <v>224</v>
      </c>
      <c r="E38" s="62" t="s">
        <v>133</v>
      </c>
      <c r="F38" s="62" t="s">
        <v>75</v>
      </c>
      <c r="G38" s="62" t="s">
        <v>100</v>
      </c>
      <c r="H38" s="62" t="s">
        <v>81</v>
      </c>
      <c r="I38" s="101"/>
      <c r="J38" s="150">
        <v>0</v>
      </c>
      <c r="K38" s="151">
        <v>0</v>
      </c>
      <c r="L38" s="150">
        <v>2.680500236052894</v>
      </c>
      <c r="M38" s="154">
        <v>0.15788430151335053</v>
      </c>
      <c r="N38" s="154">
        <v>0.16083333160174709</v>
      </c>
      <c r="O38" s="154">
        <v>3.8146930818507241</v>
      </c>
      <c r="P38" s="151">
        <v>0.1507858736314755</v>
      </c>
    </row>
    <row r="39" spans="2:16" ht="12.3" x14ac:dyDescent="0.35">
      <c r="D39" s="12" t="s">
        <v>225</v>
      </c>
      <c r="E39" s="62" t="s">
        <v>133</v>
      </c>
      <c r="F39" s="62" t="s">
        <v>75</v>
      </c>
      <c r="G39" s="62" t="s">
        <v>100</v>
      </c>
      <c r="H39" s="62" t="s">
        <v>81</v>
      </c>
      <c r="I39" s="101"/>
      <c r="J39" s="150">
        <v>0.10934614999999999</v>
      </c>
      <c r="K39" s="151">
        <v>0.10943319756607346</v>
      </c>
      <c r="L39" s="150">
        <v>0.10952673181159599</v>
      </c>
      <c r="M39" s="154">
        <v>0.10963121715051122</v>
      </c>
      <c r="N39" s="154">
        <v>0.10975734809017747</v>
      </c>
      <c r="O39" s="154">
        <v>0.10989496884370534</v>
      </c>
      <c r="P39" s="151">
        <v>0.11001232092910194</v>
      </c>
    </row>
    <row r="40" spans="2:16" ht="12.3" x14ac:dyDescent="0.35">
      <c r="D40" s="12" t="s">
        <v>226</v>
      </c>
      <c r="E40" s="62" t="s">
        <v>133</v>
      </c>
      <c r="F40" s="62" t="s">
        <v>75</v>
      </c>
      <c r="G40" s="62" t="s">
        <v>100</v>
      </c>
      <c r="H40" s="62" t="s">
        <v>81</v>
      </c>
      <c r="I40" s="101"/>
      <c r="J40" s="150">
        <v>0</v>
      </c>
      <c r="K40" s="151">
        <v>0</v>
      </c>
      <c r="L40" s="150">
        <v>0</v>
      </c>
      <c r="M40" s="154">
        <v>0</v>
      </c>
      <c r="N40" s="154">
        <v>0</v>
      </c>
      <c r="O40" s="154">
        <v>0</v>
      </c>
      <c r="P40" s="151">
        <v>0</v>
      </c>
    </row>
    <row r="41" spans="2:16" ht="12.3" x14ac:dyDescent="0.35">
      <c r="D41" s="12" t="s">
        <v>227</v>
      </c>
      <c r="E41" s="62" t="s">
        <v>133</v>
      </c>
      <c r="F41" s="62" t="s">
        <v>75</v>
      </c>
      <c r="G41" s="62" t="s">
        <v>100</v>
      </c>
      <c r="H41" s="62" t="s">
        <v>81</v>
      </c>
      <c r="I41" s="101"/>
      <c r="J41" s="150">
        <v>0</v>
      </c>
      <c r="K41" s="151">
        <v>0</v>
      </c>
      <c r="L41" s="150">
        <v>0.1088297875</v>
      </c>
      <c r="M41" s="154">
        <v>0</v>
      </c>
      <c r="N41" s="154">
        <v>0</v>
      </c>
      <c r="O41" s="154">
        <v>0</v>
      </c>
      <c r="P41" s="151">
        <v>0</v>
      </c>
    </row>
    <row r="42" spans="2:16" ht="12.3" x14ac:dyDescent="0.35">
      <c r="D42" s="12" t="s">
        <v>368</v>
      </c>
      <c r="E42" s="62" t="s">
        <v>133</v>
      </c>
      <c r="F42" s="62" t="s">
        <v>75</v>
      </c>
      <c r="G42" s="62" t="s">
        <v>100</v>
      </c>
      <c r="H42" s="62" t="s">
        <v>81</v>
      </c>
      <c r="I42" s="101"/>
      <c r="J42" s="150">
        <v>0</v>
      </c>
      <c r="K42" s="151">
        <v>0</v>
      </c>
      <c r="L42" s="150">
        <v>0.38716962499999996</v>
      </c>
      <c r="M42" s="154">
        <v>7.6442099999999985E-2</v>
      </c>
      <c r="N42" s="154">
        <v>3.1632060000000004E-2</v>
      </c>
      <c r="O42" s="154">
        <v>0.15625333750000001</v>
      </c>
      <c r="P42" s="151">
        <v>9.6221339999999989E-2</v>
      </c>
    </row>
    <row r="43" spans="2:16" x14ac:dyDescent="0.35">
      <c r="J43" s="115"/>
      <c r="K43" s="116"/>
      <c r="L43" s="115"/>
      <c r="M43" s="111"/>
      <c r="N43" s="111"/>
      <c r="O43" s="111"/>
      <c r="P43" s="116"/>
    </row>
    <row r="44" spans="2:16" ht="12.3" x14ac:dyDescent="0.35">
      <c r="D44" s="134" t="s">
        <v>228</v>
      </c>
      <c r="E44" s="135" t="s">
        <v>89</v>
      </c>
      <c r="F44" s="135" t="s">
        <v>75</v>
      </c>
      <c r="G44" s="135" t="s">
        <v>100</v>
      </c>
      <c r="H44" s="135" t="s">
        <v>81</v>
      </c>
      <c r="I44" s="136"/>
      <c r="J44" s="152">
        <v>2.0331560036428353</v>
      </c>
      <c r="K44" s="153">
        <v>4.2830570267626973</v>
      </c>
      <c r="L44" s="152">
        <v>6.1598727178351753</v>
      </c>
      <c r="M44" s="145">
        <v>3.2715644404791342</v>
      </c>
      <c r="N44" s="145">
        <v>3.2863260212881897</v>
      </c>
      <c r="O44" s="145">
        <v>6.8174836793765232</v>
      </c>
      <c r="P44" s="153">
        <v>3.1296984739240936</v>
      </c>
    </row>
    <row r="46" spans="2:16" s="88" customFormat="1" ht="15" x14ac:dyDescent="0.35">
      <c r="B46" s="88" t="s">
        <v>31</v>
      </c>
    </row>
  </sheetData>
  <conditionalFormatting sqref="B2">
    <cfRule type="cellIs" dxfId="11" priority="1" operator="notEqual">
      <formula>"No Errors Found"</formula>
    </cfRule>
  </conditionalFormatting>
  <hyperlinks>
    <hyperlink ref="B3:D3" location="Cover!A1" display="Go to Cover Sheet" xr:uid="{3BB5E354-0B13-4B31-AFC2-52A579C94520}"/>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9CF55-C909-40A3-8865-6B658AE91E27}">
  <sheetPr>
    <tabColor rgb="FFFFFF00"/>
  </sheetPr>
  <dimension ref="A1:P11"/>
  <sheetViews>
    <sheetView showGridLines="0" zoomScaleNormal="100" workbookViewId="0">
      <pane xSplit="1" ySplit="11" topLeftCell="B12" activePane="bottomRight" state="frozen"/>
      <selection activeCell="N11" sqref="F4:U25"/>
      <selection pane="topRight" activeCell="N11" sqref="F4:U25"/>
      <selection pane="bottomLeft" activeCell="N11" sqref="F4:U25"/>
      <selection pane="bottomRight" activeCell="B12" sqref="B12"/>
    </sheetView>
  </sheetViews>
  <sheetFormatPr defaultColWidth="9.33203125" defaultRowHeight="10.199999999999999" outlineLevelRow="1" x14ac:dyDescent="0.35"/>
  <cols>
    <col min="1" max="3" width="2.796875" style="83" customWidth="1"/>
    <col min="4" max="4" width="48.1328125" style="83" customWidth="1"/>
    <col min="5" max="5" width="17.33203125" style="83" bestFit="1" customWidth="1"/>
    <col min="6" max="6" width="10.265625" style="83" bestFit="1" customWidth="1"/>
    <col min="7" max="7" width="12.06640625" style="83" bestFit="1" customWidth="1"/>
    <col min="8" max="8" width="9.796875" style="83" bestFit="1" customWidth="1"/>
    <col min="9" max="9" width="18" style="83" customWidth="1"/>
    <col min="10" max="16" width="17.59765625" style="83" customWidth="1"/>
    <col min="17" max="16384" width="9.33203125" style="83"/>
  </cols>
  <sheetData>
    <row r="1" spans="1:16" s="242" customFormat="1" ht="18.899999999999999" x14ac:dyDescent="0.35">
      <c r="A1" s="240">
        <f>IF(SUM($A34:$A128)&gt;0,1,0)</f>
        <v>0</v>
      </c>
      <c r="B1" s="241" t="s">
        <v>249</v>
      </c>
      <c r="J1" s="246" t="s">
        <v>326</v>
      </c>
    </row>
    <row r="2" spans="1:16" s="242" customFormat="1" x14ac:dyDescent="0.35">
      <c r="B2" s="243" t="str">
        <f>Title_Msg</f>
        <v>No Errors Found</v>
      </c>
    </row>
    <row r="3" spans="1:16" s="242" customFormat="1" ht="12.3" x14ac:dyDescent="0.35">
      <c r="B3" s="244" t="s">
        <v>50</v>
      </c>
      <c r="C3" s="244"/>
      <c r="D3" s="244"/>
      <c r="E3" s="245"/>
    </row>
    <row r="4" spans="1:16" s="242" customFormat="1" ht="12.3" x14ac:dyDescent="0.35">
      <c r="B4" s="247" t="str">
        <f>Model_Name</f>
        <v>Cost Benefit Analysis - Advanced Metering within the regulated NT electricity networks</v>
      </c>
      <c r="E4" s="248"/>
      <c r="F4" s="248"/>
      <c r="G4" s="248"/>
      <c r="H4" s="248"/>
      <c r="J4" s="248"/>
      <c r="K4" s="248"/>
    </row>
    <row r="6" spans="1:16" ht="12.3" hidden="1" outlineLevel="1" x14ac:dyDescent="0.35">
      <c r="B6" s="12" t="str">
        <f>Lookup!B15</f>
        <v>Period Start Date</v>
      </c>
      <c r="J6" s="60">
        <f>Lookup!J15</f>
        <v>42917</v>
      </c>
      <c r="K6" s="60">
        <f>Lookup!K15</f>
        <v>43282</v>
      </c>
      <c r="L6" s="60">
        <f>Lookup!L15</f>
        <v>43647</v>
      </c>
      <c r="M6" s="60">
        <f>Lookup!M15</f>
        <v>44013</v>
      </c>
      <c r="N6" s="60">
        <f>Lookup!N15</f>
        <v>44378</v>
      </c>
      <c r="O6" s="60">
        <f>Lookup!O15</f>
        <v>44743</v>
      </c>
      <c r="P6" s="60">
        <f>Lookup!P15</f>
        <v>45108</v>
      </c>
    </row>
    <row r="7" spans="1:16" ht="12.3" hidden="1" outlineLevel="1" x14ac:dyDescent="0.35">
      <c r="B7" s="12" t="str">
        <f>Lookup!B16</f>
        <v>Period End Date</v>
      </c>
      <c r="J7" s="60">
        <f>Lookup!J16</f>
        <v>43281</v>
      </c>
      <c r="K7" s="60">
        <f>Lookup!K16</f>
        <v>43646</v>
      </c>
      <c r="L7" s="60">
        <f>Lookup!L16</f>
        <v>44012</v>
      </c>
      <c r="M7" s="60">
        <f>Lookup!M16</f>
        <v>44377</v>
      </c>
      <c r="N7" s="60">
        <f>Lookup!N16</f>
        <v>44742</v>
      </c>
      <c r="O7" s="60">
        <f>Lookup!O16</f>
        <v>45107</v>
      </c>
      <c r="P7" s="60">
        <f>Lookup!P16</f>
        <v>45473</v>
      </c>
    </row>
    <row r="8" spans="1:16" ht="12.3" hidden="1" outlineLevel="1" x14ac:dyDescent="0.35">
      <c r="B8" s="12" t="str">
        <f>Lookup!B17</f>
        <v>Period Counter</v>
      </c>
      <c r="J8" s="61">
        <f>Lookup!J17</f>
        <v>1</v>
      </c>
      <c r="K8" s="61">
        <f>Lookup!K17</f>
        <v>2</v>
      </c>
      <c r="L8" s="61">
        <f>Lookup!L17</f>
        <v>3</v>
      </c>
      <c r="M8" s="61">
        <f>Lookup!M17</f>
        <v>4</v>
      </c>
      <c r="N8" s="61">
        <f>Lookup!N17</f>
        <v>5</v>
      </c>
      <c r="O8" s="61">
        <f>Lookup!O17</f>
        <v>6</v>
      </c>
      <c r="P8" s="61">
        <f>Lookup!P17</f>
        <v>7</v>
      </c>
    </row>
    <row r="9" spans="1:16" ht="12.3" hidden="1" outlineLevel="1" x14ac:dyDescent="0.35">
      <c r="B9" s="12" t="str">
        <f>Lookup!B18</f>
        <v>Year</v>
      </c>
      <c r="J9" s="62">
        <f>Lookup!J18</f>
        <v>2018</v>
      </c>
      <c r="K9" s="62">
        <f>Lookup!K18</f>
        <v>2019</v>
      </c>
      <c r="L9" s="62">
        <f>Lookup!L18</f>
        <v>2020</v>
      </c>
      <c r="M9" s="62">
        <f>Lookup!M18</f>
        <v>2021</v>
      </c>
      <c r="N9" s="62">
        <f>Lookup!N18</f>
        <v>2022</v>
      </c>
      <c r="O9" s="62">
        <f>Lookup!O18</f>
        <v>2023</v>
      </c>
      <c r="P9" s="62">
        <f>Lookup!P18</f>
        <v>2024</v>
      </c>
    </row>
    <row r="10" spans="1:16" ht="12.3" hidden="1" outlineLevel="1" x14ac:dyDescent="0.35">
      <c r="B10" s="12" t="str">
        <f>Lookup!B19</f>
        <v>Period Type</v>
      </c>
      <c r="J10" s="62" t="str">
        <f>Lookup!J19</f>
        <v>Actual</v>
      </c>
      <c r="K10" s="62" t="str">
        <f>Lookup!K19</f>
        <v>Actual</v>
      </c>
      <c r="L10" s="62" t="str">
        <f>Lookup!L19</f>
        <v>Actual</v>
      </c>
      <c r="M10" s="62" t="str">
        <f>Lookup!M19</f>
        <v>Base Year</v>
      </c>
      <c r="N10" s="62" t="str">
        <f>Lookup!N19</f>
        <v>Forecast</v>
      </c>
      <c r="O10" s="62" t="str">
        <f>Lookup!O19</f>
        <v>Forecast</v>
      </c>
      <c r="P10" s="62" t="str">
        <f>Lookup!P19</f>
        <v>Forecast</v>
      </c>
    </row>
    <row r="11" spans="1:16" ht="12.3" collapsed="1" x14ac:dyDescent="0.35">
      <c r="B11" s="91" t="str">
        <f>Lookup!B20</f>
        <v>Regulatory Year</v>
      </c>
      <c r="E11" s="59" t="str">
        <f>Lookup!E20</f>
        <v>Source</v>
      </c>
      <c r="F11" s="59" t="str">
        <f>Lookup!F20</f>
        <v>Unit</v>
      </c>
      <c r="G11" s="59" t="str">
        <f>Lookup!G20</f>
        <v>Basis</v>
      </c>
      <c r="H11" s="59" t="str">
        <f>Lookup!H20</f>
        <v>Timing</v>
      </c>
      <c r="J11" s="59" t="str">
        <f>Lookup!J20</f>
        <v>RY18</v>
      </c>
      <c r="K11" s="59" t="str">
        <f>Lookup!K20</f>
        <v>RY19</v>
      </c>
      <c r="L11" s="59" t="str">
        <f>Lookup!L20</f>
        <v>RY20</v>
      </c>
      <c r="M11" s="59" t="str">
        <f>Lookup!M20</f>
        <v>RY21</v>
      </c>
      <c r="N11" s="59" t="str">
        <f>Lookup!N20</f>
        <v>RY22</v>
      </c>
      <c r="O11" s="59" t="str">
        <f>Lookup!O20</f>
        <v>RY23</v>
      </c>
      <c r="P11" s="59" t="str">
        <f>Lookup!P20</f>
        <v>RY24</v>
      </c>
    </row>
  </sheetData>
  <conditionalFormatting sqref="B2">
    <cfRule type="cellIs" dxfId="10" priority="1" operator="notEqual">
      <formula>"No Errors Found"</formula>
    </cfRule>
  </conditionalFormatting>
  <hyperlinks>
    <hyperlink ref="B3:D3" location="Cover!A1" display="Go to Cover Sheet" xr:uid="{3E9447D6-15B7-4DB7-9557-37F1D4818C6C}"/>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3D804-7D4E-4020-A26B-6FA9A99E5A1B}">
  <sheetPr>
    <tabColor rgb="FFFFFF00"/>
  </sheetPr>
  <dimension ref="A1:K4"/>
  <sheetViews>
    <sheetView showGridLines="0" zoomScaleNormal="100" workbookViewId="0">
      <pane xSplit="1" ySplit="4" topLeftCell="B5" activePane="bottomRight" state="frozen"/>
      <selection activeCell="N11" sqref="F4:U25"/>
      <selection pane="topRight" activeCell="N11" sqref="F4:U25"/>
      <selection pane="bottomLeft" activeCell="N11" sqref="F4:U25"/>
      <selection pane="bottomRight" activeCell="B5" sqref="B5"/>
    </sheetView>
  </sheetViews>
  <sheetFormatPr defaultColWidth="9.33203125" defaultRowHeight="10.199999999999999" x14ac:dyDescent="0.35"/>
  <cols>
    <col min="1" max="3" width="2.796875" style="83" customWidth="1"/>
    <col min="4" max="4" width="18.1328125" style="83" customWidth="1"/>
    <col min="5" max="5" width="50.1328125" style="83" bestFit="1" customWidth="1"/>
    <col min="6" max="16" width="23.59765625" style="83" customWidth="1"/>
    <col min="17" max="17" width="30" style="83" bestFit="1" customWidth="1"/>
    <col min="18" max="16384" width="9.33203125" style="83"/>
  </cols>
  <sheetData>
    <row r="1" spans="1:11" s="242" customFormat="1" ht="18.899999999999999" x14ac:dyDescent="0.35">
      <c r="A1" s="240">
        <v>0</v>
      </c>
      <c r="B1" s="241" t="s">
        <v>250</v>
      </c>
      <c r="G1" s="246" t="s">
        <v>326</v>
      </c>
    </row>
    <row r="2" spans="1:11" s="242" customFormat="1" x14ac:dyDescent="0.35">
      <c r="B2" s="243" t="s">
        <v>327</v>
      </c>
    </row>
    <row r="3" spans="1:11" s="242" customFormat="1" ht="12.3" x14ac:dyDescent="0.35">
      <c r="B3" s="244" t="s">
        <v>50</v>
      </c>
      <c r="C3" s="244"/>
      <c r="D3" s="244"/>
      <c r="E3" s="245"/>
    </row>
    <row r="4" spans="1:11" s="242" customFormat="1" ht="12.3" x14ac:dyDescent="0.35">
      <c r="B4" s="247" t="s">
        <v>178</v>
      </c>
      <c r="E4" s="248"/>
      <c r="F4" s="248"/>
      <c r="G4" s="248"/>
      <c r="H4" s="248"/>
      <c r="J4" s="248"/>
      <c r="K4" s="248"/>
    </row>
  </sheetData>
  <conditionalFormatting sqref="B2">
    <cfRule type="cellIs" dxfId="9" priority="1" operator="notEqual">
      <formula>"No Errors Found"</formula>
    </cfRule>
  </conditionalFormatting>
  <hyperlinks>
    <hyperlink ref="B3:D3" location="Cover!A1" display="Go to Cover Sheet" xr:uid="{B19D6979-B15C-4A14-A7F5-4B66DAEB158A}"/>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082D8-A501-43ED-80E0-B5222F235787}">
  <sheetPr>
    <tabColor rgb="FFFFFF00"/>
  </sheetPr>
  <dimension ref="A1:O4"/>
  <sheetViews>
    <sheetView showGridLines="0" zoomScale="75" zoomScaleNormal="75" workbookViewId="0">
      <pane xSplit="1" ySplit="4" topLeftCell="B5" activePane="bottomRight" state="frozen"/>
      <selection activeCell="N11" sqref="F4:U25"/>
      <selection pane="topRight" activeCell="N11" sqref="F4:U25"/>
      <selection pane="bottomLeft" activeCell="N11" sqref="F4:U25"/>
      <selection pane="bottomRight" activeCell="B5" sqref="B5"/>
    </sheetView>
  </sheetViews>
  <sheetFormatPr defaultColWidth="9.33203125" defaultRowHeight="10.199999999999999" outlineLevelCol="1" x14ac:dyDescent="0.35"/>
  <cols>
    <col min="1" max="3" width="2.796875" style="83" customWidth="1"/>
    <col min="4" max="4" width="43.33203125" style="83" customWidth="1"/>
    <col min="5" max="5" width="50.1328125" style="83" bestFit="1" customWidth="1"/>
    <col min="6" max="10" width="12.59765625" style="83" customWidth="1" outlineLevel="1"/>
    <col min="11" max="21" width="17.59765625" style="83" customWidth="1"/>
    <col min="22" max="23" width="12.59765625" style="83" customWidth="1"/>
    <col min="24" max="24" width="30" style="83" bestFit="1" customWidth="1"/>
    <col min="25" max="16384" width="9.33203125" style="83"/>
  </cols>
  <sheetData>
    <row r="1" spans="1:15" s="242" customFormat="1" ht="18.899999999999999" x14ac:dyDescent="0.35">
      <c r="A1" s="240">
        <f>IF(SUM($A21:$A192)&gt;0,1,0)</f>
        <v>0</v>
      </c>
      <c r="B1" s="241" t="s">
        <v>325</v>
      </c>
      <c r="O1" s="246" t="s">
        <v>326</v>
      </c>
    </row>
    <row r="2" spans="1:15" s="242" customFormat="1" x14ac:dyDescent="0.35">
      <c r="B2" s="243" t="str">
        <f>Title_Msg</f>
        <v>No Errors Found</v>
      </c>
    </row>
    <row r="3" spans="1:15" s="242" customFormat="1" ht="12.3" x14ac:dyDescent="0.35">
      <c r="B3" s="244" t="s">
        <v>50</v>
      </c>
      <c r="C3" s="244"/>
      <c r="D3" s="244"/>
      <c r="E3" s="245"/>
    </row>
    <row r="4" spans="1:15" s="242" customFormat="1" ht="12.3" x14ac:dyDescent="0.35">
      <c r="B4" s="247" t="str">
        <f>Model_Name</f>
        <v>Cost Benefit Analysis - Advanced Metering within the regulated NT electricity networks</v>
      </c>
      <c r="E4" s="248"/>
      <c r="F4" s="248"/>
      <c r="G4" s="248"/>
      <c r="H4" s="248"/>
      <c r="J4" s="248"/>
      <c r="K4" s="248"/>
    </row>
  </sheetData>
  <conditionalFormatting sqref="B2">
    <cfRule type="cellIs" dxfId="8" priority="1" operator="notEqual">
      <formula>"No Errors Found"</formula>
    </cfRule>
  </conditionalFormatting>
  <hyperlinks>
    <hyperlink ref="B3:D3" location="Cover!A1" display="Go to Cover Sheet" xr:uid="{BE340759-343E-4846-87CB-C62DEB0A3F21}"/>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91CE0-CF57-408D-9A63-658D382130EA}">
  <sheetPr>
    <tabColor rgb="FFFFFF00"/>
  </sheetPr>
  <dimension ref="A1:P11"/>
  <sheetViews>
    <sheetView showGridLines="0" zoomScaleNormal="100" workbookViewId="0">
      <pane xSplit="1" ySplit="11" topLeftCell="B12" activePane="bottomRight" state="frozen"/>
      <selection activeCell="N11" sqref="F4:U25"/>
      <selection pane="topRight" activeCell="N11" sqref="F4:U25"/>
      <selection pane="bottomLeft" activeCell="N11" sqref="F4:U25"/>
      <selection pane="bottomRight" activeCell="B12" sqref="B12"/>
    </sheetView>
  </sheetViews>
  <sheetFormatPr defaultColWidth="9.33203125" defaultRowHeight="10.199999999999999" outlineLevelRow="1" x14ac:dyDescent="0.35"/>
  <cols>
    <col min="1" max="3" width="2.796875" style="83" customWidth="1"/>
    <col min="4" max="4" width="48.1328125" style="83" customWidth="1"/>
    <col min="5" max="5" width="17.33203125" style="83" bestFit="1" customWidth="1"/>
    <col min="6" max="6" width="10.265625" style="83" bestFit="1" customWidth="1"/>
    <col min="7" max="7" width="12.06640625" style="83" bestFit="1" customWidth="1"/>
    <col min="8" max="8" width="9.796875" style="83" bestFit="1" customWidth="1"/>
    <col min="9" max="9" width="3.59765625" style="83" customWidth="1"/>
    <col min="10" max="16" width="17.59765625" style="83" customWidth="1"/>
    <col min="17" max="17" width="3.59765625" style="83" customWidth="1"/>
    <col min="18" max="24" width="9.33203125" style="83"/>
    <col min="25" max="25" width="3.59765625" style="83" customWidth="1"/>
    <col min="26" max="16384" width="9.33203125" style="83"/>
  </cols>
  <sheetData>
    <row r="1" spans="1:16" s="242" customFormat="1" ht="18.899999999999999" x14ac:dyDescent="0.35">
      <c r="A1" s="240">
        <f>IF(SUM($A21:$A142)&gt;0,1,0)</f>
        <v>0</v>
      </c>
      <c r="B1" s="241" t="s">
        <v>319</v>
      </c>
      <c r="J1" s="246" t="s">
        <v>326</v>
      </c>
    </row>
    <row r="2" spans="1:16" s="242" customFormat="1" x14ac:dyDescent="0.35">
      <c r="B2" s="243" t="str">
        <f>Title_Msg</f>
        <v>No Errors Found</v>
      </c>
    </row>
    <row r="3" spans="1:16" s="242" customFormat="1" ht="12.3" x14ac:dyDescent="0.35">
      <c r="B3" s="244" t="s">
        <v>50</v>
      </c>
      <c r="C3" s="244"/>
      <c r="D3" s="244"/>
      <c r="E3" s="245"/>
    </row>
    <row r="4" spans="1:16" ht="12.3" x14ac:dyDescent="0.35">
      <c r="B4" s="87" t="str">
        <f>Model_Name</f>
        <v>Cost Benefit Analysis - Advanced Metering within the regulated NT electricity networks</v>
      </c>
      <c r="E4" s="59"/>
      <c r="F4" s="59"/>
      <c r="G4" s="59"/>
      <c r="H4" s="59"/>
      <c r="J4" s="59"/>
      <c r="K4" s="59"/>
    </row>
    <row r="6" spans="1:16" ht="12.3" hidden="1" outlineLevel="1" x14ac:dyDescent="0.35">
      <c r="B6" s="12" t="str">
        <f>Lookup!B15</f>
        <v>Period Start Date</v>
      </c>
      <c r="J6" s="60">
        <f>Lookup!J15</f>
        <v>42917</v>
      </c>
      <c r="K6" s="60">
        <f>Lookup!K15</f>
        <v>43282</v>
      </c>
      <c r="L6" s="60">
        <f>Lookup!L15</f>
        <v>43647</v>
      </c>
      <c r="M6" s="60">
        <f>Lookup!M15</f>
        <v>44013</v>
      </c>
      <c r="N6" s="60">
        <f>Lookup!N15</f>
        <v>44378</v>
      </c>
      <c r="O6" s="60">
        <f>Lookup!O15</f>
        <v>44743</v>
      </c>
      <c r="P6" s="60">
        <f>Lookup!P15</f>
        <v>45108</v>
      </c>
    </row>
    <row r="7" spans="1:16" ht="12.3" hidden="1" outlineLevel="1" x14ac:dyDescent="0.35">
      <c r="B7" s="12" t="str">
        <f>Lookup!B16</f>
        <v>Period End Date</v>
      </c>
      <c r="J7" s="60">
        <f>Lookup!J16</f>
        <v>43281</v>
      </c>
      <c r="K7" s="60">
        <f>Lookup!K16</f>
        <v>43646</v>
      </c>
      <c r="L7" s="60">
        <f>Lookup!L16</f>
        <v>44012</v>
      </c>
      <c r="M7" s="60">
        <f>Lookup!M16</f>
        <v>44377</v>
      </c>
      <c r="N7" s="60">
        <f>Lookup!N16</f>
        <v>44742</v>
      </c>
      <c r="O7" s="60">
        <f>Lookup!O16</f>
        <v>45107</v>
      </c>
      <c r="P7" s="60">
        <f>Lookup!P16</f>
        <v>45473</v>
      </c>
    </row>
    <row r="8" spans="1:16" ht="12.3" hidden="1" outlineLevel="1" x14ac:dyDescent="0.35">
      <c r="B8" s="12" t="str">
        <f>Lookup!B17</f>
        <v>Period Counter</v>
      </c>
      <c r="J8" s="61">
        <f>Lookup!J17</f>
        <v>1</v>
      </c>
      <c r="K8" s="61">
        <f>Lookup!K17</f>
        <v>2</v>
      </c>
      <c r="L8" s="61">
        <f>Lookup!L17</f>
        <v>3</v>
      </c>
      <c r="M8" s="61">
        <f>Lookup!M17</f>
        <v>4</v>
      </c>
      <c r="N8" s="61">
        <f>Lookup!N17</f>
        <v>5</v>
      </c>
      <c r="O8" s="61">
        <f>Lookup!O17</f>
        <v>6</v>
      </c>
      <c r="P8" s="61">
        <f>Lookup!P17</f>
        <v>7</v>
      </c>
    </row>
    <row r="9" spans="1:16" ht="12.3" hidden="1" outlineLevel="1" x14ac:dyDescent="0.35">
      <c r="B9" s="12" t="str">
        <f>Lookup!B18</f>
        <v>Year</v>
      </c>
      <c r="J9" s="62">
        <f>Lookup!J18</f>
        <v>2018</v>
      </c>
      <c r="K9" s="62">
        <f>Lookup!K18</f>
        <v>2019</v>
      </c>
      <c r="L9" s="62">
        <f>Lookup!L18</f>
        <v>2020</v>
      </c>
      <c r="M9" s="62">
        <f>Lookup!M18</f>
        <v>2021</v>
      </c>
      <c r="N9" s="62">
        <f>Lookup!N18</f>
        <v>2022</v>
      </c>
      <c r="O9" s="62">
        <f>Lookup!O18</f>
        <v>2023</v>
      </c>
      <c r="P9" s="62">
        <f>Lookup!P18</f>
        <v>2024</v>
      </c>
    </row>
    <row r="10" spans="1:16" ht="12.3" hidden="1" outlineLevel="1" x14ac:dyDescent="0.35">
      <c r="B10" s="12" t="str">
        <f>Lookup!B19</f>
        <v>Period Type</v>
      </c>
      <c r="J10" s="62" t="str">
        <f>Lookup!J19</f>
        <v>Actual</v>
      </c>
      <c r="K10" s="62" t="str">
        <f>Lookup!K19</f>
        <v>Actual</v>
      </c>
      <c r="L10" s="62" t="str">
        <f>Lookup!L19</f>
        <v>Actual</v>
      </c>
      <c r="M10" s="62" t="str">
        <f>Lookup!M19</f>
        <v>Base Year</v>
      </c>
      <c r="N10" s="62" t="str">
        <f>Lookup!N19</f>
        <v>Forecast</v>
      </c>
      <c r="O10" s="62" t="str">
        <f>Lookup!O19</f>
        <v>Forecast</v>
      </c>
      <c r="P10" s="62" t="str">
        <f>Lookup!P19</f>
        <v>Forecast</v>
      </c>
    </row>
    <row r="11" spans="1:16" ht="12.3" collapsed="1" x14ac:dyDescent="0.35">
      <c r="B11" s="91" t="str">
        <f>Lookup!B20</f>
        <v>Regulatory Year</v>
      </c>
      <c r="E11" s="59" t="str">
        <f>Lookup!E20</f>
        <v>Source</v>
      </c>
      <c r="F11" s="59" t="str">
        <f>Lookup!F20</f>
        <v>Unit</v>
      </c>
      <c r="G11" s="59" t="str">
        <f>Lookup!G20</f>
        <v>Basis</v>
      </c>
      <c r="H11" s="59" t="str">
        <f>Lookup!H20</f>
        <v>Timing</v>
      </c>
      <c r="J11" s="59" t="str">
        <f>Lookup!J20</f>
        <v>RY18</v>
      </c>
      <c r="K11" s="59" t="str">
        <f>Lookup!K20</f>
        <v>RY19</v>
      </c>
      <c r="L11" s="59" t="str">
        <f>Lookup!L20</f>
        <v>RY20</v>
      </c>
      <c r="M11" s="59" t="str">
        <f>Lookup!M20</f>
        <v>RY21</v>
      </c>
      <c r="N11" s="59" t="str">
        <f>Lookup!N20</f>
        <v>RY22</v>
      </c>
      <c r="O11" s="59" t="str">
        <f>Lookup!O20</f>
        <v>RY23</v>
      </c>
      <c r="P11" s="59" t="str">
        <f>Lookup!P20</f>
        <v>RY24</v>
      </c>
    </row>
  </sheetData>
  <conditionalFormatting sqref="B2">
    <cfRule type="cellIs" dxfId="7" priority="1" operator="notEqual">
      <formula>"No Errors Found"</formula>
    </cfRule>
  </conditionalFormatting>
  <hyperlinks>
    <hyperlink ref="B3:D3" location="Cover!A1" display="Go to Cover Sheet" xr:uid="{0F460675-84E1-4DDF-AF1A-E6DC6D31017A}"/>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
  <dimension ref="B1:AW150"/>
  <sheetViews>
    <sheetView showGridLines="0" zoomScaleNormal="100" workbookViewId="0">
      <pane xSplit="1" ySplit="4" topLeftCell="B5" activePane="bottomRight" state="frozen"/>
      <selection pane="topRight" activeCell="B1" sqref="B1"/>
      <selection pane="bottomLeft" activeCell="A5" sqref="A5"/>
      <selection pane="bottomRight" activeCell="B5" sqref="B5"/>
    </sheetView>
  </sheetViews>
  <sheetFormatPr defaultColWidth="9.33203125" defaultRowHeight="10.199999999999999" outlineLevelRow="1" x14ac:dyDescent="0.35"/>
  <cols>
    <col min="1" max="3" width="2.796875" style="1" customWidth="1"/>
    <col min="4" max="4" width="34" style="1" customWidth="1"/>
    <col min="5" max="6" width="30.796875" style="1" customWidth="1"/>
    <col min="7" max="9" width="10.796875" style="1" customWidth="1"/>
    <col min="10" max="19" width="12.796875" style="1" customWidth="1"/>
    <col min="20" max="28" width="12.59765625" style="1" customWidth="1"/>
    <col min="29" max="49" width="12.59765625" style="7" customWidth="1"/>
    <col min="50" max="16384" width="9.33203125" style="1"/>
  </cols>
  <sheetData>
    <row r="1" spans="2:49" ht="18.899999999999999" x14ac:dyDescent="0.35">
      <c r="B1" s="5" t="s">
        <v>44</v>
      </c>
    </row>
    <row r="2" spans="2:49" x14ac:dyDescent="0.35">
      <c r="B2" s="18" t="str">
        <f>Title_Msg</f>
        <v>No Errors Found</v>
      </c>
    </row>
    <row r="3" spans="2:49" s="7" customFormat="1" x14ac:dyDescent="0.35">
      <c r="B3" s="55" t="str">
        <f>TOC!B1</f>
        <v>Table of Contents</v>
      </c>
      <c r="C3" s="49"/>
      <c r="D3" s="49"/>
      <c r="E3" s="49"/>
    </row>
    <row r="4" spans="2:49" s="7" customFormat="1" ht="12.3" x14ac:dyDescent="0.35">
      <c r="B4" s="46" t="str">
        <f>Model_Name</f>
        <v>Cost Benefit Analysis - Advanced Metering within the regulated NT electricity networks</v>
      </c>
    </row>
    <row r="5" spans="2:49" s="7" customFormat="1" x14ac:dyDescent="0.35"/>
    <row r="6" spans="2:49" s="4" customFormat="1" ht="15" x14ac:dyDescent="0.35">
      <c r="B6" s="4" t="s">
        <v>29</v>
      </c>
    </row>
    <row r="7" spans="2:49" s="2" customFormat="1" ht="6.75" customHeight="1" x14ac:dyDescent="0.35">
      <c r="AC7" s="6"/>
      <c r="AD7" s="6"/>
      <c r="AE7" s="6"/>
      <c r="AF7" s="6"/>
      <c r="AG7" s="6"/>
      <c r="AH7" s="6"/>
      <c r="AI7" s="6"/>
      <c r="AJ7" s="6"/>
      <c r="AK7" s="6"/>
      <c r="AL7" s="6"/>
      <c r="AM7" s="6"/>
      <c r="AN7" s="6"/>
      <c r="AO7" s="6"/>
      <c r="AP7" s="6"/>
      <c r="AQ7" s="6"/>
      <c r="AR7" s="6"/>
      <c r="AS7" s="6"/>
      <c r="AT7" s="6"/>
      <c r="AU7" s="6"/>
      <c r="AV7" s="6"/>
      <c r="AW7" s="6"/>
    </row>
    <row r="8" spans="2:49" s="13" customFormat="1" ht="14.1" x14ac:dyDescent="0.35">
      <c r="C8" s="13" t="s">
        <v>55</v>
      </c>
    </row>
    <row r="9" spans="2:49" s="2" customFormat="1" x14ac:dyDescent="0.35">
      <c r="D9" s="3"/>
      <c r="AC9" s="6"/>
      <c r="AD9" s="6"/>
      <c r="AE9" s="6"/>
      <c r="AF9" s="6"/>
      <c r="AG9" s="6"/>
      <c r="AH9" s="6"/>
      <c r="AI9" s="6"/>
      <c r="AJ9" s="6"/>
      <c r="AK9" s="6"/>
      <c r="AL9" s="6"/>
      <c r="AM9" s="6"/>
      <c r="AN9" s="6"/>
      <c r="AO9" s="6"/>
      <c r="AP9" s="6"/>
      <c r="AQ9" s="6"/>
      <c r="AR9" s="6"/>
      <c r="AS9" s="6"/>
      <c r="AT9" s="6"/>
      <c r="AU9" s="6"/>
      <c r="AV9" s="6"/>
      <c r="AW9" s="6"/>
    </row>
    <row r="10" spans="2:49" s="6" customFormat="1" ht="12.3" x14ac:dyDescent="0.35">
      <c r="D10" s="16" t="s">
        <v>54</v>
      </c>
      <c r="E10" s="56">
        <v>42917</v>
      </c>
    </row>
    <row r="11" spans="2:49" s="7" customFormat="1" ht="12.3" x14ac:dyDescent="0.35">
      <c r="D11" s="16" t="s">
        <v>57</v>
      </c>
      <c r="E11" s="17">
        <v>2018</v>
      </c>
      <c r="L11" s="23"/>
      <c r="M11" s="24"/>
      <c r="N11" s="24"/>
      <c r="O11" s="24"/>
    </row>
    <row r="12" spans="2:49" s="7" customFormat="1" x14ac:dyDescent="0.35">
      <c r="L12" s="23"/>
      <c r="M12" s="24"/>
      <c r="N12" s="24"/>
      <c r="O12" s="24"/>
    </row>
    <row r="13" spans="2:49" s="13" customFormat="1" ht="14.1" x14ac:dyDescent="0.35">
      <c r="C13" s="13" t="s">
        <v>56</v>
      </c>
    </row>
    <row r="14" spans="2:49" s="7" customFormat="1" x14ac:dyDescent="0.35">
      <c r="L14" s="23"/>
      <c r="M14" s="24"/>
      <c r="N14" s="24"/>
      <c r="O14" s="24"/>
    </row>
    <row r="15" spans="2:49" s="7" customFormat="1" ht="12.3" outlineLevel="1" x14ac:dyDescent="0.35">
      <c r="B15" s="16" t="s">
        <v>52</v>
      </c>
      <c r="J15" s="57">
        <f t="shared" ref="J15:R15" si="0">IF(J17=1,Model_Start_Date,I16+1)</f>
        <v>42917</v>
      </c>
      <c r="K15" s="57">
        <f t="shared" si="0"/>
        <v>43282</v>
      </c>
      <c r="L15" s="57">
        <f t="shared" si="0"/>
        <v>43647</v>
      </c>
      <c r="M15" s="57">
        <f t="shared" si="0"/>
        <v>44013</v>
      </c>
      <c r="N15" s="57">
        <f t="shared" si="0"/>
        <v>44378</v>
      </c>
      <c r="O15" s="57">
        <f t="shared" si="0"/>
        <v>44743</v>
      </c>
      <c r="P15" s="57">
        <f t="shared" si="0"/>
        <v>45108</v>
      </c>
      <c r="Q15" s="57">
        <f t="shared" si="0"/>
        <v>45474</v>
      </c>
      <c r="R15" s="57">
        <f t="shared" si="0"/>
        <v>45839</v>
      </c>
      <c r="S15" s="57">
        <f t="shared" ref="S15" si="1">IF(S17=1,Model_Start_Date,R16+1)</f>
        <v>46204</v>
      </c>
      <c r="T15" s="57">
        <f t="shared" ref="T15" si="2">IF(T17=1,Model_Start_Date,S16+1)</f>
        <v>46569</v>
      </c>
      <c r="U15" s="57">
        <f t="shared" ref="U15" si="3">IF(U17=1,Model_Start_Date,T16+1)</f>
        <v>46935</v>
      </c>
      <c r="V15" s="57">
        <f t="shared" ref="V15" si="4">IF(V17=1,Model_Start_Date,U16+1)</f>
        <v>47300</v>
      </c>
      <c r="W15" s="57">
        <f t="shared" ref="W15" si="5">IF(W17=1,Model_Start_Date,V16+1)</f>
        <v>47665</v>
      </c>
      <c r="X15" s="57">
        <f t="shared" ref="X15" si="6">IF(X17=1,Model_Start_Date,W16+1)</f>
        <v>48030</v>
      </c>
      <c r="Y15" s="57">
        <f t="shared" ref="Y15" si="7">IF(Y17=1,Model_Start_Date,X16+1)</f>
        <v>48396</v>
      </c>
      <c r="Z15" s="57">
        <f t="shared" ref="Z15" si="8">IF(Z17=1,Model_Start_Date,Y16+1)</f>
        <v>48761</v>
      </c>
      <c r="AA15" s="57">
        <f t="shared" ref="AA15" si="9">IF(AA17=1,Model_Start_Date,Z16+1)</f>
        <v>49126</v>
      </c>
      <c r="AB15" s="57">
        <f t="shared" ref="AB15" si="10">IF(AB17=1,Model_Start_Date,AA16+1)</f>
        <v>49491</v>
      </c>
      <c r="AC15" s="57">
        <f t="shared" ref="AC15" si="11">IF(AC17=1,Model_Start_Date,AB16+1)</f>
        <v>49857</v>
      </c>
      <c r="AD15" s="57">
        <f t="shared" ref="AD15" si="12">IF(AD17=1,Model_Start_Date,AC16+1)</f>
        <v>50222</v>
      </c>
      <c r="AE15" s="57">
        <f t="shared" ref="AE15" si="13">IF(AE17=1,Model_Start_Date,AD16+1)</f>
        <v>50587</v>
      </c>
      <c r="AF15" s="57">
        <f t="shared" ref="AF15" si="14">IF(AF17=1,Model_Start_Date,AE16+1)</f>
        <v>50952</v>
      </c>
      <c r="AG15" s="57">
        <f t="shared" ref="AG15" si="15">IF(AG17=1,Model_Start_Date,AF16+1)</f>
        <v>51318</v>
      </c>
      <c r="AH15" s="57">
        <f t="shared" ref="AH15" si="16">IF(AH17=1,Model_Start_Date,AG16+1)</f>
        <v>51683</v>
      </c>
      <c r="AI15" s="57">
        <f t="shared" ref="AI15" si="17">IF(AI17=1,Model_Start_Date,AH16+1)</f>
        <v>52048</v>
      </c>
      <c r="AJ15" s="57">
        <f t="shared" ref="AJ15" si="18">IF(AJ17=1,Model_Start_Date,AI16+1)</f>
        <v>52413</v>
      </c>
      <c r="AK15" s="57">
        <f t="shared" ref="AK15" si="19">IF(AK17=1,Model_Start_Date,AJ16+1)</f>
        <v>52779</v>
      </c>
      <c r="AL15" s="57">
        <f t="shared" ref="AL15" si="20">IF(AL17=1,Model_Start_Date,AK16+1)</f>
        <v>53144</v>
      </c>
      <c r="AM15" s="57">
        <f t="shared" ref="AM15" si="21">IF(AM17=1,Model_Start_Date,AL16+1)</f>
        <v>53509</v>
      </c>
      <c r="AN15" s="57">
        <f t="shared" ref="AN15" si="22">IF(AN17=1,Model_Start_Date,AM16+1)</f>
        <v>53874</v>
      </c>
      <c r="AO15" s="57">
        <f t="shared" ref="AO15" si="23">IF(AO17=1,Model_Start_Date,AN16+1)</f>
        <v>54240</v>
      </c>
      <c r="AP15" s="57">
        <f t="shared" ref="AP15" si="24">IF(AP17=1,Model_Start_Date,AO16+1)</f>
        <v>54605</v>
      </c>
      <c r="AQ15" s="57">
        <f t="shared" ref="AQ15" si="25">IF(AQ17=1,Model_Start_Date,AP16+1)</f>
        <v>54970</v>
      </c>
      <c r="AR15" s="57">
        <f t="shared" ref="AR15" si="26">IF(AR17=1,Model_Start_Date,AQ16+1)</f>
        <v>55335</v>
      </c>
      <c r="AS15" s="57">
        <f t="shared" ref="AS15" si="27">IF(AS17=1,Model_Start_Date,AR16+1)</f>
        <v>55701</v>
      </c>
      <c r="AT15" s="57">
        <f t="shared" ref="AT15" si="28">IF(AT17=1,Model_Start_Date,AS16+1)</f>
        <v>56066</v>
      </c>
      <c r="AU15" s="57">
        <f t="shared" ref="AU15" si="29">IF(AU17=1,Model_Start_Date,AT16+1)</f>
        <v>56431</v>
      </c>
      <c r="AV15" s="57">
        <f t="shared" ref="AV15" si="30">IF(AV17=1,Model_Start_Date,AU16+1)</f>
        <v>56796</v>
      </c>
      <c r="AW15" s="57">
        <f t="shared" ref="AW15" si="31">IF(AW17=1,Model_Start_Date,AV16+1)</f>
        <v>57162</v>
      </c>
    </row>
    <row r="16" spans="2:49" s="7" customFormat="1" ht="12.3" outlineLevel="1" x14ac:dyDescent="0.35">
      <c r="B16" s="16" t="s">
        <v>53</v>
      </c>
      <c r="J16" s="57">
        <f t="shared" ref="J16:R16" si="32">EOMONTH(J15,Mths_In_Yr-1)</f>
        <v>43281</v>
      </c>
      <c r="K16" s="57">
        <f t="shared" si="32"/>
        <v>43646</v>
      </c>
      <c r="L16" s="57">
        <f t="shared" si="32"/>
        <v>44012</v>
      </c>
      <c r="M16" s="57">
        <f t="shared" si="32"/>
        <v>44377</v>
      </c>
      <c r="N16" s="57">
        <f t="shared" si="32"/>
        <v>44742</v>
      </c>
      <c r="O16" s="57">
        <f t="shared" si="32"/>
        <v>45107</v>
      </c>
      <c r="P16" s="57">
        <f t="shared" si="32"/>
        <v>45473</v>
      </c>
      <c r="Q16" s="57">
        <f t="shared" si="32"/>
        <v>45838</v>
      </c>
      <c r="R16" s="57">
        <f t="shared" si="32"/>
        <v>46203</v>
      </c>
      <c r="S16" s="57">
        <f t="shared" ref="S16:V16" si="33">EOMONTH(S15,Mths_In_Yr-1)</f>
        <v>46568</v>
      </c>
      <c r="T16" s="57">
        <f t="shared" si="33"/>
        <v>46934</v>
      </c>
      <c r="U16" s="57">
        <f t="shared" si="33"/>
        <v>47299</v>
      </c>
      <c r="V16" s="57">
        <f t="shared" si="33"/>
        <v>47664</v>
      </c>
      <c r="W16" s="57">
        <f t="shared" ref="W16:AB16" si="34">EOMONTH(W15,Mths_In_Yr-1)</f>
        <v>48029</v>
      </c>
      <c r="X16" s="57">
        <f t="shared" si="34"/>
        <v>48395</v>
      </c>
      <c r="Y16" s="57">
        <f t="shared" si="34"/>
        <v>48760</v>
      </c>
      <c r="Z16" s="57">
        <f t="shared" si="34"/>
        <v>49125</v>
      </c>
      <c r="AA16" s="57">
        <f t="shared" si="34"/>
        <v>49490</v>
      </c>
      <c r="AB16" s="57">
        <f t="shared" si="34"/>
        <v>49856</v>
      </c>
      <c r="AC16" s="57">
        <f t="shared" ref="AC16:AW16" si="35">EOMONTH(AC15,Mths_In_Yr-1)</f>
        <v>50221</v>
      </c>
      <c r="AD16" s="57">
        <f t="shared" si="35"/>
        <v>50586</v>
      </c>
      <c r="AE16" s="57">
        <f t="shared" si="35"/>
        <v>50951</v>
      </c>
      <c r="AF16" s="57">
        <f t="shared" si="35"/>
        <v>51317</v>
      </c>
      <c r="AG16" s="57">
        <f t="shared" si="35"/>
        <v>51682</v>
      </c>
      <c r="AH16" s="57">
        <f t="shared" si="35"/>
        <v>52047</v>
      </c>
      <c r="AI16" s="57">
        <f t="shared" si="35"/>
        <v>52412</v>
      </c>
      <c r="AJ16" s="57">
        <f t="shared" si="35"/>
        <v>52778</v>
      </c>
      <c r="AK16" s="57">
        <f t="shared" si="35"/>
        <v>53143</v>
      </c>
      <c r="AL16" s="57">
        <f t="shared" si="35"/>
        <v>53508</v>
      </c>
      <c r="AM16" s="57">
        <f t="shared" si="35"/>
        <v>53873</v>
      </c>
      <c r="AN16" s="57">
        <f t="shared" si="35"/>
        <v>54239</v>
      </c>
      <c r="AO16" s="57">
        <f t="shared" si="35"/>
        <v>54604</v>
      </c>
      <c r="AP16" s="57">
        <f t="shared" si="35"/>
        <v>54969</v>
      </c>
      <c r="AQ16" s="57">
        <f t="shared" si="35"/>
        <v>55334</v>
      </c>
      <c r="AR16" s="57">
        <f t="shared" si="35"/>
        <v>55700</v>
      </c>
      <c r="AS16" s="57">
        <f t="shared" si="35"/>
        <v>56065</v>
      </c>
      <c r="AT16" s="57">
        <f t="shared" si="35"/>
        <v>56430</v>
      </c>
      <c r="AU16" s="57">
        <f t="shared" si="35"/>
        <v>56795</v>
      </c>
      <c r="AV16" s="57">
        <f t="shared" si="35"/>
        <v>57161</v>
      </c>
      <c r="AW16" s="57">
        <f t="shared" si="35"/>
        <v>57526</v>
      </c>
    </row>
    <row r="17" spans="2:49" s="7" customFormat="1" ht="12.3" outlineLevel="1" x14ac:dyDescent="0.35">
      <c r="B17" s="16" t="s">
        <v>51</v>
      </c>
      <c r="J17" s="27">
        <f t="shared" ref="J17:R17" si="36">N(I17)+1</f>
        <v>1</v>
      </c>
      <c r="K17" s="27">
        <f t="shared" si="36"/>
        <v>2</v>
      </c>
      <c r="L17" s="27">
        <f t="shared" si="36"/>
        <v>3</v>
      </c>
      <c r="M17" s="27">
        <f t="shared" si="36"/>
        <v>4</v>
      </c>
      <c r="N17" s="27">
        <f t="shared" si="36"/>
        <v>5</v>
      </c>
      <c r="O17" s="27">
        <f t="shared" si="36"/>
        <v>6</v>
      </c>
      <c r="P17" s="27">
        <f t="shared" si="36"/>
        <v>7</v>
      </c>
      <c r="Q17" s="27">
        <f t="shared" si="36"/>
        <v>8</v>
      </c>
      <c r="R17" s="27">
        <f t="shared" si="36"/>
        <v>9</v>
      </c>
      <c r="S17" s="27">
        <f t="shared" ref="S17" si="37">N(R17)+1</f>
        <v>10</v>
      </c>
      <c r="T17" s="27">
        <f t="shared" ref="T17" si="38">N(S17)+1</f>
        <v>11</v>
      </c>
      <c r="U17" s="27">
        <f t="shared" ref="U17" si="39">N(T17)+1</f>
        <v>12</v>
      </c>
      <c r="V17" s="27">
        <f t="shared" ref="V17" si="40">N(U17)+1</f>
        <v>13</v>
      </c>
      <c r="W17" s="27">
        <f t="shared" ref="W17" si="41">N(V17)+1</f>
        <v>14</v>
      </c>
      <c r="X17" s="27">
        <f t="shared" ref="X17" si="42">N(W17)+1</f>
        <v>15</v>
      </c>
      <c r="Y17" s="27">
        <f t="shared" ref="Y17" si="43">N(X17)+1</f>
        <v>16</v>
      </c>
      <c r="Z17" s="27">
        <f t="shared" ref="Z17" si="44">N(Y17)+1</f>
        <v>17</v>
      </c>
      <c r="AA17" s="27">
        <f t="shared" ref="AA17" si="45">N(Z17)+1</f>
        <v>18</v>
      </c>
      <c r="AB17" s="27">
        <f t="shared" ref="AB17" si="46">N(AA17)+1</f>
        <v>19</v>
      </c>
      <c r="AC17" s="27">
        <f t="shared" ref="AC17" si="47">N(AB17)+1</f>
        <v>20</v>
      </c>
      <c r="AD17" s="27">
        <f t="shared" ref="AD17" si="48">N(AC17)+1</f>
        <v>21</v>
      </c>
      <c r="AE17" s="27">
        <f t="shared" ref="AE17" si="49">N(AD17)+1</f>
        <v>22</v>
      </c>
      <c r="AF17" s="27">
        <f t="shared" ref="AF17" si="50">N(AE17)+1</f>
        <v>23</v>
      </c>
      <c r="AG17" s="27">
        <f t="shared" ref="AG17" si="51">N(AF17)+1</f>
        <v>24</v>
      </c>
      <c r="AH17" s="27">
        <f t="shared" ref="AH17" si="52">N(AG17)+1</f>
        <v>25</v>
      </c>
      <c r="AI17" s="27">
        <f t="shared" ref="AI17" si="53">N(AH17)+1</f>
        <v>26</v>
      </c>
      <c r="AJ17" s="27">
        <f t="shared" ref="AJ17" si="54">N(AI17)+1</f>
        <v>27</v>
      </c>
      <c r="AK17" s="27">
        <f t="shared" ref="AK17" si="55">N(AJ17)+1</f>
        <v>28</v>
      </c>
      <c r="AL17" s="27">
        <f t="shared" ref="AL17" si="56">N(AK17)+1</f>
        <v>29</v>
      </c>
      <c r="AM17" s="27">
        <f t="shared" ref="AM17" si="57">N(AL17)+1</f>
        <v>30</v>
      </c>
      <c r="AN17" s="27">
        <f t="shared" ref="AN17" si="58">N(AM17)+1</f>
        <v>31</v>
      </c>
      <c r="AO17" s="27">
        <f t="shared" ref="AO17" si="59">N(AN17)+1</f>
        <v>32</v>
      </c>
      <c r="AP17" s="27">
        <f t="shared" ref="AP17" si="60">N(AO17)+1</f>
        <v>33</v>
      </c>
      <c r="AQ17" s="27">
        <f t="shared" ref="AQ17" si="61">N(AP17)+1</f>
        <v>34</v>
      </c>
      <c r="AR17" s="27">
        <f t="shared" ref="AR17" si="62">N(AQ17)+1</f>
        <v>35</v>
      </c>
      <c r="AS17" s="27">
        <f t="shared" ref="AS17" si="63">N(AR17)+1</f>
        <v>36</v>
      </c>
      <c r="AT17" s="27">
        <f t="shared" ref="AT17" si="64">N(AS17)+1</f>
        <v>37</v>
      </c>
      <c r="AU17" s="27">
        <f t="shared" ref="AU17" si="65">N(AT17)+1</f>
        <v>38</v>
      </c>
      <c r="AV17" s="27">
        <f t="shared" ref="AV17" si="66">N(AU17)+1</f>
        <v>39</v>
      </c>
      <c r="AW17" s="27">
        <f t="shared" ref="AW17" si="67">N(AV17)+1</f>
        <v>40</v>
      </c>
    </row>
    <row r="18" spans="2:49" s="7" customFormat="1" ht="12.3" outlineLevel="1" x14ac:dyDescent="0.35">
      <c r="B18" s="16" t="s">
        <v>58</v>
      </c>
      <c r="J18" s="12">
        <f t="shared" ref="J18" si="68">YEAR(J16)</f>
        <v>2018</v>
      </c>
      <c r="K18" s="12">
        <f t="shared" ref="K18:R18" si="69">YEAR(K16)</f>
        <v>2019</v>
      </c>
      <c r="L18" s="12">
        <f t="shared" si="69"/>
        <v>2020</v>
      </c>
      <c r="M18" s="12">
        <f t="shared" si="69"/>
        <v>2021</v>
      </c>
      <c r="N18" s="12">
        <f t="shared" si="69"/>
        <v>2022</v>
      </c>
      <c r="O18" s="12">
        <f t="shared" si="69"/>
        <v>2023</v>
      </c>
      <c r="P18" s="12">
        <f t="shared" si="69"/>
        <v>2024</v>
      </c>
      <c r="Q18" s="12">
        <f t="shared" si="69"/>
        <v>2025</v>
      </c>
      <c r="R18" s="12">
        <f t="shared" si="69"/>
        <v>2026</v>
      </c>
      <c r="S18" s="12">
        <f t="shared" ref="S18:V18" si="70">YEAR(S16)</f>
        <v>2027</v>
      </c>
      <c r="T18" s="12">
        <f t="shared" si="70"/>
        <v>2028</v>
      </c>
      <c r="U18" s="12">
        <f t="shared" si="70"/>
        <v>2029</v>
      </c>
      <c r="V18" s="12">
        <f t="shared" si="70"/>
        <v>2030</v>
      </c>
      <c r="W18" s="12">
        <f t="shared" ref="W18:AB18" si="71">YEAR(W16)</f>
        <v>2031</v>
      </c>
      <c r="X18" s="12">
        <f t="shared" si="71"/>
        <v>2032</v>
      </c>
      <c r="Y18" s="12">
        <f t="shared" si="71"/>
        <v>2033</v>
      </c>
      <c r="Z18" s="12">
        <f t="shared" si="71"/>
        <v>2034</v>
      </c>
      <c r="AA18" s="12">
        <f t="shared" si="71"/>
        <v>2035</v>
      </c>
      <c r="AB18" s="12">
        <f t="shared" si="71"/>
        <v>2036</v>
      </c>
      <c r="AC18" s="12">
        <f t="shared" ref="AC18:AW18" si="72">YEAR(AC16)</f>
        <v>2037</v>
      </c>
      <c r="AD18" s="12">
        <f t="shared" si="72"/>
        <v>2038</v>
      </c>
      <c r="AE18" s="12">
        <f t="shared" si="72"/>
        <v>2039</v>
      </c>
      <c r="AF18" s="12">
        <f t="shared" si="72"/>
        <v>2040</v>
      </c>
      <c r="AG18" s="12">
        <f t="shared" si="72"/>
        <v>2041</v>
      </c>
      <c r="AH18" s="12">
        <f t="shared" si="72"/>
        <v>2042</v>
      </c>
      <c r="AI18" s="12">
        <f t="shared" si="72"/>
        <v>2043</v>
      </c>
      <c r="AJ18" s="12">
        <f t="shared" si="72"/>
        <v>2044</v>
      </c>
      <c r="AK18" s="12">
        <f t="shared" si="72"/>
        <v>2045</v>
      </c>
      <c r="AL18" s="12">
        <f t="shared" si="72"/>
        <v>2046</v>
      </c>
      <c r="AM18" s="12">
        <f t="shared" si="72"/>
        <v>2047</v>
      </c>
      <c r="AN18" s="12">
        <f t="shared" si="72"/>
        <v>2048</v>
      </c>
      <c r="AO18" s="12">
        <f t="shared" si="72"/>
        <v>2049</v>
      </c>
      <c r="AP18" s="12">
        <f t="shared" si="72"/>
        <v>2050</v>
      </c>
      <c r="AQ18" s="12">
        <f t="shared" si="72"/>
        <v>2051</v>
      </c>
      <c r="AR18" s="12">
        <f t="shared" si="72"/>
        <v>2052</v>
      </c>
      <c r="AS18" s="12">
        <f t="shared" si="72"/>
        <v>2053</v>
      </c>
      <c r="AT18" s="12">
        <f t="shared" si="72"/>
        <v>2054</v>
      </c>
      <c r="AU18" s="12">
        <f t="shared" si="72"/>
        <v>2055</v>
      </c>
      <c r="AV18" s="12">
        <f t="shared" si="72"/>
        <v>2056</v>
      </c>
      <c r="AW18" s="12">
        <f t="shared" si="72"/>
        <v>2057</v>
      </c>
    </row>
    <row r="19" spans="2:49" s="7" customFormat="1" ht="12.3" outlineLevel="1" x14ac:dyDescent="0.35">
      <c r="B19" s="16" t="s">
        <v>59</v>
      </c>
      <c r="J19" s="19" t="s">
        <v>60</v>
      </c>
      <c r="K19" s="19" t="s">
        <v>60</v>
      </c>
      <c r="L19" s="19" t="s">
        <v>60</v>
      </c>
      <c r="M19" s="19" t="s">
        <v>57</v>
      </c>
      <c r="N19" s="19" t="s">
        <v>61</v>
      </c>
      <c r="O19" s="19" t="s">
        <v>61</v>
      </c>
      <c r="P19" s="19" t="s">
        <v>61</v>
      </c>
      <c r="Q19" s="19" t="s">
        <v>61</v>
      </c>
      <c r="R19" s="19" t="s">
        <v>61</v>
      </c>
      <c r="S19" s="19" t="s">
        <v>61</v>
      </c>
      <c r="T19" s="19" t="s">
        <v>61</v>
      </c>
      <c r="U19" s="19" t="s">
        <v>61</v>
      </c>
      <c r="V19" s="19" t="s">
        <v>61</v>
      </c>
      <c r="W19" s="19" t="s">
        <v>61</v>
      </c>
      <c r="X19" s="19" t="s">
        <v>61</v>
      </c>
      <c r="Y19" s="19" t="s">
        <v>61</v>
      </c>
      <c r="Z19" s="19" t="s">
        <v>61</v>
      </c>
      <c r="AA19" s="19" t="s">
        <v>61</v>
      </c>
      <c r="AB19" s="19" t="s">
        <v>61</v>
      </c>
      <c r="AC19" s="19" t="s">
        <v>61</v>
      </c>
      <c r="AD19" s="19" t="s">
        <v>61</v>
      </c>
      <c r="AE19" s="19" t="s">
        <v>61</v>
      </c>
      <c r="AF19" s="19" t="s">
        <v>61</v>
      </c>
      <c r="AG19" s="19" t="s">
        <v>61</v>
      </c>
      <c r="AH19" s="19" t="s">
        <v>61</v>
      </c>
      <c r="AI19" s="19" t="s">
        <v>61</v>
      </c>
      <c r="AJ19" s="19" t="s">
        <v>61</v>
      </c>
      <c r="AK19" s="19" t="s">
        <v>61</v>
      </c>
      <c r="AL19" s="19" t="s">
        <v>61</v>
      </c>
      <c r="AM19" s="19" t="s">
        <v>61</v>
      </c>
      <c r="AN19" s="19" t="s">
        <v>61</v>
      </c>
      <c r="AO19" s="19" t="s">
        <v>61</v>
      </c>
      <c r="AP19" s="19" t="s">
        <v>61</v>
      </c>
      <c r="AQ19" s="19" t="s">
        <v>61</v>
      </c>
      <c r="AR19" s="19" t="s">
        <v>61</v>
      </c>
      <c r="AS19" s="19" t="s">
        <v>61</v>
      </c>
      <c r="AT19" s="19" t="s">
        <v>61</v>
      </c>
      <c r="AU19" s="19" t="s">
        <v>61</v>
      </c>
      <c r="AV19" s="19" t="s">
        <v>61</v>
      </c>
      <c r="AW19" s="19" t="s">
        <v>61</v>
      </c>
    </row>
    <row r="20" spans="2:49" s="7" customFormat="1" ht="12.3" x14ac:dyDescent="0.35">
      <c r="B20" s="14" t="s">
        <v>62</v>
      </c>
      <c r="E20" s="20" t="s">
        <v>63</v>
      </c>
      <c r="F20" s="20" t="s">
        <v>64</v>
      </c>
      <c r="G20" s="20" t="s">
        <v>65</v>
      </c>
      <c r="H20" s="20" t="s">
        <v>66</v>
      </c>
      <c r="J20" s="58" t="str">
        <f t="shared" ref="J20" si="73">"RY"&amp;RIGHT(J18,2)</f>
        <v>RY18</v>
      </c>
      <c r="K20" s="58" t="str">
        <f t="shared" ref="K20:R20" si="74">"RY"&amp;RIGHT(K18,2)</f>
        <v>RY19</v>
      </c>
      <c r="L20" s="58" t="str">
        <f t="shared" si="74"/>
        <v>RY20</v>
      </c>
      <c r="M20" s="58" t="str">
        <f t="shared" si="74"/>
        <v>RY21</v>
      </c>
      <c r="N20" s="58" t="str">
        <f t="shared" si="74"/>
        <v>RY22</v>
      </c>
      <c r="O20" s="58" t="str">
        <f t="shared" si="74"/>
        <v>RY23</v>
      </c>
      <c r="P20" s="58" t="str">
        <f t="shared" si="74"/>
        <v>RY24</v>
      </c>
      <c r="Q20" s="58" t="str">
        <f t="shared" si="74"/>
        <v>RY25</v>
      </c>
      <c r="R20" s="58" t="str">
        <f t="shared" si="74"/>
        <v>RY26</v>
      </c>
      <c r="S20" s="58" t="str">
        <f t="shared" ref="S20:V20" si="75">"RY"&amp;RIGHT(S18,2)</f>
        <v>RY27</v>
      </c>
      <c r="T20" s="58" t="str">
        <f t="shared" si="75"/>
        <v>RY28</v>
      </c>
      <c r="U20" s="58" t="str">
        <f t="shared" si="75"/>
        <v>RY29</v>
      </c>
      <c r="V20" s="58" t="str">
        <f t="shared" si="75"/>
        <v>RY30</v>
      </c>
      <c r="W20" s="58" t="str">
        <f t="shared" ref="W20:AB20" si="76">"RY"&amp;RIGHT(W18,2)</f>
        <v>RY31</v>
      </c>
      <c r="X20" s="58" t="str">
        <f t="shared" si="76"/>
        <v>RY32</v>
      </c>
      <c r="Y20" s="58" t="str">
        <f t="shared" si="76"/>
        <v>RY33</v>
      </c>
      <c r="Z20" s="58" t="str">
        <f t="shared" si="76"/>
        <v>RY34</v>
      </c>
      <c r="AA20" s="58" t="str">
        <f t="shared" si="76"/>
        <v>RY35</v>
      </c>
      <c r="AB20" s="58" t="str">
        <f t="shared" si="76"/>
        <v>RY36</v>
      </c>
      <c r="AC20" s="58" t="str">
        <f t="shared" ref="AC20:AW20" si="77">"RY"&amp;RIGHT(AC18,2)</f>
        <v>RY37</v>
      </c>
      <c r="AD20" s="58" t="str">
        <f t="shared" si="77"/>
        <v>RY38</v>
      </c>
      <c r="AE20" s="58" t="str">
        <f t="shared" si="77"/>
        <v>RY39</v>
      </c>
      <c r="AF20" s="58" t="str">
        <f t="shared" si="77"/>
        <v>RY40</v>
      </c>
      <c r="AG20" s="58" t="str">
        <f t="shared" si="77"/>
        <v>RY41</v>
      </c>
      <c r="AH20" s="58" t="str">
        <f t="shared" si="77"/>
        <v>RY42</v>
      </c>
      <c r="AI20" s="58" t="str">
        <f t="shared" si="77"/>
        <v>RY43</v>
      </c>
      <c r="AJ20" s="58" t="str">
        <f t="shared" si="77"/>
        <v>RY44</v>
      </c>
      <c r="AK20" s="58" t="str">
        <f t="shared" si="77"/>
        <v>RY45</v>
      </c>
      <c r="AL20" s="58" t="str">
        <f t="shared" si="77"/>
        <v>RY46</v>
      </c>
      <c r="AM20" s="58" t="str">
        <f t="shared" si="77"/>
        <v>RY47</v>
      </c>
      <c r="AN20" s="58" t="str">
        <f t="shared" si="77"/>
        <v>RY48</v>
      </c>
      <c r="AO20" s="58" t="str">
        <f t="shared" si="77"/>
        <v>RY49</v>
      </c>
      <c r="AP20" s="58" t="str">
        <f t="shared" si="77"/>
        <v>RY50</v>
      </c>
      <c r="AQ20" s="58" t="str">
        <f t="shared" si="77"/>
        <v>RY51</v>
      </c>
      <c r="AR20" s="58" t="str">
        <f t="shared" si="77"/>
        <v>RY52</v>
      </c>
      <c r="AS20" s="58" t="str">
        <f t="shared" si="77"/>
        <v>RY53</v>
      </c>
      <c r="AT20" s="58" t="str">
        <f t="shared" si="77"/>
        <v>RY54</v>
      </c>
      <c r="AU20" s="58" t="str">
        <f t="shared" si="77"/>
        <v>RY55</v>
      </c>
      <c r="AV20" s="58" t="str">
        <f t="shared" si="77"/>
        <v>RY56</v>
      </c>
      <c r="AW20" s="58" t="str">
        <f t="shared" si="77"/>
        <v>RY57</v>
      </c>
    </row>
    <row r="21" spans="2:49" s="7" customFormat="1" x14ac:dyDescent="0.35">
      <c r="L21" s="23"/>
      <c r="M21" s="24"/>
      <c r="N21" s="24"/>
      <c r="O21" s="24"/>
    </row>
    <row r="22" spans="2:49" s="4" customFormat="1" ht="15" x14ac:dyDescent="0.35">
      <c r="B22" s="4" t="s">
        <v>44</v>
      </c>
    </row>
    <row r="23" spans="2:49" s="7" customFormat="1" x14ac:dyDescent="0.35">
      <c r="L23" s="23"/>
      <c r="M23" s="24"/>
      <c r="N23" s="24"/>
      <c r="O23" s="24"/>
    </row>
    <row r="24" spans="2:49" ht="12.3" x14ac:dyDescent="0.35">
      <c r="C24" s="8" t="s">
        <v>0</v>
      </c>
      <c r="E24" s="20" t="s">
        <v>1</v>
      </c>
    </row>
    <row r="25" spans="2:49" x14ac:dyDescent="0.35">
      <c r="E25" s="21"/>
    </row>
    <row r="26" spans="2:49" ht="12.3" x14ac:dyDescent="0.35">
      <c r="D26" s="17">
        <v>1</v>
      </c>
      <c r="E26" s="22" t="s">
        <v>2</v>
      </c>
    </row>
    <row r="27" spans="2:49" ht="12.3" x14ac:dyDescent="0.35">
      <c r="D27" s="17">
        <v>3</v>
      </c>
      <c r="E27" s="22" t="s">
        <v>3</v>
      </c>
    </row>
    <row r="28" spans="2:49" s="7" customFormat="1" ht="12.3" x14ac:dyDescent="0.35">
      <c r="D28" s="17">
        <v>4</v>
      </c>
      <c r="E28" s="22" t="s">
        <v>32</v>
      </c>
    </row>
    <row r="29" spans="2:49" ht="12.3" x14ac:dyDescent="0.35">
      <c r="D29" s="17">
        <v>12</v>
      </c>
      <c r="E29" s="22" t="s">
        <v>4</v>
      </c>
    </row>
    <row r="30" spans="2:49" s="7" customFormat="1" ht="12.3" x14ac:dyDescent="0.35">
      <c r="D30" s="17">
        <v>7</v>
      </c>
      <c r="E30" s="22" t="s">
        <v>13</v>
      </c>
    </row>
    <row r="31" spans="2:49" s="7" customFormat="1" ht="12.3" x14ac:dyDescent="0.35">
      <c r="D31" s="17">
        <v>365</v>
      </c>
      <c r="E31" s="22" t="s">
        <v>45</v>
      </c>
    </row>
    <row r="32" spans="2:49" s="7" customFormat="1" ht="12.3" x14ac:dyDescent="0.35">
      <c r="D32" s="17">
        <v>0.5</v>
      </c>
      <c r="E32" s="22" t="s">
        <v>8</v>
      </c>
    </row>
    <row r="33" spans="3:5" s="7" customFormat="1" ht="12.3" x14ac:dyDescent="0.35">
      <c r="D33" s="17">
        <v>1000000</v>
      </c>
      <c r="E33" s="22" t="s">
        <v>105</v>
      </c>
    </row>
    <row r="34" spans="3:5" ht="12.3" x14ac:dyDescent="0.35">
      <c r="D34" s="17" t="s">
        <v>6</v>
      </c>
      <c r="E34" s="22" t="s">
        <v>6</v>
      </c>
    </row>
    <row r="35" spans="3:5" s="7" customFormat="1" ht="12.3" x14ac:dyDescent="0.35">
      <c r="D35" s="17" t="s">
        <v>33</v>
      </c>
      <c r="E35" s="22" t="s">
        <v>34</v>
      </c>
    </row>
    <row r="36" spans="3:5" ht="12.3" x14ac:dyDescent="0.35">
      <c r="D36" s="17" t="s">
        <v>7</v>
      </c>
      <c r="E36" s="22" t="s">
        <v>7</v>
      </c>
    </row>
    <row r="37" spans="3:5" x14ac:dyDescent="0.35">
      <c r="E37" s="21"/>
    </row>
    <row r="38" spans="3:5" s="7" customFormat="1" ht="12.3" x14ac:dyDescent="0.35">
      <c r="C38" s="8" t="s">
        <v>0</v>
      </c>
      <c r="E38" s="20" t="s">
        <v>1</v>
      </c>
    </row>
    <row r="39" spans="3:5" s="7" customFormat="1" ht="12.3" x14ac:dyDescent="0.35">
      <c r="E39" s="22" t="s">
        <v>11</v>
      </c>
    </row>
    <row r="40" spans="3:5" s="7" customFormat="1" ht="12.3" x14ac:dyDescent="0.35">
      <c r="D40" s="17" t="s">
        <v>9</v>
      </c>
      <c r="E40" s="22" t="s">
        <v>9</v>
      </c>
    </row>
    <row r="41" spans="3:5" s="7" customFormat="1" ht="12.3" x14ac:dyDescent="0.35">
      <c r="D41" s="17" t="s">
        <v>10</v>
      </c>
      <c r="E41" s="22" t="s">
        <v>10</v>
      </c>
    </row>
    <row r="42" spans="3:5" s="7" customFormat="1" x14ac:dyDescent="0.35">
      <c r="E42" s="21"/>
    </row>
    <row r="43" spans="3:5" s="7" customFormat="1" ht="12.3" x14ac:dyDescent="0.35">
      <c r="C43" s="8" t="s">
        <v>71</v>
      </c>
      <c r="E43" s="20" t="s">
        <v>1</v>
      </c>
    </row>
    <row r="44" spans="3:5" s="7" customFormat="1" ht="12.3" x14ac:dyDescent="0.35">
      <c r="E44" s="22" t="s">
        <v>79</v>
      </c>
    </row>
    <row r="45" spans="3:5" s="7" customFormat="1" ht="12.3" x14ac:dyDescent="0.35">
      <c r="D45" s="17" t="s">
        <v>72</v>
      </c>
      <c r="E45" s="22" t="s">
        <v>72</v>
      </c>
    </row>
    <row r="46" spans="3:5" s="7" customFormat="1" ht="12.3" x14ac:dyDescent="0.35">
      <c r="D46" s="17" t="s">
        <v>73</v>
      </c>
      <c r="E46" s="22" t="s">
        <v>73</v>
      </c>
    </row>
    <row r="47" spans="3:5" s="7" customFormat="1" ht="12.3" x14ac:dyDescent="0.35">
      <c r="D47" s="17" t="s">
        <v>75</v>
      </c>
      <c r="E47" s="22" t="s">
        <v>77</v>
      </c>
    </row>
    <row r="48" spans="3:5" s="7" customFormat="1" ht="12.3" x14ac:dyDescent="0.35">
      <c r="D48" s="17" t="s">
        <v>76</v>
      </c>
      <c r="E48" s="22" t="s">
        <v>78</v>
      </c>
    </row>
    <row r="49" spans="3:6" s="7" customFormat="1" ht="12.3" x14ac:dyDescent="0.35">
      <c r="D49" s="17" t="s">
        <v>74</v>
      </c>
      <c r="E49" s="22" t="s">
        <v>74</v>
      </c>
    </row>
    <row r="50" spans="3:6" s="7" customFormat="1" ht="12.3" x14ac:dyDescent="0.35">
      <c r="D50" s="17" t="s">
        <v>91</v>
      </c>
      <c r="E50" s="22" t="s">
        <v>91</v>
      </c>
    </row>
    <row r="51" spans="3:6" s="7" customFormat="1" ht="12.3" x14ac:dyDescent="0.35">
      <c r="D51" s="17" t="s">
        <v>93</v>
      </c>
      <c r="E51" s="64" t="s">
        <v>94</v>
      </c>
    </row>
    <row r="52" spans="3:6" s="7" customFormat="1" ht="12.3" x14ac:dyDescent="0.35">
      <c r="D52" s="17" t="str">
        <f>NA</f>
        <v>N/A</v>
      </c>
      <c r="E52" s="22" t="s">
        <v>90</v>
      </c>
    </row>
    <row r="53" spans="3:6" s="7" customFormat="1" x14ac:dyDescent="0.35">
      <c r="E53" s="21"/>
    </row>
    <row r="54" spans="3:6" s="7" customFormat="1" ht="12.3" x14ac:dyDescent="0.35">
      <c r="C54" s="8" t="s">
        <v>65</v>
      </c>
      <c r="E54" s="20" t="s">
        <v>1</v>
      </c>
    </row>
    <row r="55" spans="3:6" s="7" customFormat="1" ht="12.3" x14ac:dyDescent="0.35">
      <c r="E55" s="22" t="s">
        <v>70</v>
      </c>
    </row>
    <row r="56" spans="3:6" s="7" customFormat="1" ht="12.3" x14ac:dyDescent="0.35">
      <c r="D56" s="17" t="s">
        <v>67</v>
      </c>
      <c r="E56" s="22" t="s">
        <v>69</v>
      </c>
    </row>
    <row r="57" spans="3:6" s="7" customFormat="1" ht="12.3" x14ac:dyDescent="0.35">
      <c r="D57" s="17" t="s">
        <v>100</v>
      </c>
      <c r="E57" s="22" t="s">
        <v>101</v>
      </c>
    </row>
    <row r="58" spans="3:6" s="7" customFormat="1" ht="12.3" x14ac:dyDescent="0.35">
      <c r="D58" s="17" t="str">
        <f>NA</f>
        <v>N/A</v>
      </c>
      <c r="E58" s="22" t="s">
        <v>90</v>
      </c>
    </row>
    <row r="59" spans="3:6" s="7" customFormat="1" ht="12.3" x14ac:dyDescent="0.35">
      <c r="D59" s="17" t="s">
        <v>68</v>
      </c>
      <c r="E59" s="22" t="s">
        <v>68</v>
      </c>
    </row>
    <row r="60" spans="3:6" s="7" customFormat="1" x14ac:dyDescent="0.35">
      <c r="E60" s="21"/>
    </row>
    <row r="61" spans="3:6" s="7" customFormat="1" ht="12.3" x14ac:dyDescent="0.35">
      <c r="C61" s="8" t="s">
        <v>66</v>
      </c>
      <c r="E61" s="20"/>
      <c r="F61" s="20" t="s">
        <v>1</v>
      </c>
    </row>
    <row r="62" spans="3:6" s="7" customFormat="1" ht="12.3" x14ac:dyDescent="0.35">
      <c r="D62" s="22" t="s">
        <v>83</v>
      </c>
      <c r="E62" s="22" t="s">
        <v>84</v>
      </c>
    </row>
    <row r="63" spans="3:6" s="7" customFormat="1" ht="12.3" x14ac:dyDescent="0.35">
      <c r="D63" s="17" t="s">
        <v>80</v>
      </c>
      <c r="E63" s="17">
        <v>0</v>
      </c>
      <c r="F63" s="22" t="s">
        <v>87</v>
      </c>
    </row>
    <row r="64" spans="3:6" s="7" customFormat="1" ht="12.3" x14ac:dyDescent="0.35">
      <c r="D64" s="17" t="s">
        <v>81</v>
      </c>
      <c r="E64" s="17">
        <v>0.5</v>
      </c>
      <c r="F64" s="22" t="s">
        <v>86</v>
      </c>
    </row>
    <row r="65" spans="3:6" s="7" customFormat="1" ht="12.3" x14ac:dyDescent="0.35">
      <c r="D65" s="17" t="s">
        <v>82</v>
      </c>
      <c r="E65" s="17">
        <v>1</v>
      </c>
      <c r="F65" s="22" t="s">
        <v>85</v>
      </c>
    </row>
    <row r="66" spans="3:6" s="7" customFormat="1" ht="12.3" x14ac:dyDescent="0.35">
      <c r="D66" s="17" t="str">
        <f>NA</f>
        <v>N/A</v>
      </c>
      <c r="E66" s="17" t="str">
        <f>NA</f>
        <v>N/A</v>
      </c>
      <c r="F66" s="22"/>
    </row>
    <row r="67" spans="3:6" s="7" customFormat="1" x14ac:dyDescent="0.35">
      <c r="E67" s="21"/>
    </row>
    <row r="68" spans="3:6" ht="12.3" x14ac:dyDescent="0.35">
      <c r="C68" s="8" t="s">
        <v>106</v>
      </c>
      <c r="D68" s="7"/>
      <c r="E68" s="20" t="s">
        <v>1</v>
      </c>
    </row>
    <row r="69" spans="3:6" ht="12.3" x14ac:dyDescent="0.35">
      <c r="C69" s="7"/>
      <c r="D69" s="7"/>
      <c r="E69" s="22" t="s">
        <v>107</v>
      </c>
    </row>
    <row r="70" spans="3:6" ht="12.3" x14ac:dyDescent="0.35">
      <c r="C70" s="7"/>
      <c r="D70" s="17" t="str">
        <f>LEFT(Input_General!D63,9)</f>
        <v>Real 2018</v>
      </c>
      <c r="E70" s="7"/>
    </row>
    <row r="72" spans="3:6" s="13" customFormat="1" ht="14.1" x14ac:dyDescent="0.35">
      <c r="C72" s="13" t="s">
        <v>46</v>
      </c>
    </row>
    <row r="73" spans="3:6" s="7" customFormat="1" x14ac:dyDescent="0.35"/>
    <row r="74" spans="3:6" s="7" customFormat="1" ht="12.3" x14ac:dyDescent="0.35">
      <c r="C74" s="8" t="s">
        <v>109</v>
      </c>
      <c r="E74" s="20" t="s">
        <v>1</v>
      </c>
    </row>
    <row r="75" spans="3:6" s="7" customFormat="1" ht="12.3" x14ac:dyDescent="0.35">
      <c r="E75" s="22" t="s">
        <v>111</v>
      </c>
    </row>
    <row r="76" spans="3:6" s="7" customFormat="1" ht="12.3" x14ac:dyDescent="0.35">
      <c r="D76" s="17" t="s">
        <v>149</v>
      </c>
    </row>
    <row r="77" spans="3:6" s="7" customFormat="1" ht="12.3" x14ac:dyDescent="0.35">
      <c r="D77" s="17" t="s">
        <v>150</v>
      </c>
    </row>
    <row r="78" spans="3:6" s="7" customFormat="1" ht="12.3" x14ac:dyDescent="0.35">
      <c r="D78" s="17" t="s">
        <v>151</v>
      </c>
    </row>
    <row r="79" spans="3:6" s="7" customFormat="1" ht="12.3" x14ac:dyDescent="0.35">
      <c r="D79" s="17" t="s">
        <v>179</v>
      </c>
    </row>
    <row r="80" spans="3:6" s="7" customFormat="1" x14ac:dyDescent="0.35"/>
    <row r="81" spans="3:5" s="7" customFormat="1" ht="12.3" x14ac:dyDescent="0.35">
      <c r="C81" s="8" t="s">
        <v>110</v>
      </c>
      <c r="E81" s="20" t="s">
        <v>1</v>
      </c>
    </row>
    <row r="82" spans="3:5" s="7" customFormat="1" ht="12.3" x14ac:dyDescent="0.35">
      <c r="E82" s="22" t="s">
        <v>112</v>
      </c>
    </row>
    <row r="83" spans="3:5" s="7" customFormat="1" ht="12.3" x14ac:dyDescent="0.35">
      <c r="D83" s="17" t="s">
        <v>113</v>
      </c>
    </row>
    <row r="84" spans="3:5" s="7" customFormat="1" ht="12.3" x14ac:dyDescent="0.35">
      <c r="D84" s="17" t="s">
        <v>114</v>
      </c>
    </row>
    <row r="85" spans="3:5" s="7" customFormat="1" ht="12.3" x14ac:dyDescent="0.35">
      <c r="D85" s="17" t="s">
        <v>179</v>
      </c>
    </row>
    <row r="86" spans="3:5" s="7" customFormat="1" x14ac:dyDescent="0.35"/>
    <row r="87" spans="3:5" s="7" customFormat="1" ht="12.3" x14ac:dyDescent="0.35">
      <c r="C87" s="8" t="s">
        <v>115</v>
      </c>
      <c r="E87" s="20" t="s">
        <v>1</v>
      </c>
    </row>
    <row r="88" spans="3:5" s="7" customFormat="1" ht="12.3" x14ac:dyDescent="0.35">
      <c r="E88" s="22" t="s">
        <v>116</v>
      </c>
    </row>
    <row r="89" spans="3:5" s="7" customFormat="1" ht="12.3" x14ac:dyDescent="0.35">
      <c r="D89" s="17" t="s">
        <v>117</v>
      </c>
    </row>
    <row r="90" spans="3:5" s="7" customFormat="1" ht="12.3" x14ac:dyDescent="0.35">
      <c r="D90" s="17" t="s">
        <v>118</v>
      </c>
    </row>
    <row r="91" spans="3:5" s="7" customFormat="1" ht="12.3" x14ac:dyDescent="0.35">
      <c r="D91" s="17" t="s">
        <v>119</v>
      </c>
    </row>
    <row r="92" spans="3:5" s="7" customFormat="1" ht="12.3" x14ac:dyDescent="0.35">
      <c r="D92" s="17" t="s">
        <v>179</v>
      </c>
    </row>
    <row r="93" spans="3:5" s="7" customFormat="1" x14ac:dyDescent="0.35"/>
    <row r="94" spans="3:5" s="7" customFormat="1" ht="12.3" x14ac:dyDescent="0.35">
      <c r="C94" s="8" t="s">
        <v>238</v>
      </c>
      <c r="E94" s="20" t="s">
        <v>1</v>
      </c>
    </row>
    <row r="95" spans="3:5" s="7" customFormat="1" ht="12.3" x14ac:dyDescent="0.35">
      <c r="E95" s="22" t="s">
        <v>235</v>
      </c>
    </row>
    <row r="96" spans="3:5" s="7" customFormat="1" ht="12.3" x14ac:dyDescent="0.35">
      <c r="D96" s="17" t="s">
        <v>234</v>
      </c>
    </row>
    <row r="97" spans="3:5" s="7" customFormat="1" ht="12.3" x14ac:dyDescent="0.35">
      <c r="D97" s="17" t="s">
        <v>233</v>
      </c>
    </row>
    <row r="98" spans="3:5" s="7" customFormat="1" ht="12.3" x14ac:dyDescent="0.35">
      <c r="D98" s="17" t="s">
        <v>179</v>
      </c>
    </row>
    <row r="99" spans="3:5" s="7" customFormat="1" ht="12.3" x14ac:dyDescent="0.35">
      <c r="D99" s="146"/>
    </row>
    <row r="100" spans="3:5" s="7" customFormat="1" ht="12.3" x14ac:dyDescent="0.35">
      <c r="C100" s="8" t="s">
        <v>123</v>
      </c>
      <c r="E100" s="20" t="s">
        <v>1</v>
      </c>
    </row>
    <row r="101" spans="3:5" s="7" customFormat="1" ht="12.3" x14ac:dyDescent="0.35">
      <c r="E101" s="22" t="s">
        <v>124</v>
      </c>
    </row>
    <row r="102" spans="3:5" s="7" customFormat="1" ht="12.3" x14ac:dyDescent="0.35">
      <c r="D102" s="17" t="s">
        <v>220</v>
      </c>
      <c r="E102" s="17" t="s">
        <v>220</v>
      </c>
    </row>
    <row r="103" spans="3:5" s="7" customFormat="1" ht="12.3" x14ac:dyDescent="0.35">
      <c r="D103" s="17" t="s">
        <v>158</v>
      </c>
      <c r="E103" s="17" t="s">
        <v>320</v>
      </c>
    </row>
    <row r="104" spans="3:5" s="7" customFormat="1" ht="12.3" x14ac:dyDescent="0.35">
      <c r="D104" s="17" t="s">
        <v>160</v>
      </c>
      <c r="E104" s="17" t="s">
        <v>166</v>
      </c>
    </row>
    <row r="105" spans="3:5" s="7" customFormat="1" ht="12.3" x14ac:dyDescent="0.35">
      <c r="D105" s="17" t="s">
        <v>125</v>
      </c>
      <c r="E105" s="17" t="s">
        <v>167</v>
      </c>
    </row>
    <row r="106" spans="3:5" s="7" customFormat="1" ht="12.3" x14ac:dyDescent="0.35">
      <c r="D106" s="17" t="s">
        <v>152</v>
      </c>
      <c r="E106" s="17" t="s">
        <v>168</v>
      </c>
    </row>
    <row r="107" spans="3:5" s="7" customFormat="1" ht="12.3" x14ac:dyDescent="0.35">
      <c r="D107" s="17" t="s">
        <v>159</v>
      </c>
      <c r="E107" s="17" t="s">
        <v>169</v>
      </c>
    </row>
    <row r="108" spans="3:5" s="7" customFormat="1" x14ac:dyDescent="0.35"/>
    <row r="109" spans="3:5" s="7" customFormat="1" ht="12.3" x14ac:dyDescent="0.35">
      <c r="C109" s="8" t="s">
        <v>236</v>
      </c>
      <c r="E109" s="20" t="s">
        <v>1</v>
      </c>
    </row>
    <row r="110" spans="3:5" s="7" customFormat="1" ht="12.3" x14ac:dyDescent="0.35">
      <c r="E110" s="22" t="s">
        <v>237</v>
      </c>
    </row>
    <row r="111" spans="3:5" s="7" customFormat="1" ht="12.3" x14ac:dyDescent="0.35">
      <c r="D111" s="17" t="s">
        <v>222</v>
      </c>
    </row>
    <row r="112" spans="3:5" s="7" customFormat="1" ht="12.3" x14ac:dyDescent="0.35">
      <c r="D112" s="17" t="s">
        <v>223</v>
      </c>
    </row>
    <row r="113" spans="3:5" s="7" customFormat="1" ht="12.3" x14ac:dyDescent="0.35">
      <c r="D113" s="17" t="s">
        <v>224</v>
      </c>
    </row>
    <row r="114" spans="3:5" s="7" customFormat="1" ht="12.3" x14ac:dyDescent="0.35">
      <c r="D114" s="17" t="s">
        <v>225</v>
      </c>
    </row>
    <row r="115" spans="3:5" s="7" customFormat="1" ht="12.3" x14ac:dyDescent="0.35">
      <c r="D115" s="17" t="s">
        <v>226</v>
      </c>
    </row>
    <row r="116" spans="3:5" s="7" customFormat="1" ht="12.3" x14ac:dyDescent="0.35">
      <c r="D116" s="17" t="s">
        <v>227</v>
      </c>
    </row>
    <row r="117" spans="3:5" s="7" customFormat="1" ht="12.3" x14ac:dyDescent="0.35">
      <c r="D117" s="17" t="s">
        <v>368</v>
      </c>
    </row>
    <row r="118" spans="3:5" s="7" customFormat="1" ht="12.3" x14ac:dyDescent="0.35">
      <c r="D118" s="17" t="s">
        <v>179</v>
      </c>
    </row>
    <row r="119" spans="3:5" s="7" customFormat="1" x14ac:dyDescent="0.35"/>
    <row r="120" spans="3:5" s="7" customFormat="1" ht="12.3" x14ac:dyDescent="0.35">
      <c r="C120" s="8" t="s">
        <v>242</v>
      </c>
      <c r="E120" s="20" t="s">
        <v>1</v>
      </c>
    </row>
    <row r="121" spans="3:5" s="7" customFormat="1" ht="12.3" x14ac:dyDescent="0.35">
      <c r="E121" s="22" t="s">
        <v>243</v>
      </c>
    </row>
    <row r="122" spans="3:5" s="7" customFormat="1" ht="12.3" x14ac:dyDescent="0.35">
      <c r="D122" s="17" t="s">
        <v>244</v>
      </c>
    </row>
    <row r="123" spans="3:5" s="7" customFormat="1" ht="12.3" x14ac:dyDescent="0.35">
      <c r="D123" s="17" t="s">
        <v>251</v>
      </c>
    </row>
    <row r="124" spans="3:5" s="7" customFormat="1" ht="12.3" x14ac:dyDescent="0.35">
      <c r="D124" s="17" t="s">
        <v>245</v>
      </c>
    </row>
    <row r="125" spans="3:5" s="7" customFormat="1" ht="12.3" x14ac:dyDescent="0.35">
      <c r="D125" s="17" t="s">
        <v>246</v>
      </c>
    </row>
    <row r="126" spans="3:5" s="7" customFormat="1" ht="12.3" x14ac:dyDescent="0.35">
      <c r="D126" s="17" t="s">
        <v>247</v>
      </c>
    </row>
    <row r="127" spans="3:5" s="7" customFormat="1" ht="12.3" x14ac:dyDescent="0.35">
      <c r="D127" s="17" t="s">
        <v>179</v>
      </c>
    </row>
    <row r="128" spans="3:5" s="7" customFormat="1" x14ac:dyDescent="0.35"/>
    <row r="129" spans="3:6" s="7" customFormat="1" ht="12.3" x14ac:dyDescent="0.35">
      <c r="C129" s="8" t="s">
        <v>300</v>
      </c>
      <c r="E129" s="20" t="s">
        <v>1</v>
      </c>
    </row>
    <row r="130" spans="3:6" s="7" customFormat="1" ht="12.3" x14ac:dyDescent="0.35">
      <c r="E130" s="22" t="s">
        <v>301</v>
      </c>
    </row>
    <row r="131" spans="3:6" s="7" customFormat="1" ht="12.3" x14ac:dyDescent="0.35">
      <c r="D131" s="17" t="s">
        <v>234</v>
      </c>
    </row>
    <row r="132" spans="3:6" s="7" customFormat="1" ht="12.3" x14ac:dyDescent="0.35">
      <c r="D132" s="17" t="s">
        <v>233</v>
      </c>
    </row>
    <row r="133" spans="3:6" s="7" customFormat="1" ht="12.3" x14ac:dyDescent="0.35">
      <c r="D133" s="17" t="s">
        <v>179</v>
      </c>
    </row>
    <row r="134" spans="3:6" s="7" customFormat="1" x14ac:dyDescent="0.35"/>
    <row r="135" spans="3:6" s="7" customFormat="1" ht="12.3" x14ac:dyDescent="0.35">
      <c r="C135" s="8" t="s">
        <v>230</v>
      </c>
      <c r="E135" s="20" t="s">
        <v>1</v>
      </c>
    </row>
    <row r="136" spans="3:6" s="7" customFormat="1" ht="12.3" x14ac:dyDescent="0.35">
      <c r="D136" s="22" t="s">
        <v>232</v>
      </c>
      <c r="E136" s="22" t="s">
        <v>231</v>
      </c>
      <c r="F136" s="22" t="s">
        <v>237</v>
      </c>
    </row>
    <row r="137" spans="3:6" s="7" customFormat="1" ht="12.3" x14ac:dyDescent="0.35">
      <c r="D137" s="17" t="s">
        <v>181</v>
      </c>
      <c r="E137" s="147" t="s">
        <v>234</v>
      </c>
      <c r="F137" s="147" t="s">
        <v>179</v>
      </c>
    </row>
    <row r="138" spans="3:6" s="7" customFormat="1" ht="12.3" x14ac:dyDescent="0.35">
      <c r="D138" s="17" t="s">
        <v>182</v>
      </c>
      <c r="E138" s="147" t="s">
        <v>234</v>
      </c>
      <c r="F138" s="147" t="s">
        <v>179</v>
      </c>
    </row>
    <row r="139" spans="3:6" s="7" customFormat="1" ht="12.3" x14ac:dyDescent="0.35">
      <c r="D139" s="17" t="s">
        <v>129</v>
      </c>
      <c r="E139" s="147" t="s">
        <v>234</v>
      </c>
      <c r="F139" s="147" t="s">
        <v>224</v>
      </c>
    </row>
    <row r="140" spans="3:6" s="7" customFormat="1" ht="12.3" x14ac:dyDescent="0.35">
      <c r="D140" s="17" t="s">
        <v>130</v>
      </c>
      <c r="E140" s="147" t="s">
        <v>234</v>
      </c>
      <c r="F140" s="147" t="s">
        <v>227</v>
      </c>
    </row>
    <row r="141" spans="3:6" s="7" customFormat="1" ht="12.3" x14ac:dyDescent="0.35">
      <c r="D141" s="17" t="s">
        <v>188</v>
      </c>
      <c r="E141" s="147" t="s">
        <v>233</v>
      </c>
      <c r="F141" s="147" t="s">
        <v>179</v>
      </c>
    </row>
    <row r="142" spans="3:6" s="7" customFormat="1" ht="12.3" x14ac:dyDescent="0.35">
      <c r="D142" s="17" t="s">
        <v>189</v>
      </c>
      <c r="E142" s="147" t="s">
        <v>233</v>
      </c>
      <c r="F142" s="147" t="s">
        <v>179</v>
      </c>
    </row>
    <row r="143" spans="3:6" s="7" customFormat="1" ht="12.3" x14ac:dyDescent="0.35">
      <c r="D143" s="17" t="s">
        <v>190</v>
      </c>
      <c r="E143" s="147" t="s">
        <v>233</v>
      </c>
      <c r="F143" s="147" t="s">
        <v>179</v>
      </c>
    </row>
    <row r="144" spans="3:6" s="7" customFormat="1" ht="12.3" x14ac:dyDescent="0.35">
      <c r="D144" s="17" t="s">
        <v>191</v>
      </c>
      <c r="E144" s="147" t="s">
        <v>233</v>
      </c>
      <c r="F144" s="147" t="s">
        <v>179</v>
      </c>
    </row>
    <row r="145" spans="2:6" s="7" customFormat="1" ht="12.3" x14ac:dyDescent="0.35">
      <c r="D145" s="17" t="s">
        <v>192</v>
      </c>
      <c r="E145" s="147" t="s">
        <v>233</v>
      </c>
      <c r="F145" s="147" t="s">
        <v>179</v>
      </c>
    </row>
    <row r="146" spans="2:6" s="7" customFormat="1" ht="12.3" x14ac:dyDescent="0.35">
      <c r="D146" s="17" t="s">
        <v>193</v>
      </c>
      <c r="E146" s="147" t="s">
        <v>233</v>
      </c>
      <c r="F146" s="147" t="s">
        <v>179</v>
      </c>
    </row>
    <row r="147" spans="2:6" s="7" customFormat="1" ht="12.3" x14ac:dyDescent="0.35">
      <c r="D147" s="17" t="s">
        <v>197</v>
      </c>
      <c r="E147" s="147" t="s">
        <v>233</v>
      </c>
      <c r="F147" s="147" t="s">
        <v>179</v>
      </c>
    </row>
    <row r="148" spans="2:6" s="7" customFormat="1" ht="12.3" x14ac:dyDescent="0.35">
      <c r="D148" s="17" t="s">
        <v>220</v>
      </c>
      <c r="E148" s="147" t="s">
        <v>179</v>
      </c>
      <c r="F148" s="147" t="s">
        <v>179</v>
      </c>
    </row>
    <row r="149" spans="2:6" s="7" customFormat="1" x14ac:dyDescent="0.35"/>
    <row r="150" spans="2:6" s="4" customFormat="1" ht="15" x14ac:dyDescent="0.35">
      <c r="B150" s="4" t="s">
        <v>31</v>
      </c>
    </row>
  </sheetData>
  <conditionalFormatting sqref="B2">
    <cfRule type="cellIs" dxfId="6" priority="1" operator="notEqual">
      <formula>"No Errors Found"</formula>
    </cfRule>
  </conditionalFormatting>
  <dataValidations count="2">
    <dataValidation type="list" allowBlank="1" showInputMessage="1" showErrorMessage="1" sqref="E137:E148" xr:uid="{01A68BE4-74A9-4611-89C4-9B99FFEC64AE}">
      <formula1>LU_Cash_Flow_Type</formula1>
    </dataValidation>
    <dataValidation type="list" allowBlank="1" showInputMessage="1" showErrorMessage="1" sqref="F137:F148" xr:uid="{CBD2E78B-8396-442B-B2F4-D562B43CCF79}">
      <formula1>LU_RAB_Asset_Class</formula1>
    </dataValidation>
  </dataValidations>
  <hyperlinks>
    <hyperlink ref="B3:E3" location="TOC!A1" display="TOC!A1" xr:uid="{00000000-0004-0000-0F00-000000000000}"/>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dimension ref="A1:I43"/>
  <sheetViews>
    <sheetView showGridLines="0" zoomScaleNormal="100" workbookViewId="0">
      <pane xSplit="1" ySplit="4" topLeftCell="B5" activePane="bottomRight" state="frozen"/>
      <selection pane="topRight" activeCell="B1" sqref="B1"/>
      <selection pane="bottomLeft" activeCell="A4" sqref="A4"/>
      <selection pane="bottomRight" activeCell="B5" sqref="B5"/>
    </sheetView>
  </sheetViews>
  <sheetFormatPr defaultRowHeight="10.199999999999999" x14ac:dyDescent="0.35"/>
  <cols>
    <col min="1" max="3" width="2.796875" customWidth="1"/>
    <col min="4" max="4" width="65" customWidth="1"/>
    <col min="5" max="7" width="3.796875" customWidth="1"/>
  </cols>
  <sheetData>
    <row r="1" spans="1:9" ht="18.899999999999999" x14ac:dyDescent="0.35">
      <c r="A1" s="7"/>
      <c r="B1" s="5" t="s">
        <v>30</v>
      </c>
      <c r="C1" s="7"/>
      <c r="D1" s="7"/>
      <c r="E1" s="7"/>
      <c r="F1" s="7"/>
      <c r="G1" s="7"/>
      <c r="H1" s="7"/>
      <c r="I1" s="7"/>
    </row>
    <row r="2" spans="1:9" s="9" customFormat="1" x14ac:dyDescent="0.35">
      <c r="A2" s="7"/>
      <c r="B2" s="18" t="str">
        <f>Title_Msg</f>
        <v>No Errors Found</v>
      </c>
      <c r="C2" s="7"/>
      <c r="D2" s="7"/>
      <c r="E2" s="7"/>
      <c r="F2" s="7"/>
      <c r="G2" s="7"/>
      <c r="H2" s="7"/>
      <c r="I2" s="7"/>
    </row>
    <row r="3" spans="1:9" s="7" customFormat="1" x14ac:dyDescent="0.35">
      <c r="B3" s="55" t="str">
        <f>TOC!B1</f>
        <v>Table of Contents</v>
      </c>
      <c r="C3" s="49"/>
      <c r="D3" s="49"/>
      <c r="E3" s="49"/>
    </row>
    <row r="4" spans="1:9" s="7" customFormat="1" ht="12.3" x14ac:dyDescent="0.35">
      <c r="B4" s="46" t="str">
        <f>Model_Name</f>
        <v>Cost Benefit Analysis - Advanced Metering within the regulated NT electricity networks</v>
      </c>
    </row>
    <row r="5" spans="1:9" s="9" customFormat="1" x14ac:dyDescent="0.35">
      <c r="A5" s="7"/>
      <c r="B5" s="18"/>
      <c r="C5" s="7"/>
      <c r="D5" s="7"/>
      <c r="E5" s="7"/>
      <c r="F5" s="7"/>
      <c r="G5" s="7"/>
      <c r="H5" s="7"/>
      <c r="I5" s="7"/>
    </row>
    <row r="6" spans="1:9" s="25" customFormat="1" ht="15" x14ac:dyDescent="0.35">
      <c r="B6" s="4" t="s">
        <v>16</v>
      </c>
    </row>
    <row r="7" spans="1:9" s="9" customFormat="1" ht="4.1500000000000004" customHeight="1" x14ac:dyDescent="0.35">
      <c r="A7" s="7"/>
      <c r="B7" s="26"/>
      <c r="C7" s="7"/>
      <c r="D7" s="7"/>
      <c r="E7" s="7"/>
      <c r="F7" s="7"/>
      <c r="G7" s="7"/>
      <c r="H7" s="7"/>
      <c r="I7" s="7"/>
    </row>
    <row r="8" spans="1:9" s="9" customFormat="1" ht="12.3" x14ac:dyDescent="0.35">
      <c r="A8" s="7"/>
      <c r="D8" s="11" t="s">
        <v>15</v>
      </c>
      <c r="E8" s="7"/>
      <c r="F8" s="7"/>
      <c r="G8" s="7"/>
      <c r="H8" s="12" t="str">
        <f>IF(H41=0,"No Errors Found","Errors Found")</f>
        <v>No Errors Found</v>
      </c>
      <c r="I8" s="7"/>
    </row>
    <row r="9" spans="1:9" s="9" customFormat="1" ht="12.3" x14ac:dyDescent="0.35">
      <c r="A9" s="7"/>
      <c r="D9" s="11" t="s">
        <v>17</v>
      </c>
      <c r="E9" s="7"/>
      <c r="F9" s="7"/>
      <c r="G9" s="7"/>
      <c r="H9" s="11"/>
      <c r="I9" s="7"/>
    </row>
    <row r="10" spans="1:9" s="9" customFormat="1" ht="12.3" x14ac:dyDescent="0.35">
      <c r="A10" s="7"/>
      <c r="D10" s="11" t="s">
        <v>18</v>
      </c>
      <c r="E10" s="7"/>
      <c r="F10" s="7"/>
      <c r="G10" s="7"/>
      <c r="H10" s="29" t="str">
        <f>H8&amp;IF(H9="","",", " &amp;H9)</f>
        <v>No Errors Found</v>
      </c>
      <c r="I10" s="7"/>
    </row>
    <row r="11" spans="1:9" s="9" customFormat="1" ht="4.1500000000000004" customHeight="1" x14ac:dyDescent="0.35">
      <c r="A11" s="7"/>
      <c r="B11" s="26"/>
      <c r="C11" s="7"/>
      <c r="D11" s="7"/>
      <c r="E11" s="7"/>
      <c r="F11" s="7"/>
      <c r="G11" s="7"/>
      <c r="H11" s="7"/>
      <c r="I11" s="7"/>
    </row>
    <row r="12" spans="1:9" s="25" customFormat="1" ht="15" x14ac:dyDescent="0.35">
      <c r="B12" s="4" t="s">
        <v>30</v>
      </c>
    </row>
    <row r="13" spans="1:9" s="9" customFormat="1" ht="4.1500000000000004" customHeight="1" x14ac:dyDescent="0.35">
      <c r="A13" s="7"/>
      <c r="B13" s="26"/>
      <c r="C13" s="7"/>
      <c r="D13" s="7"/>
      <c r="E13" s="7"/>
      <c r="F13" s="7"/>
      <c r="G13" s="7"/>
      <c r="H13" s="7"/>
      <c r="I13" s="7"/>
    </row>
    <row r="14" spans="1:9" s="13" customFormat="1" ht="14.1" x14ac:dyDescent="0.35">
      <c r="C14" s="13" t="s">
        <v>12</v>
      </c>
    </row>
    <row r="15" spans="1:9" s="9" customFormat="1" ht="4.1500000000000004" customHeight="1" x14ac:dyDescent="0.35">
      <c r="A15" s="7"/>
      <c r="B15" s="26"/>
      <c r="C15" s="7"/>
      <c r="D15" s="7"/>
      <c r="E15" s="7"/>
      <c r="F15" s="7"/>
      <c r="G15" s="7"/>
      <c r="H15" s="7"/>
      <c r="I15" s="7"/>
    </row>
    <row r="16" spans="1:9" s="9" customFormat="1" ht="12.3" x14ac:dyDescent="0.35">
      <c r="C16" s="14" t="s">
        <v>103</v>
      </c>
    </row>
    <row r="17" spans="1:9" s="9" customFormat="1" ht="4.1500000000000004" customHeight="1" x14ac:dyDescent="0.35">
      <c r="A17" s="7"/>
      <c r="B17" s="26"/>
      <c r="C17" s="7"/>
      <c r="D17" s="7"/>
      <c r="E17" s="7"/>
      <c r="F17" s="7"/>
      <c r="G17" s="7"/>
      <c r="H17" s="7"/>
      <c r="I17" s="7"/>
    </row>
    <row r="18" spans="1:9" x14ac:dyDescent="0.35">
      <c r="A18" s="7"/>
      <c r="D18" s="55" t="str">
        <f>Input_General!$B$1</f>
        <v>Input - Discount rate, escalation and CPI assumptions</v>
      </c>
      <c r="E18" s="7"/>
      <c r="F18" s="7"/>
      <c r="G18" s="7"/>
      <c r="H18" s="70">
        <f>Input_General!$A$1</f>
        <v>0</v>
      </c>
      <c r="I18" s="7"/>
    </row>
    <row r="19" spans="1:9" s="9" customFormat="1" x14ac:dyDescent="0.35">
      <c r="A19" s="7"/>
      <c r="D19" s="55" t="str">
        <f>Input_Meters!$B$1</f>
        <v>Inputs - Meter related assumptions</v>
      </c>
      <c r="E19" s="7"/>
      <c r="F19" s="7"/>
      <c r="G19" s="7"/>
      <c r="H19" s="70">
        <f>Input_Meters!$A$1</f>
        <v>0</v>
      </c>
      <c r="I19" s="7"/>
    </row>
    <row r="20" spans="1:9" s="9" customFormat="1" x14ac:dyDescent="0.35">
      <c r="A20" s="7"/>
      <c r="D20" s="55" t="str">
        <f>Input_Meter_Movements!$B$1</f>
        <v>Input - Meter time series assumptions</v>
      </c>
      <c r="E20" s="7"/>
      <c r="F20" s="7"/>
      <c r="G20" s="7"/>
      <c r="H20" s="70">
        <f>Input_Meter_Movements!$A$1</f>
        <v>0</v>
      </c>
      <c r="I20" s="7"/>
    </row>
    <row r="21" spans="1:9" s="9" customFormat="1" x14ac:dyDescent="0.35">
      <c r="A21" s="7"/>
      <c r="D21" s="55" t="str">
        <f>Input_Comms!$B$1</f>
        <v>Inputs - Communications assumptions</v>
      </c>
      <c r="E21" s="7"/>
      <c r="F21" s="7"/>
      <c r="G21" s="7"/>
      <c r="H21" s="70">
        <f>Input_Comms!$A$1</f>
        <v>0</v>
      </c>
      <c r="I21" s="7"/>
    </row>
    <row r="22" spans="1:9" s="9" customFormat="1" x14ac:dyDescent="0.35">
      <c r="A22" s="7"/>
      <c r="D22" s="55" t="str">
        <f>Input_IT!$B$1</f>
        <v>Input - IT assumptions</v>
      </c>
      <c r="E22" s="7"/>
      <c r="F22" s="7"/>
      <c r="G22" s="7"/>
      <c r="H22" s="70">
        <f>Input_IT!$A$1</f>
        <v>0</v>
      </c>
      <c r="I22" s="7"/>
    </row>
    <row r="23" spans="1:9" s="9" customFormat="1" x14ac:dyDescent="0.35">
      <c r="A23" s="7"/>
      <c r="D23" s="55" t="str">
        <f>Input_Services!$B$1</f>
        <v>Input - Meter service assumptions</v>
      </c>
      <c r="E23" s="7"/>
      <c r="F23" s="7"/>
      <c r="G23" s="7"/>
      <c r="H23" s="70">
        <f>Input_Services!$A$1</f>
        <v>0</v>
      </c>
      <c r="I23" s="7"/>
    </row>
    <row r="24" spans="1:9" s="9" customFormat="1" x14ac:dyDescent="0.35">
      <c r="A24" s="7"/>
      <c r="D24" s="55" t="str">
        <f>Input_Other!$B$1</f>
        <v>Input - Other policy and investment assumptions</v>
      </c>
      <c r="E24" s="7"/>
      <c r="F24" s="7"/>
      <c r="G24" s="7"/>
      <c r="H24" s="70">
        <f>Input_Other!$A$1</f>
        <v>0</v>
      </c>
      <c r="I24" s="7"/>
    </row>
    <row r="25" spans="1:9" s="9" customFormat="1" x14ac:dyDescent="0.35">
      <c r="A25" s="7"/>
      <c r="D25" s="55" t="str">
        <f>Input_RIN!$B$1</f>
        <v>Input - Metering RINs</v>
      </c>
      <c r="E25" s="7"/>
      <c r="F25" s="7"/>
      <c r="G25" s="7"/>
      <c r="H25" s="70">
        <f>Input_RIN!$A$1</f>
        <v>0</v>
      </c>
      <c r="I25" s="7"/>
    </row>
    <row r="26" spans="1:9" s="9" customFormat="1" x14ac:dyDescent="0.35">
      <c r="A26" s="7"/>
      <c r="D26" s="55" t="str">
        <f>Input_Capex!$B$1</f>
        <v>Input - Non network capex assumptions</v>
      </c>
      <c r="E26" s="7"/>
      <c r="F26" s="7"/>
      <c r="G26" s="7"/>
      <c r="H26" s="70">
        <f>Input_Capex!$A$1</f>
        <v>0</v>
      </c>
      <c r="I26" s="7"/>
    </row>
    <row r="27" spans="1:9" s="9" customFormat="1" x14ac:dyDescent="0.35">
      <c r="A27" s="7"/>
      <c r="D27" s="55" t="str">
        <f>Calc_Scenario_1!$B$1</f>
        <v>Calculations - Base Case - Advanced capable meters</v>
      </c>
      <c r="E27" s="7"/>
      <c r="F27" s="7"/>
      <c r="G27" s="7"/>
      <c r="H27" s="70">
        <f>Calc_Scenario_1!$A$1</f>
        <v>0</v>
      </c>
      <c r="I27" s="7"/>
    </row>
    <row r="28" spans="1:9" s="9" customFormat="1" x14ac:dyDescent="0.35">
      <c r="A28" s="7"/>
      <c r="D28" s="55" t="str">
        <f>Calc_Scenario_2!$B$1</f>
        <v>Calculations - Targeted roll out</v>
      </c>
      <c r="E28" s="7"/>
      <c r="F28" s="7"/>
      <c r="G28" s="7"/>
      <c r="H28" s="70">
        <f>Calc_Scenario_2!$A$1</f>
        <v>0</v>
      </c>
      <c r="I28" s="7"/>
    </row>
    <row r="29" spans="1:9" s="9" customFormat="1" x14ac:dyDescent="0.35">
      <c r="A29" s="7"/>
      <c r="D29" s="55" t="str">
        <f>Calc_Scenario_3!$B$1</f>
        <v>Calculations - Advanced meters, enabled immediately</v>
      </c>
      <c r="E29" s="7"/>
      <c r="F29" s="7"/>
      <c r="G29" s="7"/>
      <c r="H29" s="70">
        <f>Calc_Scenario_3!$A$1</f>
        <v>0</v>
      </c>
      <c r="I29" s="7"/>
    </row>
    <row r="30" spans="1:9" s="9" customFormat="1" x14ac:dyDescent="0.35">
      <c r="A30" s="7"/>
      <c r="D30" s="55" t="str">
        <f>Calc_Scenario_4!$B$1</f>
        <v>Calculations - Advanced capable meters, enabled strategically</v>
      </c>
      <c r="E30" s="7"/>
      <c r="F30" s="7"/>
      <c r="G30" s="7"/>
      <c r="H30" s="70">
        <f>Calc_Scenario_4!$A$1</f>
        <v>0</v>
      </c>
      <c r="I30" s="7"/>
    </row>
    <row r="31" spans="1:9" s="9" customFormat="1" x14ac:dyDescent="0.35">
      <c r="A31" s="7"/>
      <c r="D31" s="55" t="str">
        <f>Calc_Scenario_5!$B$1</f>
        <v>Calculations - Transition via advanced meters</v>
      </c>
      <c r="E31" s="7"/>
      <c r="F31" s="7"/>
      <c r="G31" s="7"/>
      <c r="H31" s="70">
        <f>Calc_Scenario_5!$A$1</f>
        <v>0</v>
      </c>
      <c r="I31" s="7"/>
    </row>
    <row r="32" spans="1:9" s="9" customFormat="1" x14ac:dyDescent="0.35">
      <c r="A32" s="7"/>
      <c r="D32" s="55" t="str">
        <f>Calc_CF_Sum!$B$1</f>
        <v>Calculation - Scenario Cash Flows</v>
      </c>
      <c r="E32" s="7"/>
      <c r="F32" s="7"/>
      <c r="G32" s="7"/>
      <c r="H32" s="70">
        <f>Calc_CF_Sum!$A$1</f>
        <v>0</v>
      </c>
      <c r="I32" s="7"/>
    </row>
    <row r="33" spans="1:9" s="9" customFormat="1" x14ac:dyDescent="0.35">
      <c r="A33" s="7"/>
      <c r="D33" s="55" t="str">
        <f>Output_NPV!$B$1</f>
        <v>Output - NPV Summary</v>
      </c>
      <c r="E33" s="7"/>
      <c r="F33" s="7"/>
      <c r="G33" s="7"/>
      <c r="H33" s="70">
        <f>Output_NPV!$A$1</f>
        <v>0</v>
      </c>
      <c r="I33" s="7"/>
    </row>
    <row r="34" spans="1:9" s="9" customFormat="1" x14ac:dyDescent="0.35">
      <c r="A34" s="7"/>
      <c r="D34" s="55" t="str">
        <f>Output_Sensitivities!$B$1</f>
        <v>Outputs - Sensitivities</v>
      </c>
      <c r="E34" s="7"/>
      <c r="F34" s="7"/>
      <c r="G34" s="7"/>
      <c r="H34" s="70">
        <f>Output_Sensitivities!$A$1</f>
        <v>0</v>
      </c>
      <c r="I34" s="7"/>
    </row>
    <row r="35" spans="1:9" s="9" customFormat="1" x14ac:dyDescent="0.35">
      <c r="A35" s="7"/>
      <c r="D35" s="55" t="str">
        <f>Output_AER_Capex!$B$1</f>
        <v>Output - AER Capex Forecast</v>
      </c>
      <c r="E35" s="7"/>
      <c r="F35" s="7"/>
      <c r="G35" s="7"/>
      <c r="H35" s="70">
        <f>Output_AER_Capex!$A$1</f>
        <v>0</v>
      </c>
      <c r="I35" s="7"/>
    </row>
    <row r="36" spans="1:9" s="9" customFormat="1" x14ac:dyDescent="0.35">
      <c r="A36" s="7"/>
      <c r="D36" s="55" t="str">
        <f>Output_AER_Step!$B$1</f>
        <v>Output - Metering opex step changes</v>
      </c>
      <c r="E36" s="7"/>
      <c r="F36" s="7"/>
      <c r="G36" s="7"/>
      <c r="H36" s="70">
        <f>Output_AER_Step!$A$1</f>
        <v>0</v>
      </c>
      <c r="I36" s="7"/>
    </row>
    <row r="37" spans="1:9" s="9" customFormat="1" x14ac:dyDescent="0.35">
      <c r="A37" s="7"/>
      <c r="D37" s="55" t="str">
        <f>Output_Tariffs!$B$1</f>
        <v>Output - Metering tariffs</v>
      </c>
      <c r="E37" s="7"/>
      <c r="F37" s="7"/>
      <c r="G37" s="7"/>
      <c r="H37" s="70">
        <f>Output_Tariffs!$A$1</f>
        <v>0</v>
      </c>
      <c r="I37" s="7"/>
    </row>
    <row r="38" spans="1:9" s="9" customFormat="1" x14ac:dyDescent="0.35">
      <c r="A38" s="7"/>
      <c r="D38" s="55" t="str">
        <f>Output_RIN!$B$1</f>
        <v>Output - Forecast Metering - CA RIN (2017-18 to 2023-24)</v>
      </c>
      <c r="E38" s="7"/>
      <c r="F38" s="7"/>
      <c r="G38" s="7"/>
      <c r="H38" s="70">
        <f>Output_RIN!$A$1</f>
        <v>0</v>
      </c>
      <c r="I38" s="7"/>
    </row>
    <row r="39" spans="1:9" s="9" customFormat="1" x14ac:dyDescent="0.35">
      <c r="A39" s="7"/>
      <c r="D39" s="55" t="str">
        <f>Output_AMP!$B$1</f>
        <v>Output - Asset Management Plan</v>
      </c>
      <c r="E39" s="7"/>
      <c r="F39" s="7"/>
      <c r="G39" s="7"/>
      <c r="H39" s="70">
        <f>Output_AMP!$A$1</f>
        <v>0</v>
      </c>
      <c r="I39" s="7"/>
    </row>
    <row r="40" spans="1:9" s="9" customFormat="1" ht="4.1500000000000004" customHeight="1" x14ac:dyDescent="0.35">
      <c r="A40" s="7"/>
      <c r="B40" s="26"/>
      <c r="C40" s="7"/>
      <c r="D40" s="7"/>
      <c r="E40" s="7"/>
      <c r="F40" s="7"/>
      <c r="G40" s="7"/>
      <c r="H40" s="7"/>
      <c r="I40" s="7"/>
    </row>
    <row r="41" spans="1:9" ht="12.3" x14ac:dyDescent="0.35">
      <c r="C41" s="14" t="s">
        <v>47</v>
      </c>
      <c r="H41" s="28">
        <f>IF(SUM(H18:H39)=0,0,1)</f>
        <v>0</v>
      </c>
    </row>
    <row r="42" spans="1:9" s="9" customFormat="1" ht="4.1500000000000004" customHeight="1" x14ac:dyDescent="0.35">
      <c r="A42" s="7"/>
      <c r="B42" s="26"/>
      <c r="C42" s="7"/>
      <c r="D42" s="7"/>
      <c r="E42" s="7"/>
      <c r="F42" s="7"/>
      <c r="G42" s="7"/>
      <c r="H42" s="7"/>
      <c r="I42" s="7"/>
    </row>
    <row r="43" spans="1:9" s="25" customFormat="1" ht="15" x14ac:dyDescent="0.35">
      <c r="B43" s="4" t="s">
        <v>31</v>
      </c>
    </row>
  </sheetData>
  <conditionalFormatting sqref="B7 B2 B5">
    <cfRule type="cellIs" dxfId="5" priority="21" operator="notEqual">
      <formula>"No Errors Found"</formula>
    </cfRule>
  </conditionalFormatting>
  <conditionalFormatting sqref="B11">
    <cfRule type="cellIs" dxfId="4" priority="18" operator="notEqual">
      <formula>"No Errors Found"</formula>
    </cfRule>
  </conditionalFormatting>
  <conditionalFormatting sqref="B13">
    <cfRule type="cellIs" dxfId="3" priority="17" operator="notEqual">
      <formula>"No Errors Found"</formula>
    </cfRule>
  </conditionalFormatting>
  <conditionalFormatting sqref="B15 B17">
    <cfRule type="cellIs" dxfId="2" priority="16" operator="notEqual">
      <formula>"No Errors Found"</formula>
    </cfRule>
  </conditionalFormatting>
  <conditionalFormatting sqref="B40">
    <cfRule type="cellIs" dxfId="1" priority="15" operator="notEqual">
      <formula>"No Errors Found"</formula>
    </cfRule>
  </conditionalFormatting>
  <conditionalFormatting sqref="B42">
    <cfRule type="cellIs" dxfId="0" priority="14" operator="notEqual">
      <formula>"No Errors Found"</formula>
    </cfRule>
  </conditionalFormatting>
  <hyperlinks>
    <hyperlink ref="B3:E3" location="TOC!A1" display="TOC!A1" xr:uid="{00000000-0004-0000-1000-000000000000}"/>
    <hyperlink ref="D18" location="Input_General!A1" display="Input_General!A1" xr:uid="{5DD93CA4-BDE8-4BC6-BC28-9968C858F2C0}"/>
    <hyperlink ref="D21" location="Input_Comms!A1" display="Input_Comms!A1" xr:uid="{999C7215-814E-4FF7-9A27-1895A95CEB02}"/>
    <hyperlink ref="D19" location="Input_Meters!A1" display="Input_Meters!A1" xr:uid="{A40C5B0B-EAED-40AD-928F-96C370498E65}"/>
    <hyperlink ref="D22" location="Input_IT!A1" display="Input_IT!A1" xr:uid="{3739EC70-4A82-459D-B713-939D4401A361}"/>
    <hyperlink ref="D23" location="Input_Services!A1" display="Input_Services!A1" xr:uid="{1F5DCAA2-2FF2-44BB-A5AB-3A65876FE15E}"/>
    <hyperlink ref="D24" location="Input_Other!A1" display="Input_Other!A1" xr:uid="{6D854D1E-815E-4A79-8FA5-B7016D0BE3BD}"/>
    <hyperlink ref="D25" location="Input_RIN!A1" display="Input_RIN!A1" xr:uid="{E7841F09-EFE3-4249-937F-22B752F0BF57}"/>
    <hyperlink ref="D26" location="Input_Capex!A1" display="Input_Capex!A1" xr:uid="{ED1DD280-7230-43E5-88DB-6CD6D07C183F}"/>
    <hyperlink ref="D20" location="Input_Meter_Movements!A1" display="Input_Meter_Movements!A1" xr:uid="{FD0A1062-4799-46D7-A79B-F225EB31F221}"/>
    <hyperlink ref="D32" location="Calc_CF_Sum!A1" display="Calc_CF_Sum!A1" xr:uid="{2AF5F477-4D2E-4CED-837C-6C0E7D7AD64F}"/>
    <hyperlink ref="D28" location="Calc_Scenario_2!A1" display="Calc_Scenario_2!A1" xr:uid="{590327BB-1182-4BE5-9D49-BDAF119B19A0}"/>
    <hyperlink ref="D29" location="Calc_Scenario_3!A1" display="Calc_Scenario_3!A1" xr:uid="{3AF8AE69-AAA5-4491-BB75-2C03737066B6}"/>
    <hyperlink ref="D30" location="Calc_Scenario_4!A1" display="Calc_Scenario_4!A1" xr:uid="{77A79673-A0D0-4550-9D8F-2C461A271964}"/>
    <hyperlink ref="D31" location="Calc_Scenario_5!A1" display="Calc_Scenario_5!A1" xr:uid="{5F4253F6-B52D-4C3C-B420-FB5CD8598192}"/>
    <hyperlink ref="D27" location="Calc_Scenario_1!A1" display="Calc_Scenario_1!A1" xr:uid="{2C25593A-44EF-4E7B-BD86-4013A9587F7E}"/>
    <hyperlink ref="D33" location="Output_NPV!A1" display="Output_NPV!A1" xr:uid="{FBEEE009-8EE2-46F9-9EC9-A57666CBE873}"/>
    <hyperlink ref="D34" location="Output_Sensitivities!A1" display="Output_Sensitivities!A1" xr:uid="{CB0C32BA-F7B7-47D1-BFCB-0830E5B168B6}"/>
    <hyperlink ref="D35" location="Output_AER_Capex!A1" display="Output_AER_Capex!A1" xr:uid="{5CD08084-29AA-4A31-9F03-65F9470B85E9}"/>
    <hyperlink ref="D36" location="Output_AER_Step!A1" display="Output_AER_Step!A1" xr:uid="{198B2D00-6579-4FD3-8D4F-51130E87EDFF}"/>
    <hyperlink ref="D37" location="Output_Tariffs!A1" display="Output_Tariffs!A1" xr:uid="{69F53E13-7679-484A-B2FF-66313267BD30}"/>
    <hyperlink ref="D38" location="Output_RIN!A1" display="Output_RIN!A1" xr:uid="{330028C1-8D73-4C8F-BA54-4FF728A67A44}"/>
    <hyperlink ref="D39" location="Output_AMP!A1" display="Output_AMP!A1" xr:uid="{2703BB78-D276-4743-A7EF-9D2CC12464E8}"/>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4" tint="0.59999389629810485"/>
  </sheetPr>
  <dimension ref="A1:AW72"/>
  <sheetViews>
    <sheetView showGridLines="0" zoomScaleNormal="100" workbookViewId="0">
      <pane xSplit="1" ySplit="10" topLeftCell="B11" activePane="bottomRight" state="frozen"/>
      <selection activeCell="N11" sqref="F4:U25"/>
      <selection pane="topRight" activeCell="N11" sqref="F4:U25"/>
      <selection pane="bottomLeft" activeCell="N11" sqref="F4:U25"/>
      <selection pane="bottomRight" activeCell="B11" sqref="B11"/>
    </sheetView>
  </sheetViews>
  <sheetFormatPr defaultColWidth="9.33203125" defaultRowHeight="10.199999999999999" outlineLevelRow="1" x14ac:dyDescent="0.35"/>
  <cols>
    <col min="1" max="1" width="3.33203125" style="7" customWidth="1"/>
    <col min="2" max="2" width="2.796875" style="7" customWidth="1"/>
    <col min="3" max="3" width="5" style="7" customWidth="1"/>
    <col min="4" max="4" width="35.9296875" style="7" customWidth="1"/>
    <col min="5" max="5" width="20.59765625" style="7" customWidth="1"/>
    <col min="6" max="6" width="9.1328125" style="7" customWidth="1"/>
    <col min="7" max="7" width="12" style="7" customWidth="1"/>
    <col min="8" max="8" width="10" style="7" customWidth="1"/>
    <col min="9" max="9" width="10.796875" style="7" customWidth="1"/>
    <col min="10" max="14" width="12.59765625" style="7" customWidth="1"/>
    <col min="15" max="49" width="12.796875" style="7" customWidth="1"/>
    <col min="50" max="50" width="10.796875" style="7" customWidth="1"/>
    <col min="51" max="16384" width="9.33203125" style="7"/>
  </cols>
  <sheetData>
    <row r="1" spans="1:49" ht="18.899999999999999" x14ac:dyDescent="0.35">
      <c r="A1" s="65">
        <f>IF(SUM($A11:$A72)&gt;0,1,0)</f>
        <v>0</v>
      </c>
      <c r="B1" s="5" t="s">
        <v>161</v>
      </c>
    </row>
    <row r="2" spans="1:49" x14ac:dyDescent="0.35">
      <c r="B2" s="18" t="str">
        <f>Title_Msg</f>
        <v>No Errors Found</v>
      </c>
    </row>
    <row r="3" spans="1:49" x14ac:dyDescent="0.35">
      <c r="B3" s="55" t="str">
        <f>TOC!B1</f>
        <v>Table of Contents</v>
      </c>
      <c r="C3" s="49"/>
      <c r="D3" s="49"/>
      <c r="E3" s="49"/>
    </row>
    <row r="4" spans="1:49" ht="12.3" x14ac:dyDescent="0.35">
      <c r="B4" s="46" t="str">
        <f>Model_Name</f>
        <v>Cost Benefit Analysis - Advanced Metering within the regulated NT electricity networks</v>
      </c>
    </row>
    <row r="5" spans="1:49" ht="12.3" hidden="1" outlineLevel="1" x14ac:dyDescent="0.35">
      <c r="B5" s="15" t="str">
        <f>Lookup!B15</f>
        <v>Period Start Date</v>
      </c>
      <c r="J5" s="60">
        <f>Lookup!J15</f>
        <v>42917</v>
      </c>
      <c r="K5" s="60">
        <f>Lookup!K15</f>
        <v>43282</v>
      </c>
      <c r="L5" s="60">
        <f>Lookup!L15</f>
        <v>43647</v>
      </c>
      <c r="M5" s="60">
        <f>Lookup!M15</f>
        <v>44013</v>
      </c>
      <c r="N5" s="60">
        <f>Lookup!N15</f>
        <v>44378</v>
      </c>
      <c r="O5" s="60">
        <f>Lookup!O15</f>
        <v>44743</v>
      </c>
      <c r="P5" s="60">
        <f>Lookup!P15</f>
        <v>45108</v>
      </c>
      <c r="Q5" s="60">
        <f>Lookup!Q15</f>
        <v>45474</v>
      </c>
      <c r="R5" s="60">
        <f>Lookup!R15</f>
        <v>45839</v>
      </c>
      <c r="S5" s="60">
        <f>Lookup!S15</f>
        <v>46204</v>
      </c>
      <c r="T5" s="60">
        <f>Lookup!T15</f>
        <v>46569</v>
      </c>
      <c r="U5" s="60">
        <f>Lookup!U15</f>
        <v>46935</v>
      </c>
      <c r="V5" s="60">
        <f>Lookup!V15</f>
        <v>47300</v>
      </c>
      <c r="W5" s="60">
        <f>Lookup!W15</f>
        <v>47665</v>
      </c>
      <c r="X5" s="60">
        <f>Lookup!X15</f>
        <v>48030</v>
      </c>
      <c r="Y5" s="60">
        <f>Lookup!Y15</f>
        <v>48396</v>
      </c>
      <c r="Z5" s="60">
        <f>Lookup!Z15</f>
        <v>48761</v>
      </c>
      <c r="AA5" s="60">
        <f>Lookup!AA15</f>
        <v>49126</v>
      </c>
      <c r="AB5" s="60">
        <f>Lookup!AB15</f>
        <v>49491</v>
      </c>
      <c r="AC5" s="60">
        <f>Lookup!AC15</f>
        <v>49857</v>
      </c>
      <c r="AD5" s="60">
        <f>Lookup!AD15</f>
        <v>50222</v>
      </c>
      <c r="AE5" s="60">
        <f>Lookup!AE15</f>
        <v>50587</v>
      </c>
      <c r="AF5" s="60">
        <f>Lookup!AF15</f>
        <v>50952</v>
      </c>
      <c r="AG5" s="60">
        <f>Lookup!AG15</f>
        <v>51318</v>
      </c>
      <c r="AH5" s="60">
        <f>Lookup!AH15</f>
        <v>51683</v>
      </c>
      <c r="AI5" s="60">
        <f>Lookup!AI15</f>
        <v>52048</v>
      </c>
      <c r="AJ5" s="60">
        <f>Lookup!AJ15</f>
        <v>52413</v>
      </c>
      <c r="AK5" s="60">
        <f>Lookup!AK15</f>
        <v>52779</v>
      </c>
      <c r="AL5" s="60">
        <f>Lookup!AL15</f>
        <v>53144</v>
      </c>
      <c r="AM5" s="60">
        <f>Lookup!AM15</f>
        <v>53509</v>
      </c>
      <c r="AN5" s="60">
        <f>Lookup!AN15</f>
        <v>53874</v>
      </c>
      <c r="AO5" s="60">
        <f>Lookup!AO15</f>
        <v>54240</v>
      </c>
      <c r="AP5" s="60">
        <f>Lookup!AP15</f>
        <v>54605</v>
      </c>
      <c r="AQ5" s="60">
        <f>Lookup!AQ15</f>
        <v>54970</v>
      </c>
      <c r="AR5" s="60">
        <f>Lookup!AR15</f>
        <v>55335</v>
      </c>
      <c r="AS5" s="60">
        <f>Lookup!AS15</f>
        <v>55701</v>
      </c>
      <c r="AT5" s="60">
        <f>Lookup!AT15</f>
        <v>56066</v>
      </c>
      <c r="AU5" s="60">
        <f>Lookup!AU15</f>
        <v>56431</v>
      </c>
      <c r="AV5" s="60">
        <f>Lookup!AV15</f>
        <v>56796</v>
      </c>
      <c r="AW5" s="60">
        <f>Lookup!AW15</f>
        <v>57162</v>
      </c>
    </row>
    <row r="6" spans="1:49" ht="12.3" hidden="1" outlineLevel="1" x14ac:dyDescent="0.35">
      <c r="B6" s="15" t="str">
        <f>Lookup!B16</f>
        <v>Period End Date</v>
      </c>
      <c r="J6" s="60">
        <f>Lookup!J16</f>
        <v>43281</v>
      </c>
      <c r="K6" s="60">
        <f>Lookup!K16</f>
        <v>43646</v>
      </c>
      <c r="L6" s="60">
        <f>Lookup!L16</f>
        <v>44012</v>
      </c>
      <c r="M6" s="60">
        <f>Lookup!M16</f>
        <v>44377</v>
      </c>
      <c r="N6" s="60">
        <f>Lookup!N16</f>
        <v>44742</v>
      </c>
      <c r="O6" s="60">
        <f>Lookup!O16</f>
        <v>45107</v>
      </c>
      <c r="P6" s="60">
        <f>Lookup!P16</f>
        <v>45473</v>
      </c>
      <c r="Q6" s="60">
        <f>Lookup!Q16</f>
        <v>45838</v>
      </c>
      <c r="R6" s="60">
        <f>Lookup!R16</f>
        <v>46203</v>
      </c>
      <c r="S6" s="60">
        <f>Lookup!S16</f>
        <v>46568</v>
      </c>
      <c r="T6" s="60">
        <f>Lookup!T16</f>
        <v>46934</v>
      </c>
      <c r="U6" s="60">
        <f>Lookup!U16</f>
        <v>47299</v>
      </c>
      <c r="V6" s="60">
        <f>Lookup!V16</f>
        <v>47664</v>
      </c>
      <c r="W6" s="60">
        <f>Lookup!W16</f>
        <v>48029</v>
      </c>
      <c r="X6" s="60">
        <f>Lookup!X16</f>
        <v>48395</v>
      </c>
      <c r="Y6" s="60">
        <f>Lookup!Y16</f>
        <v>48760</v>
      </c>
      <c r="Z6" s="60">
        <f>Lookup!Z16</f>
        <v>49125</v>
      </c>
      <c r="AA6" s="60">
        <f>Lookup!AA16</f>
        <v>49490</v>
      </c>
      <c r="AB6" s="60">
        <f>Lookup!AB16</f>
        <v>49856</v>
      </c>
      <c r="AC6" s="60">
        <f>Lookup!AC16</f>
        <v>50221</v>
      </c>
      <c r="AD6" s="60">
        <f>Lookup!AD16</f>
        <v>50586</v>
      </c>
      <c r="AE6" s="60">
        <f>Lookup!AE16</f>
        <v>50951</v>
      </c>
      <c r="AF6" s="60">
        <f>Lookup!AF16</f>
        <v>51317</v>
      </c>
      <c r="AG6" s="60">
        <f>Lookup!AG16</f>
        <v>51682</v>
      </c>
      <c r="AH6" s="60">
        <f>Lookup!AH16</f>
        <v>52047</v>
      </c>
      <c r="AI6" s="60">
        <f>Lookup!AI16</f>
        <v>52412</v>
      </c>
      <c r="AJ6" s="60">
        <f>Lookup!AJ16</f>
        <v>52778</v>
      </c>
      <c r="AK6" s="60">
        <f>Lookup!AK16</f>
        <v>53143</v>
      </c>
      <c r="AL6" s="60">
        <f>Lookup!AL16</f>
        <v>53508</v>
      </c>
      <c r="AM6" s="60">
        <f>Lookup!AM16</f>
        <v>53873</v>
      </c>
      <c r="AN6" s="60">
        <f>Lookup!AN16</f>
        <v>54239</v>
      </c>
      <c r="AO6" s="60">
        <f>Lookup!AO16</f>
        <v>54604</v>
      </c>
      <c r="AP6" s="60">
        <f>Lookup!AP16</f>
        <v>54969</v>
      </c>
      <c r="AQ6" s="60">
        <f>Lookup!AQ16</f>
        <v>55334</v>
      </c>
      <c r="AR6" s="60">
        <f>Lookup!AR16</f>
        <v>55700</v>
      </c>
      <c r="AS6" s="60">
        <f>Lookup!AS16</f>
        <v>56065</v>
      </c>
      <c r="AT6" s="60">
        <f>Lookup!AT16</f>
        <v>56430</v>
      </c>
      <c r="AU6" s="60">
        <f>Lookup!AU16</f>
        <v>56795</v>
      </c>
      <c r="AV6" s="60">
        <f>Lookup!AV16</f>
        <v>57161</v>
      </c>
      <c r="AW6" s="60">
        <f>Lookup!AW16</f>
        <v>57526</v>
      </c>
    </row>
    <row r="7" spans="1:49" ht="12.3" hidden="1" outlineLevel="1" x14ac:dyDescent="0.35">
      <c r="B7" s="15" t="str">
        <f>Lookup!B17</f>
        <v>Period Counter</v>
      </c>
      <c r="J7" s="61">
        <f>Lookup!J17</f>
        <v>1</v>
      </c>
      <c r="K7" s="61">
        <f>Lookup!K17</f>
        <v>2</v>
      </c>
      <c r="L7" s="61">
        <f>Lookup!L17</f>
        <v>3</v>
      </c>
      <c r="M7" s="61">
        <f>Lookup!M17</f>
        <v>4</v>
      </c>
      <c r="N7" s="61">
        <f>Lookup!N17</f>
        <v>5</v>
      </c>
      <c r="O7" s="61">
        <f>Lookup!O17</f>
        <v>6</v>
      </c>
      <c r="P7" s="61">
        <f>Lookup!P17</f>
        <v>7</v>
      </c>
      <c r="Q7" s="61">
        <f>Lookup!Q17</f>
        <v>8</v>
      </c>
      <c r="R7" s="61">
        <f>Lookup!R17</f>
        <v>9</v>
      </c>
      <c r="S7" s="61">
        <f>Lookup!S17</f>
        <v>10</v>
      </c>
      <c r="T7" s="61">
        <f>Lookup!T17</f>
        <v>11</v>
      </c>
      <c r="U7" s="61">
        <f>Lookup!U17</f>
        <v>12</v>
      </c>
      <c r="V7" s="61">
        <f>Lookup!V17</f>
        <v>13</v>
      </c>
      <c r="W7" s="61">
        <f>Lookup!W17</f>
        <v>14</v>
      </c>
      <c r="X7" s="61">
        <f>Lookup!X17</f>
        <v>15</v>
      </c>
      <c r="Y7" s="61">
        <f>Lookup!Y17</f>
        <v>16</v>
      </c>
      <c r="Z7" s="61">
        <f>Lookup!Z17</f>
        <v>17</v>
      </c>
      <c r="AA7" s="61">
        <f>Lookup!AA17</f>
        <v>18</v>
      </c>
      <c r="AB7" s="61">
        <f>Lookup!AB17</f>
        <v>19</v>
      </c>
      <c r="AC7" s="61">
        <f>Lookup!AC17</f>
        <v>20</v>
      </c>
      <c r="AD7" s="61">
        <f>Lookup!AD17</f>
        <v>21</v>
      </c>
      <c r="AE7" s="61">
        <f>Lookup!AE17</f>
        <v>22</v>
      </c>
      <c r="AF7" s="61">
        <f>Lookup!AF17</f>
        <v>23</v>
      </c>
      <c r="AG7" s="61">
        <f>Lookup!AG17</f>
        <v>24</v>
      </c>
      <c r="AH7" s="61">
        <f>Lookup!AH17</f>
        <v>25</v>
      </c>
      <c r="AI7" s="61">
        <f>Lookup!AI17</f>
        <v>26</v>
      </c>
      <c r="AJ7" s="61">
        <f>Lookup!AJ17</f>
        <v>27</v>
      </c>
      <c r="AK7" s="61">
        <f>Lookup!AK17</f>
        <v>28</v>
      </c>
      <c r="AL7" s="61">
        <f>Lookup!AL17</f>
        <v>29</v>
      </c>
      <c r="AM7" s="61">
        <f>Lookup!AM17</f>
        <v>30</v>
      </c>
      <c r="AN7" s="61">
        <f>Lookup!AN17</f>
        <v>31</v>
      </c>
      <c r="AO7" s="61">
        <f>Lookup!AO17</f>
        <v>32</v>
      </c>
      <c r="AP7" s="61">
        <f>Lookup!AP17</f>
        <v>33</v>
      </c>
      <c r="AQ7" s="61">
        <f>Lookup!AQ17</f>
        <v>34</v>
      </c>
      <c r="AR7" s="61">
        <f>Lookup!AR17</f>
        <v>35</v>
      </c>
      <c r="AS7" s="61">
        <f>Lookup!AS17</f>
        <v>36</v>
      </c>
      <c r="AT7" s="61">
        <f>Lookup!AT17</f>
        <v>37</v>
      </c>
      <c r="AU7" s="61">
        <f>Lookup!AU17</f>
        <v>38</v>
      </c>
      <c r="AV7" s="61">
        <f>Lookup!AV17</f>
        <v>39</v>
      </c>
      <c r="AW7" s="61">
        <f>Lookup!AW17</f>
        <v>40</v>
      </c>
    </row>
    <row r="8" spans="1:49" ht="12.3" hidden="1" outlineLevel="1" x14ac:dyDescent="0.35">
      <c r="B8" s="15" t="str">
        <f>Lookup!B18</f>
        <v>Year</v>
      </c>
      <c r="J8" s="62">
        <f>Lookup!J18</f>
        <v>2018</v>
      </c>
      <c r="K8" s="62">
        <f>Lookup!K18</f>
        <v>2019</v>
      </c>
      <c r="L8" s="62">
        <f>Lookup!L18</f>
        <v>2020</v>
      </c>
      <c r="M8" s="62">
        <f>Lookup!M18</f>
        <v>2021</v>
      </c>
      <c r="N8" s="62">
        <f>Lookup!N18</f>
        <v>2022</v>
      </c>
      <c r="O8" s="62">
        <f>Lookup!O18</f>
        <v>2023</v>
      </c>
      <c r="P8" s="62">
        <f>Lookup!P18</f>
        <v>2024</v>
      </c>
      <c r="Q8" s="62">
        <f>Lookup!Q18</f>
        <v>2025</v>
      </c>
      <c r="R8" s="62">
        <f>Lookup!R18</f>
        <v>2026</v>
      </c>
      <c r="S8" s="62">
        <f>Lookup!S18</f>
        <v>2027</v>
      </c>
      <c r="T8" s="62">
        <f>Lookup!T18</f>
        <v>2028</v>
      </c>
      <c r="U8" s="62">
        <f>Lookup!U18</f>
        <v>2029</v>
      </c>
      <c r="V8" s="62">
        <f>Lookup!V18</f>
        <v>2030</v>
      </c>
      <c r="W8" s="62">
        <f>Lookup!W18</f>
        <v>2031</v>
      </c>
      <c r="X8" s="62">
        <f>Lookup!X18</f>
        <v>2032</v>
      </c>
      <c r="Y8" s="62">
        <f>Lookup!Y18</f>
        <v>2033</v>
      </c>
      <c r="Z8" s="62">
        <f>Lookup!Z18</f>
        <v>2034</v>
      </c>
      <c r="AA8" s="62">
        <f>Lookup!AA18</f>
        <v>2035</v>
      </c>
      <c r="AB8" s="62">
        <f>Lookup!AB18</f>
        <v>2036</v>
      </c>
      <c r="AC8" s="62">
        <f>Lookup!AC18</f>
        <v>2037</v>
      </c>
      <c r="AD8" s="62">
        <f>Lookup!AD18</f>
        <v>2038</v>
      </c>
      <c r="AE8" s="62">
        <f>Lookup!AE18</f>
        <v>2039</v>
      </c>
      <c r="AF8" s="62">
        <f>Lookup!AF18</f>
        <v>2040</v>
      </c>
      <c r="AG8" s="62">
        <f>Lookup!AG18</f>
        <v>2041</v>
      </c>
      <c r="AH8" s="62">
        <f>Lookup!AH18</f>
        <v>2042</v>
      </c>
      <c r="AI8" s="62">
        <f>Lookup!AI18</f>
        <v>2043</v>
      </c>
      <c r="AJ8" s="62">
        <f>Lookup!AJ18</f>
        <v>2044</v>
      </c>
      <c r="AK8" s="62">
        <f>Lookup!AK18</f>
        <v>2045</v>
      </c>
      <c r="AL8" s="62">
        <f>Lookup!AL18</f>
        <v>2046</v>
      </c>
      <c r="AM8" s="62">
        <f>Lookup!AM18</f>
        <v>2047</v>
      </c>
      <c r="AN8" s="62">
        <f>Lookup!AN18</f>
        <v>2048</v>
      </c>
      <c r="AO8" s="62">
        <f>Lookup!AO18</f>
        <v>2049</v>
      </c>
      <c r="AP8" s="62">
        <f>Lookup!AP18</f>
        <v>2050</v>
      </c>
      <c r="AQ8" s="62">
        <f>Lookup!AQ18</f>
        <v>2051</v>
      </c>
      <c r="AR8" s="62">
        <f>Lookup!AR18</f>
        <v>2052</v>
      </c>
      <c r="AS8" s="62">
        <f>Lookup!AS18</f>
        <v>2053</v>
      </c>
      <c r="AT8" s="62">
        <f>Lookup!AT18</f>
        <v>2054</v>
      </c>
      <c r="AU8" s="62">
        <f>Lookup!AU18</f>
        <v>2055</v>
      </c>
      <c r="AV8" s="62">
        <f>Lookup!AV18</f>
        <v>2056</v>
      </c>
      <c r="AW8" s="62">
        <f>Lookup!AW18</f>
        <v>2057</v>
      </c>
    </row>
    <row r="9" spans="1:49" ht="12.3" hidden="1" outlineLevel="1" x14ac:dyDescent="0.35">
      <c r="B9" s="15" t="str">
        <f>Lookup!B19</f>
        <v>Period Type</v>
      </c>
      <c r="J9" s="62" t="str">
        <f>Lookup!J19</f>
        <v>Actual</v>
      </c>
      <c r="K9" s="62" t="str">
        <f>Lookup!K19</f>
        <v>Actual</v>
      </c>
      <c r="L9" s="62" t="str">
        <f>Lookup!L19</f>
        <v>Actual</v>
      </c>
      <c r="M9" s="62" t="str">
        <f>Lookup!M19</f>
        <v>Base Year</v>
      </c>
      <c r="N9" s="62" t="str">
        <f>Lookup!N19</f>
        <v>Forecast</v>
      </c>
      <c r="O9" s="62" t="str">
        <f>Lookup!O19</f>
        <v>Forecast</v>
      </c>
      <c r="P9" s="62" t="str">
        <f>Lookup!P19</f>
        <v>Forecast</v>
      </c>
      <c r="Q9" s="62" t="str">
        <f>Lookup!Q19</f>
        <v>Forecast</v>
      </c>
      <c r="R9" s="62" t="str">
        <f>Lookup!R19</f>
        <v>Forecast</v>
      </c>
      <c r="S9" s="62" t="str">
        <f>Lookup!S19</f>
        <v>Forecast</v>
      </c>
      <c r="T9" s="62" t="str">
        <f>Lookup!T19</f>
        <v>Forecast</v>
      </c>
      <c r="U9" s="62" t="str">
        <f>Lookup!U19</f>
        <v>Forecast</v>
      </c>
      <c r="V9" s="62" t="str">
        <f>Lookup!V19</f>
        <v>Forecast</v>
      </c>
      <c r="W9" s="62" t="str">
        <f>Lookup!W19</f>
        <v>Forecast</v>
      </c>
      <c r="X9" s="62" t="str">
        <f>Lookup!X19</f>
        <v>Forecast</v>
      </c>
      <c r="Y9" s="62" t="str">
        <f>Lookup!Y19</f>
        <v>Forecast</v>
      </c>
      <c r="Z9" s="62" t="str">
        <f>Lookup!Z19</f>
        <v>Forecast</v>
      </c>
      <c r="AA9" s="62" t="str">
        <f>Lookup!AA19</f>
        <v>Forecast</v>
      </c>
      <c r="AB9" s="62" t="str">
        <f>Lookup!AB19</f>
        <v>Forecast</v>
      </c>
      <c r="AC9" s="62" t="str">
        <f>Lookup!AC19</f>
        <v>Forecast</v>
      </c>
      <c r="AD9" s="62" t="str">
        <f>Lookup!AD19</f>
        <v>Forecast</v>
      </c>
      <c r="AE9" s="62" t="str">
        <f>Lookup!AE19</f>
        <v>Forecast</v>
      </c>
      <c r="AF9" s="62" t="str">
        <f>Lookup!AF19</f>
        <v>Forecast</v>
      </c>
      <c r="AG9" s="62" t="str">
        <f>Lookup!AG19</f>
        <v>Forecast</v>
      </c>
      <c r="AH9" s="62" t="str">
        <f>Lookup!AH19</f>
        <v>Forecast</v>
      </c>
      <c r="AI9" s="62" t="str">
        <f>Lookup!AI19</f>
        <v>Forecast</v>
      </c>
      <c r="AJ9" s="62" t="str">
        <f>Lookup!AJ19</f>
        <v>Forecast</v>
      </c>
      <c r="AK9" s="62" t="str">
        <f>Lookup!AK19</f>
        <v>Forecast</v>
      </c>
      <c r="AL9" s="62" t="str">
        <f>Lookup!AL19</f>
        <v>Forecast</v>
      </c>
      <c r="AM9" s="62" t="str">
        <f>Lookup!AM19</f>
        <v>Forecast</v>
      </c>
      <c r="AN9" s="62" t="str">
        <f>Lookup!AN19</f>
        <v>Forecast</v>
      </c>
      <c r="AO9" s="62" t="str">
        <f>Lookup!AO19</f>
        <v>Forecast</v>
      </c>
      <c r="AP9" s="62" t="str">
        <f>Lookup!AP19</f>
        <v>Forecast</v>
      </c>
      <c r="AQ9" s="62" t="str">
        <f>Lookup!AQ19</f>
        <v>Forecast</v>
      </c>
      <c r="AR9" s="62" t="str">
        <f>Lookup!AR19</f>
        <v>Forecast</v>
      </c>
      <c r="AS9" s="62" t="str">
        <f>Lookup!AS19</f>
        <v>Forecast</v>
      </c>
      <c r="AT9" s="62" t="str">
        <f>Lookup!AT19</f>
        <v>Forecast</v>
      </c>
      <c r="AU9" s="62" t="str">
        <f>Lookup!AU19</f>
        <v>Forecast</v>
      </c>
      <c r="AV9" s="62" t="str">
        <f>Lookup!AV19</f>
        <v>Forecast</v>
      </c>
      <c r="AW9" s="62" t="str">
        <f>Lookup!AW19</f>
        <v>Forecast</v>
      </c>
    </row>
    <row r="10" spans="1:49" ht="12.3" collapsed="1" x14ac:dyDescent="0.35">
      <c r="B10" s="10" t="str">
        <f>Lookup!B20</f>
        <v>Regulatory Year</v>
      </c>
      <c r="E10" s="59" t="str">
        <f>Lookup!E20</f>
        <v>Source</v>
      </c>
      <c r="F10" s="59" t="str">
        <f>Lookup!F20</f>
        <v>Unit</v>
      </c>
      <c r="G10" s="59" t="str">
        <f>Lookup!G20</f>
        <v>Basis</v>
      </c>
      <c r="H10" s="59" t="str">
        <f>Lookup!H20</f>
        <v>Timing</v>
      </c>
      <c r="I10" s="66"/>
      <c r="J10" s="59" t="str">
        <f>Lookup!J20</f>
        <v>RY18</v>
      </c>
      <c r="K10" s="59" t="str">
        <f>Lookup!K20</f>
        <v>RY19</v>
      </c>
      <c r="L10" s="59" t="str">
        <f>Lookup!L20</f>
        <v>RY20</v>
      </c>
      <c r="M10" s="59" t="str">
        <f>Lookup!M20</f>
        <v>RY21</v>
      </c>
      <c r="N10" s="59" t="str">
        <f>Lookup!N20</f>
        <v>RY22</v>
      </c>
      <c r="O10" s="59" t="str">
        <f>Lookup!O20</f>
        <v>RY23</v>
      </c>
      <c r="P10" s="59" t="str">
        <f>Lookup!P20</f>
        <v>RY24</v>
      </c>
      <c r="Q10" s="59" t="str">
        <f>Lookup!Q20</f>
        <v>RY25</v>
      </c>
      <c r="R10" s="59" t="str">
        <f>Lookup!R20</f>
        <v>RY26</v>
      </c>
      <c r="S10" s="59" t="str">
        <f>Lookup!S20</f>
        <v>RY27</v>
      </c>
      <c r="T10" s="59" t="str">
        <f>Lookup!T20</f>
        <v>RY28</v>
      </c>
      <c r="U10" s="59" t="str">
        <f>Lookup!U20</f>
        <v>RY29</v>
      </c>
      <c r="V10" s="59" t="str">
        <f>Lookup!V20</f>
        <v>RY30</v>
      </c>
      <c r="W10" s="59" t="str">
        <f>Lookup!W20</f>
        <v>RY31</v>
      </c>
      <c r="X10" s="59" t="str">
        <f>Lookup!X20</f>
        <v>RY32</v>
      </c>
      <c r="Y10" s="59" t="str">
        <f>Lookup!Y20</f>
        <v>RY33</v>
      </c>
      <c r="Z10" s="59" t="str">
        <f>Lookup!Z20</f>
        <v>RY34</v>
      </c>
      <c r="AA10" s="59" t="str">
        <f>Lookup!AA20</f>
        <v>RY35</v>
      </c>
      <c r="AB10" s="59" t="str">
        <f>Lookup!AB20</f>
        <v>RY36</v>
      </c>
      <c r="AC10" s="59" t="str">
        <f>Lookup!AC20</f>
        <v>RY37</v>
      </c>
      <c r="AD10" s="59" t="str">
        <f>Lookup!AD20</f>
        <v>RY38</v>
      </c>
      <c r="AE10" s="59" t="str">
        <f>Lookup!AE20</f>
        <v>RY39</v>
      </c>
      <c r="AF10" s="59" t="str">
        <f>Lookup!AF20</f>
        <v>RY40</v>
      </c>
      <c r="AG10" s="59" t="str">
        <f>Lookup!AG20</f>
        <v>RY41</v>
      </c>
      <c r="AH10" s="59" t="str">
        <f>Lookup!AH20</f>
        <v>RY42</v>
      </c>
      <c r="AI10" s="59" t="str">
        <f>Lookup!AI20</f>
        <v>RY43</v>
      </c>
      <c r="AJ10" s="59" t="str">
        <f>Lookup!AJ20</f>
        <v>RY44</v>
      </c>
      <c r="AK10" s="59" t="str">
        <f>Lookup!AK20</f>
        <v>RY45</v>
      </c>
      <c r="AL10" s="59" t="str">
        <f>Lookup!AL20</f>
        <v>RY46</v>
      </c>
      <c r="AM10" s="59" t="str">
        <f>Lookup!AM20</f>
        <v>RY47</v>
      </c>
      <c r="AN10" s="59" t="str">
        <f>Lookup!AN20</f>
        <v>RY48</v>
      </c>
      <c r="AO10" s="59" t="str">
        <f>Lookup!AO20</f>
        <v>RY49</v>
      </c>
      <c r="AP10" s="59" t="str">
        <f>Lookup!AP20</f>
        <v>RY50</v>
      </c>
      <c r="AQ10" s="59" t="str">
        <f>Lookup!AQ20</f>
        <v>RY51</v>
      </c>
      <c r="AR10" s="59" t="str">
        <f>Lookup!AR20</f>
        <v>RY52</v>
      </c>
      <c r="AS10" s="59" t="str">
        <f>Lookup!AS20</f>
        <v>RY53</v>
      </c>
      <c r="AT10" s="59" t="str">
        <f>Lookup!AT20</f>
        <v>RY54</v>
      </c>
      <c r="AU10" s="59" t="str">
        <f>Lookup!AU20</f>
        <v>RY55</v>
      </c>
      <c r="AV10" s="59" t="str">
        <f>Lookup!AV20</f>
        <v>RY56</v>
      </c>
      <c r="AW10" s="59" t="str">
        <f>Lookup!AW20</f>
        <v>RY57</v>
      </c>
    </row>
    <row r="11" spans="1:49" x14ac:dyDescent="0.35">
      <c r="K11" s="7" t="s">
        <v>108</v>
      </c>
    </row>
    <row r="12" spans="1:49" s="4" customFormat="1" ht="15" x14ac:dyDescent="0.35">
      <c r="B12" s="4" t="s">
        <v>140</v>
      </c>
    </row>
    <row r="13" spans="1:49" s="6" customFormat="1" ht="4.5" customHeight="1" x14ac:dyDescent="0.35"/>
    <row r="14" spans="1:49" s="13" customFormat="1" ht="14.1" x14ac:dyDescent="0.35">
      <c r="C14" s="13" t="s">
        <v>14</v>
      </c>
    </row>
    <row r="15" spans="1:49" s="6" customFormat="1" ht="11.25" customHeight="1" x14ac:dyDescent="0.35"/>
    <row r="16" spans="1:49" s="6" customFormat="1" ht="11.25" customHeight="1" x14ac:dyDescent="0.35">
      <c r="D16" s="68" t="s">
        <v>88</v>
      </c>
      <c r="E16" s="67" t="str">
        <f>Lookup!E$20</f>
        <v>Source</v>
      </c>
      <c r="F16" s="67" t="str">
        <f>Lookup!F$20</f>
        <v>Unit</v>
      </c>
      <c r="G16" s="67" t="str">
        <f>Lookup!G$20</f>
        <v>Basis</v>
      </c>
      <c r="H16" s="67" t="str">
        <f>Lookup!H$20</f>
        <v>Timing</v>
      </c>
      <c r="I16" s="67" t="s">
        <v>19</v>
      </c>
    </row>
    <row r="17" spans="1:49" s="6" customFormat="1" ht="11.25" customHeight="1" x14ac:dyDescent="0.35"/>
    <row r="18" spans="1:49" s="6" customFormat="1" ht="11.25" customHeight="1" x14ac:dyDescent="0.35">
      <c r="D18" s="12" t="s">
        <v>153</v>
      </c>
      <c r="E18" s="69" t="s">
        <v>157</v>
      </c>
      <c r="F18" s="62" t="str">
        <f>Percent</f>
        <v>Percent</v>
      </c>
      <c r="G18" s="62" t="str">
        <f t="shared" ref="G18:H19" si="0">NA</f>
        <v>N/A</v>
      </c>
      <c r="H18" s="62" t="str">
        <f t="shared" si="0"/>
        <v>N/A</v>
      </c>
      <c r="I18" s="77">
        <f>[1]WACC!$G$22</f>
        <v>6.9618930436275178E-2</v>
      </c>
    </row>
    <row r="19" spans="1:49" s="6" customFormat="1" ht="11.25" customHeight="1" x14ac:dyDescent="0.35">
      <c r="D19" s="12" t="s">
        <v>154</v>
      </c>
      <c r="E19" s="69" t="s">
        <v>157</v>
      </c>
      <c r="F19" s="62" t="str">
        <f>Percent</f>
        <v>Percent</v>
      </c>
      <c r="G19" s="62" t="str">
        <f t="shared" si="0"/>
        <v>N/A</v>
      </c>
      <c r="H19" s="62" t="str">
        <f t="shared" si="0"/>
        <v>N/A</v>
      </c>
      <c r="I19" s="77">
        <f>[1]WACC!$G$23</f>
        <v>4.4296059929362697E-2</v>
      </c>
    </row>
    <row r="20" spans="1:49" s="6" customFormat="1" ht="11.25" customHeight="1" x14ac:dyDescent="0.35"/>
    <row r="21" spans="1:49" s="13" customFormat="1" ht="14.1" x14ac:dyDescent="0.35">
      <c r="C21" s="13" t="s">
        <v>141</v>
      </c>
    </row>
    <row r="22" spans="1:49" s="6" customFormat="1" ht="11.25" customHeight="1" x14ac:dyDescent="0.35"/>
    <row r="23" spans="1:49" s="6" customFormat="1" ht="11.25" customHeight="1" x14ac:dyDescent="0.35">
      <c r="D23" s="68" t="s">
        <v>88</v>
      </c>
      <c r="E23" s="67" t="str">
        <f>Lookup!E$20</f>
        <v>Source</v>
      </c>
      <c r="F23" s="67" t="str">
        <f>Lookup!F$20</f>
        <v>Unit</v>
      </c>
      <c r="G23" s="67" t="str">
        <f>Lookup!G$20</f>
        <v>Basis</v>
      </c>
      <c r="H23" s="67" t="str">
        <f>Lookup!H$20</f>
        <v>Timing</v>
      </c>
      <c r="I23" s="67" t="s">
        <v>19</v>
      </c>
      <c r="J23" s="67" t="str">
        <f t="shared" ref="J23:N23" si="1">J$10</f>
        <v>RY18</v>
      </c>
      <c r="K23" s="67" t="str">
        <f t="shared" si="1"/>
        <v>RY19</v>
      </c>
      <c r="L23" s="67" t="str">
        <f t="shared" si="1"/>
        <v>RY20</v>
      </c>
      <c r="M23" s="67" t="str">
        <f t="shared" si="1"/>
        <v>RY21</v>
      </c>
      <c r="N23" s="67" t="str">
        <f t="shared" si="1"/>
        <v>RY22</v>
      </c>
      <c r="O23" s="67" t="str">
        <f>O$10</f>
        <v>RY23</v>
      </c>
      <c r="P23" s="67" t="str">
        <f>P$10</f>
        <v>RY24</v>
      </c>
      <c r="Q23" s="67" t="str">
        <f t="shared" ref="Q23:AW23" si="2">Q$10</f>
        <v>RY25</v>
      </c>
      <c r="R23" s="67" t="str">
        <f t="shared" si="2"/>
        <v>RY26</v>
      </c>
      <c r="S23" s="67" t="str">
        <f t="shared" si="2"/>
        <v>RY27</v>
      </c>
      <c r="T23" s="67" t="str">
        <f t="shared" si="2"/>
        <v>RY28</v>
      </c>
      <c r="U23" s="67" t="str">
        <f t="shared" si="2"/>
        <v>RY29</v>
      </c>
      <c r="V23" s="67" t="str">
        <f t="shared" si="2"/>
        <v>RY30</v>
      </c>
      <c r="W23" s="67" t="str">
        <f t="shared" si="2"/>
        <v>RY31</v>
      </c>
      <c r="X23" s="67" t="str">
        <f t="shared" si="2"/>
        <v>RY32</v>
      </c>
      <c r="Y23" s="67" t="str">
        <f t="shared" si="2"/>
        <v>RY33</v>
      </c>
      <c r="Z23" s="67" t="str">
        <f t="shared" si="2"/>
        <v>RY34</v>
      </c>
      <c r="AA23" s="67" t="str">
        <f t="shared" si="2"/>
        <v>RY35</v>
      </c>
      <c r="AB23" s="67" t="str">
        <f t="shared" si="2"/>
        <v>RY36</v>
      </c>
      <c r="AC23" s="67" t="str">
        <f t="shared" si="2"/>
        <v>RY37</v>
      </c>
      <c r="AD23" s="67" t="str">
        <f t="shared" si="2"/>
        <v>RY38</v>
      </c>
      <c r="AE23" s="67" t="str">
        <f t="shared" si="2"/>
        <v>RY39</v>
      </c>
      <c r="AF23" s="67" t="str">
        <f t="shared" si="2"/>
        <v>RY40</v>
      </c>
      <c r="AG23" s="67" t="str">
        <f t="shared" si="2"/>
        <v>RY41</v>
      </c>
      <c r="AH23" s="67" t="str">
        <f t="shared" si="2"/>
        <v>RY42</v>
      </c>
      <c r="AI23" s="67" t="str">
        <f t="shared" si="2"/>
        <v>RY43</v>
      </c>
      <c r="AJ23" s="67" t="str">
        <f t="shared" si="2"/>
        <v>RY44</v>
      </c>
      <c r="AK23" s="67" t="str">
        <f t="shared" si="2"/>
        <v>RY45</v>
      </c>
      <c r="AL23" s="67" t="str">
        <f t="shared" si="2"/>
        <v>RY46</v>
      </c>
      <c r="AM23" s="67" t="str">
        <f t="shared" si="2"/>
        <v>RY47</v>
      </c>
      <c r="AN23" s="67" t="str">
        <f t="shared" si="2"/>
        <v>RY48</v>
      </c>
      <c r="AO23" s="67" t="str">
        <f t="shared" si="2"/>
        <v>RY49</v>
      </c>
      <c r="AP23" s="67" t="str">
        <f t="shared" si="2"/>
        <v>RY50</v>
      </c>
      <c r="AQ23" s="67" t="str">
        <f t="shared" si="2"/>
        <v>RY51</v>
      </c>
      <c r="AR23" s="67" t="str">
        <f t="shared" si="2"/>
        <v>RY52</v>
      </c>
      <c r="AS23" s="67" t="str">
        <f t="shared" si="2"/>
        <v>RY53</v>
      </c>
      <c r="AT23" s="67" t="str">
        <f t="shared" si="2"/>
        <v>RY54</v>
      </c>
      <c r="AU23" s="67" t="str">
        <f t="shared" si="2"/>
        <v>RY55</v>
      </c>
      <c r="AV23" s="67" t="str">
        <f t="shared" si="2"/>
        <v>RY56</v>
      </c>
      <c r="AW23" s="67" t="str">
        <f t="shared" si="2"/>
        <v>RY57</v>
      </c>
    </row>
    <row r="24" spans="1:49" s="6" customFormat="1" ht="11.25" customHeight="1" x14ac:dyDescent="0.35"/>
    <row r="25" spans="1:49" s="6" customFormat="1" ht="11.25" customHeight="1" x14ac:dyDescent="0.35">
      <c r="D25" s="12" t="s">
        <v>155</v>
      </c>
      <c r="E25" s="69" t="s">
        <v>89</v>
      </c>
      <c r="F25" s="62" t="str">
        <f>Percent</f>
        <v>Percent</v>
      </c>
      <c r="G25" s="62" t="str">
        <f t="shared" ref="G25:H26" si="3">NA</f>
        <v>N/A</v>
      </c>
      <c r="H25" s="62" t="str">
        <f t="shared" si="3"/>
        <v>N/A</v>
      </c>
      <c r="I25" s="93">
        <v>1</v>
      </c>
      <c r="J25" s="80">
        <f t="shared" ref="J25:AB25" si="4">I25/(1+$I$18)</f>
        <v>0.93491239874758103</v>
      </c>
      <c r="K25" s="80">
        <f t="shared" si="4"/>
        <v>0.87406119333195598</v>
      </c>
      <c r="L25" s="80">
        <f t="shared" si="4"/>
        <v>0.81717064691015218</v>
      </c>
      <c r="M25" s="80">
        <f t="shared" si="4"/>
        <v>0.76398296968888302</v>
      </c>
      <c r="N25" s="80">
        <f t="shared" si="4"/>
        <v>0.7142571507941341</v>
      </c>
      <c r="O25" s="80">
        <f t="shared" si="4"/>
        <v>0.66776786617155659</v>
      </c>
      <c r="P25" s="80">
        <f t="shared" si="4"/>
        <v>0.62430445756900366</v>
      </c>
      <c r="Q25" s="80">
        <f t="shared" si="4"/>
        <v>0.5836699779746447</v>
      </c>
      <c r="R25" s="80">
        <f t="shared" si="4"/>
        <v>0.54568029918522287</v>
      </c>
      <c r="S25" s="80">
        <f t="shared" si="4"/>
        <v>0.51016327746055445</v>
      </c>
      <c r="T25" s="80">
        <f t="shared" si="4"/>
        <v>0.47695797348357472</v>
      </c>
      <c r="U25" s="80">
        <f t="shared" si="4"/>
        <v>0.445913923091314</v>
      </c>
      <c r="V25" s="80">
        <f t="shared" si="4"/>
        <v>0.41689045547224474</v>
      </c>
      <c r="W25" s="80">
        <f t="shared" si="4"/>
        <v>0.38975605574052796</v>
      </c>
      <c r="X25" s="80">
        <f t="shared" si="4"/>
        <v>0.3643877689987729</v>
      </c>
      <c r="Y25" s="80">
        <f t="shared" si="4"/>
        <v>0.34067064318892221</v>
      </c>
      <c r="Z25" s="80">
        <f t="shared" si="4"/>
        <v>0.31849720820663657</v>
      </c>
      <c r="AA25" s="80">
        <f t="shared" si="4"/>
        <v>0.29776698891887438</v>
      </c>
      <c r="AB25" s="80">
        <f t="shared" si="4"/>
        <v>0.27838604987798926</v>
      </c>
      <c r="AC25" s="80">
        <f t="shared" ref="AC25" si="5">AB25/(1+$I$18)</f>
        <v>0.26026656966929468</v>
      </c>
      <c r="AD25" s="80">
        <f t="shared" ref="AD25" si="6">AC25/(1+$I$18)</f>
        <v>0.2433264429633247</v>
      </c>
      <c r="AE25" s="80">
        <f t="shared" ref="AE25" si="7">AD25/(1+$I$18)</f>
        <v>0.22748890846955835</v>
      </c>
      <c r="AF25" s="80">
        <f t="shared" ref="AF25" si="8">AE25/(1+$I$18)</f>
        <v>0.21268220110574371</v>
      </c>
      <c r="AG25" s="80">
        <f t="shared" ref="AG25" si="9">AF25/(1+$I$18)</f>
        <v>0.19883922680668628</v>
      </c>
      <c r="AH25" s="80">
        <f t="shared" ref="AH25" si="10">AG25/(1+$I$18)</f>
        <v>0.18589725849895339</v>
      </c>
      <c r="AI25" s="80">
        <f t="shared" ref="AI25" si="11">AH25/(1+$I$18)</f>
        <v>0.17379765186385565</v>
      </c>
      <c r="AJ25" s="80">
        <f t="shared" ref="AJ25" si="12">AI25/(1+$I$18)</f>
        <v>0.16248557960073429</v>
      </c>
      <c r="AK25" s="80">
        <f t="shared" ref="AK25" si="13">AJ25/(1+$I$18)</f>
        <v>0.15190978298641353</v>
      </c>
      <c r="AL25" s="80">
        <f t="shared" ref="AL25" si="14">AK25/(1+$I$18)</f>
        <v>0.14202233960505234</v>
      </c>
      <c r="AM25" s="80">
        <f t="shared" ref="AM25" si="15">AL25/(1+$I$18)</f>
        <v>0.13277844619590307</v>
      </c>
      <c r="AN25" s="80">
        <f t="shared" ref="AN25" si="16">AM25/(1+$I$18)</f>
        <v>0.12413621563498836</v>
      </c>
      <c r="AO25" s="80">
        <f t="shared" ref="AO25" si="17">AN25/(1+$I$18)</f>
        <v>0.11605648713075395</v>
      </c>
      <c r="AP25" s="80">
        <f t="shared" ref="AP25" si="18">AO25/(1+$I$18)</f>
        <v>0.10850264877363094</v>
      </c>
      <c r="AQ25" s="80">
        <f t="shared" ref="AQ25" si="19">AP25/(1+$I$18)</f>
        <v>0.10144047163542159</v>
      </c>
      <c r="AR25" s="80">
        <f t="shared" ref="AR25" si="20">AQ25/(1+$I$18)</f>
        <v>9.4837954666757956E-2</v>
      </c>
      <c r="AS25" s="80">
        <f t="shared" ref="AS25" si="21">AR25/(1+$I$18)</f>
        <v>8.8665179689813037E-2</v>
      </c>
      <c r="AT25" s="80">
        <f t="shared" ref="AT25" si="22">AS25/(1+$I$18)</f>
        <v>8.2894175829188413E-2</v>
      </c>
      <c r="AU25" s="80">
        <f t="shared" ref="AU25" si="23">AT25/(1+$I$18)</f>
        <v>7.7498792766670294E-2</v>
      </c>
      <c r="AV25" s="80">
        <f t="shared" ref="AV25" si="24">AU25/(1+$I$18)</f>
        <v>7.2454582245529406E-2</v>
      </c>
      <c r="AW25" s="80">
        <f t="shared" ref="AW25" si="25">AV25/(1+$I$18)</f>
        <v>6.77386872874218E-2</v>
      </c>
    </row>
    <row r="26" spans="1:49" s="6" customFormat="1" ht="11.25" customHeight="1" x14ac:dyDescent="0.35">
      <c r="D26" s="12" t="s">
        <v>156</v>
      </c>
      <c r="E26" s="69" t="s">
        <v>89</v>
      </c>
      <c r="F26" s="62" t="str">
        <f>Percent</f>
        <v>Percent</v>
      </c>
      <c r="G26" s="62" t="str">
        <f t="shared" si="3"/>
        <v>N/A</v>
      </c>
      <c r="H26" s="62" t="str">
        <f t="shared" si="3"/>
        <v>N/A</v>
      </c>
      <c r="I26" s="93">
        <v>1</v>
      </c>
      <c r="J26" s="80">
        <f t="shared" ref="J26:AB26" si="26">I26/(1+$I$19)</f>
        <v>0.95758285257500741</v>
      </c>
      <c r="K26" s="80">
        <f t="shared" si="26"/>
        <v>0.91696491954568837</v>
      </c>
      <c r="L26" s="80">
        <f t="shared" si="26"/>
        <v>0.87806988336977243</v>
      </c>
      <c r="M26" s="80">
        <f t="shared" si="26"/>
        <v>0.84082466367743069</v>
      </c>
      <c r="N26" s="80">
        <f t="shared" si="26"/>
        <v>0.80515927995965531</v>
      </c>
      <c r="O26" s="80">
        <f t="shared" si="26"/>
        <v>0.77100672008100568</v>
      </c>
      <c r="P26" s="80">
        <f t="shared" si="26"/>
        <v>0.7383028143696696</v>
      </c>
      <c r="Q26" s="80">
        <f t="shared" si="26"/>
        <v>0.70698611504826436</v>
      </c>
      <c r="R26" s="80">
        <f t="shared" si="26"/>
        <v>0.67699778077883932</v>
      </c>
      <c r="S26" s="80">
        <f t="shared" si="26"/>
        <v>0.64828146610515047</v>
      </c>
      <c r="T26" s="80">
        <f t="shared" si="26"/>
        <v>0.62078321558447791</v>
      </c>
      <c r="U26" s="80">
        <f t="shared" si="26"/>
        <v>0.59445136241007013</v>
      </c>
      <c r="V26" s="80">
        <f t="shared" si="26"/>
        <v>0.56923643133373447</v>
      </c>
      <c r="W26" s="80">
        <f t="shared" si="26"/>
        <v>0.54509104570617473</v>
      </c>
      <c r="X26" s="80">
        <f t="shared" si="26"/>
        <v>0.52196983846041256</v>
      </c>
      <c r="Y26" s="80">
        <f t="shared" si="26"/>
        <v>0.49982936687103768</v>
      </c>
      <c r="Z26" s="80">
        <f t="shared" si="26"/>
        <v>0.47862803092912815</v>
      </c>
      <c r="AA26" s="80">
        <f t="shared" si="26"/>
        <v>0.45832599517947337</v>
      </c>
      <c r="AB26" s="80">
        <f t="shared" si="26"/>
        <v>0.4388851138732392</v>
      </c>
      <c r="AC26" s="80">
        <f t="shared" ref="AC26" si="27">AB26/(1+$I$19)</f>
        <v>0.42026885929544333</v>
      </c>
      <c r="AD26" s="80">
        <f t="shared" ref="AD26" si="28">AC26/(1+$I$19)</f>
        <v>0.40244225313257503</v>
      </c>
      <c r="AE26" s="80">
        <f t="shared" ref="AE26" si="29">AD26/(1+$I$19)</f>
        <v>0.38537180075140443</v>
      </c>
      <c r="AF26" s="80">
        <f t="shared" ref="AF26" si="30">AE26/(1+$I$19)</f>
        <v>0.36902542826549722</v>
      </c>
      <c r="AG26" s="80">
        <f t="shared" ref="AG26" si="31">AF26/(1+$I$19)</f>
        <v>0.35337242227118859</v>
      </c>
      <c r="AH26" s="80">
        <f t="shared" ref="AH26" si="32">AG26/(1+$I$19)</f>
        <v>0.33838337213978487</v>
      </c>
      <c r="AI26" s="80">
        <f t="shared" ref="AI26" si="33">AH26/(1+$I$19)</f>
        <v>0.32403011475756549</v>
      </c>
      <c r="AJ26" s="80">
        <f t="shared" ref="AJ26" si="34">AI26/(1+$I$19)</f>
        <v>0.31028568160975656</v>
      </c>
      <c r="AK26" s="80">
        <f t="shared" ref="AK26" si="35">AJ26/(1+$I$19)</f>
        <v>0.29712424810905119</v>
      </c>
      <c r="AL26" s="80">
        <f t="shared" ref="AL26" si="36">AK26/(1+$I$19)</f>
        <v>0.28452108507346946</v>
      </c>
      <c r="AM26" s="80">
        <f t="shared" ref="AM26" si="37">AL26/(1+$I$19)</f>
        <v>0.27245251226238926</v>
      </c>
      <c r="AN26" s="80">
        <f t="shared" ref="AN26" si="38">AM26/(1+$I$19)</f>
        <v>0.26089585388344588</v>
      </c>
      <c r="AO26" s="80">
        <f t="shared" ref="AO26" si="39">AN26/(1+$I$19)</f>
        <v>0.24982939598670242</v>
      </c>
      <c r="AP26" s="80">
        <f t="shared" ref="AP26" si="40">AO26/(1+$I$19)</f>
        <v>0.2392323456660376</v>
      </c>
      <c r="AQ26" s="80">
        <f t="shared" ref="AQ26" si="41">AP26/(1+$I$19)</f>
        <v>0.22908479199109449</v>
      </c>
      <c r="AR26" s="80">
        <f t="shared" ref="AR26" si="42">AQ26/(1+$I$19)</f>
        <v>0.21936766859638449</v>
      </c>
      <c r="AS26" s="80">
        <f t="shared" ref="AS26" si="43">AR26/(1+$I$19)</f>
        <v>0.21006271785725472</v>
      </c>
      <c r="AT26" s="80">
        <f t="shared" ref="AT26" si="44">AS26/(1+$I$19)</f>
        <v>0.20115245658540892</v>
      </c>
      <c r="AU26" s="80">
        <f t="shared" ref="AU26" si="45">AT26/(1+$I$19)</f>
        <v>0.19262014317952619</v>
      </c>
      <c r="AV26" s="80">
        <f t="shared" ref="AV26" si="46">AU26/(1+$I$19)</f>
        <v>0.18444974616925705</v>
      </c>
      <c r="AW26" s="80">
        <f t="shared" ref="AW26" si="47">AV26/(1+$I$19)</f>
        <v>0.17662591409349321</v>
      </c>
    </row>
    <row r="27" spans="1:49" s="6" customFormat="1" ht="11.25" customHeight="1" x14ac:dyDescent="0.35"/>
    <row r="28" spans="1:49" s="6" customFormat="1" ht="11.25" customHeight="1" x14ac:dyDescent="0.35">
      <c r="A28" s="65">
        <f>IF(SUM($J28:$AW28)&gt;0,1,0)</f>
        <v>0</v>
      </c>
      <c r="D28" s="15" t="s">
        <v>92</v>
      </c>
      <c r="J28" s="70">
        <f>IF(ISERROR(SUM(J25:J26)),1,0)</f>
        <v>0</v>
      </c>
      <c r="K28" s="70">
        <f t="shared" ref="K28:AB28" si="48">IF(ISERROR(SUM(K25:K26)),1,0)</f>
        <v>0</v>
      </c>
      <c r="L28" s="70">
        <f t="shared" si="48"/>
        <v>0</v>
      </c>
      <c r="M28" s="70">
        <f t="shared" si="48"/>
        <v>0</v>
      </c>
      <c r="N28" s="70">
        <f t="shared" si="48"/>
        <v>0</v>
      </c>
      <c r="O28" s="70">
        <f t="shared" si="48"/>
        <v>0</v>
      </c>
      <c r="P28" s="70">
        <f t="shared" si="48"/>
        <v>0</v>
      </c>
      <c r="Q28" s="70">
        <f t="shared" si="48"/>
        <v>0</v>
      </c>
      <c r="R28" s="70">
        <f t="shared" si="48"/>
        <v>0</v>
      </c>
      <c r="S28" s="70">
        <f t="shared" si="48"/>
        <v>0</v>
      </c>
      <c r="T28" s="70">
        <f t="shared" si="48"/>
        <v>0</v>
      </c>
      <c r="U28" s="70">
        <f t="shared" si="48"/>
        <v>0</v>
      </c>
      <c r="V28" s="70">
        <f t="shared" si="48"/>
        <v>0</v>
      </c>
      <c r="W28" s="70">
        <f t="shared" si="48"/>
        <v>0</v>
      </c>
      <c r="X28" s="70">
        <f t="shared" si="48"/>
        <v>0</v>
      </c>
      <c r="Y28" s="70">
        <f t="shared" si="48"/>
        <v>0</v>
      </c>
      <c r="Z28" s="70">
        <f t="shared" si="48"/>
        <v>0</v>
      </c>
      <c r="AA28" s="70">
        <f t="shared" si="48"/>
        <v>0</v>
      </c>
      <c r="AB28" s="70">
        <f t="shared" si="48"/>
        <v>0</v>
      </c>
      <c r="AC28" s="70">
        <f t="shared" ref="AC28:AW28" si="49">IF(ISERROR(SUM(AC25:AC26)),1,0)</f>
        <v>0</v>
      </c>
      <c r="AD28" s="70">
        <f t="shared" si="49"/>
        <v>0</v>
      </c>
      <c r="AE28" s="70">
        <f t="shared" si="49"/>
        <v>0</v>
      </c>
      <c r="AF28" s="70">
        <f t="shared" si="49"/>
        <v>0</v>
      </c>
      <c r="AG28" s="70">
        <f t="shared" si="49"/>
        <v>0</v>
      </c>
      <c r="AH28" s="70">
        <f t="shared" si="49"/>
        <v>0</v>
      </c>
      <c r="AI28" s="70">
        <f t="shared" si="49"/>
        <v>0</v>
      </c>
      <c r="AJ28" s="70">
        <f t="shared" si="49"/>
        <v>0</v>
      </c>
      <c r="AK28" s="70">
        <f t="shared" si="49"/>
        <v>0</v>
      </c>
      <c r="AL28" s="70">
        <f t="shared" si="49"/>
        <v>0</v>
      </c>
      <c r="AM28" s="70">
        <f t="shared" si="49"/>
        <v>0</v>
      </c>
      <c r="AN28" s="70">
        <f t="shared" si="49"/>
        <v>0</v>
      </c>
      <c r="AO28" s="70">
        <f t="shared" si="49"/>
        <v>0</v>
      </c>
      <c r="AP28" s="70">
        <f t="shared" si="49"/>
        <v>0</v>
      </c>
      <c r="AQ28" s="70">
        <f t="shared" si="49"/>
        <v>0</v>
      </c>
      <c r="AR28" s="70">
        <f t="shared" si="49"/>
        <v>0</v>
      </c>
      <c r="AS28" s="70">
        <f t="shared" si="49"/>
        <v>0</v>
      </c>
      <c r="AT28" s="70">
        <f t="shared" si="49"/>
        <v>0</v>
      </c>
      <c r="AU28" s="70">
        <f t="shared" si="49"/>
        <v>0</v>
      </c>
      <c r="AV28" s="70">
        <f t="shared" si="49"/>
        <v>0</v>
      </c>
      <c r="AW28" s="70">
        <f t="shared" si="49"/>
        <v>0</v>
      </c>
    </row>
    <row r="30" spans="1:49" s="4" customFormat="1" ht="15" x14ac:dyDescent="0.35">
      <c r="B30" s="4" t="s">
        <v>162</v>
      </c>
    </row>
    <row r="31" spans="1:49" s="6" customFormat="1" ht="4.5" customHeight="1" x14ac:dyDescent="0.35"/>
    <row r="32" spans="1:49" s="13" customFormat="1" ht="14.1" x14ac:dyDescent="0.35">
      <c r="C32" s="13" t="s">
        <v>163</v>
      </c>
    </row>
    <row r="34" spans="1:49" s="6" customFormat="1" ht="11.25" customHeight="1" x14ac:dyDescent="0.35">
      <c r="D34" s="68" t="s">
        <v>88</v>
      </c>
      <c r="E34" s="67" t="str">
        <f>Lookup!E$20</f>
        <v>Source</v>
      </c>
      <c r="F34" s="67" t="str">
        <f>Lookup!F$20</f>
        <v>Unit</v>
      </c>
      <c r="G34" s="67" t="str">
        <f>Lookup!G$20</f>
        <v>Basis</v>
      </c>
      <c r="H34" s="67" t="str">
        <f>Lookup!H$20</f>
        <v>Timing</v>
      </c>
      <c r="I34" s="67" t="s">
        <v>19</v>
      </c>
      <c r="J34" s="67" t="str">
        <f t="shared" ref="J34:N34" si="50">J$10</f>
        <v>RY18</v>
      </c>
      <c r="K34" s="67" t="str">
        <f t="shared" si="50"/>
        <v>RY19</v>
      </c>
      <c r="L34" s="67" t="str">
        <f t="shared" si="50"/>
        <v>RY20</v>
      </c>
      <c r="M34" s="67" t="str">
        <f t="shared" si="50"/>
        <v>RY21</v>
      </c>
      <c r="N34" s="67" t="str">
        <f t="shared" si="50"/>
        <v>RY22</v>
      </c>
      <c r="O34" s="67" t="str">
        <f>O$10</f>
        <v>RY23</v>
      </c>
      <c r="P34" s="67" t="str">
        <f>P$10</f>
        <v>RY24</v>
      </c>
      <c r="Q34" s="67" t="str">
        <f t="shared" ref="Q34:AW34" si="51">Q$10</f>
        <v>RY25</v>
      </c>
      <c r="R34" s="67" t="str">
        <f t="shared" si="51"/>
        <v>RY26</v>
      </c>
      <c r="S34" s="67" t="str">
        <f t="shared" si="51"/>
        <v>RY27</v>
      </c>
      <c r="T34" s="67" t="str">
        <f t="shared" si="51"/>
        <v>RY28</v>
      </c>
      <c r="U34" s="67" t="str">
        <f t="shared" si="51"/>
        <v>RY29</v>
      </c>
      <c r="V34" s="67" t="str">
        <f t="shared" si="51"/>
        <v>RY30</v>
      </c>
      <c r="W34" s="67" t="str">
        <f t="shared" si="51"/>
        <v>RY31</v>
      </c>
      <c r="X34" s="67" t="str">
        <f t="shared" si="51"/>
        <v>RY32</v>
      </c>
      <c r="Y34" s="67" t="str">
        <f t="shared" si="51"/>
        <v>RY33</v>
      </c>
      <c r="Z34" s="67" t="str">
        <f t="shared" si="51"/>
        <v>RY34</v>
      </c>
      <c r="AA34" s="67" t="str">
        <f t="shared" si="51"/>
        <v>RY35</v>
      </c>
      <c r="AB34" s="67" t="str">
        <f t="shared" si="51"/>
        <v>RY36</v>
      </c>
      <c r="AC34" s="67" t="str">
        <f t="shared" si="51"/>
        <v>RY37</v>
      </c>
      <c r="AD34" s="67" t="str">
        <f t="shared" si="51"/>
        <v>RY38</v>
      </c>
      <c r="AE34" s="67" t="str">
        <f t="shared" si="51"/>
        <v>RY39</v>
      </c>
      <c r="AF34" s="67" t="str">
        <f t="shared" si="51"/>
        <v>RY40</v>
      </c>
      <c r="AG34" s="67" t="str">
        <f t="shared" si="51"/>
        <v>RY41</v>
      </c>
      <c r="AH34" s="67" t="str">
        <f t="shared" si="51"/>
        <v>RY42</v>
      </c>
      <c r="AI34" s="67" t="str">
        <f t="shared" si="51"/>
        <v>RY43</v>
      </c>
      <c r="AJ34" s="67" t="str">
        <f t="shared" si="51"/>
        <v>RY44</v>
      </c>
      <c r="AK34" s="67" t="str">
        <f t="shared" si="51"/>
        <v>RY45</v>
      </c>
      <c r="AL34" s="67" t="str">
        <f t="shared" si="51"/>
        <v>RY46</v>
      </c>
      <c r="AM34" s="67" t="str">
        <f t="shared" si="51"/>
        <v>RY47</v>
      </c>
      <c r="AN34" s="67" t="str">
        <f t="shared" si="51"/>
        <v>RY48</v>
      </c>
      <c r="AO34" s="67" t="str">
        <f t="shared" si="51"/>
        <v>RY49</v>
      </c>
      <c r="AP34" s="67" t="str">
        <f t="shared" si="51"/>
        <v>RY50</v>
      </c>
      <c r="AQ34" s="67" t="str">
        <f t="shared" si="51"/>
        <v>RY51</v>
      </c>
      <c r="AR34" s="67" t="str">
        <f t="shared" si="51"/>
        <v>RY52</v>
      </c>
      <c r="AS34" s="67" t="str">
        <f t="shared" si="51"/>
        <v>RY53</v>
      </c>
      <c r="AT34" s="67" t="str">
        <f t="shared" si="51"/>
        <v>RY54</v>
      </c>
      <c r="AU34" s="67" t="str">
        <f t="shared" si="51"/>
        <v>RY55</v>
      </c>
      <c r="AV34" s="67" t="str">
        <f t="shared" si="51"/>
        <v>RY56</v>
      </c>
      <c r="AW34" s="67" t="str">
        <f t="shared" si="51"/>
        <v>RY57</v>
      </c>
    </row>
    <row r="36" spans="1:49" ht="12.3" x14ac:dyDescent="0.35">
      <c r="D36" s="12" t="s">
        <v>211</v>
      </c>
      <c r="E36" s="69" t="s">
        <v>219</v>
      </c>
      <c r="F36" s="62" t="str">
        <f>Percent</f>
        <v>Percent</v>
      </c>
      <c r="G36" s="62" t="str">
        <f t="shared" ref="G36:H39" si="52">NA</f>
        <v>N/A</v>
      </c>
      <c r="H36" s="62" t="str">
        <f t="shared" si="52"/>
        <v>N/A</v>
      </c>
      <c r="I36" s="77">
        <f>AVERAGE('[2]Input|Rate of change'!$P$49:$T$49)</f>
        <v>0.59699999999999998</v>
      </c>
      <c r="J36" s="72" t="s">
        <v>212</v>
      </c>
    </row>
    <row r="38" spans="1:49" ht="12.3" x14ac:dyDescent="0.35">
      <c r="D38" s="12" t="s">
        <v>164</v>
      </c>
      <c r="E38" s="69" t="s">
        <v>165</v>
      </c>
      <c r="F38" s="62" t="str">
        <f>Percent</f>
        <v>Percent</v>
      </c>
      <c r="G38" s="62" t="str">
        <f t="shared" si="52"/>
        <v>N/A</v>
      </c>
      <c r="H38" s="62" t="str">
        <f t="shared" si="52"/>
        <v>N/A</v>
      </c>
      <c r="J38" s="108"/>
      <c r="K38" s="81">
        <v>8.4179352052844939E-3</v>
      </c>
      <c r="L38" s="77">
        <f>'[3]Input|Rate of change'!P38</f>
        <v>9.0000000000000011E-3</v>
      </c>
      <c r="M38" s="77">
        <f>'[3]Input|Rate of change'!Q38</f>
        <v>9.9999999999999985E-3</v>
      </c>
      <c r="N38" s="77">
        <f>'[3]Input|Rate of change'!R38</f>
        <v>1.2E-2</v>
      </c>
      <c r="O38" s="77">
        <f>'[3]Input|Rate of change'!S38</f>
        <v>1.3000000000000001E-2</v>
      </c>
      <c r="P38" s="109">
        <f>'[3]Input|Rate of change'!T38</f>
        <v>1.0999999999999999E-2</v>
      </c>
      <c r="Q38" s="110">
        <f>AVERAGE(L38:P38)</f>
        <v>1.0999999999999999E-2</v>
      </c>
      <c r="R38" s="107">
        <f t="shared" ref="R38:AB38" si="53">Q38</f>
        <v>1.0999999999999999E-2</v>
      </c>
      <c r="S38" s="107">
        <f t="shared" si="53"/>
        <v>1.0999999999999999E-2</v>
      </c>
      <c r="T38" s="107">
        <f t="shared" si="53"/>
        <v>1.0999999999999999E-2</v>
      </c>
      <c r="U38" s="107">
        <f t="shared" si="53"/>
        <v>1.0999999999999999E-2</v>
      </c>
      <c r="V38" s="107">
        <f t="shared" si="53"/>
        <v>1.0999999999999999E-2</v>
      </c>
      <c r="W38" s="107">
        <f t="shared" si="53"/>
        <v>1.0999999999999999E-2</v>
      </c>
      <c r="X38" s="107">
        <f t="shared" si="53"/>
        <v>1.0999999999999999E-2</v>
      </c>
      <c r="Y38" s="107">
        <f t="shared" si="53"/>
        <v>1.0999999999999999E-2</v>
      </c>
      <c r="Z38" s="107">
        <f t="shared" si="53"/>
        <v>1.0999999999999999E-2</v>
      </c>
      <c r="AA38" s="107">
        <f t="shared" si="53"/>
        <v>1.0999999999999999E-2</v>
      </c>
      <c r="AB38" s="107">
        <f t="shared" si="53"/>
        <v>1.0999999999999999E-2</v>
      </c>
      <c r="AC38" s="107">
        <f t="shared" ref="AC38" si="54">AB38</f>
        <v>1.0999999999999999E-2</v>
      </c>
      <c r="AD38" s="107">
        <f t="shared" ref="AD38" si="55">AC38</f>
        <v>1.0999999999999999E-2</v>
      </c>
      <c r="AE38" s="107">
        <f t="shared" ref="AE38" si="56">AD38</f>
        <v>1.0999999999999999E-2</v>
      </c>
      <c r="AF38" s="107">
        <f t="shared" ref="AF38" si="57">AE38</f>
        <v>1.0999999999999999E-2</v>
      </c>
      <c r="AG38" s="107">
        <f t="shared" ref="AG38" si="58">AF38</f>
        <v>1.0999999999999999E-2</v>
      </c>
      <c r="AH38" s="107">
        <f t="shared" ref="AH38" si="59">AG38</f>
        <v>1.0999999999999999E-2</v>
      </c>
      <c r="AI38" s="107">
        <f t="shared" ref="AI38" si="60">AH38</f>
        <v>1.0999999999999999E-2</v>
      </c>
      <c r="AJ38" s="107">
        <f t="shared" ref="AJ38" si="61">AI38</f>
        <v>1.0999999999999999E-2</v>
      </c>
      <c r="AK38" s="107">
        <f t="shared" ref="AK38" si="62">AJ38</f>
        <v>1.0999999999999999E-2</v>
      </c>
      <c r="AL38" s="107">
        <f t="shared" ref="AL38" si="63">AK38</f>
        <v>1.0999999999999999E-2</v>
      </c>
      <c r="AM38" s="107">
        <f t="shared" ref="AM38" si="64">AL38</f>
        <v>1.0999999999999999E-2</v>
      </c>
      <c r="AN38" s="107">
        <f t="shared" ref="AN38" si="65">AM38</f>
        <v>1.0999999999999999E-2</v>
      </c>
      <c r="AO38" s="107">
        <f t="shared" ref="AO38" si="66">AN38</f>
        <v>1.0999999999999999E-2</v>
      </c>
      <c r="AP38" s="107">
        <f t="shared" ref="AP38" si="67">AO38</f>
        <v>1.0999999999999999E-2</v>
      </c>
      <c r="AQ38" s="107">
        <f t="shared" ref="AQ38" si="68">AP38</f>
        <v>1.0999999999999999E-2</v>
      </c>
      <c r="AR38" s="107">
        <f t="shared" ref="AR38" si="69">AQ38</f>
        <v>1.0999999999999999E-2</v>
      </c>
      <c r="AS38" s="107">
        <f t="shared" ref="AS38" si="70">AR38</f>
        <v>1.0999999999999999E-2</v>
      </c>
      <c r="AT38" s="107">
        <f t="shared" ref="AT38" si="71">AS38</f>
        <v>1.0999999999999999E-2</v>
      </c>
      <c r="AU38" s="107">
        <f t="shared" ref="AU38" si="72">AT38</f>
        <v>1.0999999999999999E-2</v>
      </c>
      <c r="AV38" s="107">
        <f t="shared" ref="AV38" si="73">AU38</f>
        <v>1.0999999999999999E-2</v>
      </c>
      <c r="AW38" s="107">
        <f t="shared" ref="AW38" si="74">AV38</f>
        <v>1.0999999999999999E-2</v>
      </c>
    </row>
    <row r="39" spans="1:49" s="6" customFormat="1" ht="11.25" customHeight="1" x14ac:dyDescent="0.35">
      <c r="D39" s="12" t="s">
        <v>218</v>
      </c>
      <c r="E39" s="69" t="s">
        <v>89</v>
      </c>
      <c r="F39" s="62" t="str">
        <f>Percent</f>
        <v>Percent</v>
      </c>
      <c r="G39" s="62" t="str">
        <f t="shared" si="52"/>
        <v>N/A</v>
      </c>
      <c r="H39" s="62" t="str">
        <f t="shared" si="52"/>
        <v>N/A</v>
      </c>
      <c r="I39" s="7"/>
      <c r="J39" s="93">
        <v>1</v>
      </c>
      <c r="K39" s="80">
        <f>J39*(1+K38*$I$36)</f>
        <v>1.0050255073175549</v>
      </c>
      <c r="L39" s="80">
        <f t="shared" ref="L39:AW39" si="75">K39*(1+L38*$I$36)</f>
        <v>1.0104255093683723</v>
      </c>
      <c r="M39" s="80">
        <f t="shared" si="75"/>
        <v>1.0164577496593015</v>
      </c>
      <c r="N39" s="80">
        <f t="shared" si="75"/>
        <v>1.0237396529778606</v>
      </c>
      <c r="O39" s="80">
        <f t="shared" si="75"/>
        <v>1.0316848964246217</v>
      </c>
      <c r="P39" s="80">
        <f t="shared" si="75"/>
        <v>1.0384599711394422</v>
      </c>
      <c r="Q39" s="80">
        <f t="shared" si="75"/>
        <v>1.0452795377699149</v>
      </c>
      <c r="R39" s="80">
        <f t="shared" si="75"/>
        <v>1.0521438884944498</v>
      </c>
      <c r="S39" s="80">
        <f t="shared" si="75"/>
        <v>1.0590533174101928</v>
      </c>
      <c r="T39" s="80">
        <f t="shared" si="75"/>
        <v>1.0660081205456255</v>
      </c>
      <c r="U39" s="80">
        <f t="shared" si="75"/>
        <v>1.0730085958732487</v>
      </c>
      <c r="V39" s="80">
        <f t="shared" si="75"/>
        <v>1.0800550433223484</v>
      </c>
      <c r="W39" s="80">
        <f t="shared" si="75"/>
        <v>1.0871477647918462</v>
      </c>
      <c r="X39" s="80">
        <f t="shared" si="75"/>
        <v>1.0942870641632343</v>
      </c>
      <c r="Y39" s="80">
        <f t="shared" si="75"/>
        <v>1.1014732473135942</v>
      </c>
      <c r="Z39" s="80">
        <f t="shared" si="75"/>
        <v>1.1087066221287025</v>
      </c>
      <c r="AA39" s="80">
        <f t="shared" si="75"/>
        <v>1.1159874985162217</v>
      </c>
      <c r="AB39" s="80">
        <f t="shared" si="75"/>
        <v>1.1233161884189777</v>
      </c>
      <c r="AC39" s="80">
        <f t="shared" si="75"/>
        <v>1.1306930058283251</v>
      </c>
      <c r="AD39" s="80">
        <f t="shared" si="75"/>
        <v>1.1381182667975998</v>
      </c>
      <c r="AE39" s="80">
        <f t="shared" si="75"/>
        <v>1.1455922894556596</v>
      </c>
      <c r="AF39" s="80">
        <f t="shared" si="75"/>
        <v>1.153115394020515</v>
      </c>
      <c r="AG39" s="80">
        <f t="shared" si="75"/>
        <v>1.1606879028130477</v>
      </c>
      <c r="AH39" s="80">
        <f t="shared" si="75"/>
        <v>1.1683101402708209</v>
      </c>
      <c r="AI39" s="80">
        <f t="shared" si="75"/>
        <v>1.1759824329619795</v>
      </c>
      <c r="AJ39" s="80">
        <f t="shared" si="75"/>
        <v>1.1837051095992408</v>
      </c>
      <c r="AK39" s="80">
        <f t="shared" si="75"/>
        <v>1.191478501053979</v>
      </c>
      <c r="AL39" s="80">
        <f t="shared" si="75"/>
        <v>1.1993029403704005</v>
      </c>
      <c r="AM39" s="80">
        <f t="shared" si="75"/>
        <v>1.207178762779813</v>
      </c>
      <c r="AN39" s="80">
        <f t="shared" si="75"/>
        <v>1.215106305714988</v>
      </c>
      <c r="AO39" s="80">
        <f t="shared" si="75"/>
        <v>1.2230859088246184</v>
      </c>
      <c r="AP39" s="80">
        <f t="shared" si="75"/>
        <v>1.2311179139878696</v>
      </c>
      <c r="AQ39" s="80">
        <f t="shared" si="75"/>
        <v>1.239202665329028</v>
      </c>
      <c r="AR39" s="80">
        <f t="shared" si="75"/>
        <v>1.2473405092322438</v>
      </c>
      <c r="AS39" s="80">
        <f t="shared" si="75"/>
        <v>1.255531794356372</v>
      </c>
      <c r="AT39" s="80">
        <f t="shared" si="75"/>
        <v>1.2637768716499103</v>
      </c>
      <c r="AU39" s="80">
        <f t="shared" si="75"/>
        <v>1.2720760943660352</v>
      </c>
      <c r="AV39" s="80">
        <f t="shared" si="75"/>
        <v>1.2804298180777369</v>
      </c>
      <c r="AW39" s="80">
        <f t="shared" si="75"/>
        <v>1.2888384006930533</v>
      </c>
    </row>
    <row r="40" spans="1:49" s="6" customFormat="1" ht="11.25" customHeight="1" x14ac:dyDescent="0.35"/>
    <row r="41" spans="1:49" s="6" customFormat="1" ht="11.25" customHeight="1" x14ac:dyDescent="0.35">
      <c r="A41" s="65">
        <f>IF(SUM($J41:$AW41)&gt;0,1,0)</f>
        <v>0</v>
      </c>
      <c r="D41" s="15" t="s">
        <v>92</v>
      </c>
      <c r="J41" s="70">
        <f>IF(ISERROR(SUM(J38:J39)),1,0)</f>
        <v>0</v>
      </c>
      <c r="K41" s="70">
        <f t="shared" ref="K41:AB41" si="76">IF(ISERROR(SUM(K38:K39)),1,0)</f>
        <v>0</v>
      </c>
      <c r="L41" s="70">
        <f t="shared" si="76"/>
        <v>0</v>
      </c>
      <c r="M41" s="70">
        <f t="shared" si="76"/>
        <v>0</v>
      </c>
      <c r="N41" s="70">
        <f t="shared" si="76"/>
        <v>0</v>
      </c>
      <c r="O41" s="70">
        <f t="shared" si="76"/>
        <v>0</v>
      </c>
      <c r="P41" s="70">
        <f t="shared" si="76"/>
        <v>0</v>
      </c>
      <c r="Q41" s="70">
        <f t="shared" si="76"/>
        <v>0</v>
      </c>
      <c r="R41" s="70">
        <f t="shared" si="76"/>
        <v>0</v>
      </c>
      <c r="S41" s="70">
        <f t="shared" si="76"/>
        <v>0</v>
      </c>
      <c r="T41" s="70">
        <f t="shared" si="76"/>
        <v>0</v>
      </c>
      <c r="U41" s="70">
        <f t="shared" si="76"/>
        <v>0</v>
      </c>
      <c r="V41" s="70">
        <f t="shared" si="76"/>
        <v>0</v>
      </c>
      <c r="W41" s="70">
        <f t="shared" si="76"/>
        <v>0</v>
      </c>
      <c r="X41" s="70">
        <f t="shared" si="76"/>
        <v>0</v>
      </c>
      <c r="Y41" s="70">
        <f t="shared" si="76"/>
        <v>0</v>
      </c>
      <c r="Z41" s="70">
        <f t="shared" si="76"/>
        <v>0</v>
      </c>
      <c r="AA41" s="70">
        <f t="shared" si="76"/>
        <v>0</v>
      </c>
      <c r="AB41" s="70">
        <f t="shared" si="76"/>
        <v>0</v>
      </c>
      <c r="AC41" s="70">
        <f t="shared" ref="AC41:AW41" si="77">IF(ISERROR(SUM(AC38:AC39)),1,0)</f>
        <v>0</v>
      </c>
      <c r="AD41" s="70">
        <f t="shared" si="77"/>
        <v>0</v>
      </c>
      <c r="AE41" s="70">
        <f t="shared" si="77"/>
        <v>0</v>
      </c>
      <c r="AF41" s="70">
        <f t="shared" si="77"/>
        <v>0</v>
      </c>
      <c r="AG41" s="70">
        <f t="shared" si="77"/>
        <v>0</v>
      </c>
      <c r="AH41" s="70">
        <f t="shared" si="77"/>
        <v>0</v>
      </c>
      <c r="AI41" s="70">
        <f t="shared" si="77"/>
        <v>0</v>
      </c>
      <c r="AJ41" s="70">
        <f t="shared" si="77"/>
        <v>0</v>
      </c>
      <c r="AK41" s="70">
        <f t="shared" si="77"/>
        <v>0</v>
      </c>
      <c r="AL41" s="70">
        <f t="shared" si="77"/>
        <v>0</v>
      </c>
      <c r="AM41" s="70">
        <f t="shared" si="77"/>
        <v>0</v>
      </c>
      <c r="AN41" s="70">
        <f t="shared" si="77"/>
        <v>0</v>
      </c>
      <c r="AO41" s="70">
        <f t="shared" si="77"/>
        <v>0</v>
      </c>
      <c r="AP41" s="70">
        <f t="shared" si="77"/>
        <v>0</v>
      </c>
      <c r="AQ41" s="70">
        <f t="shared" si="77"/>
        <v>0</v>
      </c>
      <c r="AR41" s="70">
        <f t="shared" si="77"/>
        <v>0</v>
      </c>
      <c r="AS41" s="70">
        <f t="shared" si="77"/>
        <v>0</v>
      </c>
      <c r="AT41" s="70">
        <f t="shared" si="77"/>
        <v>0</v>
      </c>
      <c r="AU41" s="70">
        <f t="shared" si="77"/>
        <v>0</v>
      </c>
      <c r="AV41" s="70">
        <f t="shared" si="77"/>
        <v>0</v>
      </c>
      <c r="AW41" s="70">
        <f t="shared" si="77"/>
        <v>0</v>
      </c>
    </row>
    <row r="43" spans="1:49" s="4" customFormat="1" ht="15" x14ac:dyDescent="0.35">
      <c r="B43" s="4" t="s">
        <v>138</v>
      </c>
    </row>
    <row r="44" spans="1:49" s="6" customFormat="1" ht="4.5" customHeight="1" x14ac:dyDescent="0.35"/>
    <row r="45" spans="1:49" s="13" customFormat="1" ht="14.1" x14ac:dyDescent="0.35">
      <c r="C45" s="13" t="s">
        <v>14</v>
      </c>
    </row>
    <row r="47" spans="1:49" ht="12.3" x14ac:dyDescent="0.35">
      <c r="D47" s="68" t="s">
        <v>88</v>
      </c>
      <c r="E47" s="67" t="str">
        <f>Lookup!E$20</f>
        <v>Source</v>
      </c>
      <c r="F47" s="67" t="str">
        <f>Lookup!F$20</f>
        <v>Unit</v>
      </c>
      <c r="G47" s="67" t="str">
        <f>Lookup!G$20</f>
        <v>Basis</v>
      </c>
      <c r="H47" s="67" t="str">
        <f>Lookup!H$20</f>
        <v>Timing</v>
      </c>
      <c r="I47" s="67"/>
      <c r="J47" s="67" t="str">
        <f t="shared" ref="J47:N47" si="78">J$10</f>
        <v>RY18</v>
      </c>
      <c r="K47" s="76" t="str">
        <f t="shared" si="78"/>
        <v>RY19</v>
      </c>
      <c r="L47" s="67" t="str">
        <f t="shared" si="78"/>
        <v>RY20</v>
      </c>
      <c r="M47" s="67" t="str">
        <f t="shared" si="78"/>
        <v>RY21</v>
      </c>
      <c r="N47" s="67" t="str">
        <f t="shared" si="78"/>
        <v>RY22</v>
      </c>
      <c r="O47" s="67" t="str">
        <f>O$10</f>
        <v>RY23</v>
      </c>
      <c r="P47" s="76" t="str">
        <f>P$10</f>
        <v>RY24</v>
      </c>
      <c r="Q47" s="67" t="str">
        <f t="shared" ref="Q47:AW47" si="79">Q$10</f>
        <v>RY25</v>
      </c>
      <c r="R47" s="67" t="str">
        <f t="shared" si="79"/>
        <v>RY26</v>
      </c>
      <c r="S47" s="67" t="str">
        <f t="shared" si="79"/>
        <v>RY27</v>
      </c>
      <c r="T47" s="67" t="str">
        <f t="shared" si="79"/>
        <v>RY28</v>
      </c>
      <c r="U47" s="76" t="str">
        <f t="shared" si="79"/>
        <v>RY29</v>
      </c>
      <c r="V47" s="67" t="str">
        <f t="shared" si="79"/>
        <v>RY30</v>
      </c>
      <c r="W47" s="67" t="str">
        <f t="shared" si="79"/>
        <v>RY31</v>
      </c>
      <c r="X47" s="67" t="str">
        <f t="shared" si="79"/>
        <v>RY32</v>
      </c>
      <c r="Y47" s="67" t="str">
        <f t="shared" si="79"/>
        <v>RY33</v>
      </c>
      <c r="Z47" s="76" t="str">
        <f t="shared" si="79"/>
        <v>RY34</v>
      </c>
      <c r="AA47" s="67" t="str">
        <f t="shared" si="79"/>
        <v>RY35</v>
      </c>
      <c r="AB47" s="67" t="str">
        <f t="shared" si="79"/>
        <v>RY36</v>
      </c>
      <c r="AC47" s="67" t="str">
        <f t="shared" si="79"/>
        <v>RY37</v>
      </c>
      <c r="AD47" s="67" t="str">
        <f t="shared" si="79"/>
        <v>RY38</v>
      </c>
      <c r="AE47" s="67" t="str">
        <f t="shared" si="79"/>
        <v>RY39</v>
      </c>
      <c r="AF47" s="67" t="str">
        <f t="shared" si="79"/>
        <v>RY40</v>
      </c>
      <c r="AG47" s="67" t="str">
        <f t="shared" si="79"/>
        <v>RY41</v>
      </c>
      <c r="AH47" s="67" t="str">
        <f t="shared" si="79"/>
        <v>RY42</v>
      </c>
      <c r="AI47" s="67" t="str">
        <f t="shared" si="79"/>
        <v>RY43</v>
      </c>
      <c r="AJ47" s="67" t="str">
        <f t="shared" si="79"/>
        <v>RY44</v>
      </c>
      <c r="AK47" s="67" t="str">
        <f t="shared" si="79"/>
        <v>RY45</v>
      </c>
      <c r="AL47" s="67" t="str">
        <f t="shared" si="79"/>
        <v>RY46</v>
      </c>
      <c r="AM47" s="67" t="str">
        <f t="shared" si="79"/>
        <v>RY47</v>
      </c>
      <c r="AN47" s="67" t="str">
        <f t="shared" si="79"/>
        <v>RY48</v>
      </c>
      <c r="AO47" s="67" t="str">
        <f t="shared" si="79"/>
        <v>RY49</v>
      </c>
      <c r="AP47" s="67" t="str">
        <f t="shared" si="79"/>
        <v>RY50</v>
      </c>
      <c r="AQ47" s="67" t="str">
        <f t="shared" si="79"/>
        <v>RY51</v>
      </c>
      <c r="AR47" s="67" t="str">
        <f t="shared" si="79"/>
        <v>RY52</v>
      </c>
      <c r="AS47" s="67" t="str">
        <f t="shared" si="79"/>
        <v>RY53</v>
      </c>
      <c r="AT47" s="67" t="str">
        <f t="shared" si="79"/>
        <v>RY54</v>
      </c>
      <c r="AU47" s="67" t="str">
        <f t="shared" si="79"/>
        <v>RY55</v>
      </c>
      <c r="AV47" s="67" t="str">
        <f t="shared" si="79"/>
        <v>RY56</v>
      </c>
      <c r="AW47" s="67" t="str">
        <f t="shared" si="79"/>
        <v>RY57</v>
      </c>
    </row>
    <row r="48" spans="1:49" x14ac:dyDescent="0.35">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row>
    <row r="49" spans="3:49" ht="12.3" x14ac:dyDescent="0.35">
      <c r="D49" s="12" t="s">
        <v>96</v>
      </c>
      <c r="E49" s="69" t="s">
        <v>104</v>
      </c>
      <c r="F49" s="62" t="str">
        <f>Percent</f>
        <v>Percent</v>
      </c>
      <c r="G49" s="62" t="str">
        <f>NA</f>
        <v>N/A</v>
      </c>
      <c r="H49" s="62" t="str">
        <f>NA</f>
        <v>N/A</v>
      </c>
      <c r="J49" s="77">
        <f>[4]Input_Data!M19</f>
        <v>0.02</v>
      </c>
      <c r="K49" s="78">
        <f>[4]Input_Data!N19</f>
        <v>2.2499999999999999E-2</v>
      </c>
      <c r="L49" s="75">
        <f>[4]Output_PTRM!$O$18</f>
        <v>2.4248746575396662E-2</v>
      </c>
      <c r="M49" s="81">
        <f>L49</f>
        <v>2.4248746575396662E-2</v>
      </c>
      <c r="N49" s="81">
        <f t="shared" ref="N49:Y49" si="80">M49</f>
        <v>2.4248746575396662E-2</v>
      </c>
      <c r="O49" s="81">
        <f t="shared" si="80"/>
        <v>2.4248746575396662E-2</v>
      </c>
      <c r="P49" s="81">
        <f t="shared" si="80"/>
        <v>2.4248746575396662E-2</v>
      </c>
      <c r="Q49" s="81">
        <f t="shared" si="80"/>
        <v>2.4248746575396662E-2</v>
      </c>
      <c r="R49" s="81">
        <f t="shared" si="80"/>
        <v>2.4248746575396662E-2</v>
      </c>
      <c r="S49" s="81">
        <f t="shared" si="80"/>
        <v>2.4248746575396662E-2</v>
      </c>
      <c r="T49" s="81">
        <f t="shared" si="80"/>
        <v>2.4248746575396662E-2</v>
      </c>
      <c r="U49" s="81">
        <f t="shared" si="80"/>
        <v>2.4248746575396662E-2</v>
      </c>
      <c r="V49" s="81">
        <f t="shared" si="80"/>
        <v>2.4248746575396662E-2</v>
      </c>
      <c r="W49" s="81">
        <f t="shared" si="80"/>
        <v>2.4248746575396662E-2</v>
      </c>
      <c r="X49" s="81">
        <f t="shared" si="80"/>
        <v>2.4248746575396662E-2</v>
      </c>
      <c r="Y49" s="81">
        <f t="shared" si="80"/>
        <v>2.4248746575396662E-2</v>
      </c>
      <c r="Z49" s="81">
        <f t="shared" ref="Z49:AB49" si="81">Y49</f>
        <v>2.4248746575396662E-2</v>
      </c>
      <c r="AA49" s="81">
        <f t="shared" si="81"/>
        <v>2.4248746575396662E-2</v>
      </c>
      <c r="AB49" s="81">
        <f t="shared" si="81"/>
        <v>2.4248746575396662E-2</v>
      </c>
      <c r="AC49" s="81">
        <f t="shared" ref="AC49" si="82">AB49</f>
        <v>2.4248746575396662E-2</v>
      </c>
      <c r="AD49" s="81">
        <f t="shared" ref="AD49" si="83">AC49</f>
        <v>2.4248746575396662E-2</v>
      </c>
      <c r="AE49" s="81">
        <f t="shared" ref="AE49" si="84">AD49</f>
        <v>2.4248746575396662E-2</v>
      </c>
      <c r="AF49" s="81">
        <f t="shared" ref="AF49" si="85">AE49</f>
        <v>2.4248746575396662E-2</v>
      </c>
      <c r="AG49" s="81">
        <f t="shared" ref="AG49" si="86">AF49</f>
        <v>2.4248746575396662E-2</v>
      </c>
      <c r="AH49" s="81">
        <f t="shared" ref="AH49" si="87">AG49</f>
        <v>2.4248746575396662E-2</v>
      </c>
      <c r="AI49" s="81">
        <f t="shared" ref="AI49" si="88">AH49</f>
        <v>2.4248746575396662E-2</v>
      </c>
      <c r="AJ49" s="81">
        <f t="shared" ref="AJ49" si="89">AI49</f>
        <v>2.4248746575396662E-2</v>
      </c>
      <c r="AK49" s="81">
        <f t="shared" ref="AK49" si="90">AJ49</f>
        <v>2.4248746575396662E-2</v>
      </c>
      <c r="AL49" s="81">
        <f t="shared" ref="AL49" si="91">AK49</f>
        <v>2.4248746575396662E-2</v>
      </c>
      <c r="AM49" s="81">
        <f t="shared" ref="AM49" si="92">AL49</f>
        <v>2.4248746575396662E-2</v>
      </c>
      <c r="AN49" s="81">
        <f t="shared" ref="AN49" si="93">AM49</f>
        <v>2.4248746575396662E-2</v>
      </c>
      <c r="AO49" s="81">
        <f t="shared" ref="AO49" si="94">AN49</f>
        <v>2.4248746575396662E-2</v>
      </c>
      <c r="AP49" s="81">
        <f t="shared" ref="AP49" si="95">AO49</f>
        <v>2.4248746575396662E-2</v>
      </c>
      <c r="AQ49" s="81">
        <f t="shared" ref="AQ49" si="96">AP49</f>
        <v>2.4248746575396662E-2</v>
      </c>
      <c r="AR49" s="81">
        <f t="shared" ref="AR49" si="97">AQ49</f>
        <v>2.4248746575396662E-2</v>
      </c>
      <c r="AS49" s="81">
        <f t="shared" ref="AS49" si="98">AR49</f>
        <v>2.4248746575396662E-2</v>
      </c>
      <c r="AT49" s="81">
        <f t="shared" ref="AT49" si="99">AS49</f>
        <v>2.4248746575396662E-2</v>
      </c>
      <c r="AU49" s="81">
        <f t="shared" ref="AU49" si="100">AT49</f>
        <v>2.4248746575396662E-2</v>
      </c>
      <c r="AV49" s="81">
        <f t="shared" ref="AV49" si="101">AU49</f>
        <v>2.4248746575396662E-2</v>
      </c>
      <c r="AW49" s="81">
        <f t="shared" ref="AW49" si="102">AV49</f>
        <v>2.4248746575396662E-2</v>
      </c>
    </row>
    <row r="51" spans="3:49" ht="12.3" x14ac:dyDescent="0.35">
      <c r="D51" s="12"/>
      <c r="E51" s="69"/>
      <c r="F51" s="62"/>
      <c r="G51" s="62"/>
      <c r="H51" s="62"/>
      <c r="J51" s="67" t="s">
        <v>360</v>
      </c>
      <c r="K51" s="67" t="s">
        <v>361</v>
      </c>
      <c r="L51" s="67" t="s">
        <v>362</v>
      </c>
      <c r="M51" s="67" t="s">
        <v>363</v>
      </c>
    </row>
    <row r="53" spans="3:49" ht="12.3" x14ac:dyDescent="0.35">
      <c r="D53" s="12" t="s">
        <v>364</v>
      </c>
      <c r="E53" s="69" t="s">
        <v>365</v>
      </c>
      <c r="F53" s="62" t="str">
        <f>Percent</f>
        <v>Percent</v>
      </c>
      <c r="G53" s="62" t="str">
        <f>NA</f>
        <v>N/A</v>
      </c>
      <c r="H53" s="62" t="str">
        <f>NA</f>
        <v>N/A</v>
      </c>
      <c r="J53" s="77">
        <f>'[3]Input|Inflation'!$E$38/'[3]Input|Inflation'!$E$34-1</f>
        <v>3.0155642023346418E-2</v>
      </c>
      <c r="K53" s="77">
        <f>'[3]Input|Inflation'!$E$42/'[3]Input|Inflation'!$E$38-1</f>
        <v>1.5108593012275628E-2</v>
      </c>
      <c r="L53" s="77">
        <f>'[3]Input|Inflation'!$E$46/'[3]Input|Inflation'!$E$42-1</f>
        <v>1.0232558139534831E-2</v>
      </c>
      <c r="M53" s="77">
        <f>'[3]Input|Inflation'!$E$50/'[3]Input|Inflation'!$E$46-1</f>
        <v>1.9337016574585641E-2</v>
      </c>
    </row>
    <row r="55" spans="3:49" ht="12.3" x14ac:dyDescent="0.35">
      <c r="C55" s="72" t="s">
        <v>321</v>
      </c>
    </row>
    <row r="57" spans="3:49" ht="12.3" x14ac:dyDescent="0.35">
      <c r="D57" s="12" t="s">
        <v>97</v>
      </c>
      <c r="E57" s="69" t="s">
        <v>99</v>
      </c>
      <c r="F57" s="62" t="str">
        <f>Factor</f>
        <v>Factor</v>
      </c>
      <c r="G57" s="62" t="str">
        <f>NA</f>
        <v>N/A</v>
      </c>
      <c r="H57" s="62" t="str">
        <f>NA</f>
        <v>N/A</v>
      </c>
      <c r="I57" s="63">
        <v>0.5</v>
      </c>
      <c r="J57" s="72" t="s">
        <v>324</v>
      </c>
    </row>
    <row r="59" spans="3:49" s="13" customFormat="1" ht="14.1" x14ac:dyDescent="0.35">
      <c r="C59" s="13" t="s">
        <v>139</v>
      </c>
    </row>
    <row r="60" spans="3:49" s="6" customFormat="1" ht="11.25" customHeight="1" x14ac:dyDescent="0.35"/>
    <row r="61" spans="3:49" ht="12.3" x14ac:dyDescent="0.35">
      <c r="D61" s="68" t="s">
        <v>88</v>
      </c>
      <c r="E61" s="67" t="str">
        <f>Lookup!E$20</f>
        <v>Source</v>
      </c>
      <c r="F61" s="67" t="str">
        <f>Lookup!F$20</f>
        <v>Unit</v>
      </c>
      <c r="G61" s="67" t="str">
        <f>Lookup!G$20</f>
        <v>Basis</v>
      </c>
      <c r="H61" s="67" t="str">
        <f>Lookup!H$20</f>
        <v>Timing</v>
      </c>
      <c r="I61" s="67"/>
      <c r="J61" s="67" t="str">
        <f t="shared" ref="J61:N61" si="103">J$10</f>
        <v>RY18</v>
      </c>
      <c r="K61" s="67" t="str">
        <f t="shared" si="103"/>
        <v>RY19</v>
      </c>
      <c r="L61" s="67" t="str">
        <f t="shared" si="103"/>
        <v>RY20</v>
      </c>
      <c r="M61" s="67" t="str">
        <f t="shared" si="103"/>
        <v>RY21</v>
      </c>
      <c r="N61" s="67" t="str">
        <f t="shared" si="103"/>
        <v>RY22</v>
      </c>
      <c r="O61" s="67" t="str">
        <f>O$10</f>
        <v>RY23</v>
      </c>
      <c r="P61" s="67" t="str">
        <f>P$10</f>
        <v>RY24</v>
      </c>
      <c r="Q61" s="67" t="str">
        <f t="shared" ref="Q61:AW61" si="104">Q$10</f>
        <v>RY25</v>
      </c>
      <c r="R61" s="67" t="str">
        <f t="shared" si="104"/>
        <v>RY26</v>
      </c>
      <c r="S61" s="67" t="str">
        <f t="shared" si="104"/>
        <v>RY27</v>
      </c>
      <c r="T61" s="67" t="str">
        <f t="shared" si="104"/>
        <v>RY28</v>
      </c>
      <c r="U61" s="67" t="str">
        <f t="shared" si="104"/>
        <v>RY29</v>
      </c>
      <c r="V61" s="67" t="str">
        <f t="shared" si="104"/>
        <v>RY30</v>
      </c>
      <c r="W61" s="67" t="str">
        <f t="shared" si="104"/>
        <v>RY31</v>
      </c>
      <c r="X61" s="67" t="str">
        <f t="shared" si="104"/>
        <v>RY32</v>
      </c>
      <c r="Y61" s="67" t="str">
        <f t="shared" si="104"/>
        <v>RY33</v>
      </c>
      <c r="Z61" s="67" t="str">
        <f t="shared" si="104"/>
        <v>RY34</v>
      </c>
      <c r="AA61" s="67" t="str">
        <f t="shared" si="104"/>
        <v>RY35</v>
      </c>
      <c r="AB61" s="67" t="str">
        <f t="shared" si="104"/>
        <v>RY36</v>
      </c>
      <c r="AC61" s="67" t="str">
        <f t="shared" si="104"/>
        <v>RY37</v>
      </c>
      <c r="AD61" s="67" t="str">
        <f t="shared" si="104"/>
        <v>RY38</v>
      </c>
      <c r="AE61" s="67" t="str">
        <f t="shared" si="104"/>
        <v>RY39</v>
      </c>
      <c r="AF61" s="67" t="str">
        <f t="shared" si="104"/>
        <v>RY40</v>
      </c>
      <c r="AG61" s="67" t="str">
        <f t="shared" si="104"/>
        <v>RY41</v>
      </c>
      <c r="AH61" s="67" t="str">
        <f t="shared" si="104"/>
        <v>RY42</v>
      </c>
      <c r="AI61" s="67" t="str">
        <f t="shared" si="104"/>
        <v>RY43</v>
      </c>
      <c r="AJ61" s="67" t="str">
        <f t="shared" si="104"/>
        <v>RY44</v>
      </c>
      <c r="AK61" s="67" t="str">
        <f t="shared" si="104"/>
        <v>RY45</v>
      </c>
      <c r="AL61" s="67" t="str">
        <f t="shared" si="104"/>
        <v>RY46</v>
      </c>
      <c r="AM61" s="67" t="str">
        <f t="shared" si="104"/>
        <v>RY47</v>
      </c>
      <c r="AN61" s="67" t="str">
        <f t="shared" si="104"/>
        <v>RY48</v>
      </c>
      <c r="AO61" s="67" t="str">
        <f t="shared" si="104"/>
        <v>RY49</v>
      </c>
      <c r="AP61" s="67" t="str">
        <f t="shared" si="104"/>
        <v>RY50</v>
      </c>
      <c r="AQ61" s="67" t="str">
        <f t="shared" si="104"/>
        <v>RY51</v>
      </c>
      <c r="AR61" s="67" t="str">
        <f t="shared" si="104"/>
        <v>RY52</v>
      </c>
      <c r="AS61" s="67" t="str">
        <f t="shared" si="104"/>
        <v>RY53</v>
      </c>
      <c r="AT61" s="67" t="str">
        <f t="shared" si="104"/>
        <v>RY54</v>
      </c>
      <c r="AU61" s="67" t="str">
        <f t="shared" si="104"/>
        <v>RY55</v>
      </c>
      <c r="AV61" s="67" t="str">
        <f t="shared" si="104"/>
        <v>RY56</v>
      </c>
      <c r="AW61" s="67" t="str">
        <f t="shared" si="104"/>
        <v>RY57</v>
      </c>
    </row>
    <row r="62" spans="3:49" s="6" customFormat="1" ht="11.25" customHeight="1" x14ac:dyDescent="0.35">
      <c r="O62" s="79"/>
      <c r="P62" s="79"/>
      <c r="Q62" s="79"/>
      <c r="R62" s="79"/>
      <c r="S62" s="79"/>
      <c r="T62" s="79"/>
      <c r="U62" s="79"/>
    </row>
    <row r="63" spans="3:49" s="6" customFormat="1" ht="11.25" customHeight="1" x14ac:dyDescent="0.35">
      <c r="D63" s="12" t="s">
        <v>98</v>
      </c>
      <c r="E63" s="69" t="s">
        <v>89</v>
      </c>
      <c r="F63" s="62" t="str">
        <f t="shared" ref="F63" si="105">Factor</f>
        <v>Factor</v>
      </c>
      <c r="G63" s="62" t="str">
        <f t="shared" ref="G63:H63" si="106">NA</f>
        <v>N/A</v>
      </c>
      <c r="H63" s="62" t="str">
        <f t="shared" si="106"/>
        <v>N/A</v>
      </c>
      <c r="J63" s="73">
        <f>1/(1+J$49)^($I$57)</f>
        <v>0.99014754297667429</v>
      </c>
      <c r="K63" s="80">
        <f t="shared" ref="K63:AB63" si="107">J63*(1+J$49)^(1-$I$57)*(1+K$49)^$I$57</f>
        <v>1.0111874208078342</v>
      </c>
      <c r="L63" s="80">
        <f t="shared" si="107"/>
        <v>1.0348229153334609</v>
      </c>
      <c r="M63" s="80">
        <f t="shared" si="107"/>
        <v>1.0599160739577951</v>
      </c>
      <c r="N63" s="80">
        <f t="shared" si="107"/>
        <v>1.0856177102263869</v>
      </c>
      <c r="O63" s="80">
        <f t="shared" si="107"/>
        <v>1.1119425789594288</v>
      </c>
      <c r="P63" s="80">
        <f t="shared" si="107"/>
        <v>1.1389057927630089</v>
      </c>
      <c r="Q63" s="80">
        <f t="shared" si="107"/>
        <v>1.1665228307049702</v>
      </c>
      <c r="R63" s="80">
        <f t="shared" si="107"/>
        <v>1.1948095472011493</v>
      </c>
      <c r="S63" s="80">
        <f t="shared" si="107"/>
        <v>1.2237821811170941</v>
      </c>
      <c r="T63" s="80">
        <f t="shared" si="107"/>
        <v>1.2534573650904886</v>
      </c>
      <c r="U63" s="80">
        <f t="shared" si="107"/>
        <v>1.2838521350796321</v>
      </c>
      <c r="V63" s="80">
        <f t="shared" si="107"/>
        <v>1.31498394014346</v>
      </c>
      <c r="W63" s="80">
        <f t="shared" si="107"/>
        <v>1.3468706524587151</v>
      </c>
      <c r="X63" s="80">
        <f t="shared" si="107"/>
        <v>1.3795305775800255</v>
      </c>
      <c r="Y63" s="80">
        <f t="shared" si="107"/>
        <v>1.4129824649487741</v>
      </c>
      <c r="Z63" s="80">
        <f t="shared" si="107"/>
        <v>1.4472455186567961</v>
      </c>
      <c r="AA63" s="80">
        <f t="shared" si="107"/>
        <v>1.482339408471083</v>
      </c>
      <c r="AB63" s="80">
        <f t="shared" si="107"/>
        <v>1.5182842811258217</v>
      </c>
      <c r="AC63" s="80">
        <f t="shared" ref="AC63" si="108">AB63*(1+AB$49)^(1-$I$57)*(1+AC$49)^$I$57</f>
        <v>1.5551007718882499</v>
      </c>
      <c r="AD63" s="80">
        <f t="shared" ref="AD63" si="109">AC63*(1+AC$49)^(1-$I$57)*(1+AD$49)^$I$57</f>
        <v>1.5928100164049717</v>
      </c>
      <c r="AE63" s="80">
        <f t="shared" ref="AE63" si="110">AD63*(1+AD$49)^(1-$I$57)*(1+AE$49)^$I$57</f>
        <v>1.631433662835529</v>
      </c>
      <c r="AF63" s="80">
        <f t="shared" ref="AF63" si="111">AE63*(1+AE$49)^(1-$I$57)*(1+AF$49)^$I$57</f>
        <v>1.6709938842801988</v>
      </c>
      <c r="AG63" s="80">
        <f t="shared" ref="AG63" si="112">AF63*(1+AF$49)^(1-$I$57)*(1+AG$49)^$I$57</f>
        <v>1.7115133915091469</v>
      </c>
      <c r="AH63" s="80">
        <f t="shared" ref="AH63" si="113">AG63*(1+AG$49)^(1-$I$57)*(1+AH$49)^$I$57</f>
        <v>1.7530154460002498</v>
      </c>
      <c r="AI63" s="80">
        <f t="shared" ref="AI63" si="114">AH63*(1+AH$49)^(1-$I$57)*(1+AI$49)^$I$57</f>
        <v>1.7955238732930656</v>
      </c>
      <c r="AJ63" s="80">
        <f t="shared" ref="AJ63" si="115">AI63*(1+AI$49)^(1-$I$57)*(1+AJ$49)^$I$57</f>
        <v>1.8390630766666238</v>
      </c>
      <c r="AK63" s="80">
        <f t="shared" ref="AK63" si="116">AJ63*(1+AJ$49)^(1-$I$57)*(1+AK$49)^$I$57</f>
        <v>1.8836580511488821</v>
      </c>
      <c r="AL63" s="80">
        <f t="shared" ref="AL63" si="117">AK63*(1+AK$49)^(1-$I$57)*(1+AL$49)^$I$57</f>
        <v>1.9293343978658968</v>
      </c>
      <c r="AM63" s="80">
        <f t="shared" ref="AM63" si="118">AL63*(1+AL$49)^(1-$I$57)*(1+AM$49)^$I$57</f>
        <v>1.9761183387389423</v>
      </c>
      <c r="AN63" s="80">
        <f t="shared" ref="AN63" si="119">AM63*(1+AM$49)^(1-$I$57)*(1+AN$49)^$I$57</f>
        <v>2.0240367315380166</v>
      </c>
      <c r="AO63" s="80">
        <f t="shared" ref="AO63" si="120">AN63*(1+AN$49)^(1-$I$57)*(1+AO$49)^$I$57</f>
        <v>2.073117085300376</v>
      </c>
      <c r="AP63" s="80">
        <f t="shared" ref="AP63" si="121">AO63*(1+AO$49)^(1-$I$57)*(1+AP$49)^$I$57</f>
        <v>2.1233875761229499</v>
      </c>
      <c r="AQ63" s="80">
        <f t="shared" ref="AQ63" si="122">AP63*(1+AP$49)^(1-$I$57)*(1+AQ$49)^$I$57</f>
        <v>2.1748770633377008</v>
      </c>
      <c r="AR63" s="80">
        <f t="shared" ref="AR63" si="123">AQ63*(1+AQ$49)^(1-$I$57)*(1+AR$49)^$I$57</f>
        <v>2.2276151060792198</v>
      </c>
      <c r="AS63" s="80">
        <f t="shared" ref="AS63" si="124">AR63*(1+AR$49)^(1-$I$57)*(1+AS$49)^$I$57</f>
        <v>2.2816319802540597</v>
      </c>
      <c r="AT63" s="80">
        <f t="shared" ref="AT63" si="125">AS63*(1+AS$49)^(1-$I$57)*(1+AT$49)^$I$57</f>
        <v>2.3369586959215605</v>
      </c>
      <c r="AU63" s="80">
        <f t="shared" ref="AU63" si="126">AT63*(1+AT$49)^(1-$I$57)*(1+AU$49)^$I$57</f>
        <v>2.3936270150961318</v>
      </c>
      <c r="AV63" s="80">
        <f t="shared" ref="AV63" si="127">AU63*(1+AU$49)^(1-$I$57)*(1+AV$49)^$I$57</f>
        <v>2.4516694699812209</v>
      </c>
      <c r="AW63" s="80">
        <f t="shared" ref="AW63" si="128">AV63*(1+AV$49)^(1-$I$57)*(1+AW$49)^$I$57</f>
        <v>2.5111193816454325</v>
      </c>
    </row>
    <row r="64" spans="3:49" s="6" customFormat="1" ht="11.25" customHeight="1" x14ac:dyDescent="0.35">
      <c r="D64" s="12" t="s">
        <v>102</v>
      </c>
      <c r="E64" s="69" t="s">
        <v>89</v>
      </c>
      <c r="F64" s="62" t="str">
        <f t="shared" ref="F64" si="129">Factor</f>
        <v>Factor</v>
      </c>
      <c r="G64" s="62" t="str">
        <f t="shared" ref="G64:H64" si="130">NA</f>
        <v>N/A</v>
      </c>
      <c r="H64" s="62" t="str">
        <f t="shared" si="130"/>
        <v>N/A</v>
      </c>
      <c r="J64" s="80">
        <f>1+$K$49</f>
        <v>1.0225</v>
      </c>
      <c r="K64" s="80">
        <f t="shared" ref="K64:AW64" si="131">1+$K$49</f>
        <v>1.0225</v>
      </c>
      <c r="L64" s="80">
        <f t="shared" si="131"/>
        <v>1.0225</v>
      </c>
      <c r="M64" s="80">
        <f t="shared" si="131"/>
        <v>1.0225</v>
      </c>
      <c r="N64" s="80">
        <f t="shared" si="131"/>
        <v>1.0225</v>
      </c>
      <c r="O64" s="80">
        <f t="shared" si="131"/>
        <v>1.0225</v>
      </c>
      <c r="P64" s="80">
        <f t="shared" si="131"/>
        <v>1.0225</v>
      </c>
      <c r="Q64" s="80">
        <f t="shared" si="131"/>
        <v>1.0225</v>
      </c>
      <c r="R64" s="80">
        <f t="shared" si="131"/>
        <v>1.0225</v>
      </c>
      <c r="S64" s="80">
        <f t="shared" si="131"/>
        <v>1.0225</v>
      </c>
      <c r="T64" s="80">
        <f t="shared" si="131"/>
        <v>1.0225</v>
      </c>
      <c r="U64" s="80">
        <f t="shared" si="131"/>
        <v>1.0225</v>
      </c>
      <c r="V64" s="71">
        <f t="shared" si="131"/>
        <v>1.0225</v>
      </c>
      <c r="W64" s="71">
        <f t="shared" si="131"/>
        <v>1.0225</v>
      </c>
      <c r="X64" s="71">
        <f t="shared" si="131"/>
        <v>1.0225</v>
      </c>
      <c r="Y64" s="71">
        <f t="shared" si="131"/>
        <v>1.0225</v>
      </c>
      <c r="Z64" s="71">
        <f t="shared" si="131"/>
        <v>1.0225</v>
      </c>
      <c r="AA64" s="71">
        <f t="shared" si="131"/>
        <v>1.0225</v>
      </c>
      <c r="AB64" s="71">
        <f t="shared" si="131"/>
        <v>1.0225</v>
      </c>
      <c r="AC64" s="71">
        <f t="shared" si="131"/>
        <v>1.0225</v>
      </c>
      <c r="AD64" s="71">
        <f t="shared" si="131"/>
        <v>1.0225</v>
      </c>
      <c r="AE64" s="71">
        <f t="shared" si="131"/>
        <v>1.0225</v>
      </c>
      <c r="AF64" s="71">
        <f t="shared" si="131"/>
        <v>1.0225</v>
      </c>
      <c r="AG64" s="71">
        <f t="shared" si="131"/>
        <v>1.0225</v>
      </c>
      <c r="AH64" s="71">
        <f t="shared" si="131"/>
        <v>1.0225</v>
      </c>
      <c r="AI64" s="71">
        <f t="shared" si="131"/>
        <v>1.0225</v>
      </c>
      <c r="AJ64" s="71">
        <f t="shared" si="131"/>
        <v>1.0225</v>
      </c>
      <c r="AK64" s="71">
        <f t="shared" si="131"/>
        <v>1.0225</v>
      </c>
      <c r="AL64" s="71">
        <f t="shared" si="131"/>
        <v>1.0225</v>
      </c>
      <c r="AM64" s="71">
        <f t="shared" si="131"/>
        <v>1.0225</v>
      </c>
      <c r="AN64" s="71">
        <f t="shared" si="131"/>
        <v>1.0225</v>
      </c>
      <c r="AO64" s="71">
        <f t="shared" si="131"/>
        <v>1.0225</v>
      </c>
      <c r="AP64" s="71">
        <f t="shared" si="131"/>
        <v>1.0225</v>
      </c>
      <c r="AQ64" s="71">
        <f t="shared" si="131"/>
        <v>1.0225</v>
      </c>
      <c r="AR64" s="71">
        <f t="shared" si="131"/>
        <v>1.0225</v>
      </c>
      <c r="AS64" s="71">
        <f t="shared" si="131"/>
        <v>1.0225</v>
      </c>
      <c r="AT64" s="71">
        <f t="shared" si="131"/>
        <v>1.0225</v>
      </c>
      <c r="AU64" s="71">
        <f t="shared" si="131"/>
        <v>1.0225</v>
      </c>
      <c r="AV64" s="71">
        <f t="shared" si="131"/>
        <v>1.0225</v>
      </c>
      <c r="AW64" s="71">
        <f t="shared" si="131"/>
        <v>1.0225</v>
      </c>
    </row>
    <row r="65" spans="1:49" s="6" customFormat="1" ht="11.25" customHeight="1" x14ac:dyDescent="0.35"/>
    <row r="66" spans="1:49" ht="12.3" x14ac:dyDescent="0.35">
      <c r="D66" s="12"/>
      <c r="E66" s="69"/>
      <c r="F66" s="62"/>
      <c r="G66" s="62"/>
      <c r="H66" s="62"/>
      <c r="J66" s="67" t="str">
        <f>J51</f>
        <v>RY14</v>
      </c>
      <c r="K66" s="67" t="str">
        <f>K51</f>
        <v>RY15</v>
      </c>
      <c r="L66" s="67" t="str">
        <f>L51</f>
        <v>RY16</v>
      </c>
      <c r="M66" s="67" t="str">
        <f>M51</f>
        <v>RY17</v>
      </c>
      <c r="N66" s="67" t="str">
        <f>J61</f>
        <v>RY18</v>
      </c>
      <c r="O66" s="67" t="str">
        <f>K61</f>
        <v>RY19</v>
      </c>
    </row>
    <row r="67" spans="1:49" s="6" customFormat="1" ht="11.25" customHeight="1" x14ac:dyDescent="0.35"/>
    <row r="68" spans="1:49" s="6" customFormat="1" ht="11.25" customHeight="1" x14ac:dyDescent="0.35">
      <c r="D68" s="12" t="s">
        <v>366</v>
      </c>
      <c r="E68" s="69" t="s">
        <v>89</v>
      </c>
      <c r="F68" s="62" t="str">
        <f t="shared" ref="F68" si="132">Factor</f>
        <v>Factor</v>
      </c>
      <c r="G68" s="62" t="str">
        <f t="shared" ref="G68:H68" si="133">NA</f>
        <v>N/A</v>
      </c>
      <c r="H68" s="62" t="str">
        <f t="shared" si="133"/>
        <v>N/A</v>
      </c>
      <c r="J68" s="80">
        <f t="shared" ref="J68:K68" si="134">K68/(1+J$53)^(1-$I$57)/(1+K$53)^$I$57</f>
        <v>0.90371903116704011</v>
      </c>
      <c r="K68" s="80">
        <f t="shared" si="134"/>
        <v>0.92414709539685991</v>
      </c>
      <c r="L68" s="80">
        <f>M68/(1+L$53)^(1-$I$57)/(1+M$53)^$I$57</f>
        <v>0.93585385884076466</v>
      </c>
      <c r="M68" s="80">
        <f>N68/(1+M$53)^(1-$I$57)/(1+J$49)^$I$57</f>
        <v>0.94968070361672996</v>
      </c>
      <c r="N68" s="80">
        <f>O68/(1+J$49)^(1-$I$57)/(1+K$49)^$I$57</f>
        <v>0.9683594552339112</v>
      </c>
      <c r="O68" s="73">
        <f>1/(1+K$49)^($I$57)</f>
        <v>0.98893635286829751</v>
      </c>
    </row>
    <row r="69" spans="1:49" s="6" customFormat="1" ht="11.25" customHeight="1" x14ac:dyDescent="0.35"/>
    <row r="70" spans="1:49" s="6" customFormat="1" ht="11.25" customHeight="1" x14ac:dyDescent="0.35">
      <c r="A70" s="65">
        <f>IF(SUM($J70:$AW70)&gt;0,1,0)</f>
        <v>0</v>
      </c>
      <c r="D70" s="15" t="s">
        <v>92</v>
      </c>
      <c r="J70" s="70">
        <f t="shared" ref="J70:AW70" si="135">IF(ISERROR(SUM(J63:J63)),1,0)</f>
        <v>0</v>
      </c>
      <c r="K70" s="70">
        <f t="shared" si="135"/>
        <v>0</v>
      </c>
      <c r="L70" s="70">
        <f t="shared" si="135"/>
        <v>0</v>
      </c>
      <c r="M70" s="70">
        <f t="shared" si="135"/>
        <v>0</v>
      </c>
      <c r="N70" s="70">
        <f t="shared" si="135"/>
        <v>0</v>
      </c>
      <c r="O70" s="70">
        <f t="shared" si="135"/>
        <v>0</v>
      </c>
      <c r="P70" s="70">
        <f t="shared" si="135"/>
        <v>0</v>
      </c>
      <c r="Q70" s="70">
        <f t="shared" si="135"/>
        <v>0</v>
      </c>
      <c r="R70" s="70">
        <f t="shared" si="135"/>
        <v>0</v>
      </c>
      <c r="S70" s="70">
        <f t="shared" si="135"/>
        <v>0</v>
      </c>
      <c r="T70" s="70">
        <f t="shared" si="135"/>
        <v>0</v>
      </c>
      <c r="U70" s="70">
        <f t="shared" si="135"/>
        <v>0</v>
      </c>
      <c r="V70" s="70">
        <f t="shared" si="135"/>
        <v>0</v>
      </c>
      <c r="W70" s="70">
        <f t="shared" si="135"/>
        <v>0</v>
      </c>
      <c r="X70" s="70">
        <f t="shared" si="135"/>
        <v>0</v>
      </c>
      <c r="Y70" s="70">
        <f t="shared" si="135"/>
        <v>0</v>
      </c>
      <c r="Z70" s="70">
        <f t="shared" si="135"/>
        <v>0</v>
      </c>
      <c r="AA70" s="70">
        <f t="shared" si="135"/>
        <v>0</v>
      </c>
      <c r="AB70" s="70">
        <f t="shared" si="135"/>
        <v>0</v>
      </c>
      <c r="AC70" s="70">
        <f t="shared" si="135"/>
        <v>0</v>
      </c>
      <c r="AD70" s="70">
        <f t="shared" si="135"/>
        <v>0</v>
      </c>
      <c r="AE70" s="70">
        <f t="shared" si="135"/>
        <v>0</v>
      </c>
      <c r="AF70" s="70">
        <f t="shared" si="135"/>
        <v>0</v>
      </c>
      <c r="AG70" s="70">
        <f t="shared" si="135"/>
        <v>0</v>
      </c>
      <c r="AH70" s="70">
        <f t="shared" si="135"/>
        <v>0</v>
      </c>
      <c r="AI70" s="70">
        <f t="shared" si="135"/>
        <v>0</v>
      </c>
      <c r="AJ70" s="70">
        <f t="shared" si="135"/>
        <v>0</v>
      </c>
      <c r="AK70" s="70">
        <f t="shared" si="135"/>
        <v>0</v>
      </c>
      <c r="AL70" s="70">
        <f t="shared" si="135"/>
        <v>0</v>
      </c>
      <c r="AM70" s="70">
        <f t="shared" si="135"/>
        <v>0</v>
      </c>
      <c r="AN70" s="70">
        <f t="shared" si="135"/>
        <v>0</v>
      </c>
      <c r="AO70" s="70">
        <f t="shared" si="135"/>
        <v>0</v>
      </c>
      <c r="AP70" s="70">
        <f t="shared" si="135"/>
        <v>0</v>
      </c>
      <c r="AQ70" s="70">
        <f t="shared" si="135"/>
        <v>0</v>
      </c>
      <c r="AR70" s="70">
        <f t="shared" si="135"/>
        <v>0</v>
      </c>
      <c r="AS70" s="70">
        <f t="shared" si="135"/>
        <v>0</v>
      </c>
      <c r="AT70" s="70">
        <f t="shared" si="135"/>
        <v>0</v>
      </c>
      <c r="AU70" s="70">
        <f t="shared" si="135"/>
        <v>0</v>
      </c>
      <c r="AV70" s="70">
        <f t="shared" si="135"/>
        <v>0</v>
      </c>
      <c r="AW70" s="70">
        <f t="shared" si="135"/>
        <v>0</v>
      </c>
    </row>
    <row r="71" spans="1:49" s="6" customFormat="1" ht="11.25" customHeight="1" x14ac:dyDescent="0.35"/>
    <row r="72" spans="1:49" s="4" customFormat="1" ht="15" x14ac:dyDescent="0.35">
      <c r="B72" s="4" t="s">
        <v>31</v>
      </c>
    </row>
  </sheetData>
  <conditionalFormatting sqref="B2">
    <cfRule type="cellIs" dxfId="28" priority="1" operator="notEqual">
      <formula>"No Errors Found"</formula>
    </cfRule>
  </conditionalFormatting>
  <hyperlinks>
    <hyperlink ref="B3:E3" location="TOC!A1" display="TOC!A1"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197D8-FD39-4DB0-80BE-968BAB0A0729}">
  <sheetPr>
    <tabColor rgb="FFFFFF00"/>
  </sheetPr>
  <dimension ref="A1:K20"/>
  <sheetViews>
    <sheetView showGridLines="0" zoomScaleNormal="100" workbookViewId="0">
      <pane xSplit="1" ySplit="4" topLeftCell="B5" activePane="bottomRight" state="frozen"/>
      <selection activeCell="N11" sqref="F4:U25"/>
      <selection pane="topRight" activeCell="N11" sqref="F4:U25"/>
      <selection pane="bottomLeft" activeCell="N11" sqref="F4:U25"/>
      <selection pane="bottomRight" activeCell="B5" sqref="B5"/>
    </sheetView>
  </sheetViews>
  <sheetFormatPr defaultColWidth="9.33203125" defaultRowHeight="10.199999999999999" x14ac:dyDescent="0.35"/>
  <cols>
    <col min="1" max="3" width="2.796875" style="83" customWidth="1"/>
    <col min="4" max="4" width="32.1328125" style="83" customWidth="1"/>
    <col min="5" max="5" width="20.796875" style="83" customWidth="1"/>
    <col min="6" max="6" width="21.3984375" style="83" customWidth="1"/>
    <col min="7" max="7" width="25.46484375" style="83" customWidth="1"/>
    <col min="8" max="8" width="20.6640625" style="83" customWidth="1"/>
    <col min="9" max="9" width="17.1328125" style="83" customWidth="1"/>
    <col min="10" max="22" width="15.59765625" style="83" customWidth="1"/>
    <col min="23" max="23" width="17.73046875" style="83" customWidth="1"/>
    <col min="24" max="24" width="15.59765625" style="83" customWidth="1"/>
    <col min="25" max="25" width="18.33203125" style="83" customWidth="1"/>
    <col min="26" max="49" width="15.59765625" style="83" customWidth="1"/>
    <col min="50" max="16384" width="9.33203125" style="83"/>
  </cols>
  <sheetData>
    <row r="1" spans="1:11" s="242" customFormat="1" ht="18.899999999999999" x14ac:dyDescent="0.35">
      <c r="A1" s="240">
        <f>IF(SUM($A6:$A205)&gt;0,1,0)</f>
        <v>0</v>
      </c>
      <c r="B1" s="241" t="s">
        <v>120</v>
      </c>
      <c r="K1" s="246" t="s">
        <v>326</v>
      </c>
    </row>
    <row r="2" spans="1:11" s="242" customFormat="1" x14ac:dyDescent="0.35">
      <c r="B2" s="243" t="str">
        <f>Title_Msg</f>
        <v>No Errors Found</v>
      </c>
    </row>
    <row r="3" spans="1:11" s="242" customFormat="1" ht="12.3" x14ac:dyDescent="0.35">
      <c r="B3" s="244" t="s">
        <v>50</v>
      </c>
      <c r="C3" s="244"/>
      <c r="D3" s="244"/>
      <c r="E3" s="245"/>
    </row>
    <row r="4" spans="1:11" s="242" customFormat="1" ht="12.3" x14ac:dyDescent="0.35">
      <c r="B4" s="247" t="str">
        <f>Model_Name</f>
        <v>Cost Benefit Analysis - Advanced Metering within the regulated NT electricity networks</v>
      </c>
    </row>
    <row r="8" spans="1:11" customFormat="1" x14ac:dyDescent="0.35"/>
    <row r="9" spans="1:11" customFormat="1" x14ac:dyDescent="0.35"/>
    <row r="10" spans="1:11" customFormat="1" x14ac:dyDescent="0.35"/>
    <row r="11" spans="1:11" customFormat="1" x14ac:dyDescent="0.35"/>
    <row r="12" spans="1:11" customFormat="1" x14ac:dyDescent="0.35"/>
    <row r="13" spans="1:11" customFormat="1" x14ac:dyDescent="0.35"/>
    <row r="14" spans="1:11" customFormat="1" x14ac:dyDescent="0.35"/>
    <row r="15" spans="1:11" customFormat="1" x14ac:dyDescent="0.35"/>
    <row r="16" spans="1:11" customFormat="1" x14ac:dyDescent="0.35"/>
    <row r="17" customFormat="1" x14ac:dyDescent="0.35"/>
    <row r="18" customFormat="1" x14ac:dyDescent="0.35"/>
    <row r="19" customFormat="1" x14ac:dyDescent="0.35"/>
    <row r="20" customFormat="1" x14ac:dyDescent="0.35"/>
  </sheetData>
  <conditionalFormatting sqref="B2">
    <cfRule type="cellIs" dxfId="27" priority="1" operator="notEqual">
      <formula>"No Errors Found"</formula>
    </cfRule>
  </conditionalFormatting>
  <hyperlinks>
    <hyperlink ref="B3:D3" location="Cover!A1" display="Go to Cover Sheet" xr:uid="{DA3420BE-74BC-4F1F-B804-FD8A6F58CEBD}"/>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F0681-1902-4252-B9F2-75E12EF09EA9}">
  <sheetPr>
    <tabColor rgb="FFFFFF00"/>
  </sheetPr>
  <dimension ref="A1:AW372"/>
  <sheetViews>
    <sheetView showGridLines="0" zoomScaleNormal="100" workbookViewId="0">
      <pane xSplit="1" ySplit="11" topLeftCell="B12" activePane="bottomRight" state="frozen"/>
      <selection activeCell="N11" sqref="F4:U25"/>
      <selection pane="topRight" activeCell="N11" sqref="F4:U25"/>
      <selection pane="bottomLeft" activeCell="N11" sqref="F4:U25"/>
      <selection pane="bottomRight" activeCell="B12" sqref="B12"/>
    </sheetView>
  </sheetViews>
  <sheetFormatPr defaultColWidth="9.33203125" defaultRowHeight="10.199999999999999" outlineLevelRow="1" x14ac:dyDescent="0.35"/>
  <cols>
    <col min="1" max="3" width="2.796875" style="83" customWidth="1"/>
    <col min="4" max="4" width="62.46484375" style="83" customWidth="1"/>
    <col min="5" max="5" width="20.796875" style="83" customWidth="1"/>
    <col min="6" max="6" width="21.3984375" style="83" customWidth="1"/>
    <col min="7" max="7" width="23.9296875" style="83" customWidth="1"/>
    <col min="8" max="49" width="12.59765625" style="83" customWidth="1"/>
    <col min="50" max="16384" width="9.33203125" style="83"/>
  </cols>
  <sheetData>
    <row r="1" spans="1:49" s="242" customFormat="1" ht="18.899999999999999" x14ac:dyDescent="0.35">
      <c r="A1" s="240">
        <f>IF(SUM($A13:$A218)&gt;0,1,0)</f>
        <v>0</v>
      </c>
      <c r="B1" s="241" t="s">
        <v>241</v>
      </c>
      <c r="J1" s="246" t="s">
        <v>326</v>
      </c>
    </row>
    <row r="2" spans="1:49" s="242" customFormat="1" x14ac:dyDescent="0.35">
      <c r="B2" s="243" t="str">
        <f>Title_Msg</f>
        <v>No Errors Found</v>
      </c>
    </row>
    <row r="3" spans="1:49" s="242" customFormat="1" ht="12.3" x14ac:dyDescent="0.35">
      <c r="B3" s="244" t="s">
        <v>50</v>
      </c>
      <c r="C3" s="244"/>
      <c r="D3" s="244"/>
      <c r="E3" s="245"/>
    </row>
    <row r="4" spans="1:49" s="242" customFormat="1" ht="12.3" x14ac:dyDescent="0.35">
      <c r="B4" s="247" t="str">
        <f>Model_Name</f>
        <v>Cost Benefit Analysis - Advanced Metering within the regulated NT electricity networks</v>
      </c>
      <c r="E4" s="248"/>
      <c r="F4" s="248"/>
      <c r="G4" s="248"/>
      <c r="H4" s="248"/>
      <c r="J4" s="248"/>
      <c r="K4" s="248"/>
    </row>
    <row r="5" spans="1:49" s="127" customFormat="1" x14ac:dyDescent="0.35"/>
    <row r="6" spans="1:49" s="127" customFormat="1" ht="12.3" hidden="1" outlineLevel="1" x14ac:dyDescent="0.35">
      <c r="B6" s="128" t="str">
        <f>Lookup!B15</f>
        <v>Period Start Date</v>
      </c>
      <c r="J6" s="129">
        <f>Lookup!J15</f>
        <v>42917</v>
      </c>
      <c r="K6" s="129">
        <f>Lookup!K15</f>
        <v>43282</v>
      </c>
      <c r="L6" s="129">
        <f>Lookup!L15</f>
        <v>43647</v>
      </c>
      <c r="M6" s="129">
        <f>Lookup!M15</f>
        <v>44013</v>
      </c>
      <c r="N6" s="129">
        <f>Lookup!N15</f>
        <v>44378</v>
      </c>
      <c r="O6" s="129">
        <f>Lookup!O15</f>
        <v>44743</v>
      </c>
      <c r="P6" s="129">
        <f>Lookup!P15</f>
        <v>45108</v>
      </c>
      <c r="Q6" s="129">
        <f>Lookup!Q15</f>
        <v>45474</v>
      </c>
      <c r="R6" s="129">
        <f>Lookup!R15</f>
        <v>45839</v>
      </c>
      <c r="S6" s="129">
        <f>Lookup!S15</f>
        <v>46204</v>
      </c>
      <c r="T6" s="129">
        <f>Lookup!T15</f>
        <v>46569</v>
      </c>
      <c r="U6" s="129">
        <f>Lookup!U15</f>
        <v>46935</v>
      </c>
      <c r="V6" s="129">
        <f>Lookup!V15</f>
        <v>47300</v>
      </c>
      <c r="W6" s="129">
        <f>Lookup!W15</f>
        <v>47665</v>
      </c>
      <c r="X6" s="129">
        <f>Lookup!X15</f>
        <v>48030</v>
      </c>
      <c r="Y6" s="129">
        <f>Lookup!Y15</f>
        <v>48396</v>
      </c>
      <c r="Z6" s="129">
        <f>Lookup!Z15</f>
        <v>48761</v>
      </c>
      <c r="AA6" s="129">
        <f>Lookup!AA15</f>
        <v>49126</v>
      </c>
      <c r="AB6" s="129">
        <f>Lookup!AB15</f>
        <v>49491</v>
      </c>
      <c r="AC6" s="129">
        <f>Lookup!AC15</f>
        <v>49857</v>
      </c>
      <c r="AD6" s="129">
        <f>Lookup!AD15</f>
        <v>50222</v>
      </c>
      <c r="AE6" s="129">
        <f>Lookup!AE15</f>
        <v>50587</v>
      </c>
      <c r="AF6" s="129">
        <f>Lookup!AF15</f>
        <v>50952</v>
      </c>
      <c r="AG6" s="129">
        <f>Lookup!AG15</f>
        <v>51318</v>
      </c>
      <c r="AH6" s="129">
        <f>Lookup!AH15</f>
        <v>51683</v>
      </c>
      <c r="AI6" s="129">
        <f>Lookup!AI15</f>
        <v>52048</v>
      </c>
      <c r="AJ6" s="129">
        <f>Lookup!AJ15</f>
        <v>52413</v>
      </c>
      <c r="AK6" s="129">
        <f>Lookup!AK15</f>
        <v>52779</v>
      </c>
      <c r="AL6" s="129">
        <f>Lookup!AL15</f>
        <v>53144</v>
      </c>
      <c r="AM6" s="129">
        <f>Lookup!AM15</f>
        <v>53509</v>
      </c>
      <c r="AN6" s="129">
        <f>Lookup!AN15</f>
        <v>53874</v>
      </c>
      <c r="AO6" s="129">
        <f>Lookup!AO15</f>
        <v>54240</v>
      </c>
      <c r="AP6" s="129">
        <f>Lookup!AP15</f>
        <v>54605</v>
      </c>
      <c r="AQ6" s="129">
        <f>Lookup!AQ15</f>
        <v>54970</v>
      </c>
      <c r="AR6" s="129">
        <f>Lookup!AR15</f>
        <v>55335</v>
      </c>
      <c r="AS6" s="129">
        <f>Lookup!AS15</f>
        <v>55701</v>
      </c>
      <c r="AT6" s="129">
        <f>Lookup!AT15</f>
        <v>56066</v>
      </c>
      <c r="AU6" s="129">
        <f>Lookup!AU15</f>
        <v>56431</v>
      </c>
      <c r="AV6" s="129">
        <f>Lookup!AV15</f>
        <v>56796</v>
      </c>
      <c r="AW6" s="129">
        <f>Lookup!AW15</f>
        <v>57162</v>
      </c>
    </row>
    <row r="7" spans="1:49" s="127" customFormat="1" ht="12.3" hidden="1" outlineLevel="1" x14ac:dyDescent="0.35">
      <c r="B7" s="128" t="str">
        <f>Lookup!B16</f>
        <v>Period End Date</v>
      </c>
      <c r="J7" s="129">
        <f>Lookup!J16</f>
        <v>43281</v>
      </c>
      <c r="K7" s="129">
        <f>Lookup!K16</f>
        <v>43646</v>
      </c>
      <c r="L7" s="129">
        <f>Lookup!L16</f>
        <v>44012</v>
      </c>
      <c r="M7" s="129">
        <f>Lookup!M16</f>
        <v>44377</v>
      </c>
      <c r="N7" s="129">
        <f>Lookup!N16</f>
        <v>44742</v>
      </c>
      <c r="O7" s="129">
        <f>Lookup!O16</f>
        <v>45107</v>
      </c>
      <c r="P7" s="129">
        <f>Lookup!P16</f>
        <v>45473</v>
      </c>
      <c r="Q7" s="129">
        <f>Lookup!Q16</f>
        <v>45838</v>
      </c>
      <c r="R7" s="129">
        <f>Lookup!R16</f>
        <v>46203</v>
      </c>
      <c r="S7" s="129">
        <f>Lookup!S16</f>
        <v>46568</v>
      </c>
      <c r="T7" s="129">
        <f>Lookup!T16</f>
        <v>46934</v>
      </c>
      <c r="U7" s="129">
        <f>Lookup!U16</f>
        <v>47299</v>
      </c>
      <c r="V7" s="129">
        <f>Lookup!V16</f>
        <v>47664</v>
      </c>
      <c r="W7" s="129">
        <f>Lookup!W16</f>
        <v>48029</v>
      </c>
      <c r="X7" s="129">
        <f>Lookup!X16</f>
        <v>48395</v>
      </c>
      <c r="Y7" s="129">
        <f>Lookup!Y16</f>
        <v>48760</v>
      </c>
      <c r="Z7" s="129">
        <f>Lookup!Z16</f>
        <v>49125</v>
      </c>
      <c r="AA7" s="129">
        <f>Lookup!AA16</f>
        <v>49490</v>
      </c>
      <c r="AB7" s="129">
        <f>Lookup!AB16</f>
        <v>49856</v>
      </c>
      <c r="AC7" s="129">
        <f>Lookup!AC16</f>
        <v>50221</v>
      </c>
      <c r="AD7" s="129">
        <f>Lookup!AD16</f>
        <v>50586</v>
      </c>
      <c r="AE7" s="129">
        <f>Lookup!AE16</f>
        <v>50951</v>
      </c>
      <c r="AF7" s="129">
        <f>Lookup!AF16</f>
        <v>51317</v>
      </c>
      <c r="AG7" s="129">
        <f>Lookup!AG16</f>
        <v>51682</v>
      </c>
      <c r="AH7" s="129">
        <f>Lookup!AH16</f>
        <v>52047</v>
      </c>
      <c r="AI7" s="129">
        <f>Lookup!AI16</f>
        <v>52412</v>
      </c>
      <c r="AJ7" s="129">
        <f>Lookup!AJ16</f>
        <v>52778</v>
      </c>
      <c r="AK7" s="129">
        <f>Lookup!AK16</f>
        <v>53143</v>
      </c>
      <c r="AL7" s="129">
        <f>Lookup!AL16</f>
        <v>53508</v>
      </c>
      <c r="AM7" s="129">
        <f>Lookup!AM16</f>
        <v>53873</v>
      </c>
      <c r="AN7" s="129">
        <f>Lookup!AN16</f>
        <v>54239</v>
      </c>
      <c r="AO7" s="129">
        <f>Lookup!AO16</f>
        <v>54604</v>
      </c>
      <c r="AP7" s="129">
        <f>Lookup!AP16</f>
        <v>54969</v>
      </c>
      <c r="AQ7" s="129">
        <f>Lookup!AQ16</f>
        <v>55334</v>
      </c>
      <c r="AR7" s="129">
        <f>Lookup!AR16</f>
        <v>55700</v>
      </c>
      <c r="AS7" s="129">
        <f>Lookup!AS16</f>
        <v>56065</v>
      </c>
      <c r="AT7" s="129">
        <f>Lookup!AT16</f>
        <v>56430</v>
      </c>
      <c r="AU7" s="129">
        <f>Lookup!AU16</f>
        <v>56795</v>
      </c>
      <c r="AV7" s="129">
        <f>Lookup!AV16</f>
        <v>57161</v>
      </c>
      <c r="AW7" s="129">
        <f>Lookup!AW16</f>
        <v>57526</v>
      </c>
    </row>
    <row r="8" spans="1:49" s="127" customFormat="1" ht="12.3" hidden="1" outlineLevel="1" x14ac:dyDescent="0.35">
      <c r="B8" s="128" t="str">
        <f>Lookup!B17</f>
        <v>Period Counter</v>
      </c>
      <c r="J8" s="130">
        <f>Lookup!J17</f>
        <v>1</v>
      </c>
      <c r="K8" s="130">
        <f>Lookup!K17</f>
        <v>2</v>
      </c>
      <c r="L8" s="130">
        <f>Lookup!L17</f>
        <v>3</v>
      </c>
      <c r="M8" s="130">
        <f>Lookup!M17</f>
        <v>4</v>
      </c>
      <c r="N8" s="130">
        <f>Lookup!N17</f>
        <v>5</v>
      </c>
      <c r="O8" s="130">
        <f>Lookup!O17</f>
        <v>6</v>
      </c>
      <c r="P8" s="130">
        <f>Lookup!P17</f>
        <v>7</v>
      </c>
      <c r="Q8" s="130">
        <f>Lookup!Q17</f>
        <v>8</v>
      </c>
      <c r="R8" s="130">
        <f>Lookup!R17</f>
        <v>9</v>
      </c>
      <c r="S8" s="130">
        <f>Lookup!S17</f>
        <v>10</v>
      </c>
      <c r="T8" s="130">
        <f>Lookup!T17</f>
        <v>11</v>
      </c>
      <c r="U8" s="130">
        <f>Lookup!U17</f>
        <v>12</v>
      </c>
      <c r="V8" s="130">
        <f>Lookup!V17</f>
        <v>13</v>
      </c>
      <c r="W8" s="130">
        <f>Lookup!W17</f>
        <v>14</v>
      </c>
      <c r="X8" s="130">
        <f>Lookup!X17</f>
        <v>15</v>
      </c>
      <c r="Y8" s="130">
        <f>Lookup!Y17</f>
        <v>16</v>
      </c>
      <c r="Z8" s="130">
        <f>Lookup!Z17</f>
        <v>17</v>
      </c>
      <c r="AA8" s="130">
        <f>Lookup!AA17</f>
        <v>18</v>
      </c>
      <c r="AB8" s="130">
        <f>Lookup!AB17</f>
        <v>19</v>
      </c>
      <c r="AC8" s="130">
        <f>Lookup!AC17</f>
        <v>20</v>
      </c>
      <c r="AD8" s="130">
        <f>Lookup!AD17</f>
        <v>21</v>
      </c>
      <c r="AE8" s="130">
        <f>Lookup!AE17</f>
        <v>22</v>
      </c>
      <c r="AF8" s="130">
        <f>Lookup!AF17</f>
        <v>23</v>
      </c>
      <c r="AG8" s="130">
        <f>Lookup!AG17</f>
        <v>24</v>
      </c>
      <c r="AH8" s="130">
        <f>Lookup!AH17</f>
        <v>25</v>
      </c>
      <c r="AI8" s="130">
        <f>Lookup!AI17</f>
        <v>26</v>
      </c>
      <c r="AJ8" s="130">
        <f>Lookup!AJ17</f>
        <v>27</v>
      </c>
      <c r="AK8" s="130">
        <f>Lookup!AK17</f>
        <v>28</v>
      </c>
      <c r="AL8" s="130">
        <f>Lookup!AL17</f>
        <v>29</v>
      </c>
      <c r="AM8" s="130">
        <f>Lookup!AM17</f>
        <v>30</v>
      </c>
      <c r="AN8" s="130">
        <f>Lookup!AN17</f>
        <v>31</v>
      </c>
      <c r="AO8" s="130">
        <f>Lookup!AO17</f>
        <v>32</v>
      </c>
      <c r="AP8" s="130">
        <f>Lookup!AP17</f>
        <v>33</v>
      </c>
      <c r="AQ8" s="130">
        <f>Lookup!AQ17</f>
        <v>34</v>
      </c>
      <c r="AR8" s="130">
        <f>Lookup!AR17</f>
        <v>35</v>
      </c>
      <c r="AS8" s="130">
        <f>Lookup!AS17</f>
        <v>36</v>
      </c>
      <c r="AT8" s="130">
        <f>Lookup!AT17</f>
        <v>37</v>
      </c>
      <c r="AU8" s="130">
        <f>Lookup!AU17</f>
        <v>38</v>
      </c>
      <c r="AV8" s="130">
        <f>Lookup!AV17</f>
        <v>39</v>
      </c>
      <c r="AW8" s="130">
        <f>Lookup!AW17</f>
        <v>40</v>
      </c>
    </row>
    <row r="9" spans="1:49" s="127" customFormat="1" ht="12.3" hidden="1" outlineLevel="1" x14ac:dyDescent="0.35">
      <c r="B9" s="128" t="str">
        <f>Lookup!B18</f>
        <v>Year</v>
      </c>
      <c r="J9" s="131">
        <f>Lookup!J18</f>
        <v>2018</v>
      </c>
      <c r="K9" s="131">
        <f>Lookup!K18</f>
        <v>2019</v>
      </c>
      <c r="L9" s="131">
        <f>Lookup!L18</f>
        <v>2020</v>
      </c>
      <c r="M9" s="131">
        <f>Lookup!M18</f>
        <v>2021</v>
      </c>
      <c r="N9" s="131">
        <f>Lookup!N18</f>
        <v>2022</v>
      </c>
      <c r="O9" s="131">
        <f>Lookup!O18</f>
        <v>2023</v>
      </c>
      <c r="P9" s="131">
        <f>Lookup!P18</f>
        <v>2024</v>
      </c>
      <c r="Q9" s="131">
        <f>Lookup!Q18</f>
        <v>2025</v>
      </c>
      <c r="R9" s="131">
        <f>Lookup!R18</f>
        <v>2026</v>
      </c>
      <c r="S9" s="131">
        <f>Lookup!S18</f>
        <v>2027</v>
      </c>
      <c r="T9" s="131">
        <f>Lookup!T18</f>
        <v>2028</v>
      </c>
      <c r="U9" s="131">
        <f>Lookup!U18</f>
        <v>2029</v>
      </c>
      <c r="V9" s="131">
        <f>Lookup!V18</f>
        <v>2030</v>
      </c>
      <c r="W9" s="131">
        <f>Lookup!W18</f>
        <v>2031</v>
      </c>
      <c r="X9" s="131">
        <f>Lookup!X18</f>
        <v>2032</v>
      </c>
      <c r="Y9" s="131">
        <f>Lookup!Y18</f>
        <v>2033</v>
      </c>
      <c r="Z9" s="131">
        <f>Lookup!Z18</f>
        <v>2034</v>
      </c>
      <c r="AA9" s="131">
        <f>Lookup!AA18</f>
        <v>2035</v>
      </c>
      <c r="AB9" s="131">
        <f>Lookup!AB18</f>
        <v>2036</v>
      </c>
      <c r="AC9" s="131">
        <f>Lookup!AC18</f>
        <v>2037</v>
      </c>
      <c r="AD9" s="131">
        <f>Lookup!AD18</f>
        <v>2038</v>
      </c>
      <c r="AE9" s="131">
        <f>Lookup!AE18</f>
        <v>2039</v>
      </c>
      <c r="AF9" s="131">
        <f>Lookup!AF18</f>
        <v>2040</v>
      </c>
      <c r="AG9" s="131">
        <f>Lookup!AG18</f>
        <v>2041</v>
      </c>
      <c r="AH9" s="131">
        <f>Lookup!AH18</f>
        <v>2042</v>
      </c>
      <c r="AI9" s="131">
        <f>Lookup!AI18</f>
        <v>2043</v>
      </c>
      <c r="AJ9" s="131">
        <f>Lookup!AJ18</f>
        <v>2044</v>
      </c>
      <c r="AK9" s="131">
        <f>Lookup!AK18</f>
        <v>2045</v>
      </c>
      <c r="AL9" s="131">
        <f>Lookup!AL18</f>
        <v>2046</v>
      </c>
      <c r="AM9" s="131">
        <f>Lookup!AM18</f>
        <v>2047</v>
      </c>
      <c r="AN9" s="131">
        <f>Lookup!AN18</f>
        <v>2048</v>
      </c>
      <c r="AO9" s="131">
        <f>Lookup!AO18</f>
        <v>2049</v>
      </c>
      <c r="AP9" s="131">
        <f>Lookup!AP18</f>
        <v>2050</v>
      </c>
      <c r="AQ9" s="131">
        <f>Lookup!AQ18</f>
        <v>2051</v>
      </c>
      <c r="AR9" s="131">
        <f>Lookup!AR18</f>
        <v>2052</v>
      </c>
      <c r="AS9" s="131">
        <f>Lookup!AS18</f>
        <v>2053</v>
      </c>
      <c r="AT9" s="131">
        <f>Lookup!AT18</f>
        <v>2054</v>
      </c>
      <c r="AU9" s="131">
        <f>Lookup!AU18</f>
        <v>2055</v>
      </c>
      <c r="AV9" s="131">
        <f>Lookup!AV18</f>
        <v>2056</v>
      </c>
      <c r="AW9" s="131">
        <f>Lookup!AW18</f>
        <v>2057</v>
      </c>
    </row>
    <row r="10" spans="1:49" s="127" customFormat="1" ht="12.3" hidden="1" outlineLevel="1" x14ac:dyDescent="0.35">
      <c r="B10" s="128" t="str">
        <f>Lookup!B19</f>
        <v>Period Type</v>
      </c>
      <c r="J10" s="131" t="str">
        <f>Lookup!J19</f>
        <v>Actual</v>
      </c>
      <c r="K10" s="131" t="str">
        <f>Lookup!K19</f>
        <v>Actual</v>
      </c>
      <c r="L10" s="131" t="str">
        <f>Lookup!L19</f>
        <v>Actual</v>
      </c>
      <c r="M10" s="131" t="str">
        <f>Lookup!M19</f>
        <v>Base Year</v>
      </c>
      <c r="N10" s="131" t="str">
        <f>Lookup!N19</f>
        <v>Forecast</v>
      </c>
      <c r="O10" s="131" t="str">
        <f>Lookup!O19</f>
        <v>Forecast</v>
      </c>
      <c r="P10" s="131" t="str">
        <f>Lookup!P19</f>
        <v>Forecast</v>
      </c>
      <c r="Q10" s="131" t="str">
        <f>Lookup!Q19</f>
        <v>Forecast</v>
      </c>
      <c r="R10" s="131" t="str">
        <f>Lookup!R19</f>
        <v>Forecast</v>
      </c>
      <c r="S10" s="131" t="str">
        <f>Lookup!S19</f>
        <v>Forecast</v>
      </c>
      <c r="T10" s="131" t="str">
        <f>Lookup!T19</f>
        <v>Forecast</v>
      </c>
      <c r="U10" s="131" t="str">
        <f>Lookup!U19</f>
        <v>Forecast</v>
      </c>
      <c r="V10" s="131" t="str">
        <f>Lookup!V19</f>
        <v>Forecast</v>
      </c>
      <c r="W10" s="131" t="str">
        <f>Lookup!W19</f>
        <v>Forecast</v>
      </c>
      <c r="X10" s="131" t="str">
        <f>Lookup!X19</f>
        <v>Forecast</v>
      </c>
      <c r="Y10" s="131" t="str">
        <f>Lookup!Y19</f>
        <v>Forecast</v>
      </c>
      <c r="Z10" s="131" t="str">
        <f>Lookup!Z19</f>
        <v>Forecast</v>
      </c>
      <c r="AA10" s="131" t="str">
        <f>Lookup!AA19</f>
        <v>Forecast</v>
      </c>
      <c r="AB10" s="131" t="str">
        <f>Lookup!AB19</f>
        <v>Forecast</v>
      </c>
      <c r="AC10" s="131" t="str">
        <f>Lookup!AC19</f>
        <v>Forecast</v>
      </c>
      <c r="AD10" s="131" t="str">
        <f>Lookup!AD19</f>
        <v>Forecast</v>
      </c>
      <c r="AE10" s="131" t="str">
        <f>Lookup!AE19</f>
        <v>Forecast</v>
      </c>
      <c r="AF10" s="131" t="str">
        <f>Lookup!AF19</f>
        <v>Forecast</v>
      </c>
      <c r="AG10" s="131" t="str">
        <f>Lookup!AG19</f>
        <v>Forecast</v>
      </c>
      <c r="AH10" s="131" t="str">
        <f>Lookup!AH19</f>
        <v>Forecast</v>
      </c>
      <c r="AI10" s="131" t="str">
        <f>Lookup!AI19</f>
        <v>Forecast</v>
      </c>
      <c r="AJ10" s="131" t="str">
        <f>Lookup!AJ19</f>
        <v>Forecast</v>
      </c>
      <c r="AK10" s="131" t="str">
        <f>Lookup!AK19</f>
        <v>Forecast</v>
      </c>
      <c r="AL10" s="131" t="str">
        <f>Lookup!AL19</f>
        <v>Forecast</v>
      </c>
      <c r="AM10" s="131" t="str">
        <f>Lookup!AM19</f>
        <v>Forecast</v>
      </c>
      <c r="AN10" s="131" t="str">
        <f>Lookup!AN19</f>
        <v>Forecast</v>
      </c>
      <c r="AO10" s="131" t="str">
        <f>Lookup!AO19</f>
        <v>Forecast</v>
      </c>
      <c r="AP10" s="131" t="str">
        <f>Lookup!AP19</f>
        <v>Forecast</v>
      </c>
      <c r="AQ10" s="131" t="str">
        <f>Lookup!AQ19</f>
        <v>Forecast</v>
      </c>
      <c r="AR10" s="131" t="str">
        <f>Lookup!AR19</f>
        <v>Forecast</v>
      </c>
      <c r="AS10" s="131" t="str">
        <f>Lookup!AS19</f>
        <v>Forecast</v>
      </c>
      <c r="AT10" s="131" t="str">
        <f>Lookup!AT19</f>
        <v>Forecast</v>
      </c>
      <c r="AU10" s="131" t="str">
        <f>Lookup!AU19</f>
        <v>Forecast</v>
      </c>
      <c r="AV10" s="131" t="str">
        <f>Lookup!AV19</f>
        <v>Forecast</v>
      </c>
      <c r="AW10" s="131" t="str">
        <f>Lookup!AW19</f>
        <v>Forecast</v>
      </c>
    </row>
    <row r="11" spans="1:49" s="127" customFormat="1" ht="12.3" collapsed="1" x14ac:dyDescent="0.35">
      <c r="B11" s="132" t="str">
        <f>Lookup!B20</f>
        <v>Regulatory Year</v>
      </c>
      <c r="E11" s="133" t="str">
        <f>Lookup!E20</f>
        <v>Source</v>
      </c>
      <c r="F11" s="133" t="str">
        <f>Lookup!F20</f>
        <v>Unit</v>
      </c>
      <c r="G11" s="133" t="str">
        <f>Lookup!G20</f>
        <v>Basis</v>
      </c>
      <c r="H11" s="133" t="str">
        <f>Lookup!H20</f>
        <v>Timing</v>
      </c>
      <c r="J11" s="133" t="str">
        <f>Lookup!J20</f>
        <v>RY18</v>
      </c>
      <c r="K11" s="133" t="str">
        <f>Lookup!K20</f>
        <v>RY19</v>
      </c>
      <c r="L11" s="133" t="str">
        <f>Lookup!L20</f>
        <v>RY20</v>
      </c>
      <c r="M11" s="133" t="str">
        <f>Lookup!M20</f>
        <v>RY21</v>
      </c>
      <c r="N11" s="133" t="str">
        <f>Lookup!N20</f>
        <v>RY22</v>
      </c>
      <c r="O11" s="133" t="str">
        <f>Lookup!O20</f>
        <v>RY23</v>
      </c>
      <c r="P11" s="133" t="str">
        <f>Lookup!P20</f>
        <v>RY24</v>
      </c>
      <c r="Q11" s="133" t="str">
        <f>Lookup!Q20</f>
        <v>RY25</v>
      </c>
      <c r="R11" s="133" t="str">
        <f>Lookup!R20</f>
        <v>RY26</v>
      </c>
      <c r="S11" s="133" t="str">
        <f>Lookup!S20</f>
        <v>RY27</v>
      </c>
      <c r="T11" s="133" t="str">
        <f>Lookup!T20</f>
        <v>RY28</v>
      </c>
      <c r="U11" s="133" t="str">
        <f>Lookup!U20</f>
        <v>RY29</v>
      </c>
      <c r="V11" s="133" t="str">
        <f>Lookup!V20</f>
        <v>RY30</v>
      </c>
      <c r="W11" s="133" t="str">
        <f>Lookup!W20</f>
        <v>RY31</v>
      </c>
      <c r="X11" s="133" t="str">
        <f>Lookup!X20</f>
        <v>RY32</v>
      </c>
      <c r="Y11" s="133" t="str">
        <f>Lookup!Y20</f>
        <v>RY33</v>
      </c>
      <c r="Z11" s="133" t="str">
        <f>Lookup!Z20</f>
        <v>RY34</v>
      </c>
      <c r="AA11" s="133" t="str">
        <f>Lookup!AA20</f>
        <v>RY35</v>
      </c>
      <c r="AB11" s="133" t="str">
        <f>Lookup!AB20</f>
        <v>RY36</v>
      </c>
      <c r="AC11" s="133" t="str">
        <f>Lookup!AC20</f>
        <v>RY37</v>
      </c>
      <c r="AD11" s="133" t="str">
        <f>Lookup!AD20</f>
        <v>RY38</v>
      </c>
      <c r="AE11" s="133" t="str">
        <f>Lookup!AE20</f>
        <v>RY39</v>
      </c>
      <c r="AF11" s="133" t="str">
        <f>Lookup!AF20</f>
        <v>RY40</v>
      </c>
      <c r="AG11" s="133" t="str">
        <f>Lookup!AG20</f>
        <v>RY41</v>
      </c>
      <c r="AH11" s="133" t="str">
        <f>Lookup!AH20</f>
        <v>RY42</v>
      </c>
      <c r="AI11" s="133" t="str">
        <f>Lookup!AI20</f>
        <v>RY43</v>
      </c>
      <c r="AJ11" s="133" t="str">
        <f>Lookup!AJ20</f>
        <v>RY44</v>
      </c>
      <c r="AK11" s="133" t="str">
        <f>Lookup!AK20</f>
        <v>RY45</v>
      </c>
      <c r="AL11" s="133" t="str">
        <f>Lookup!AL20</f>
        <v>RY46</v>
      </c>
      <c r="AM11" s="133" t="str">
        <f>Lookup!AM20</f>
        <v>RY47</v>
      </c>
      <c r="AN11" s="133" t="str">
        <f>Lookup!AN20</f>
        <v>RY48</v>
      </c>
      <c r="AO11" s="133" t="str">
        <f>Lookup!AO20</f>
        <v>RY49</v>
      </c>
      <c r="AP11" s="133" t="str">
        <f>Lookup!AP20</f>
        <v>RY50</v>
      </c>
      <c r="AQ11" s="133" t="str">
        <f>Lookup!AQ20</f>
        <v>RY51</v>
      </c>
      <c r="AR11" s="133" t="str">
        <f>Lookup!AR20</f>
        <v>RY52</v>
      </c>
      <c r="AS11" s="133" t="str">
        <f>Lookup!AS20</f>
        <v>RY53</v>
      </c>
      <c r="AT11" s="133" t="str">
        <f>Lookup!AT20</f>
        <v>RY54</v>
      </c>
      <c r="AU11" s="133" t="str">
        <f>Lookup!AU20</f>
        <v>RY55</v>
      </c>
      <c r="AV11" s="133" t="str">
        <f>Lookup!AV20</f>
        <v>RY56</v>
      </c>
      <c r="AW11" s="133" t="str">
        <f>Lookup!AW20</f>
        <v>RY57</v>
      </c>
    </row>
    <row r="12" spans="1:49" s="127" customFormat="1" x14ac:dyDescent="0.35"/>
    <row r="13" spans="1:49" x14ac:dyDescent="0.35">
      <c r="R13" s="111"/>
    </row>
    <row r="14" spans="1:49" x14ac:dyDescent="0.35">
      <c r="R14" s="111"/>
    </row>
    <row r="15" spans="1:49" x14ac:dyDescent="0.35">
      <c r="R15" s="111"/>
    </row>
    <row r="16" spans="1:49" x14ac:dyDescent="0.35">
      <c r="R16" s="111"/>
    </row>
    <row r="17" spans="18:18" x14ac:dyDescent="0.35">
      <c r="R17" s="111"/>
    </row>
    <row r="18" spans="18:18" x14ac:dyDescent="0.35">
      <c r="R18" s="111"/>
    </row>
    <row r="19" spans="18:18" x14ac:dyDescent="0.35">
      <c r="R19" s="111"/>
    </row>
    <row r="20" spans="18:18" x14ac:dyDescent="0.35">
      <c r="R20" s="111"/>
    </row>
    <row r="21" spans="18:18" x14ac:dyDescent="0.35">
      <c r="R21" s="111"/>
    </row>
    <row r="22" spans="18:18" x14ac:dyDescent="0.35">
      <c r="R22" s="111"/>
    </row>
    <row r="23" spans="18:18" x14ac:dyDescent="0.35">
      <c r="R23" s="111"/>
    </row>
    <row r="24" spans="18:18" x14ac:dyDescent="0.35">
      <c r="R24" s="111"/>
    </row>
    <row r="25" spans="18:18" x14ac:dyDescent="0.35">
      <c r="R25" s="111"/>
    </row>
    <row r="26" spans="18:18" x14ac:dyDescent="0.35">
      <c r="R26" s="111"/>
    </row>
    <row r="27" spans="18:18" x14ac:dyDescent="0.35">
      <c r="R27" s="111"/>
    </row>
    <row r="28" spans="18:18" x14ac:dyDescent="0.35">
      <c r="R28" s="111"/>
    </row>
    <row r="29" spans="18:18" x14ac:dyDescent="0.35">
      <c r="R29" s="111"/>
    </row>
    <row r="30" spans="18:18" x14ac:dyDescent="0.35">
      <c r="R30" s="111"/>
    </row>
    <row r="31" spans="18:18" x14ac:dyDescent="0.35">
      <c r="R31" s="111"/>
    </row>
    <row r="32" spans="18:18" x14ac:dyDescent="0.35">
      <c r="R32" s="111"/>
    </row>
    <row r="33" spans="18:18" x14ac:dyDescent="0.35">
      <c r="R33" s="111"/>
    </row>
    <row r="34" spans="18:18" x14ac:dyDescent="0.35">
      <c r="R34" s="111"/>
    </row>
    <row r="35" spans="18:18" x14ac:dyDescent="0.35">
      <c r="R35" s="111"/>
    </row>
    <row r="36" spans="18:18" x14ac:dyDescent="0.35">
      <c r="R36" s="111"/>
    </row>
    <row r="37" spans="18:18" x14ac:dyDescent="0.35">
      <c r="R37" s="111"/>
    </row>
    <row r="38" spans="18:18" x14ac:dyDescent="0.35">
      <c r="R38" s="111"/>
    </row>
    <row r="39" spans="18:18" x14ac:dyDescent="0.35">
      <c r="R39" s="111"/>
    </row>
    <row r="40" spans="18:18" x14ac:dyDescent="0.35">
      <c r="R40" s="111"/>
    </row>
    <row r="41" spans="18:18" x14ac:dyDescent="0.35">
      <c r="R41" s="111"/>
    </row>
    <row r="42" spans="18:18" x14ac:dyDescent="0.35">
      <c r="R42" s="111"/>
    </row>
    <row r="43" spans="18:18" x14ac:dyDescent="0.35">
      <c r="R43" s="111"/>
    </row>
    <row r="44" spans="18:18" x14ac:dyDescent="0.35">
      <c r="R44" s="111"/>
    </row>
    <row r="45" spans="18:18" x14ac:dyDescent="0.35">
      <c r="R45" s="111"/>
    </row>
    <row r="46" spans="18:18" x14ac:dyDescent="0.35">
      <c r="R46" s="111"/>
    </row>
    <row r="47" spans="18:18" x14ac:dyDescent="0.35">
      <c r="R47" s="111"/>
    </row>
    <row r="48" spans="18:18" x14ac:dyDescent="0.35">
      <c r="R48" s="111"/>
    </row>
    <row r="49" spans="18:18" x14ac:dyDescent="0.35">
      <c r="R49" s="111"/>
    </row>
    <row r="50" spans="18:18" x14ac:dyDescent="0.35">
      <c r="R50" s="111"/>
    </row>
    <row r="51" spans="18:18" x14ac:dyDescent="0.35">
      <c r="R51" s="111"/>
    </row>
    <row r="52" spans="18:18" x14ac:dyDescent="0.35">
      <c r="R52" s="111"/>
    </row>
    <row r="53" spans="18:18" x14ac:dyDescent="0.35">
      <c r="R53" s="111"/>
    </row>
    <row r="54" spans="18:18" x14ac:dyDescent="0.35">
      <c r="R54" s="111"/>
    </row>
    <row r="55" spans="18:18" x14ac:dyDescent="0.35">
      <c r="R55" s="111"/>
    </row>
    <row r="56" spans="18:18" x14ac:dyDescent="0.35">
      <c r="R56" s="111"/>
    </row>
    <row r="57" spans="18:18" x14ac:dyDescent="0.35">
      <c r="R57" s="111"/>
    </row>
    <row r="58" spans="18:18" x14ac:dyDescent="0.35">
      <c r="R58" s="111"/>
    </row>
    <row r="59" spans="18:18" x14ac:dyDescent="0.35">
      <c r="R59" s="111"/>
    </row>
    <row r="60" spans="18:18" x14ac:dyDescent="0.35">
      <c r="R60" s="111"/>
    </row>
    <row r="61" spans="18:18" x14ac:dyDescent="0.35">
      <c r="R61" s="111"/>
    </row>
    <row r="62" spans="18:18" x14ac:dyDescent="0.35">
      <c r="R62" s="111"/>
    </row>
    <row r="63" spans="18:18" x14ac:dyDescent="0.35">
      <c r="R63" s="111"/>
    </row>
    <row r="64" spans="18:18" x14ac:dyDescent="0.35">
      <c r="R64" s="111"/>
    </row>
    <row r="65" spans="18:18" x14ac:dyDescent="0.35">
      <c r="R65" s="111"/>
    </row>
    <row r="66" spans="18:18" x14ac:dyDescent="0.35">
      <c r="R66" s="111"/>
    </row>
    <row r="67" spans="18:18" x14ac:dyDescent="0.35">
      <c r="R67" s="111"/>
    </row>
    <row r="68" spans="18:18" x14ac:dyDescent="0.35">
      <c r="R68" s="111"/>
    </row>
    <row r="69" spans="18:18" x14ac:dyDescent="0.35">
      <c r="R69" s="111"/>
    </row>
    <row r="70" spans="18:18" x14ac:dyDescent="0.35">
      <c r="R70" s="111"/>
    </row>
    <row r="71" spans="18:18" x14ac:dyDescent="0.35">
      <c r="R71" s="111"/>
    </row>
    <row r="72" spans="18:18" x14ac:dyDescent="0.35">
      <c r="R72" s="111"/>
    </row>
    <row r="73" spans="18:18" x14ac:dyDescent="0.35">
      <c r="R73" s="111"/>
    </row>
    <row r="74" spans="18:18" x14ac:dyDescent="0.35">
      <c r="R74" s="111"/>
    </row>
    <row r="75" spans="18:18" x14ac:dyDescent="0.35">
      <c r="R75" s="111"/>
    </row>
    <row r="76" spans="18:18" x14ac:dyDescent="0.35">
      <c r="R76" s="111"/>
    </row>
    <row r="77" spans="18:18" x14ac:dyDescent="0.35">
      <c r="R77" s="111"/>
    </row>
    <row r="78" spans="18:18" x14ac:dyDescent="0.35">
      <c r="R78" s="111"/>
    </row>
    <row r="79" spans="18:18" x14ac:dyDescent="0.35">
      <c r="R79" s="111"/>
    </row>
    <row r="80" spans="18:18" x14ac:dyDescent="0.35">
      <c r="R80" s="111"/>
    </row>
    <row r="81" spans="18:18" x14ac:dyDescent="0.35">
      <c r="R81" s="111"/>
    </row>
    <row r="82" spans="18:18" x14ac:dyDescent="0.35">
      <c r="R82" s="111"/>
    </row>
    <row r="83" spans="18:18" x14ac:dyDescent="0.35">
      <c r="R83" s="111"/>
    </row>
    <row r="84" spans="18:18" x14ac:dyDescent="0.35">
      <c r="R84" s="111"/>
    </row>
    <row r="85" spans="18:18" x14ac:dyDescent="0.35">
      <c r="R85" s="111"/>
    </row>
    <row r="86" spans="18:18" x14ac:dyDescent="0.35">
      <c r="R86" s="111"/>
    </row>
    <row r="87" spans="18:18" x14ac:dyDescent="0.35">
      <c r="R87" s="111"/>
    </row>
    <row r="88" spans="18:18" x14ac:dyDescent="0.35">
      <c r="R88" s="111"/>
    </row>
    <row r="89" spans="18:18" x14ac:dyDescent="0.35">
      <c r="R89" s="111"/>
    </row>
    <row r="90" spans="18:18" x14ac:dyDescent="0.35">
      <c r="R90" s="111"/>
    </row>
    <row r="91" spans="18:18" x14ac:dyDescent="0.35">
      <c r="R91" s="111"/>
    </row>
    <row r="92" spans="18:18" x14ac:dyDescent="0.35">
      <c r="R92" s="111"/>
    </row>
    <row r="93" spans="18:18" x14ac:dyDescent="0.35">
      <c r="R93" s="111"/>
    </row>
    <row r="94" spans="18:18" x14ac:dyDescent="0.35">
      <c r="R94" s="111"/>
    </row>
    <row r="95" spans="18:18" x14ac:dyDescent="0.35">
      <c r="R95" s="111"/>
    </row>
    <row r="96" spans="18:18" x14ac:dyDescent="0.35">
      <c r="R96" s="111"/>
    </row>
    <row r="97" spans="18:18" x14ac:dyDescent="0.35">
      <c r="R97" s="111"/>
    </row>
    <row r="98" spans="18:18" x14ac:dyDescent="0.35">
      <c r="R98" s="111"/>
    </row>
    <row r="99" spans="18:18" x14ac:dyDescent="0.35">
      <c r="R99" s="111"/>
    </row>
    <row r="100" spans="18:18" x14ac:dyDescent="0.35">
      <c r="R100" s="111"/>
    </row>
    <row r="101" spans="18:18" x14ac:dyDescent="0.35">
      <c r="R101" s="111"/>
    </row>
    <row r="102" spans="18:18" x14ac:dyDescent="0.35">
      <c r="R102" s="111"/>
    </row>
    <row r="103" spans="18:18" x14ac:dyDescent="0.35">
      <c r="R103" s="111"/>
    </row>
    <row r="104" spans="18:18" x14ac:dyDescent="0.35">
      <c r="R104" s="111"/>
    </row>
    <row r="105" spans="18:18" x14ac:dyDescent="0.35">
      <c r="R105" s="111"/>
    </row>
    <row r="106" spans="18:18" x14ac:dyDescent="0.35">
      <c r="R106" s="111"/>
    </row>
    <row r="107" spans="18:18" x14ac:dyDescent="0.35">
      <c r="R107" s="111"/>
    </row>
    <row r="108" spans="18:18" x14ac:dyDescent="0.35">
      <c r="R108" s="111"/>
    </row>
    <row r="109" spans="18:18" x14ac:dyDescent="0.35">
      <c r="R109" s="111"/>
    </row>
    <row r="110" spans="18:18" x14ac:dyDescent="0.35">
      <c r="R110" s="111"/>
    </row>
    <row r="111" spans="18:18" x14ac:dyDescent="0.35">
      <c r="R111" s="111"/>
    </row>
    <row r="112" spans="18:18" x14ac:dyDescent="0.35">
      <c r="R112" s="111"/>
    </row>
    <row r="113" spans="18:18" x14ac:dyDescent="0.35">
      <c r="R113" s="111"/>
    </row>
    <row r="114" spans="18:18" x14ac:dyDescent="0.35">
      <c r="R114" s="111"/>
    </row>
    <row r="115" spans="18:18" x14ac:dyDescent="0.35">
      <c r="R115" s="111"/>
    </row>
    <row r="116" spans="18:18" x14ac:dyDescent="0.35">
      <c r="R116" s="111"/>
    </row>
    <row r="117" spans="18:18" x14ac:dyDescent="0.35">
      <c r="R117" s="111"/>
    </row>
    <row r="118" spans="18:18" x14ac:dyDescent="0.35">
      <c r="R118" s="111"/>
    </row>
    <row r="119" spans="18:18" x14ac:dyDescent="0.35">
      <c r="R119" s="111"/>
    </row>
    <row r="120" spans="18:18" x14ac:dyDescent="0.35">
      <c r="R120" s="111"/>
    </row>
    <row r="121" spans="18:18" x14ac:dyDescent="0.35">
      <c r="R121" s="111"/>
    </row>
    <row r="122" spans="18:18" x14ac:dyDescent="0.35">
      <c r="R122" s="111"/>
    </row>
    <row r="123" spans="18:18" x14ac:dyDescent="0.35">
      <c r="R123" s="111"/>
    </row>
    <row r="124" spans="18:18" x14ac:dyDescent="0.35">
      <c r="R124" s="111"/>
    </row>
    <row r="125" spans="18:18" x14ac:dyDescent="0.35">
      <c r="R125" s="111"/>
    </row>
    <row r="126" spans="18:18" x14ac:dyDescent="0.35">
      <c r="R126" s="111"/>
    </row>
    <row r="127" spans="18:18" x14ac:dyDescent="0.35">
      <c r="R127" s="111"/>
    </row>
    <row r="128" spans="18:18" x14ac:dyDescent="0.35">
      <c r="R128" s="111"/>
    </row>
    <row r="129" spans="18:18" x14ac:dyDescent="0.35">
      <c r="R129" s="111"/>
    </row>
    <row r="130" spans="18:18" x14ac:dyDescent="0.35">
      <c r="R130" s="111"/>
    </row>
    <row r="131" spans="18:18" x14ac:dyDescent="0.35">
      <c r="R131" s="111"/>
    </row>
    <row r="132" spans="18:18" x14ac:dyDescent="0.35">
      <c r="R132" s="111"/>
    </row>
    <row r="133" spans="18:18" x14ac:dyDescent="0.35">
      <c r="R133" s="111"/>
    </row>
    <row r="134" spans="18:18" x14ac:dyDescent="0.35">
      <c r="R134" s="111"/>
    </row>
    <row r="135" spans="18:18" x14ac:dyDescent="0.35">
      <c r="R135" s="111"/>
    </row>
    <row r="136" spans="18:18" x14ac:dyDescent="0.35">
      <c r="R136" s="111"/>
    </row>
    <row r="137" spans="18:18" x14ac:dyDescent="0.35">
      <c r="R137" s="111"/>
    </row>
    <row r="138" spans="18:18" x14ac:dyDescent="0.35">
      <c r="R138" s="111"/>
    </row>
    <row r="139" spans="18:18" x14ac:dyDescent="0.35">
      <c r="R139" s="111"/>
    </row>
    <row r="140" spans="18:18" x14ac:dyDescent="0.35">
      <c r="R140" s="111"/>
    </row>
    <row r="141" spans="18:18" x14ac:dyDescent="0.35">
      <c r="R141" s="111"/>
    </row>
    <row r="142" spans="18:18" x14ac:dyDescent="0.35">
      <c r="R142" s="111"/>
    </row>
    <row r="143" spans="18:18" x14ac:dyDescent="0.35">
      <c r="R143" s="111"/>
    </row>
    <row r="144" spans="18:18" x14ac:dyDescent="0.35">
      <c r="R144" s="111"/>
    </row>
    <row r="145" spans="18:18" x14ac:dyDescent="0.35">
      <c r="R145" s="111"/>
    </row>
    <row r="146" spans="18:18" x14ac:dyDescent="0.35">
      <c r="R146" s="111"/>
    </row>
    <row r="147" spans="18:18" x14ac:dyDescent="0.35">
      <c r="R147" s="111"/>
    </row>
    <row r="148" spans="18:18" x14ac:dyDescent="0.35">
      <c r="R148" s="111"/>
    </row>
    <row r="149" spans="18:18" x14ac:dyDescent="0.35">
      <c r="R149" s="111"/>
    </row>
    <row r="150" spans="18:18" x14ac:dyDescent="0.35">
      <c r="R150" s="111"/>
    </row>
    <row r="151" spans="18:18" x14ac:dyDescent="0.35">
      <c r="R151" s="111"/>
    </row>
    <row r="152" spans="18:18" x14ac:dyDescent="0.35">
      <c r="R152" s="111"/>
    </row>
    <row r="153" spans="18:18" x14ac:dyDescent="0.35">
      <c r="R153" s="111"/>
    </row>
    <row r="154" spans="18:18" x14ac:dyDescent="0.35">
      <c r="R154" s="111"/>
    </row>
    <row r="155" spans="18:18" x14ac:dyDescent="0.35">
      <c r="R155" s="111"/>
    </row>
    <row r="156" spans="18:18" x14ac:dyDescent="0.35">
      <c r="R156" s="111"/>
    </row>
    <row r="157" spans="18:18" x14ac:dyDescent="0.35">
      <c r="R157" s="111"/>
    </row>
    <row r="158" spans="18:18" x14ac:dyDescent="0.35">
      <c r="R158" s="111"/>
    </row>
    <row r="159" spans="18:18" x14ac:dyDescent="0.35">
      <c r="R159" s="111"/>
    </row>
    <row r="160" spans="18:18" x14ac:dyDescent="0.35">
      <c r="R160" s="111"/>
    </row>
    <row r="161" spans="18:18" x14ac:dyDescent="0.35">
      <c r="R161" s="111"/>
    </row>
    <row r="162" spans="18:18" x14ac:dyDescent="0.35">
      <c r="R162" s="111"/>
    </row>
    <row r="163" spans="18:18" x14ac:dyDescent="0.35">
      <c r="R163" s="111"/>
    </row>
    <row r="164" spans="18:18" x14ac:dyDescent="0.35">
      <c r="R164" s="111"/>
    </row>
    <row r="165" spans="18:18" x14ac:dyDescent="0.35">
      <c r="R165" s="111"/>
    </row>
    <row r="166" spans="18:18" x14ac:dyDescent="0.35">
      <c r="R166" s="111"/>
    </row>
    <row r="167" spans="18:18" x14ac:dyDescent="0.35">
      <c r="R167" s="111"/>
    </row>
    <row r="168" spans="18:18" x14ac:dyDescent="0.35">
      <c r="R168" s="111"/>
    </row>
    <row r="169" spans="18:18" x14ac:dyDescent="0.35">
      <c r="R169" s="111"/>
    </row>
    <row r="170" spans="18:18" x14ac:dyDescent="0.35">
      <c r="R170" s="111"/>
    </row>
    <row r="171" spans="18:18" x14ac:dyDescent="0.35">
      <c r="R171" s="111"/>
    </row>
    <row r="172" spans="18:18" x14ac:dyDescent="0.35">
      <c r="R172" s="111"/>
    </row>
    <row r="173" spans="18:18" x14ac:dyDescent="0.35">
      <c r="R173" s="111"/>
    </row>
    <row r="174" spans="18:18" x14ac:dyDescent="0.35">
      <c r="R174" s="111"/>
    </row>
    <row r="175" spans="18:18" x14ac:dyDescent="0.35">
      <c r="R175" s="111"/>
    </row>
    <row r="176" spans="18:18" x14ac:dyDescent="0.35">
      <c r="R176" s="111"/>
    </row>
    <row r="177" spans="18:18" x14ac:dyDescent="0.35">
      <c r="R177" s="111"/>
    </row>
    <row r="178" spans="18:18" x14ac:dyDescent="0.35">
      <c r="R178" s="111"/>
    </row>
    <row r="179" spans="18:18" x14ac:dyDescent="0.35">
      <c r="R179" s="111"/>
    </row>
    <row r="180" spans="18:18" x14ac:dyDescent="0.35">
      <c r="R180" s="111"/>
    </row>
    <row r="181" spans="18:18" x14ac:dyDescent="0.35">
      <c r="R181" s="111"/>
    </row>
    <row r="182" spans="18:18" x14ac:dyDescent="0.35">
      <c r="R182" s="111"/>
    </row>
    <row r="183" spans="18:18" x14ac:dyDescent="0.35">
      <c r="R183" s="111"/>
    </row>
    <row r="184" spans="18:18" x14ac:dyDescent="0.35">
      <c r="R184" s="111"/>
    </row>
    <row r="185" spans="18:18" x14ac:dyDescent="0.35">
      <c r="R185" s="111"/>
    </row>
    <row r="186" spans="18:18" x14ac:dyDescent="0.35">
      <c r="R186" s="111"/>
    </row>
    <row r="187" spans="18:18" x14ac:dyDescent="0.35">
      <c r="R187" s="111"/>
    </row>
    <row r="188" spans="18:18" x14ac:dyDescent="0.35">
      <c r="R188" s="111"/>
    </row>
    <row r="189" spans="18:18" x14ac:dyDescent="0.35">
      <c r="R189" s="111"/>
    </row>
    <row r="190" spans="18:18" x14ac:dyDescent="0.35">
      <c r="R190" s="111"/>
    </row>
    <row r="191" spans="18:18" x14ac:dyDescent="0.35">
      <c r="R191" s="111"/>
    </row>
    <row r="192" spans="18:18" x14ac:dyDescent="0.35">
      <c r="R192" s="111"/>
    </row>
    <row r="193" spans="18:18" x14ac:dyDescent="0.35">
      <c r="R193" s="111"/>
    </row>
    <row r="194" spans="18:18" x14ac:dyDescent="0.35">
      <c r="R194" s="111"/>
    </row>
    <row r="195" spans="18:18" x14ac:dyDescent="0.35">
      <c r="R195" s="111"/>
    </row>
    <row r="196" spans="18:18" x14ac:dyDescent="0.35">
      <c r="R196" s="111"/>
    </row>
    <row r="197" spans="18:18" x14ac:dyDescent="0.35">
      <c r="R197" s="111"/>
    </row>
    <row r="198" spans="18:18" x14ac:dyDescent="0.35">
      <c r="R198" s="111"/>
    </row>
    <row r="199" spans="18:18" x14ac:dyDescent="0.35">
      <c r="R199" s="111"/>
    </row>
    <row r="200" spans="18:18" x14ac:dyDescent="0.35">
      <c r="R200" s="111"/>
    </row>
    <row r="201" spans="18:18" x14ac:dyDescent="0.35">
      <c r="R201" s="111"/>
    </row>
    <row r="202" spans="18:18" x14ac:dyDescent="0.35">
      <c r="R202" s="111"/>
    </row>
    <row r="203" spans="18:18" x14ac:dyDescent="0.35">
      <c r="R203" s="111"/>
    </row>
    <row r="204" spans="18:18" x14ac:dyDescent="0.35">
      <c r="R204" s="111"/>
    </row>
    <row r="205" spans="18:18" x14ac:dyDescent="0.35">
      <c r="R205" s="111"/>
    </row>
    <row r="206" spans="18:18" x14ac:dyDescent="0.35">
      <c r="R206" s="111"/>
    </row>
    <row r="207" spans="18:18" x14ac:dyDescent="0.35">
      <c r="R207" s="111"/>
    </row>
    <row r="208" spans="18:18" x14ac:dyDescent="0.35">
      <c r="R208" s="111"/>
    </row>
    <row r="209" spans="18:18" x14ac:dyDescent="0.35">
      <c r="R209" s="111"/>
    </row>
    <row r="210" spans="18:18" x14ac:dyDescent="0.35">
      <c r="R210" s="111"/>
    </row>
    <row r="211" spans="18:18" x14ac:dyDescent="0.35">
      <c r="R211" s="111"/>
    </row>
    <row r="212" spans="18:18" x14ac:dyDescent="0.35">
      <c r="R212" s="111"/>
    </row>
    <row r="213" spans="18:18" x14ac:dyDescent="0.35">
      <c r="R213" s="111"/>
    </row>
    <row r="214" spans="18:18" x14ac:dyDescent="0.35">
      <c r="R214" s="111"/>
    </row>
    <row r="215" spans="18:18" x14ac:dyDescent="0.35">
      <c r="R215" s="111"/>
    </row>
    <row r="216" spans="18:18" x14ac:dyDescent="0.35">
      <c r="R216" s="111"/>
    </row>
    <row r="217" spans="18:18" x14ac:dyDescent="0.35">
      <c r="R217" s="111"/>
    </row>
    <row r="218" spans="18:18" x14ac:dyDescent="0.35">
      <c r="R218" s="111"/>
    </row>
    <row r="219" spans="18:18" x14ac:dyDescent="0.35">
      <c r="R219" s="111"/>
    </row>
    <row r="220" spans="18:18" x14ac:dyDescent="0.35">
      <c r="R220" s="111"/>
    </row>
    <row r="221" spans="18:18" x14ac:dyDescent="0.35">
      <c r="R221" s="111"/>
    </row>
    <row r="222" spans="18:18" x14ac:dyDescent="0.35">
      <c r="R222" s="111"/>
    </row>
    <row r="223" spans="18:18" x14ac:dyDescent="0.35">
      <c r="R223" s="111"/>
    </row>
    <row r="224" spans="18:18" x14ac:dyDescent="0.35">
      <c r="R224" s="111"/>
    </row>
    <row r="225" spans="18:18" x14ac:dyDescent="0.35">
      <c r="R225" s="111"/>
    </row>
    <row r="226" spans="18:18" x14ac:dyDescent="0.35">
      <c r="R226" s="111"/>
    </row>
    <row r="227" spans="18:18" x14ac:dyDescent="0.35">
      <c r="R227" s="111"/>
    </row>
    <row r="228" spans="18:18" x14ac:dyDescent="0.35">
      <c r="R228" s="111"/>
    </row>
    <row r="229" spans="18:18" x14ac:dyDescent="0.35">
      <c r="R229" s="111"/>
    </row>
    <row r="230" spans="18:18" x14ac:dyDescent="0.35">
      <c r="R230" s="111"/>
    </row>
    <row r="231" spans="18:18" x14ac:dyDescent="0.35">
      <c r="R231" s="111"/>
    </row>
    <row r="232" spans="18:18" x14ac:dyDescent="0.35">
      <c r="R232" s="111"/>
    </row>
    <row r="233" spans="18:18" x14ac:dyDescent="0.35">
      <c r="R233" s="111"/>
    </row>
    <row r="234" spans="18:18" x14ac:dyDescent="0.35">
      <c r="R234" s="111"/>
    </row>
    <row r="235" spans="18:18" x14ac:dyDescent="0.35">
      <c r="R235" s="111"/>
    </row>
    <row r="236" spans="18:18" x14ac:dyDescent="0.35">
      <c r="R236" s="111"/>
    </row>
    <row r="237" spans="18:18" x14ac:dyDescent="0.35">
      <c r="R237" s="111"/>
    </row>
    <row r="238" spans="18:18" x14ac:dyDescent="0.35">
      <c r="R238" s="111"/>
    </row>
    <row r="239" spans="18:18" x14ac:dyDescent="0.35">
      <c r="R239" s="111"/>
    </row>
    <row r="240" spans="18:18" x14ac:dyDescent="0.35">
      <c r="R240" s="111"/>
    </row>
    <row r="241" spans="18:18" x14ac:dyDescent="0.35">
      <c r="R241" s="111"/>
    </row>
    <row r="242" spans="18:18" x14ac:dyDescent="0.35">
      <c r="R242" s="111"/>
    </row>
    <row r="243" spans="18:18" x14ac:dyDescent="0.35">
      <c r="R243" s="111"/>
    </row>
    <row r="244" spans="18:18" x14ac:dyDescent="0.35">
      <c r="R244" s="111"/>
    </row>
    <row r="245" spans="18:18" x14ac:dyDescent="0.35">
      <c r="R245" s="111"/>
    </row>
    <row r="246" spans="18:18" x14ac:dyDescent="0.35">
      <c r="R246" s="111"/>
    </row>
    <row r="247" spans="18:18" x14ac:dyDescent="0.35">
      <c r="R247" s="111"/>
    </row>
    <row r="248" spans="18:18" x14ac:dyDescent="0.35">
      <c r="R248" s="111"/>
    </row>
    <row r="249" spans="18:18" x14ac:dyDescent="0.35">
      <c r="R249" s="111"/>
    </row>
    <row r="250" spans="18:18" x14ac:dyDescent="0.35">
      <c r="R250" s="111"/>
    </row>
    <row r="251" spans="18:18" x14ac:dyDescent="0.35">
      <c r="R251" s="111"/>
    </row>
    <row r="252" spans="18:18" x14ac:dyDescent="0.35">
      <c r="R252" s="111"/>
    </row>
    <row r="253" spans="18:18" x14ac:dyDescent="0.35">
      <c r="R253" s="111"/>
    </row>
    <row r="254" spans="18:18" x14ac:dyDescent="0.35">
      <c r="R254" s="111"/>
    </row>
    <row r="255" spans="18:18" x14ac:dyDescent="0.35">
      <c r="R255" s="111"/>
    </row>
    <row r="256" spans="18:18" x14ac:dyDescent="0.35">
      <c r="R256" s="111"/>
    </row>
    <row r="257" spans="18:18" x14ac:dyDescent="0.35">
      <c r="R257" s="111"/>
    </row>
    <row r="258" spans="18:18" x14ac:dyDescent="0.35">
      <c r="R258" s="111"/>
    </row>
    <row r="259" spans="18:18" x14ac:dyDescent="0.35">
      <c r="R259" s="111"/>
    </row>
    <row r="260" spans="18:18" x14ac:dyDescent="0.35">
      <c r="R260" s="111"/>
    </row>
    <row r="261" spans="18:18" x14ac:dyDescent="0.35">
      <c r="R261" s="111"/>
    </row>
    <row r="262" spans="18:18" x14ac:dyDescent="0.35">
      <c r="R262" s="111"/>
    </row>
    <row r="263" spans="18:18" x14ac:dyDescent="0.35">
      <c r="R263" s="111"/>
    </row>
    <row r="264" spans="18:18" x14ac:dyDescent="0.35">
      <c r="R264" s="111"/>
    </row>
    <row r="265" spans="18:18" x14ac:dyDescent="0.35">
      <c r="R265" s="111"/>
    </row>
    <row r="266" spans="18:18" x14ac:dyDescent="0.35">
      <c r="R266" s="111"/>
    </row>
    <row r="267" spans="18:18" x14ac:dyDescent="0.35">
      <c r="R267" s="111"/>
    </row>
    <row r="268" spans="18:18" x14ac:dyDescent="0.35">
      <c r="R268" s="111"/>
    </row>
    <row r="269" spans="18:18" x14ac:dyDescent="0.35">
      <c r="R269" s="111"/>
    </row>
    <row r="270" spans="18:18" x14ac:dyDescent="0.35">
      <c r="R270" s="111"/>
    </row>
    <row r="271" spans="18:18" x14ac:dyDescent="0.35">
      <c r="R271" s="111"/>
    </row>
    <row r="272" spans="18:18" x14ac:dyDescent="0.35">
      <c r="R272" s="111"/>
    </row>
    <row r="273" spans="18:18" x14ac:dyDescent="0.35">
      <c r="R273" s="111"/>
    </row>
    <row r="274" spans="18:18" x14ac:dyDescent="0.35">
      <c r="R274" s="111"/>
    </row>
    <row r="275" spans="18:18" x14ac:dyDescent="0.35">
      <c r="R275" s="111"/>
    </row>
    <row r="276" spans="18:18" x14ac:dyDescent="0.35">
      <c r="R276" s="111"/>
    </row>
    <row r="277" spans="18:18" x14ac:dyDescent="0.35">
      <c r="R277" s="111"/>
    </row>
    <row r="278" spans="18:18" x14ac:dyDescent="0.35">
      <c r="R278" s="111"/>
    </row>
    <row r="279" spans="18:18" x14ac:dyDescent="0.35">
      <c r="R279" s="111"/>
    </row>
    <row r="280" spans="18:18" x14ac:dyDescent="0.35">
      <c r="R280" s="111"/>
    </row>
    <row r="281" spans="18:18" x14ac:dyDescent="0.35">
      <c r="R281" s="111"/>
    </row>
    <row r="282" spans="18:18" x14ac:dyDescent="0.35">
      <c r="R282" s="111"/>
    </row>
    <row r="283" spans="18:18" x14ac:dyDescent="0.35">
      <c r="R283" s="111"/>
    </row>
    <row r="284" spans="18:18" x14ac:dyDescent="0.35">
      <c r="R284" s="111"/>
    </row>
    <row r="285" spans="18:18" x14ac:dyDescent="0.35">
      <c r="R285" s="111"/>
    </row>
    <row r="286" spans="18:18" x14ac:dyDescent="0.35">
      <c r="R286" s="111"/>
    </row>
    <row r="287" spans="18:18" x14ac:dyDescent="0.35">
      <c r="R287" s="111"/>
    </row>
    <row r="288" spans="18:18" x14ac:dyDescent="0.35">
      <c r="R288" s="111"/>
    </row>
    <row r="289" spans="18:18" x14ac:dyDescent="0.35">
      <c r="R289" s="111"/>
    </row>
    <row r="290" spans="18:18" x14ac:dyDescent="0.35">
      <c r="R290" s="111"/>
    </row>
    <row r="291" spans="18:18" x14ac:dyDescent="0.35">
      <c r="R291" s="111"/>
    </row>
    <row r="292" spans="18:18" x14ac:dyDescent="0.35">
      <c r="R292" s="111"/>
    </row>
    <row r="293" spans="18:18" x14ac:dyDescent="0.35">
      <c r="R293" s="111"/>
    </row>
    <row r="294" spans="18:18" x14ac:dyDescent="0.35">
      <c r="R294" s="111"/>
    </row>
    <row r="295" spans="18:18" x14ac:dyDescent="0.35">
      <c r="R295" s="111"/>
    </row>
    <row r="296" spans="18:18" x14ac:dyDescent="0.35">
      <c r="R296" s="111"/>
    </row>
    <row r="297" spans="18:18" x14ac:dyDescent="0.35">
      <c r="R297" s="111"/>
    </row>
    <row r="298" spans="18:18" x14ac:dyDescent="0.35">
      <c r="R298" s="111"/>
    </row>
    <row r="299" spans="18:18" x14ac:dyDescent="0.35">
      <c r="R299" s="111"/>
    </row>
    <row r="300" spans="18:18" x14ac:dyDescent="0.35">
      <c r="R300" s="111"/>
    </row>
    <row r="301" spans="18:18" x14ac:dyDescent="0.35">
      <c r="R301" s="111"/>
    </row>
    <row r="302" spans="18:18" x14ac:dyDescent="0.35">
      <c r="R302" s="111"/>
    </row>
    <row r="303" spans="18:18" x14ac:dyDescent="0.35">
      <c r="R303" s="111"/>
    </row>
    <row r="304" spans="18:18" x14ac:dyDescent="0.35">
      <c r="R304" s="111"/>
    </row>
    <row r="305" spans="18:18" x14ac:dyDescent="0.35">
      <c r="R305" s="111"/>
    </row>
    <row r="306" spans="18:18" x14ac:dyDescent="0.35">
      <c r="R306" s="111"/>
    </row>
    <row r="307" spans="18:18" x14ac:dyDescent="0.35">
      <c r="R307" s="111"/>
    </row>
    <row r="308" spans="18:18" x14ac:dyDescent="0.35">
      <c r="R308" s="111"/>
    </row>
    <row r="309" spans="18:18" x14ac:dyDescent="0.35">
      <c r="R309" s="111"/>
    </row>
    <row r="310" spans="18:18" x14ac:dyDescent="0.35">
      <c r="R310" s="111"/>
    </row>
    <row r="311" spans="18:18" x14ac:dyDescent="0.35">
      <c r="R311" s="111"/>
    </row>
    <row r="312" spans="18:18" x14ac:dyDescent="0.35">
      <c r="R312" s="111"/>
    </row>
    <row r="313" spans="18:18" x14ac:dyDescent="0.35">
      <c r="R313" s="111"/>
    </row>
    <row r="314" spans="18:18" x14ac:dyDescent="0.35">
      <c r="R314" s="111"/>
    </row>
    <row r="315" spans="18:18" x14ac:dyDescent="0.35">
      <c r="R315" s="111"/>
    </row>
    <row r="316" spans="18:18" x14ac:dyDescent="0.35">
      <c r="R316" s="111"/>
    </row>
    <row r="317" spans="18:18" x14ac:dyDescent="0.35">
      <c r="R317" s="111"/>
    </row>
    <row r="318" spans="18:18" x14ac:dyDescent="0.35">
      <c r="R318" s="111"/>
    </row>
    <row r="319" spans="18:18" x14ac:dyDescent="0.35">
      <c r="R319" s="111"/>
    </row>
    <row r="320" spans="18:18" x14ac:dyDescent="0.35">
      <c r="R320" s="111"/>
    </row>
    <row r="321" spans="18:18" x14ac:dyDescent="0.35">
      <c r="R321" s="111"/>
    </row>
    <row r="322" spans="18:18" x14ac:dyDescent="0.35">
      <c r="R322" s="111"/>
    </row>
    <row r="323" spans="18:18" x14ac:dyDescent="0.35">
      <c r="R323" s="111"/>
    </row>
    <row r="324" spans="18:18" x14ac:dyDescent="0.35">
      <c r="R324" s="111"/>
    </row>
    <row r="325" spans="18:18" x14ac:dyDescent="0.35">
      <c r="R325" s="111"/>
    </row>
    <row r="326" spans="18:18" x14ac:dyDescent="0.35">
      <c r="R326" s="111"/>
    </row>
    <row r="327" spans="18:18" x14ac:dyDescent="0.35">
      <c r="R327" s="111"/>
    </row>
    <row r="328" spans="18:18" x14ac:dyDescent="0.35">
      <c r="R328" s="111"/>
    </row>
    <row r="329" spans="18:18" x14ac:dyDescent="0.35">
      <c r="R329" s="111"/>
    </row>
    <row r="330" spans="18:18" x14ac:dyDescent="0.35">
      <c r="R330" s="111"/>
    </row>
    <row r="331" spans="18:18" x14ac:dyDescent="0.35">
      <c r="R331" s="111"/>
    </row>
    <row r="332" spans="18:18" x14ac:dyDescent="0.35">
      <c r="R332" s="111"/>
    </row>
    <row r="333" spans="18:18" x14ac:dyDescent="0.35">
      <c r="R333" s="111"/>
    </row>
    <row r="334" spans="18:18" x14ac:dyDescent="0.35">
      <c r="R334" s="111"/>
    </row>
    <row r="335" spans="18:18" x14ac:dyDescent="0.35">
      <c r="R335" s="111"/>
    </row>
    <row r="336" spans="18:18" x14ac:dyDescent="0.35">
      <c r="R336" s="111"/>
    </row>
    <row r="337" spans="18:18" x14ac:dyDescent="0.35">
      <c r="R337" s="111"/>
    </row>
    <row r="338" spans="18:18" x14ac:dyDescent="0.35">
      <c r="R338" s="111"/>
    </row>
    <row r="339" spans="18:18" x14ac:dyDescent="0.35">
      <c r="R339" s="111"/>
    </row>
    <row r="340" spans="18:18" x14ac:dyDescent="0.35">
      <c r="R340" s="111"/>
    </row>
    <row r="341" spans="18:18" x14ac:dyDescent="0.35">
      <c r="R341" s="111"/>
    </row>
    <row r="342" spans="18:18" x14ac:dyDescent="0.35">
      <c r="R342" s="111"/>
    </row>
    <row r="343" spans="18:18" x14ac:dyDescent="0.35">
      <c r="R343" s="111"/>
    </row>
    <row r="344" spans="18:18" x14ac:dyDescent="0.35">
      <c r="R344" s="111"/>
    </row>
    <row r="345" spans="18:18" x14ac:dyDescent="0.35">
      <c r="R345" s="111"/>
    </row>
    <row r="346" spans="18:18" x14ac:dyDescent="0.35">
      <c r="R346" s="111"/>
    </row>
    <row r="347" spans="18:18" x14ac:dyDescent="0.35">
      <c r="R347" s="111"/>
    </row>
    <row r="348" spans="18:18" x14ac:dyDescent="0.35">
      <c r="R348" s="111"/>
    </row>
    <row r="349" spans="18:18" x14ac:dyDescent="0.35">
      <c r="R349" s="111"/>
    </row>
    <row r="350" spans="18:18" x14ac:dyDescent="0.35">
      <c r="R350" s="111"/>
    </row>
    <row r="351" spans="18:18" x14ac:dyDescent="0.35">
      <c r="R351" s="111"/>
    </row>
    <row r="352" spans="18:18" x14ac:dyDescent="0.35">
      <c r="R352" s="111"/>
    </row>
    <row r="353" spans="18:18" x14ac:dyDescent="0.35">
      <c r="R353" s="111"/>
    </row>
    <row r="354" spans="18:18" x14ac:dyDescent="0.35">
      <c r="R354" s="111"/>
    </row>
    <row r="355" spans="18:18" x14ac:dyDescent="0.35">
      <c r="R355" s="111"/>
    </row>
    <row r="356" spans="18:18" x14ac:dyDescent="0.35">
      <c r="R356" s="111"/>
    </row>
    <row r="357" spans="18:18" x14ac:dyDescent="0.35">
      <c r="R357" s="111"/>
    </row>
    <row r="358" spans="18:18" x14ac:dyDescent="0.35">
      <c r="R358" s="111"/>
    </row>
    <row r="359" spans="18:18" x14ac:dyDescent="0.35">
      <c r="R359" s="111"/>
    </row>
    <row r="360" spans="18:18" x14ac:dyDescent="0.35">
      <c r="R360" s="111"/>
    </row>
    <row r="361" spans="18:18" x14ac:dyDescent="0.35">
      <c r="R361" s="111"/>
    </row>
    <row r="362" spans="18:18" x14ac:dyDescent="0.35">
      <c r="R362" s="111"/>
    </row>
    <row r="363" spans="18:18" x14ac:dyDescent="0.35">
      <c r="R363" s="111"/>
    </row>
    <row r="364" spans="18:18" x14ac:dyDescent="0.35">
      <c r="R364" s="111"/>
    </row>
    <row r="365" spans="18:18" x14ac:dyDescent="0.35">
      <c r="R365" s="111"/>
    </row>
    <row r="366" spans="18:18" x14ac:dyDescent="0.35">
      <c r="R366" s="111"/>
    </row>
    <row r="367" spans="18:18" x14ac:dyDescent="0.35">
      <c r="R367" s="111"/>
    </row>
    <row r="368" spans="18:18" x14ac:dyDescent="0.35">
      <c r="R368" s="111"/>
    </row>
    <row r="369" spans="18:18" x14ac:dyDescent="0.35">
      <c r="R369" s="111"/>
    </row>
    <row r="370" spans="18:18" x14ac:dyDescent="0.35">
      <c r="R370" s="111"/>
    </row>
    <row r="371" spans="18:18" x14ac:dyDescent="0.35">
      <c r="R371" s="111"/>
    </row>
    <row r="372" spans="18:18" x14ac:dyDescent="0.35">
      <c r="R372" s="111"/>
    </row>
  </sheetData>
  <conditionalFormatting sqref="B2">
    <cfRule type="cellIs" dxfId="26" priority="1" operator="notEqual">
      <formula>"No Errors Found"</formula>
    </cfRule>
  </conditionalFormatting>
  <hyperlinks>
    <hyperlink ref="B3:D3" location="Cover!A1" display="Go to Cover Sheet" xr:uid="{29ED6214-3EBE-4F81-A9D0-4211D30758CF}"/>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7813B-B1E4-442A-91AE-0B6606032EB0}">
  <sheetPr>
    <tabColor rgb="FFFFFF00"/>
  </sheetPr>
  <dimension ref="A1:J4"/>
  <sheetViews>
    <sheetView showGridLines="0" zoomScaleNormal="100" workbookViewId="0">
      <pane xSplit="1" ySplit="4" topLeftCell="B5" activePane="bottomRight" state="frozen"/>
      <selection activeCell="N11" sqref="F4:U25"/>
      <selection pane="topRight" activeCell="N11" sqref="F4:U25"/>
      <selection pane="bottomLeft" activeCell="N11" sqref="F4:U25"/>
      <selection pane="bottomRight" activeCell="B5" sqref="B5"/>
    </sheetView>
  </sheetViews>
  <sheetFormatPr defaultColWidth="9.33203125" defaultRowHeight="10.199999999999999" x14ac:dyDescent="0.35"/>
  <cols>
    <col min="1" max="3" width="2.796875" style="83" customWidth="1"/>
    <col min="4" max="4" width="51.6640625" style="83" customWidth="1"/>
    <col min="5" max="5" width="20.796875" style="83" customWidth="1"/>
    <col min="6" max="6" width="21.3984375" style="83" customWidth="1"/>
    <col min="7" max="7" width="23.9296875" style="83" customWidth="1"/>
    <col min="8" max="9" width="12.59765625" style="83" customWidth="1"/>
    <col min="10" max="14" width="17.59765625" style="83" customWidth="1"/>
    <col min="15" max="15" width="16.06640625" style="83" customWidth="1"/>
    <col min="16" max="16" width="17.9296875" style="83" customWidth="1"/>
    <col min="17" max="20" width="10.59765625" style="83" customWidth="1"/>
    <col min="21" max="24" width="9.33203125" style="83"/>
    <col min="25" max="25" width="9.33203125" style="83" customWidth="1"/>
    <col min="26" max="16384" width="9.33203125" style="83"/>
  </cols>
  <sheetData>
    <row r="1" spans="1:10" s="242" customFormat="1" ht="18.899999999999999" x14ac:dyDescent="0.35">
      <c r="A1" s="240">
        <f>IF(SUM($A6:$A40)&gt;0,1,0)</f>
        <v>0</v>
      </c>
      <c r="B1" s="241" t="s">
        <v>194</v>
      </c>
      <c r="J1" s="246" t="s">
        <v>326</v>
      </c>
    </row>
    <row r="2" spans="1:10" s="242" customFormat="1" x14ac:dyDescent="0.35">
      <c r="B2" s="243" t="str">
        <f>Title_Msg</f>
        <v>No Errors Found</v>
      </c>
    </row>
    <row r="3" spans="1:10" s="242" customFormat="1" ht="12.3" x14ac:dyDescent="0.35">
      <c r="B3" s="244" t="s">
        <v>50</v>
      </c>
      <c r="C3" s="244"/>
      <c r="D3" s="244"/>
      <c r="E3" s="245"/>
    </row>
    <row r="4" spans="1:10" s="242" customFormat="1" ht="12.3" x14ac:dyDescent="0.35">
      <c r="B4" s="247" t="str">
        <f>Model_Name</f>
        <v>Cost Benefit Analysis - Advanced Metering within the regulated NT electricity networks</v>
      </c>
      <c r="E4" s="248" t="str">
        <f>Lookup!E20</f>
        <v>Source</v>
      </c>
      <c r="F4" s="248" t="str">
        <f>Lookup!F20</f>
        <v>Unit</v>
      </c>
      <c r="G4" s="248" t="str">
        <f>Lookup!G20</f>
        <v>Basis</v>
      </c>
      <c r="H4" s="248" t="str">
        <f>Lookup!H20</f>
        <v>Timing</v>
      </c>
      <c r="J4" s="248" t="s">
        <v>19</v>
      </c>
    </row>
  </sheetData>
  <conditionalFormatting sqref="B2">
    <cfRule type="cellIs" dxfId="25" priority="1" operator="notEqual">
      <formula>"No Errors Found"</formula>
    </cfRule>
  </conditionalFormatting>
  <hyperlinks>
    <hyperlink ref="B3:D3" location="Cover!A1" display="Go to Cover Sheet" xr:uid="{33DAA561-0F2E-42DC-B3A5-10803D92CAEC}"/>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28BB6-D52D-4472-BFB2-1357500039A4}">
  <sheetPr>
    <tabColor rgb="FFFFFF00"/>
  </sheetPr>
  <dimension ref="A1:AW11"/>
  <sheetViews>
    <sheetView showGridLines="0" zoomScaleNormal="100" workbookViewId="0">
      <pane xSplit="1" ySplit="11" topLeftCell="B12" activePane="bottomRight" state="frozen"/>
      <selection activeCell="N11" sqref="F4:U25"/>
      <selection pane="topRight" activeCell="N11" sqref="F4:U25"/>
      <selection pane="bottomLeft" activeCell="N11" sqref="F4:U25"/>
      <selection pane="bottomRight" activeCell="B12" sqref="B12"/>
    </sheetView>
  </sheetViews>
  <sheetFormatPr defaultColWidth="9.33203125" defaultRowHeight="10.199999999999999" outlineLevelRow="1" x14ac:dyDescent="0.35"/>
  <cols>
    <col min="1" max="3" width="2.796875" style="83" customWidth="1"/>
    <col min="4" max="4" width="62.46484375" style="83" customWidth="1"/>
    <col min="5" max="5" width="20.796875" style="83" customWidth="1"/>
    <col min="6" max="6" width="21.3984375" style="83" customWidth="1"/>
    <col min="7" max="7" width="23.9296875" style="83" customWidth="1"/>
    <col min="8" max="9" width="12.59765625" style="83" customWidth="1"/>
    <col min="10" max="49" width="15.59765625" style="83" customWidth="1"/>
    <col min="50" max="16384" width="9.33203125" style="83"/>
  </cols>
  <sheetData>
    <row r="1" spans="1:49" s="242" customFormat="1" ht="18.899999999999999" x14ac:dyDescent="0.35">
      <c r="A1" s="240">
        <f>IF(SUM($A13:$A119)&gt;0,1,0)</f>
        <v>0</v>
      </c>
      <c r="B1" s="241" t="s">
        <v>195</v>
      </c>
      <c r="J1" s="246" t="s">
        <v>326</v>
      </c>
    </row>
    <row r="2" spans="1:49" s="242" customFormat="1" x14ac:dyDescent="0.35">
      <c r="B2" s="243" t="str">
        <f>Title_Msg</f>
        <v>No Errors Found</v>
      </c>
    </row>
    <row r="3" spans="1:49" s="242" customFormat="1" ht="12.3" x14ac:dyDescent="0.35">
      <c r="B3" s="244" t="s">
        <v>50</v>
      </c>
      <c r="C3" s="244"/>
      <c r="D3" s="244"/>
      <c r="E3" s="245"/>
    </row>
    <row r="4" spans="1:49" s="242" customFormat="1" ht="12.3" x14ac:dyDescent="0.35">
      <c r="B4" s="247" t="str">
        <f>Model_Name</f>
        <v>Cost Benefit Analysis - Advanced Metering within the regulated NT electricity networks</v>
      </c>
      <c r="E4" s="248"/>
      <c r="F4" s="248"/>
      <c r="G4" s="248"/>
      <c r="H4" s="248"/>
      <c r="J4" s="248"/>
      <c r="K4" s="248"/>
    </row>
    <row r="5" spans="1:49" s="127" customFormat="1" x14ac:dyDescent="0.35"/>
    <row r="6" spans="1:49" s="127" customFormat="1" ht="12.3" hidden="1" outlineLevel="1" x14ac:dyDescent="0.35">
      <c r="B6" s="128" t="str">
        <f>Lookup!B15</f>
        <v>Period Start Date</v>
      </c>
      <c r="J6" s="129">
        <f>Lookup!J15</f>
        <v>42917</v>
      </c>
      <c r="K6" s="129">
        <f>Lookup!K15</f>
        <v>43282</v>
      </c>
      <c r="L6" s="129">
        <f>Lookup!L15</f>
        <v>43647</v>
      </c>
      <c r="M6" s="129">
        <f>Lookup!M15</f>
        <v>44013</v>
      </c>
      <c r="N6" s="129">
        <f>Lookup!N15</f>
        <v>44378</v>
      </c>
      <c r="O6" s="129">
        <f>Lookup!O15</f>
        <v>44743</v>
      </c>
      <c r="P6" s="129">
        <f>Lookup!P15</f>
        <v>45108</v>
      </c>
      <c r="Q6" s="129">
        <f>Lookup!Q15</f>
        <v>45474</v>
      </c>
      <c r="R6" s="129">
        <f>Lookup!R15</f>
        <v>45839</v>
      </c>
      <c r="S6" s="129">
        <f>Lookup!S15</f>
        <v>46204</v>
      </c>
      <c r="T6" s="129">
        <f>Lookup!T15</f>
        <v>46569</v>
      </c>
      <c r="U6" s="129">
        <f>Lookup!U15</f>
        <v>46935</v>
      </c>
      <c r="V6" s="129">
        <f>Lookup!V15</f>
        <v>47300</v>
      </c>
      <c r="W6" s="129">
        <f>Lookup!W15</f>
        <v>47665</v>
      </c>
      <c r="X6" s="129">
        <f>Lookup!X15</f>
        <v>48030</v>
      </c>
      <c r="Y6" s="129">
        <f>Lookup!Y15</f>
        <v>48396</v>
      </c>
      <c r="Z6" s="129">
        <f>Lookup!Z15</f>
        <v>48761</v>
      </c>
      <c r="AA6" s="129">
        <f>Lookup!AA15</f>
        <v>49126</v>
      </c>
      <c r="AB6" s="129">
        <f>Lookup!AB15</f>
        <v>49491</v>
      </c>
      <c r="AC6" s="129">
        <f>Lookup!AC15</f>
        <v>49857</v>
      </c>
      <c r="AD6" s="129">
        <f>Lookup!AD15</f>
        <v>50222</v>
      </c>
      <c r="AE6" s="129">
        <f>Lookup!AE15</f>
        <v>50587</v>
      </c>
      <c r="AF6" s="129">
        <f>Lookup!AF15</f>
        <v>50952</v>
      </c>
      <c r="AG6" s="129">
        <f>Lookup!AG15</f>
        <v>51318</v>
      </c>
      <c r="AH6" s="129">
        <f>Lookup!AH15</f>
        <v>51683</v>
      </c>
      <c r="AI6" s="129">
        <f>Lookup!AI15</f>
        <v>52048</v>
      </c>
      <c r="AJ6" s="129">
        <f>Lookup!AJ15</f>
        <v>52413</v>
      </c>
      <c r="AK6" s="129">
        <f>Lookup!AK15</f>
        <v>52779</v>
      </c>
      <c r="AL6" s="129">
        <f>Lookup!AL15</f>
        <v>53144</v>
      </c>
      <c r="AM6" s="129">
        <f>Lookup!AM15</f>
        <v>53509</v>
      </c>
      <c r="AN6" s="129">
        <f>Lookup!AN15</f>
        <v>53874</v>
      </c>
      <c r="AO6" s="129">
        <f>Lookup!AO15</f>
        <v>54240</v>
      </c>
      <c r="AP6" s="129">
        <f>Lookup!AP15</f>
        <v>54605</v>
      </c>
      <c r="AQ6" s="129">
        <f>Lookup!AQ15</f>
        <v>54970</v>
      </c>
      <c r="AR6" s="129">
        <f>Lookup!AR15</f>
        <v>55335</v>
      </c>
      <c r="AS6" s="129">
        <f>Lookup!AS15</f>
        <v>55701</v>
      </c>
      <c r="AT6" s="129">
        <f>Lookup!AT15</f>
        <v>56066</v>
      </c>
      <c r="AU6" s="129">
        <f>Lookup!AU15</f>
        <v>56431</v>
      </c>
      <c r="AV6" s="129">
        <f>Lookup!AV15</f>
        <v>56796</v>
      </c>
      <c r="AW6" s="129">
        <f>Lookup!AW15</f>
        <v>57162</v>
      </c>
    </row>
    <row r="7" spans="1:49" s="127" customFormat="1" ht="12.3" hidden="1" outlineLevel="1" x14ac:dyDescent="0.35">
      <c r="B7" s="128" t="str">
        <f>Lookup!B16</f>
        <v>Period End Date</v>
      </c>
      <c r="J7" s="129">
        <f>Lookup!J16</f>
        <v>43281</v>
      </c>
      <c r="K7" s="129">
        <f>Lookup!K16</f>
        <v>43646</v>
      </c>
      <c r="L7" s="129">
        <f>Lookup!L16</f>
        <v>44012</v>
      </c>
      <c r="M7" s="129">
        <f>Lookup!M16</f>
        <v>44377</v>
      </c>
      <c r="N7" s="129">
        <f>Lookup!N16</f>
        <v>44742</v>
      </c>
      <c r="O7" s="129">
        <f>Lookup!O16</f>
        <v>45107</v>
      </c>
      <c r="P7" s="129">
        <f>Lookup!P16</f>
        <v>45473</v>
      </c>
      <c r="Q7" s="129">
        <f>Lookup!Q16</f>
        <v>45838</v>
      </c>
      <c r="R7" s="129">
        <f>Lookup!R16</f>
        <v>46203</v>
      </c>
      <c r="S7" s="129">
        <f>Lookup!S16</f>
        <v>46568</v>
      </c>
      <c r="T7" s="129">
        <f>Lookup!T16</f>
        <v>46934</v>
      </c>
      <c r="U7" s="129">
        <f>Lookup!U16</f>
        <v>47299</v>
      </c>
      <c r="V7" s="129">
        <f>Lookup!V16</f>
        <v>47664</v>
      </c>
      <c r="W7" s="129">
        <f>Lookup!W16</f>
        <v>48029</v>
      </c>
      <c r="X7" s="129">
        <f>Lookup!X16</f>
        <v>48395</v>
      </c>
      <c r="Y7" s="129">
        <f>Lookup!Y16</f>
        <v>48760</v>
      </c>
      <c r="Z7" s="129">
        <f>Lookup!Z16</f>
        <v>49125</v>
      </c>
      <c r="AA7" s="129">
        <f>Lookup!AA16</f>
        <v>49490</v>
      </c>
      <c r="AB7" s="129">
        <f>Lookup!AB16</f>
        <v>49856</v>
      </c>
      <c r="AC7" s="129">
        <f>Lookup!AC16</f>
        <v>50221</v>
      </c>
      <c r="AD7" s="129">
        <f>Lookup!AD16</f>
        <v>50586</v>
      </c>
      <c r="AE7" s="129">
        <f>Lookup!AE16</f>
        <v>50951</v>
      </c>
      <c r="AF7" s="129">
        <f>Lookup!AF16</f>
        <v>51317</v>
      </c>
      <c r="AG7" s="129">
        <f>Lookup!AG16</f>
        <v>51682</v>
      </c>
      <c r="AH7" s="129">
        <f>Lookup!AH16</f>
        <v>52047</v>
      </c>
      <c r="AI7" s="129">
        <f>Lookup!AI16</f>
        <v>52412</v>
      </c>
      <c r="AJ7" s="129">
        <f>Lookup!AJ16</f>
        <v>52778</v>
      </c>
      <c r="AK7" s="129">
        <f>Lookup!AK16</f>
        <v>53143</v>
      </c>
      <c r="AL7" s="129">
        <f>Lookup!AL16</f>
        <v>53508</v>
      </c>
      <c r="AM7" s="129">
        <f>Lookup!AM16</f>
        <v>53873</v>
      </c>
      <c r="AN7" s="129">
        <f>Lookup!AN16</f>
        <v>54239</v>
      </c>
      <c r="AO7" s="129">
        <f>Lookup!AO16</f>
        <v>54604</v>
      </c>
      <c r="AP7" s="129">
        <f>Lookup!AP16</f>
        <v>54969</v>
      </c>
      <c r="AQ7" s="129">
        <f>Lookup!AQ16</f>
        <v>55334</v>
      </c>
      <c r="AR7" s="129">
        <f>Lookup!AR16</f>
        <v>55700</v>
      </c>
      <c r="AS7" s="129">
        <f>Lookup!AS16</f>
        <v>56065</v>
      </c>
      <c r="AT7" s="129">
        <f>Lookup!AT16</f>
        <v>56430</v>
      </c>
      <c r="AU7" s="129">
        <f>Lookup!AU16</f>
        <v>56795</v>
      </c>
      <c r="AV7" s="129">
        <f>Lookup!AV16</f>
        <v>57161</v>
      </c>
      <c r="AW7" s="129">
        <f>Lookup!AW16</f>
        <v>57526</v>
      </c>
    </row>
    <row r="8" spans="1:49" s="127" customFormat="1" ht="12.3" hidden="1" outlineLevel="1" x14ac:dyDescent="0.35">
      <c r="B8" s="128" t="str">
        <f>Lookup!B17</f>
        <v>Period Counter</v>
      </c>
      <c r="J8" s="130">
        <f>Lookup!J17</f>
        <v>1</v>
      </c>
      <c r="K8" s="130">
        <f>Lookup!K17</f>
        <v>2</v>
      </c>
      <c r="L8" s="130">
        <f>Lookup!L17</f>
        <v>3</v>
      </c>
      <c r="M8" s="130">
        <f>Lookup!M17</f>
        <v>4</v>
      </c>
      <c r="N8" s="130">
        <f>Lookup!N17</f>
        <v>5</v>
      </c>
      <c r="O8" s="130">
        <f>Lookup!O17</f>
        <v>6</v>
      </c>
      <c r="P8" s="130">
        <f>Lookup!P17</f>
        <v>7</v>
      </c>
      <c r="Q8" s="130">
        <f>Lookup!Q17</f>
        <v>8</v>
      </c>
      <c r="R8" s="130">
        <f>Lookup!R17</f>
        <v>9</v>
      </c>
      <c r="S8" s="130">
        <f>Lookup!S17</f>
        <v>10</v>
      </c>
      <c r="T8" s="130">
        <f>Lookup!T17</f>
        <v>11</v>
      </c>
      <c r="U8" s="130">
        <f>Lookup!U17</f>
        <v>12</v>
      </c>
      <c r="V8" s="130">
        <f>Lookup!V17</f>
        <v>13</v>
      </c>
      <c r="W8" s="130">
        <f>Lookup!W17</f>
        <v>14</v>
      </c>
      <c r="X8" s="130">
        <f>Lookup!X17</f>
        <v>15</v>
      </c>
      <c r="Y8" s="130">
        <f>Lookup!Y17</f>
        <v>16</v>
      </c>
      <c r="Z8" s="130">
        <f>Lookup!Z17</f>
        <v>17</v>
      </c>
      <c r="AA8" s="130">
        <f>Lookup!AA17</f>
        <v>18</v>
      </c>
      <c r="AB8" s="130">
        <f>Lookup!AB17</f>
        <v>19</v>
      </c>
      <c r="AC8" s="130">
        <f>Lookup!AC17</f>
        <v>20</v>
      </c>
      <c r="AD8" s="130">
        <f>Lookup!AD17</f>
        <v>21</v>
      </c>
      <c r="AE8" s="130">
        <f>Lookup!AE17</f>
        <v>22</v>
      </c>
      <c r="AF8" s="130">
        <f>Lookup!AF17</f>
        <v>23</v>
      </c>
      <c r="AG8" s="130">
        <f>Lookup!AG17</f>
        <v>24</v>
      </c>
      <c r="AH8" s="130">
        <f>Lookup!AH17</f>
        <v>25</v>
      </c>
      <c r="AI8" s="130">
        <f>Lookup!AI17</f>
        <v>26</v>
      </c>
      <c r="AJ8" s="130">
        <f>Lookup!AJ17</f>
        <v>27</v>
      </c>
      <c r="AK8" s="130">
        <f>Lookup!AK17</f>
        <v>28</v>
      </c>
      <c r="AL8" s="130">
        <f>Lookup!AL17</f>
        <v>29</v>
      </c>
      <c r="AM8" s="130">
        <f>Lookup!AM17</f>
        <v>30</v>
      </c>
      <c r="AN8" s="130">
        <f>Lookup!AN17</f>
        <v>31</v>
      </c>
      <c r="AO8" s="130">
        <f>Lookup!AO17</f>
        <v>32</v>
      </c>
      <c r="AP8" s="130">
        <f>Lookup!AP17</f>
        <v>33</v>
      </c>
      <c r="AQ8" s="130">
        <f>Lookup!AQ17</f>
        <v>34</v>
      </c>
      <c r="AR8" s="130">
        <f>Lookup!AR17</f>
        <v>35</v>
      </c>
      <c r="AS8" s="130">
        <f>Lookup!AS17</f>
        <v>36</v>
      </c>
      <c r="AT8" s="130">
        <f>Lookup!AT17</f>
        <v>37</v>
      </c>
      <c r="AU8" s="130">
        <f>Lookup!AU17</f>
        <v>38</v>
      </c>
      <c r="AV8" s="130">
        <f>Lookup!AV17</f>
        <v>39</v>
      </c>
      <c r="AW8" s="130">
        <f>Lookup!AW17</f>
        <v>40</v>
      </c>
    </row>
    <row r="9" spans="1:49" s="127" customFormat="1" ht="12.3" hidden="1" outlineLevel="1" x14ac:dyDescent="0.35">
      <c r="B9" s="128" t="str">
        <f>Lookup!B18</f>
        <v>Year</v>
      </c>
      <c r="J9" s="131">
        <f>Lookup!J18</f>
        <v>2018</v>
      </c>
      <c r="K9" s="131">
        <f>Lookup!K18</f>
        <v>2019</v>
      </c>
      <c r="L9" s="131">
        <f>Lookup!L18</f>
        <v>2020</v>
      </c>
      <c r="M9" s="131">
        <f>Lookup!M18</f>
        <v>2021</v>
      </c>
      <c r="N9" s="131">
        <f>Lookup!N18</f>
        <v>2022</v>
      </c>
      <c r="O9" s="131">
        <f>Lookup!O18</f>
        <v>2023</v>
      </c>
      <c r="P9" s="131">
        <f>Lookup!P18</f>
        <v>2024</v>
      </c>
      <c r="Q9" s="131">
        <f>Lookup!Q18</f>
        <v>2025</v>
      </c>
      <c r="R9" s="131">
        <f>Lookup!R18</f>
        <v>2026</v>
      </c>
      <c r="S9" s="131">
        <f>Lookup!S18</f>
        <v>2027</v>
      </c>
      <c r="T9" s="131">
        <f>Lookup!T18</f>
        <v>2028</v>
      </c>
      <c r="U9" s="131">
        <f>Lookup!U18</f>
        <v>2029</v>
      </c>
      <c r="V9" s="131">
        <f>Lookup!V18</f>
        <v>2030</v>
      </c>
      <c r="W9" s="131">
        <f>Lookup!W18</f>
        <v>2031</v>
      </c>
      <c r="X9" s="131">
        <f>Lookup!X18</f>
        <v>2032</v>
      </c>
      <c r="Y9" s="131">
        <f>Lookup!Y18</f>
        <v>2033</v>
      </c>
      <c r="Z9" s="131">
        <f>Lookup!Z18</f>
        <v>2034</v>
      </c>
      <c r="AA9" s="131">
        <f>Lookup!AA18</f>
        <v>2035</v>
      </c>
      <c r="AB9" s="131">
        <f>Lookup!AB18</f>
        <v>2036</v>
      </c>
      <c r="AC9" s="131">
        <f>Lookup!AC18</f>
        <v>2037</v>
      </c>
      <c r="AD9" s="131">
        <f>Lookup!AD18</f>
        <v>2038</v>
      </c>
      <c r="AE9" s="131">
        <f>Lookup!AE18</f>
        <v>2039</v>
      </c>
      <c r="AF9" s="131">
        <f>Lookup!AF18</f>
        <v>2040</v>
      </c>
      <c r="AG9" s="131">
        <f>Lookup!AG18</f>
        <v>2041</v>
      </c>
      <c r="AH9" s="131">
        <f>Lookup!AH18</f>
        <v>2042</v>
      </c>
      <c r="AI9" s="131">
        <f>Lookup!AI18</f>
        <v>2043</v>
      </c>
      <c r="AJ9" s="131">
        <f>Lookup!AJ18</f>
        <v>2044</v>
      </c>
      <c r="AK9" s="131">
        <f>Lookup!AK18</f>
        <v>2045</v>
      </c>
      <c r="AL9" s="131">
        <f>Lookup!AL18</f>
        <v>2046</v>
      </c>
      <c r="AM9" s="131">
        <f>Lookup!AM18</f>
        <v>2047</v>
      </c>
      <c r="AN9" s="131">
        <f>Lookup!AN18</f>
        <v>2048</v>
      </c>
      <c r="AO9" s="131">
        <f>Lookup!AO18</f>
        <v>2049</v>
      </c>
      <c r="AP9" s="131">
        <f>Lookup!AP18</f>
        <v>2050</v>
      </c>
      <c r="AQ9" s="131">
        <f>Lookup!AQ18</f>
        <v>2051</v>
      </c>
      <c r="AR9" s="131">
        <f>Lookup!AR18</f>
        <v>2052</v>
      </c>
      <c r="AS9" s="131">
        <f>Lookup!AS18</f>
        <v>2053</v>
      </c>
      <c r="AT9" s="131">
        <f>Lookup!AT18</f>
        <v>2054</v>
      </c>
      <c r="AU9" s="131">
        <f>Lookup!AU18</f>
        <v>2055</v>
      </c>
      <c r="AV9" s="131">
        <f>Lookup!AV18</f>
        <v>2056</v>
      </c>
      <c r="AW9" s="131">
        <f>Lookup!AW18</f>
        <v>2057</v>
      </c>
    </row>
    <row r="10" spans="1:49" s="127" customFormat="1" ht="12.3" hidden="1" outlineLevel="1" x14ac:dyDescent="0.35">
      <c r="B10" s="128" t="str">
        <f>Lookup!B19</f>
        <v>Period Type</v>
      </c>
      <c r="J10" s="131" t="str">
        <f>Lookup!J19</f>
        <v>Actual</v>
      </c>
      <c r="K10" s="131" t="str">
        <f>Lookup!K19</f>
        <v>Actual</v>
      </c>
      <c r="L10" s="131" t="str">
        <f>Lookup!L19</f>
        <v>Actual</v>
      </c>
      <c r="M10" s="131" t="str">
        <f>Lookup!M19</f>
        <v>Base Year</v>
      </c>
      <c r="N10" s="131" t="str">
        <f>Lookup!N19</f>
        <v>Forecast</v>
      </c>
      <c r="O10" s="131" t="str">
        <f>Lookup!O19</f>
        <v>Forecast</v>
      </c>
      <c r="P10" s="131" t="str">
        <f>Lookup!P19</f>
        <v>Forecast</v>
      </c>
      <c r="Q10" s="131" t="str">
        <f>Lookup!Q19</f>
        <v>Forecast</v>
      </c>
      <c r="R10" s="131" t="str">
        <f>Lookup!R19</f>
        <v>Forecast</v>
      </c>
      <c r="S10" s="131" t="str">
        <f>Lookup!S19</f>
        <v>Forecast</v>
      </c>
      <c r="T10" s="131" t="str">
        <f>Lookup!T19</f>
        <v>Forecast</v>
      </c>
      <c r="U10" s="131" t="str">
        <f>Lookup!U19</f>
        <v>Forecast</v>
      </c>
      <c r="V10" s="131" t="str">
        <f>Lookup!V19</f>
        <v>Forecast</v>
      </c>
      <c r="W10" s="131" t="str">
        <f>Lookup!W19</f>
        <v>Forecast</v>
      </c>
      <c r="X10" s="131" t="str">
        <f>Lookup!X19</f>
        <v>Forecast</v>
      </c>
      <c r="Y10" s="131" t="str">
        <f>Lookup!Y19</f>
        <v>Forecast</v>
      </c>
      <c r="Z10" s="131" t="str">
        <f>Lookup!Z19</f>
        <v>Forecast</v>
      </c>
      <c r="AA10" s="131" t="str">
        <f>Lookup!AA19</f>
        <v>Forecast</v>
      </c>
      <c r="AB10" s="131" t="str">
        <f>Lookup!AB19</f>
        <v>Forecast</v>
      </c>
      <c r="AC10" s="131" t="str">
        <f>Lookup!AC19</f>
        <v>Forecast</v>
      </c>
      <c r="AD10" s="131" t="str">
        <f>Lookup!AD19</f>
        <v>Forecast</v>
      </c>
      <c r="AE10" s="131" t="str">
        <f>Lookup!AE19</f>
        <v>Forecast</v>
      </c>
      <c r="AF10" s="131" t="str">
        <f>Lookup!AF19</f>
        <v>Forecast</v>
      </c>
      <c r="AG10" s="131" t="str">
        <f>Lookup!AG19</f>
        <v>Forecast</v>
      </c>
      <c r="AH10" s="131" t="str">
        <f>Lookup!AH19</f>
        <v>Forecast</v>
      </c>
      <c r="AI10" s="131" t="str">
        <f>Lookup!AI19</f>
        <v>Forecast</v>
      </c>
      <c r="AJ10" s="131" t="str">
        <f>Lookup!AJ19</f>
        <v>Forecast</v>
      </c>
      <c r="AK10" s="131" t="str">
        <f>Lookup!AK19</f>
        <v>Forecast</v>
      </c>
      <c r="AL10" s="131" t="str">
        <f>Lookup!AL19</f>
        <v>Forecast</v>
      </c>
      <c r="AM10" s="131" t="str">
        <f>Lookup!AM19</f>
        <v>Forecast</v>
      </c>
      <c r="AN10" s="131" t="str">
        <f>Lookup!AN19</f>
        <v>Forecast</v>
      </c>
      <c r="AO10" s="131" t="str">
        <f>Lookup!AO19</f>
        <v>Forecast</v>
      </c>
      <c r="AP10" s="131" t="str">
        <f>Lookup!AP19</f>
        <v>Forecast</v>
      </c>
      <c r="AQ10" s="131" t="str">
        <f>Lookup!AQ19</f>
        <v>Forecast</v>
      </c>
      <c r="AR10" s="131" t="str">
        <f>Lookup!AR19</f>
        <v>Forecast</v>
      </c>
      <c r="AS10" s="131" t="str">
        <f>Lookup!AS19</f>
        <v>Forecast</v>
      </c>
      <c r="AT10" s="131" t="str">
        <f>Lookup!AT19</f>
        <v>Forecast</v>
      </c>
      <c r="AU10" s="131" t="str">
        <f>Lookup!AU19</f>
        <v>Forecast</v>
      </c>
      <c r="AV10" s="131" t="str">
        <f>Lookup!AV19</f>
        <v>Forecast</v>
      </c>
      <c r="AW10" s="131" t="str">
        <f>Lookup!AW19</f>
        <v>Forecast</v>
      </c>
    </row>
    <row r="11" spans="1:49" s="127" customFormat="1" ht="12.3" collapsed="1" x14ac:dyDescent="0.35">
      <c r="B11" s="132" t="str">
        <f>Lookup!B20</f>
        <v>Regulatory Year</v>
      </c>
      <c r="E11" s="133" t="str">
        <f>Lookup!E20</f>
        <v>Source</v>
      </c>
      <c r="F11" s="133" t="str">
        <f>Lookup!F20</f>
        <v>Unit</v>
      </c>
      <c r="G11" s="133" t="str">
        <f>Lookup!G20</f>
        <v>Basis</v>
      </c>
      <c r="H11" s="133" t="str">
        <f>Lookup!H20</f>
        <v>Timing</v>
      </c>
      <c r="J11" s="133" t="str">
        <f>Lookup!J20</f>
        <v>RY18</v>
      </c>
      <c r="K11" s="133" t="str">
        <f>Lookup!K20</f>
        <v>RY19</v>
      </c>
      <c r="L11" s="133" t="str">
        <f>Lookup!L20</f>
        <v>RY20</v>
      </c>
      <c r="M11" s="133" t="str">
        <f>Lookup!M20</f>
        <v>RY21</v>
      </c>
      <c r="N11" s="133" t="str">
        <f>Lookup!N20</f>
        <v>RY22</v>
      </c>
      <c r="O11" s="133" t="str">
        <f>Lookup!O20</f>
        <v>RY23</v>
      </c>
      <c r="P11" s="133" t="str">
        <f>Lookup!P20</f>
        <v>RY24</v>
      </c>
      <c r="Q11" s="133" t="str">
        <f>Lookup!Q20</f>
        <v>RY25</v>
      </c>
      <c r="R11" s="133" t="str">
        <f>Lookup!R20</f>
        <v>RY26</v>
      </c>
      <c r="S11" s="133" t="str">
        <f>Lookup!S20</f>
        <v>RY27</v>
      </c>
      <c r="T11" s="133" t="str">
        <f>Lookup!T20</f>
        <v>RY28</v>
      </c>
      <c r="U11" s="133" t="str">
        <f>Lookup!U20</f>
        <v>RY29</v>
      </c>
      <c r="V11" s="133" t="str">
        <f>Lookup!V20</f>
        <v>RY30</v>
      </c>
      <c r="W11" s="133" t="str">
        <f>Lookup!W20</f>
        <v>RY31</v>
      </c>
      <c r="X11" s="133" t="str">
        <f>Lookup!X20</f>
        <v>RY32</v>
      </c>
      <c r="Y11" s="133" t="str">
        <f>Lookup!Y20</f>
        <v>RY33</v>
      </c>
      <c r="Z11" s="133" t="str">
        <f>Lookup!Z20</f>
        <v>RY34</v>
      </c>
      <c r="AA11" s="133" t="str">
        <f>Lookup!AA20</f>
        <v>RY35</v>
      </c>
      <c r="AB11" s="133" t="str">
        <f>Lookup!AB20</f>
        <v>RY36</v>
      </c>
      <c r="AC11" s="133" t="str">
        <f>Lookup!AC20</f>
        <v>RY37</v>
      </c>
      <c r="AD11" s="133" t="str">
        <f>Lookup!AD20</f>
        <v>RY38</v>
      </c>
      <c r="AE11" s="133" t="str">
        <f>Lookup!AE20</f>
        <v>RY39</v>
      </c>
      <c r="AF11" s="133" t="str">
        <f>Lookup!AF20</f>
        <v>RY40</v>
      </c>
      <c r="AG11" s="133" t="str">
        <f>Lookup!AG20</f>
        <v>RY41</v>
      </c>
      <c r="AH11" s="133" t="str">
        <f>Lookup!AH20</f>
        <v>RY42</v>
      </c>
      <c r="AI11" s="133" t="str">
        <f>Lookup!AI20</f>
        <v>RY43</v>
      </c>
      <c r="AJ11" s="133" t="str">
        <f>Lookup!AJ20</f>
        <v>RY44</v>
      </c>
      <c r="AK11" s="133" t="str">
        <f>Lookup!AK20</f>
        <v>RY45</v>
      </c>
      <c r="AL11" s="133" t="str">
        <f>Lookup!AL20</f>
        <v>RY46</v>
      </c>
      <c r="AM11" s="133" t="str">
        <f>Lookup!AM20</f>
        <v>RY47</v>
      </c>
      <c r="AN11" s="133" t="str">
        <f>Lookup!AN20</f>
        <v>RY48</v>
      </c>
      <c r="AO11" s="133" t="str">
        <f>Lookup!AO20</f>
        <v>RY49</v>
      </c>
      <c r="AP11" s="133" t="str">
        <f>Lookup!AP20</f>
        <v>RY50</v>
      </c>
      <c r="AQ11" s="133" t="str">
        <f>Lookup!AQ20</f>
        <v>RY51</v>
      </c>
      <c r="AR11" s="133" t="str">
        <f>Lookup!AR20</f>
        <v>RY52</v>
      </c>
      <c r="AS11" s="133" t="str">
        <f>Lookup!AS20</f>
        <v>RY53</v>
      </c>
      <c r="AT11" s="133" t="str">
        <f>Lookup!AT20</f>
        <v>RY54</v>
      </c>
      <c r="AU11" s="133" t="str">
        <f>Lookup!AU20</f>
        <v>RY55</v>
      </c>
      <c r="AV11" s="133" t="str">
        <f>Lookup!AV20</f>
        <v>RY56</v>
      </c>
      <c r="AW11" s="133" t="str">
        <f>Lookup!AW20</f>
        <v>RY57</v>
      </c>
    </row>
  </sheetData>
  <conditionalFormatting sqref="B2">
    <cfRule type="cellIs" dxfId="24" priority="1" operator="notEqual">
      <formula>"No Errors Found"</formula>
    </cfRule>
  </conditionalFormatting>
  <hyperlinks>
    <hyperlink ref="B3:D3" location="Cover!A1" display="Go to Cover Sheet" xr:uid="{B2ABB665-2337-44E7-BAE1-6746D1AADA45}"/>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B0D5D-512A-4487-9B6C-C6B358112BA9}">
  <sheetPr>
    <tabColor rgb="FFFFFF00"/>
  </sheetPr>
  <dimension ref="A1:K4"/>
  <sheetViews>
    <sheetView showGridLines="0" zoomScaleNormal="100" workbookViewId="0">
      <pane xSplit="1" ySplit="4" topLeftCell="B5" activePane="bottomRight" state="frozen"/>
      <selection activeCell="N11" sqref="F4:U25"/>
      <selection pane="topRight" activeCell="N11" sqref="F4:U25"/>
      <selection pane="bottomLeft" activeCell="N11" sqref="F4:U25"/>
      <selection pane="bottomRight" activeCell="B5" sqref="B5"/>
    </sheetView>
  </sheetViews>
  <sheetFormatPr defaultColWidth="9.33203125" defaultRowHeight="10.199999999999999" x14ac:dyDescent="0.35"/>
  <cols>
    <col min="1" max="3" width="2.796875" style="83" customWidth="1"/>
    <col min="4" max="4" width="62.46484375" style="83" customWidth="1"/>
    <col min="5" max="5" width="20.796875" style="83" customWidth="1"/>
    <col min="6" max="6" width="21.3984375" style="83" customWidth="1"/>
    <col min="7" max="7" width="23.9296875" style="83" customWidth="1"/>
    <col min="8" max="9" width="12.59765625" style="83" customWidth="1"/>
    <col min="10" max="15" width="17.59765625" style="83" customWidth="1"/>
    <col min="16" max="16" width="10.59765625" style="83" customWidth="1"/>
    <col min="17" max="17" width="17.9296875" style="83" customWidth="1"/>
    <col min="18" max="21" width="10.59765625" style="83" customWidth="1"/>
    <col min="22" max="25" width="9.33203125" style="83"/>
    <col min="26" max="26" width="9.33203125" style="83" customWidth="1"/>
    <col min="27" max="16384" width="9.33203125" style="83"/>
  </cols>
  <sheetData>
    <row r="1" spans="1:11" s="242" customFormat="1" ht="18.899999999999999" x14ac:dyDescent="0.35">
      <c r="A1" s="240">
        <f>IF(SUM($A6:$A105)&gt;0,1,0)</f>
        <v>0</v>
      </c>
      <c r="B1" s="241" t="s">
        <v>196</v>
      </c>
      <c r="J1" s="246" t="s">
        <v>326</v>
      </c>
    </row>
    <row r="2" spans="1:11" s="242" customFormat="1" x14ac:dyDescent="0.35">
      <c r="B2" s="243" t="str">
        <f>Title_Msg</f>
        <v>No Errors Found</v>
      </c>
    </row>
    <row r="3" spans="1:11" s="242" customFormat="1" ht="12.3" x14ac:dyDescent="0.35">
      <c r="B3" s="244" t="s">
        <v>50</v>
      </c>
      <c r="C3" s="244"/>
      <c r="D3" s="244"/>
      <c r="E3" s="245"/>
    </row>
    <row r="4" spans="1:11" s="242" customFormat="1" ht="12.3" x14ac:dyDescent="0.35">
      <c r="B4" s="247" t="str">
        <f>Model_Name</f>
        <v>Cost Benefit Analysis - Advanced Metering within the regulated NT electricity networks</v>
      </c>
      <c r="E4" s="248"/>
      <c r="F4" s="248"/>
      <c r="G4" s="248"/>
      <c r="H4" s="248"/>
      <c r="J4" s="248"/>
      <c r="K4" s="248"/>
    </row>
  </sheetData>
  <conditionalFormatting sqref="B2">
    <cfRule type="cellIs" dxfId="23" priority="1" operator="notEqual">
      <formula>"No Errors Found"</formula>
    </cfRule>
  </conditionalFormatting>
  <hyperlinks>
    <hyperlink ref="B3:D3" location="Cover!A1" display="Go to Cover Sheet" xr:uid="{9A017B32-5A1D-4F99-A666-F651022D6C4D}"/>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AADDF-A022-4A50-BB13-A91DF06F43DF}">
  <sheetPr>
    <tabColor theme="4" tint="0.59999389629810485"/>
  </sheetPr>
  <dimension ref="A1:O33"/>
  <sheetViews>
    <sheetView showGridLines="0" zoomScaleNormal="100" workbookViewId="0">
      <pane xSplit="1" ySplit="4" topLeftCell="B5" activePane="bottomRight" state="frozen"/>
      <selection activeCell="N11" sqref="F4:U25"/>
      <selection pane="topRight" activeCell="N11" sqref="F4:U25"/>
      <selection pane="bottomLeft" activeCell="N11" sqref="F4:U25"/>
      <selection pane="bottomRight" activeCell="B5" sqref="B5"/>
    </sheetView>
  </sheetViews>
  <sheetFormatPr defaultColWidth="9.33203125" defaultRowHeight="10.199999999999999" x14ac:dyDescent="0.35"/>
  <cols>
    <col min="1" max="3" width="2.796875" style="83" customWidth="1"/>
    <col min="4" max="4" width="83.796875" style="83" customWidth="1"/>
    <col min="5" max="5" width="20.796875" style="83" customWidth="1"/>
    <col min="6" max="6" width="21.3984375" style="83" customWidth="1"/>
    <col min="7" max="7" width="23.9296875" style="83" customWidth="1"/>
    <col min="8" max="8" width="12.59765625" style="83" customWidth="1"/>
    <col min="9" max="9" width="7.06640625" style="83" customWidth="1"/>
    <col min="10" max="15" width="17.59765625" style="83" customWidth="1"/>
    <col min="16" max="16" width="10.59765625" style="83" customWidth="1"/>
    <col min="17" max="17" width="17.9296875" style="83" customWidth="1"/>
    <col min="18" max="21" width="10.59765625" style="83" customWidth="1"/>
    <col min="22" max="25" width="9.33203125" style="83"/>
    <col min="26" max="26" width="9.33203125" style="83" customWidth="1"/>
    <col min="27" max="16384" width="9.33203125" style="83"/>
  </cols>
  <sheetData>
    <row r="1" spans="1:15" ht="18.899999999999999" x14ac:dyDescent="0.35">
      <c r="A1" s="65">
        <f>IF(SUM($A6:$A83)&gt;0,1,0)</f>
        <v>0</v>
      </c>
      <c r="B1" s="82" t="s">
        <v>200</v>
      </c>
    </row>
    <row r="2" spans="1:15" x14ac:dyDescent="0.35">
      <c r="B2" s="84" t="str">
        <f>Title_Msg</f>
        <v>No Errors Found</v>
      </c>
    </row>
    <row r="3" spans="1:15" ht="12.3" x14ac:dyDescent="0.35">
      <c r="B3" s="85" t="s">
        <v>50</v>
      </c>
      <c r="C3" s="85"/>
      <c r="D3" s="85"/>
      <c r="E3" s="86"/>
    </row>
    <row r="4" spans="1:15" ht="12.3" x14ac:dyDescent="0.35">
      <c r="B4" s="87" t="str">
        <f>Model_Name</f>
        <v>Cost Benefit Analysis - Advanced Metering within the regulated NT electricity networks</v>
      </c>
      <c r="E4" s="59"/>
      <c r="F4" s="59"/>
      <c r="G4" s="59"/>
      <c r="H4" s="59"/>
      <c r="J4" s="59"/>
      <c r="K4" s="59"/>
    </row>
    <row r="6" spans="1:15" s="88" customFormat="1" ht="15" x14ac:dyDescent="0.35">
      <c r="B6" s="88" t="str">
        <f>B1</f>
        <v>Input - Other policy and investment assumptions</v>
      </c>
    </row>
    <row r="7" spans="1:15" s="89" customFormat="1" ht="4.5" customHeight="1" x14ac:dyDescent="0.35"/>
    <row r="8" spans="1:15" s="90" customFormat="1" ht="14.1" x14ac:dyDescent="0.35">
      <c r="C8" s="90" t="s">
        <v>148</v>
      </c>
    </row>
    <row r="9" spans="1:15" ht="12.3" x14ac:dyDescent="0.35">
      <c r="D9" s="12"/>
      <c r="E9" s="12"/>
      <c r="F9" s="12"/>
      <c r="G9" s="12"/>
      <c r="H9" s="12"/>
      <c r="I9" s="12"/>
      <c r="K9" s="12"/>
    </row>
    <row r="10" spans="1:15" ht="12.3" x14ac:dyDescent="0.35">
      <c r="D10" s="12"/>
      <c r="E10" s="12"/>
      <c r="F10" s="12"/>
      <c r="G10" s="12"/>
      <c r="H10" s="12"/>
      <c r="I10" s="12"/>
      <c r="J10" s="119" t="s">
        <v>123</v>
      </c>
      <c r="K10" s="121"/>
      <c r="L10" s="117"/>
      <c r="M10" s="117"/>
      <c r="N10" s="117"/>
      <c r="O10" s="118"/>
    </row>
    <row r="11" spans="1:15" ht="49.2" x14ac:dyDescent="0.35">
      <c r="D11" s="91" t="s">
        <v>144</v>
      </c>
      <c r="E11" s="59" t="str">
        <f>Input_Comms!E$4</f>
        <v>Source</v>
      </c>
      <c r="F11" s="59" t="str">
        <f>Input_Comms!F$4</f>
        <v>Unit</v>
      </c>
      <c r="G11" s="59" t="str">
        <f>Input_Comms!G$4</f>
        <v>Basis</v>
      </c>
      <c r="H11" s="59" t="str">
        <f>Input_Comms!H$4</f>
        <v>Timing</v>
      </c>
      <c r="I11" s="91"/>
      <c r="J11" s="95"/>
      <c r="K11" s="96" t="str">
        <f>Lookup!$D$103</f>
        <v>Base Case - Advanced capable meters</v>
      </c>
      <c r="L11" s="96" t="str">
        <f>Lookup!$D$104</f>
        <v>Targeted roll out</v>
      </c>
      <c r="M11" s="96" t="str">
        <f>Lookup!$D$105</f>
        <v>Advanced meters, enabled immediately</v>
      </c>
      <c r="N11" s="96" t="str">
        <f>Lookup!$D$106</f>
        <v>Advanced capable meters, enabled strategically</v>
      </c>
      <c r="O11" s="97" t="str">
        <f>Lookup!$D$107</f>
        <v>Transition via advanced meters</v>
      </c>
    </row>
    <row r="12" spans="1:15" ht="12.3" x14ac:dyDescent="0.35">
      <c r="D12" s="91"/>
      <c r="E12" s="59"/>
      <c r="F12" s="59"/>
      <c r="G12" s="59"/>
      <c r="H12" s="59"/>
      <c r="I12" s="91"/>
      <c r="J12" s="122"/>
      <c r="K12" s="38"/>
      <c r="L12" s="123"/>
      <c r="M12" s="111"/>
      <c r="N12" s="111"/>
      <c r="O12" s="116"/>
    </row>
    <row r="13" spans="1:15" ht="12.3" x14ac:dyDescent="0.35">
      <c r="D13" s="12" t="str">
        <f>Lookup!D76</f>
        <v>Advanced Capable</v>
      </c>
      <c r="E13" s="62" t="s">
        <v>198</v>
      </c>
      <c r="F13" s="62" t="s">
        <v>58</v>
      </c>
      <c r="G13" s="62" t="str">
        <f>NA</f>
        <v>N/A</v>
      </c>
      <c r="H13" s="62" t="str">
        <f>NA</f>
        <v>N/A</v>
      </c>
      <c r="J13" s="122"/>
      <c r="K13" s="38" t="str">
        <f>NA</f>
        <v>N/A</v>
      </c>
      <c r="L13" s="124" t="s">
        <v>145</v>
      </c>
      <c r="M13" s="124" t="s">
        <v>305</v>
      </c>
      <c r="N13" s="124" t="s">
        <v>145</v>
      </c>
      <c r="O13" s="125" t="s">
        <v>145</v>
      </c>
    </row>
    <row r="14" spans="1:15" ht="12.3" x14ac:dyDescent="0.35">
      <c r="D14" s="12" t="str">
        <f>Lookup!D77</f>
        <v>Advanced Meter</v>
      </c>
      <c r="E14" s="62" t="s">
        <v>198</v>
      </c>
      <c r="F14" s="62" t="s">
        <v>58</v>
      </c>
      <c r="G14" s="62" t="str">
        <f>NA</f>
        <v>N/A</v>
      </c>
      <c r="H14" s="62" t="str">
        <f>NA</f>
        <v>N/A</v>
      </c>
      <c r="J14" s="122"/>
      <c r="K14" s="38" t="str">
        <f>NA</f>
        <v>N/A</v>
      </c>
      <c r="L14" s="124" t="s">
        <v>199</v>
      </c>
      <c r="M14" s="38" t="str">
        <f>Lookup!$L$20</f>
        <v>RY20</v>
      </c>
      <c r="N14" s="38" t="str">
        <f>N13</f>
        <v>RY25</v>
      </c>
      <c r="O14" s="97" t="str">
        <f>O13</f>
        <v>RY25</v>
      </c>
    </row>
    <row r="16" spans="1:15" s="90" customFormat="1" ht="14.1" x14ac:dyDescent="0.35">
      <c r="C16" s="90" t="s">
        <v>208</v>
      </c>
    </row>
    <row r="18" spans="3:11" ht="36.9" x14ac:dyDescent="0.35">
      <c r="D18" s="91" t="s">
        <v>121</v>
      </c>
      <c r="E18" s="59" t="str">
        <f>Input_Comms!E$4</f>
        <v>Source</v>
      </c>
      <c r="F18" s="59" t="str">
        <f>Input_Comms!F$4</f>
        <v>Unit</v>
      </c>
      <c r="G18" s="59" t="str">
        <f>Input_Comms!G$4</f>
        <v>Basis</v>
      </c>
      <c r="H18" s="59" t="str">
        <f>Input_Comms!H$4</f>
        <v>Timing</v>
      </c>
      <c r="I18" s="91"/>
      <c r="J18" s="59" t="str">
        <f>Input_Comms!J$4</f>
        <v>Input</v>
      </c>
      <c r="K18" s="96" t="s">
        <v>213</v>
      </c>
    </row>
    <row r="20" spans="3:11" ht="12.3" x14ac:dyDescent="0.35">
      <c r="D20" s="12" t="s">
        <v>209</v>
      </c>
      <c r="E20" s="62" t="s">
        <v>198</v>
      </c>
      <c r="F20" s="62" t="str">
        <f>Factor</f>
        <v>Factor</v>
      </c>
      <c r="G20" s="62" t="str">
        <f>NA</f>
        <v>N/A</v>
      </c>
      <c r="H20" s="62" t="str">
        <f>NA</f>
        <v>N/A</v>
      </c>
      <c r="I20" s="12"/>
      <c r="J20" s="52" t="s">
        <v>9</v>
      </c>
      <c r="K20" s="62" t="str">
        <f>No</f>
        <v>No</v>
      </c>
    </row>
    <row r="21" spans="3:11" ht="12.3" x14ac:dyDescent="0.35">
      <c r="D21" s="12" t="s">
        <v>210</v>
      </c>
      <c r="E21" s="62" t="s">
        <v>89</v>
      </c>
      <c r="F21" s="62" t="str">
        <f>Factor</f>
        <v>Factor</v>
      </c>
      <c r="G21" s="62" t="str">
        <f>NA</f>
        <v>N/A</v>
      </c>
      <c r="H21" s="62" t="str">
        <f>NA</f>
        <v>N/A</v>
      </c>
      <c r="I21" s="12"/>
      <c r="J21" s="62" t="str">
        <f>IF(J20=Yes,No,Yes)</f>
        <v>No</v>
      </c>
      <c r="K21" s="62" t="str">
        <f>Yes</f>
        <v>Yes</v>
      </c>
    </row>
    <row r="23" spans="3:11" s="90" customFormat="1" ht="14.1" x14ac:dyDescent="0.35">
      <c r="C23" s="90" t="s">
        <v>147</v>
      </c>
    </row>
    <row r="25" spans="3:11" ht="12.3" x14ac:dyDescent="0.35">
      <c r="D25" s="91" t="s">
        <v>121</v>
      </c>
      <c r="E25" s="59" t="str">
        <f>Input_Comms!E$4</f>
        <v>Source</v>
      </c>
      <c r="F25" s="59" t="str">
        <f>Input_Comms!F$4</f>
        <v>Unit</v>
      </c>
      <c r="G25" s="59" t="str">
        <f>Input_Comms!G$4</f>
        <v>Basis</v>
      </c>
      <c r="H25" s="59" t="str">
        <f>Input_Comms!H$4</f>
        <v>Timing</v>
      </c>
      <c r="I25" s="91"/>
      <c r="J25" s="59" t="str">
        <f>Input_Comms!J$4</f>
        <v>Input</v>
      </c>
    </row>
    <row r="27" spans="3:11" ht="12.3" x14ac:dyDescent="0.35">
      <c r="D27" s="12" t="s">
        <v>142</v>
      </c>
      <c r="E27" s="62" t="s">
        <v>198</v>
      </c>
      <c r="F27" s="62" t="s">
        <v>143</v>
      </c>
      <c r="G27" s="62" t="str">
        <f>NA</f>
        <v>N/A</v>
      </c>
      <c r="H27" s="62" t="str">
        <f>NA</f>
        <v>N/A</v>
      </c>
      <c r="J27" s="52" t="s">
        <v>145</v>
      </c>
    </row>
    <row r="28" spans="3:11" ht="12.3" x14ac:dyDescent="0.35">
      <c r="D28" s="12" t="s">
        <v>146</v>
      </c>
      <c r="E28" s="62" t="s">
        <v>198</v>
      </c>
      <c r="F28" s="62" t="str">
        <f>Percent</f>
        <v>Percent</v>
      </c>
      <c r="G28" s="62" t="str">
        <f>NA</f>
        <v>N/A</v>
      </c>
      <c r="H28" s="62" t="str">
        <f>NA</f>
        <v>N/A</v>
      </c>
      <c r="J28" s="107">
        <f>Output_Sensitivities!$F$22</f>
        <v>0</v>
      </c>
    </row>
    <row r="29" spans="3:11" ht="12.3" x14ac:dyDescent="0.35">
      <c r="D29" s="12"/>
      <c r="E29" s="12"/>
      <c r="F29" s="12"/>
      <c r="G29" s="12"/>
      <c r="H29" s="12"/>
      <c r="I29" s="12"/>
      <c r="J29" s="12"/>
      <c r="K29" s="12"/>
    </row>
    <row r="30" spans="3:11" ht="12.3" x14ac:dyDescent="0.35">
      <c r="D30" s="12" t="s">
        <v>206</v>
      </c>
      <c r="E30" s="62" t="s">
        <v>198</v>
      </c>
      <c r="F30" s="62" t="str">
        <f>Factor</f>
        <v>Factor</v>
      </c>
      <c r="G30" s="62" t="str">
        <f>NA</f>
        <v>N/A</v>
      </c>
      <c r="H30" s="62" t="str">
        <f>NA</f>
        <v>N/A</v>
      </c>
      <c r="I30" s="12"/>
      <c r="J30" s="52" t="s">
        <v>9</v>
      </c>
      <c r="K30" s="12"/>
    </row>
    <row r="31" spans="3:11" ht="12.3" x14ac:dyDescent="0.35">
      <c r="D31" s="12" t="s">
        <v>207</v>
      </c>
      <c r="E31" s="62" t="s">
        <v>198</v>
      </c>
      <c r="F31" s="62" t="str">
        <f>Factor</f>
        <v>Factor</v>
      </c>
      <c r="G31" s="62" t="str">
        <f>NA</f>
        <v>N/A</v>
      </c>
      <c r="H31" s="62" t="str">
        <f>NA</f>
        <v>N/A</v>
      </c>
      <c r="I31" s="12"/>
      <c r="J31" s="52" t="s">
        <v>9</v>
      </c>
      <c r="K31" s="12"/>
    </row>
    <row r="33" spans="2:2" s="88" customFormat="1" ht="15" x14ac:dyDescent="0.35">
      <c r="B33" s="88" t="s">
        <v>31</v>
      </c>
    </row>
  </sheetData>
  <conditionalFormatting sqref="B2">
    <cfRule type="cellIs" dxfId="22" priority="1" operator="notEqual">
      <formula>"No Errors Found"</formula>
    </cfRule>
  </conditionalFormatting>
  <dataValidations count="2">
    <dataValidation type="list" allowBlank="1" showInputMessage="1" showErrorMessage="1" sqref="J27 M13:O13 L13:L14" xr:uid="{723190BA-AC6F-4DD1-8F49-F031691D11FA}">
      <formula1>RA_RY</formula1>
    </dataValidation>
    <dataValidation type="list" allowBlank="1" showInputMessage="1" showErrorMessage="1" sqref="J30:J31 J20" xr:uid="{A4B9C126-7C75-4D4A-9113-503A6F4D9209}">
      <formula1>Yes_No</formula1>
    </dataValidation>
  </dataValidations>
  <hyperlinks>
    <hyperlink ref="B3:D3" location="Cover!A1" display="Go to Cover Sheet" xr:uid="{887B044E-C340-4447-9077-17AA81961F97}"/>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BA3B04C24F8D74DBE21978B58C569F6" ma:contentTypeVersion="4" ma:contentTypeDescription="Create a new document." ma:contentTypeScope="" ma:versionID="adc0807dace506080b80eaaea3507f1c">
  <xsd:schema xmlns:xsd="http://www.w3.org/2001/XMLSchema" xmlns:xs="http://www.w3.org/2001/XMLSchema" xmlns:p="http://schemas.microsoft.com/office/2006/metadata/properties" xmlns:ns2="4eb6023d-658b-4527-be73-24b0518f0bf9" xmlns:ns3="7aa583b4-7878-4620-ad4f-d1b586498304" targetNamespace="http://schemas.microsoft.com/office/2006/metadata/properties" ma:root="true" ma:fieldsID="a11288c608cf05ce5d6a34290543d294" ns2:_="" ns3:_="">
    <xsd:import namespace="4eb6023d-658b-4527-be73-24b0518f0bf9"/>
    <xsd:import namespace="7aa583b4-7878-4620-ad4f-d1b58649830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b6023d-658b-4527-be73-24b0518f0bf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a583b4-7878-4620-ad4f-d1b586498304"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BB8E4C-654F-4B03-A806-9BCD5ED90ED3}">
  <ds:schemaRefs>
    <ds:schemaRef ds:uri="http://schemas.microsoft.com/PowerBIAddIn"/>
  </ds:schemaRefs>
</ds:datastoreItem>
</file>

<file path=customXml/itemProps2.xml><?xml version="1.0" encoding="utf-8"?>
<ds:datastoreItem xmlns:ds="http://schemas.openxmlformats.org/officeDocument/2006/customXml" ds:itemID="{1997CDD1-FCE8-40FA-A22B-39998E6D97A8}">
  <ds:schemaRefs>
    <ds:schemaRef ds:uri="4eb6023d-658b-4527-be73-24b0518f0bf9"/>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7aa583b4-7878-4620-ad4f-d1b586498304"/>
    <ds:schemaRef ds:uri="http://www.w3.org/XML/1998/namespace"/>
    <ds:schemaRef ds:uri="http://purl.org/dc/dcmitype/"/>
  </ds:schemaRefs>
</ds:datastoreItem>
</file>

<file path=customXml/itemProps3.xml><?xml version="1.0" encoding="utf-8"?>
<ds:datastoreItem xmlns:ds="http://schemas.openxmlformats.org/officeDocument/2006/customXml" ds:itemID="{CA4CC24A-A301-4156-98D3-737AA101ADA0}">
  <ds:schemaRefs>
    <ds:schemaRef ds:uri="http://schemas.microsoft.com/sharepoint/v3/contenttype/forms"/>
  </ds:schemaRefs>
</ds:datastoreItem>
</file>

<file path=customXml/itemProps4.xml><?xml version="1.0" encoding="utf-8"?>
<ds:datastoreItem xmlns:ds="http://schemas.openxmlformats.org/officeDocument/2006/customXml" ds:itemID="{D6F2218A-94CD-412D-B052-63E27B113E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b6023d-658b-4527-be73-24b0518f0bf9"/>
    <ds:schemaRef ds:uri="7aa583b4-7878-4620-ad4f-d1b5864983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26</vt:i4>
      </vt:variant>
      <vt:variant>
        <vt:lpstr>Named Ranges</vt:lpstr>
      </vt:variant>
      <vt:variant>
        <vt:i4>46</vt:i4>
      </vt:variant>
    </vt:vector>
  </HeadingPairs>
  <TitlesOfParts>
    <vt:vector size="72" baseType="lpstr">
      <vt:lpstr>Cover</vt:lpstr>
      <vt:lpstr>TOC</vt:lpstr>
      <vt:lpstr>Input_General</vt:lpstr>
      <vt:lpstr>Input_Meters</vt:lpstr>
      <vt:lpstr>Input_Meter_Movements</vt:lpstr>
      <vt:lpstr>Input_Comms</vt:lpstr>
      <vt:lpstr>Input_IT</vt:lpstr>
      <vt:lpstr>Input_Services</vt:lpstr>
      <vt:lpstr>Input_Other</vt:lpstr>
      <vt:lpstr>Input_RIN</vt:lpstr>
      <vt:lpstr>Input_Capex</vt:lpstr>
      <vt:lpstr>Calc_Scenario_1</vt:lpstr>
      <vt:lpstr>Calc_Scenario_2</vt:lpstr>
      <vt:lpstr>Calc_Scenario_3</vt:lpstr>
      <vt:lpstr>Calc_Scenario_4</vt:lpstr>
      <vt:lpstr>Calc_Scenario_5</vt:lpstr>
      <vt:lpstr>Calc_CF_Sum</vt:lpstr>
      <vt:lpstr>Output_NPV</vt:lpstr>
      <vt:lpstr>Output_Sensitivities</vt:lpstr>
      <vt:lpstr>Output_AER_Capex</vt:lpstr>
      <vt:lpstr>Output_AER_Step</vt:lpstr>
      <vt:lpstr>Output_Tariffs</vt:lpstr>
      <vt:lpstr>Output_RIN</vt:lpstr>
      <vt:lpstr>Output_AMP</vt:lpstr>
      <vt:lpstr>Lookup</vt:lpstr>
      <vt:lpstr>Checks</vt:lpstr>
      <vt:lpstr>Base_Year</vt:lpstr>
      <vt:lpstr>Days_In_Wk</vt:lpstr>
      <vt:lpstr>Days_In_Yr</vt:lpstr>
      <vt:lpstr>Dollars</vt:lpstr>
      <vt:lpstr>End_year</vt:lpstr>
      <vt:lpstr>Error</vt:lpstr>
      <vt:lpstr>Factor</vt:lpstr>
      <vt:lpstr>Half</vt:lpstr>
      <vt:lpstr>Kilometres</vt:lpstr>
      <vt:lpstr>LU_AER_Expense_Classification</vt:lpstr>
      <vt:lpstr>LU_Basis</vt:lpstr>
      <vt:lpstr>LU_Cash_Flow_Type</vt:lpstr>
      <vt:lpstr>LU_Dollar_Basis</vt:lpstr>
      <vt:lpstr>LU_Meter_Description</vt:lpstr>
      <vt:lpstr>LU_Meter_Models</vt:lpstr>
      <vt:lpstr>LU_Meter_Type</vt:lpstr>
      <vt:lpstr>LU_Phase_Type</vt:lpstr>
      <vt:lpstr>LU_RAB_Asset_Class</vt:lpstr>
      <vt:lpstr>LU_RIN_Meter_Classification</vt:lpstr>
      <vt:lpstr>LU_Scenario_Name</vt:lpstr>
      <vt:lpstr>LU_Timing</vt:lpstr>
      <vt:lpstr>LU_Timing_Value</vt:lpstr>
      <vt:lpstr>LU_Units</vt:lpstr>
      <vt:lpstr>Mid_year</vt:lpstr>
      <vt:lpstr>Million</vt:lpstr>
      <vt:lpstr>Millions</vt:lpstr>
      <vt:lpstr>Model_Name</vt:lpstr>
      <vt:lpstr>Model_Start_Date</vt:lpstr>
      <vt:lpstr>Mths_In_Mth</vt:lpstr>
      <vt:lpstr>Mths_In_Qtr</vt:lpstr>
      <vt:lpstr>Mths_In_Yr</vt:lpstr>
      <vt:lpstr>NA</vt:lpstr>
      <vt:lpstr>No</vt:lpstr>
      <vt:lpstr>Nominal</vt:lpstr>
      <vt:lpstr>Number</vt:lpstr>
      <vt:lpstr>Ok</vt:lpstr>
      <vt:lpstr>Percent</vt:lpstr>
      <vt:lpstr>Qtrs_In_Yr</vt:lpstr>
      <vt:lpstr>RA_RY</vt:lpstr>
      <vt:lpstr>Real2018</vt:lpstr>
      <vt:lpstr>Real2019</vt:lpstr>
      <vt:lpstr>Start_year</vt:lpstr>
      <vt:lpstr>Thousands</vt:lpstr>
      <vt:lpstr>Title_Msg</vt:lpstr>
      <vt:lpstr>Yes</vt:lpstr>
      <vt:lpstr>Yes_No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 Wu</dc:creator>
  <cp:lastModifiedBy>Ryan</cp:lastModifiedBy>
  <cp:lastPrinted>2017-09-21T03:25:38Z</cp:lastPrinted>
  <dcterms:created xsi:type="dcterms:W3CDTF">2012-02-19T06:14:59Z</dcterms:created>
  <dcterms:modified xsi:type="dcterms:W3CDTF">2018-03-15T05:54:18Z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0x0101003BA3B04C24F8D74DBE21978B58C569F6</vt:lpwstr>
  </property>
</Properties>
</file>