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CFA0C7A6-F399-4948-98D2-98B880672D44}" xr6:coauthVersionLast="45" xr6:coauthVersionMax="45" xr10:uidLastSave="{00000000-0000-0000-0000-000000000000}"/>
  <bookViews>
    <workbookView xWindow="-120" yWindow="-120" windowWidth="38640" windowHeight="21240" tabRatio="847" xr2:uid="{00000000-000D-0000-FFFF-FFFF00000000}"/>
  </bookViews>
  <sheets>
    <sheet name="Change log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3" i="42" l="1"/>
  <c r="P69" i="42"/>
  <c r="Q63" i="42"/>
  <c r="R63" i="42"/>
  <c r="R69" i="42"/>
  <c r="S63" i="42"/>
  <c r="S69" i="42"/>
  <c r="T63" i="42"/>
  <c r="Q41" i="2"/>
  <c r="U97" i="2"/>
  <c r="U98" i="2"/>
  <c r="U99" i="2"/>
  <c r="U100" i="2"/>
  <c r="U101" i="2"/>
  <c r="T97" i="2"/>
  <c r="T98" i="2"/>
  <c r="T99" i="2"/>
  <c r="T100" i="2"/>
  <c r="T101" i="2"/>
  <c r="R97" i="2"/>
  <c r="R98" i="2"/>
  <c r="R99" i="2"/>
  <c r="R100" i="2"/>
  <c r="R101" i="2"/>
  <c r="S97" i="2"/>
  <c r="S98" i="2"/>
  <c r="S99" i="2"/>
  <c r="S100" i="2"/>
  <c r="S101" i="2"/>
  <c r="Q97" i="2"/>
  <c r="Q98" i="2"/>
  <c r="Q99" i="2"/>
  <c r="Q100" i="2"/>
  <c r="Q101" i="2"/>
  <c r="P16" i="53"/>
  <c r="Q16" i="53"/>
  <c r="R16" i="53"/>
  <c r="S16" i="53"/>
  <c r="T16" i="53"/>
  <c r="R55" i="2"/>
  <c r="R58" i="2"/>
  <c r="R60" i="2"/>
  <c r="Q58" i="2"/>
  <c r="Q60" i="2"/>
  <c r="U41" i="2"/>
  <c r="T41" i="2"/>
  <c r="S41" i="2"/>
  <c r="R41" i="2"/>
  <c r="Q80" i="42"/>
  <c r="Q77" i="42"/>
  <c r="Q86" i="42"/>
  <c r="R80" i="42"/>
  <c r="R77" i="42"/>
  <c r="R86" i="42"/>
  <c r="S80" i="42"/>
  <c r="S77" i="42"/>
  <c r="S86" i="42"/>
  <c r="T80" i="42"/>
  <c r="T77" i="42"/>
  <c r="T86" i="42"/>
  <c r="P80" i="42"/>
  <c r="P77" i="42"/>
  <c r="P86" i="42"/>
  <c r="Q69" i="2"/>
  <c r="R69" i="2"/>
  <c r="S69" i="2"/>
  <c r="T69" i="2"/>
  <c r="U69" i="2"/>
  <c r="X79" i="58"/>
  <c r="S1" i="58"/>
  <c r="G12" i="16"/>
  <c r="P93" i="42"/>
  <c r="P15" i="44"/>
  <c r="S93" i="42"/>
  <c r="T93" i="42"/>
  <c r="T15" i="44"/>
  <c r="C15" i="44"/>
  <c r="K93" i="2" a="1"/>
  <c r="K93" i="2"/>
  <c r="L93" i="2" a="1"/>
  <c r="L93" i="2"/>
  <c r="M93" i="2" a="1"/>
  <c r="M93" i="2"/>
  <c r="N93" i="2" a="1"/>
  <c r="N93" i="2"/>
  <c r="J93" i="2" a="1"/>
  <c r="J93" i="2"/>
  <c r="F66" i="55"/>
  <c r="F64" i="55"/>
  <c r="F68" i="55"/>
  <c r="H52" i="4"/>
  <c r="H53" i="4"/>
  <c r="H54" i="4"/>
  <c r="H55" i="4"/>
  <c r="H56" i="4"/>
  <c r="H57" i="4"/>
  <c r="H58" i="4"/>
  <c r="H59" i="4"/>
  <c r="H60" i="4"/>
  <c r="H51" i="4"/>
  <c r="T4" i="44"/>
  <c r="T11" i="44"/>
  <c r="S4" i="44"/>
  <c r="S11" i="44"/>
  <c r="R4" i="44"/>
  <c r="R11" i="44"/>
  <c r="Q4" i="44"/>
  <c r="Q11" i="44"/>
  <c r="P4" i="44"/>
  <c r="P11" i="44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Q107" i="2"/>
  <c r="T107" i="2"/>
  <c r="U107" i="2"/>
  <c r="S107" i="2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/>
  <c r="S38" i="58"/>
  <c r="S16" i="42"/>
  <c r="R38" i="58"/>
  <c r="R16" i="42"/>
  <c r="Q38" i="58"/>
  <c r="Q16" i="42"/>
  <c r="P38" i="58"/>
  <c r="P16" i="42"/>
  <c r="O38" i="58"/>
  <c r="O16" i="42"/>
  <c r="N38" i="58"/>
  <c r="N16" i="42"/>
  <c r="M38" i="58"/>
  <c r="M16" i="42"/>
  <c r="L38" i="58"/>
  <c r="L16" i="42"/>
  <c r="K38" i="58"/>
  <c r="K16" i="42"/>
  <c r="J38" i="58"/>
  <c r="J16" i="42"/>
  <c r="F38" i="58"/>
  <c r="F16" i="42"/>
  <c r="E38" i="58"/>
  <c r="E16" i="42"/>
  <c r="D38" i="58"/>
  <c r="K10" i="58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/>
  <c r="C16" i="16"/>
  <c r="D16" i="16"/>
  <c r="G16" i="16"/>
  <c r="S14" i="54"/>
  <c r="S11" i="54"/>
  <c r="S10" i="54"/>
  <c r="S9" i="54"/>
  <c r="C101" i="2"/>
  <c r="C97" i="2"/>
  <c r="C100" i="2"/>
  <c r="C99" i="2"/>
  <c r="T67" i="42"/>
  <c r="H66" i="4"/>
  <c r="H67" i="4"/>
  <c r="H68" i="4"/>
  <c r="H69" i="4"/>
  <c r="H70" i="4"/>
  <c r="H71" i="4"/>
  <c r="H72" i="4"/>
  <c r="H73" i="4"/>
  <c r="H74" i="4"/>
  <c r="H75" i="4"/>
  <c r="H76" i="4"/>
  <c r="H65" i="4"/>
  <c r="T36" i="53"/>
  <c r="P36" i="53"/>
  <c r="Q10" i="53"/>
  <c r="R10" i="53"/>
  <c r="S36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/>
  <c r="Q36" i="53"/>
  <c r="R100" i="42"/>
  <c r="R48" i="42"/>
  <c r="R51" i="42"/>
  <c r="R39" i="42"/>
  <c r="R35" i="42"/>
  <c r="R42" i="42"/>
  <c r="R45" i="42"/>
  <c r="R37" i="42"/>
  <c r="R33" i="42"/>
  <c r="R24" i="42"/>
  <c r="N63" i="42"/>
  <c r="N69" i="42"/>
  <c r="N48" i="42"/>
  <c r="N37" i="42"/>
  <c r="N56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56" i="42"/>
  <c r="Q33" i="42"/>
  <c r="Q48" i="42"/>
  <c r="Q24" i="42"/>
  <c r="M63" i="42"/>
  <c r="M69" i="42"/>
  <c r="M51" i="42"/>
  <c r="M39" i="42"/>
  <c r="M42" i="42"/>
  <c r="M35" i="42"/>
  <c r="M45" i="42"/>
  <c r="M48" i="42"/>
  <c r="M37" i="42"/>
  <c r="M56" i="42"/>
  <c r="M33" i="42"/>
  <c r="M24" i="42"/>
  <c r="U64" i="2"/>
  <c r="U95" i="2"/>
  <c r="T10" i="53"/>
  <c r="J63" i="42"/>
  <c r="J69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69" i="42"/>
  <c r="L42" i="42"/>
  <c r="L35" i="42"/>
  <c r="L45" i="42"/>
  <c r="L48" i="42"/>
  <c r="L37" i="42"/>
  <c r="L56" i="42"/>
  <c r="L33" i="42"/>
  <c r="L51" i="42"/>
  <c r="L39" i="42"/>
  <c r="L24" i="42"/>
  <c r="J10" i="2"/>
  <c r="C16" i="2" a="1"/>
  <c r="C20" i="2"/>
  <c r="R26" i="53"/>
  <c r="S90" i="42"/>
  <c r="S45" i="42"/>
  <c r="S37" i="42"/>
  <c r="S56" i="42"/>
  <c r="S33" i="42"/>
  <c r="S48" i="42"/>
  <c r="S51" i="42"/>
  <c r="S39" i="42"/>
  <c r="S35" i="42"/>
  <c r="S42" i="42"/>
  <c r="S24" i="42"/>
  <c r="O63" i="42"/>
  <c r="O69" i="42"/>
  <c r="O45" i="42"/>
  <c r="O48" i="42"/>
  <c r="O51" i="42"/>
  <c r="O39" i="42"/>
  <c r="O42" i="42"/>
  <c r="O24" i="42"/>
  <c r="K63" i="42"/>
  <c r="K69" i="42"/>
  <c r="K45" i="42"/>
  <c r="K48" i="42"/>
  <c r="K37" i="42"/>
  <c r="K56" i="42"/>
  <c r="K33" i="42"/>
  <c r="K51" i="42"/>
  <c r="K39" i="42"/>
  <c r="K42" i="42"/>
  <c r="K35" i="42"/>
  <c r="K24" i="42"/>
  <c r="K10" i="42"/>
  <c r="K30" i="42"/>
  <c r="P90" i="42"/>
  <c r="L10" i="42"/>
  <c r="L30" i="42"/>
  <c r="Q60" i="42"/>
  <c r="P100" i="42"/>
  <c r="J10" i="42"/>
  <c r="J30" i="42"/>
  <c r="R64" i="2"/>
  <c r="S95" i="2"/>
  <c r="S26" i="53"/>
  <c r="Q64" i="2"/>
  <c r="R95" i="2"/>
  <c r="P26" i="53"/>
  <c r="T26" i="53"/>
  <c r="O10" i="42"/>
  <c r="O30" i="42"/>
  <c r="P60" i="42"/>
  <c r="S100" i="42"/>
  <c r="Q49" i="2"/>
  <c r="Q75" i="2"/>
  <c r="Q95" i="2"/>
  <c r="Q105" i="2"/>
  <c r="Q26" i="53"/>
  <c r="M10" i="42"/>
  <c r="M30" i="42"/>
  <c r="S60" i="42"/>
  <c r="Q74" i="42"/>
  <c r="T90" i="42"/>
  <c r="S74" i="42"/>
  <c r="R90" i="42"/>
  <c r="Q100" i="42"/>
  <c r="T60" i="42"/>
  <c r="R74" i="42"/>
  <c r="T100" i="42"/>
  <c r="N10" i="42"/>
  <c r="N30" i="42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U109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F63" i="55"/>
  <c r="G66" i="55"/>
  <c r="P12" i="2"/>
  <c r="C22" i="2"/>
  <c r="P22" i="2"/>
  <c r="O22" i="2"/>
  <c r="C19" i="2"/>
  <c r="C17" i="2"/>
  <c r="C18" i="2"/>
  <c r="J24" i="2"/>
  <c r="C16" i="2"/>
  <c r="C21" i="2"/>
  <c r="O21" i="2"/>
  <c r="C26" i="2" a="1"/>
  <c r="C26" i="2"/>
  <c r="F67" i="55"/>
  <c r="F65" i="55"/>
  <c r="F18" i="42"/>
  <c r="F17" i="42"/>
  <c r="E22" i="2"/>
  <c r="D22" i="2"/>
  <c r="C31" i="2"/>
  <c r="C32" i="2"/>
  <c r="E32" i="2"/>
  <c r="C27" i="2"/>
  <c r="C28" i="2"/>
  <c r="C29" i="2"/>
  <c r="D32" i="2"/>
  <c r="C30" i="2"/>
  <c r="U78" i="2"/>
  <c r="U80" i="2"/>
  <c r="U79" i="2"/>
  <c r="P32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F70" i="58"/>
  <c r="F65" i="58"/>
  <c r="F66" i="58"/>
  <c r="F67" i="58"/>
  <c r="F68" i="58"/>
  <c r="F64" i="58"/>
  <c r="C80" i="4"/>
  <c r="K70" i="58"/>
  <c r="L70" i="58"/>
  <c r="M70" i="58"/>
  <c r="N70" i="58"/>
  <c r="O70" i="58"/>
  <c r="P70" i="58"/>
  <c r="Q70" i="58"/>
  <c r="R70" i="58"/>
  <c r="S70" i="58"/>
  <c r="J70" i="58"/>
  <c r="X29" i="58"/>
  <c r="T93" i="2" a="1"/>
  <c r="T93" i="2"/>
  <c r="S93" i="2" a="1"/>
  <c r="S93" i="2"/>
  <c r="R93" i="2" a="1"/>
  <c r="R93" i="2"/>
  <c r="Q93" i="2" a="1"/>
  <c r="Q93" i="2"/>
  <c r="P93" i="2" a="1"/>
  <c r="P93" i="2"/>
  <c r="O93" i="2" a="1"/>
  <c r="O93" i="2"/>
  <c r="C91" i="2"/>
  <c r="C90" i="2"/>
  <c r="C89" i="2"/>
  <c r="C88" i="2"/>
  <c r="C87" i="2"/>
  <c r="C86" i="2"/>
  <c r="W93" i="2"/>
  <c r="F20" i="42"/>
  <c r="F26" i="42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/>
  <c r="F30" i="42"/>
  <c r="F31" i="42"/>
  <c r="C31" i="42"/>
  <c r="E91" i="58"/>
  <c r="E30" i="42"/>
  <c r="F37" i="42"/>
  <c r="E37" i="42"/>
  <c r="K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G72" i="4"/>
  <c r="I53" i="4"/>
  <c r="G73" i="4"/>
  <c r="I54" i="4"/>
  <c r="G74" i="4"/>
  <c r="I55" i="4"/>
  <c r="G75" i="4"/>
  <c r="I56" i="4"/>
  <c r="G7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E45" i="42"/>
  <c r="E48" i="42"/>
  <c r="E39" i="42"/>
  <c r="E51" i="42"/>
  <c r="F22" i="42"/>
  <c r="E22" i="42"/>
  <c r="E42" i="42"/>
  <c r="E20" i="42"/>
  <c r="F16" i="44"/>
  <c r="F15" i="44"/>
  <c r="F14" i="44"/>
  <c r="Q21" i="42"/>
  <c r="P21" i="42"/>
  <c r="O21" i="42"/>
  <c r="S21" i="42"/>
  <c r="R21" i="42"/>
  <c r="E16" i="44"/>
  <c r="E15" i="44"/>
  <c r="E14" i="44"/>
  <c r="C13" i="44"/>
  <c r="C14" i="44"/>
  <c r="O11" i="44"/>
  <c r="N11" i="44"/>
  <c r="M11" i="44"/>
  <c r="L11" i="44"/>
  <c r="K11" i="44"/>
  <c r="J11" i="44"/>
  <c r="F102" i="42"/>
  <c r="E102" i="42"/>
  <c r="L14" i="44"/>
  <c r="L16" i="44"/>
  <c r="L13" i="44"/>
  <c r="L15" i="44"/>
  <c r="M14" i="44"/>
  <c r="M13" i="44"/>
  <c r="M16" i="44"/>
  <c r="M15" i="44"/>
  <c r="O15" i="44"/>
  <c r="O13" i="44"/>
  <c r="O14" i="44"/>
  <c r="O16" i="44"/>
  <c r="N14" i="44"/>
  <c r="N16" i="44"/>
  <c r="N13" i="44"/>
  <c r="N15" i="44"/>
  <c r="J14" i="44"/>
  <c r="J16" i="44"/>
  <c r="J13" i="44"/>
  <c r="J15" i="44"/>
  <c r="K16" i="44"/>
  <c r="K15" i="44"/>
  <c r="K14" i="44"/>
  <c r="K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/>
  <c r="G45" i="55"/>
  <c r="G46" i="55"/>
  <c r="G47" i="55"/>
  <c r="G48" i="55"/>
  <c r="K12" i="2"/>
  <c r="G49" i="55"/>
  <c r="G50" i="55"/>
  <c r="G51" i="55"/>
  <c r="G52" i="55"/>
  <c r="L12" i="2"/>
  <c r="G53" i="55"/>
  <c r="G54" i="55"/>
  <c r="G55" i="55"/>
  <c r="G56" i="55"/>
  <c r="M12" i="2"/>
  <c r="G57" i="55"/>
  <c r="G58" i="55"/>
  <c r="G59" i="55"/>
  <c r="G60" i="55"/>
  <c r="N12" i="2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R109" i="2"/>
  <c r="T109" i="2"/>
  <c r="J109" i="2"/>
  <c r="J73" i="2"/>
  <c r="J47" i="2"/>
  <c r="M73" i="2"/>
  <c r="K73" i="2"/>
  <c r="N22" i="2"/>
  <c r="O32" i="2"/>
  <c r="J70" i="42" a="1"/>
  <c r="J70" i="42"/>
  <c r="L70" i="42" a="1"/>
  <c r="L70" i="42"/>
  <c r="K70" i="42" a="1"/>
  <c r="K70" i="42"/>
  <c r="W109" i="2"/>
  <c r="N21" i="42"/>
  <c r="M22" i="2"/>
  <c r="N32" i="2"/>
  <c r="P47" i="2"/>
  <c r="L22" i="2"/>
  <c r="M32" i="2"/>
  <c r="M21" i="42"/>
  <c r="Q94" i="42"/>
  <c r="R94" i="42"/>
  <c r="R16" i="44"/>
  <c r="S94" i="42"/>
  <c r="S16" i="44"/>
  <c r="T94" i="42"/>
  <c r="T16" i="44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/>
  <c r="J32" i="2"/>
  <c r="K32" i="2"/>
  <c r="K21" i="42"/>
  <c r="E86" i="42"/>
  <c r="J21" i="42"/>
  <c r="E104" i="42"/>
  <c r="F15" i="42"/>
  <c r="F56" i="42"/>
  <c r="F54" i="42"/>
  <c r="C77" i="42"/>
  <c r="C78" i="42"/>
  <c r="C79" i="42"/>
  <c r="C80" i="42"/>
  <c r="C81" i="42"/>
  <c r="C82" i="42"/>
  <c r="C83" i="42"/>
  <c r="C84" i="42"/>
  <c r="C92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/>
  <c r="S13" i="42"/>
  <c r="P13" i="42"/>
  <c r="Q13" i="42"/>
  <c r="O13" i="42"/>
  <c r="N13" i="42"/>
  <c r="M13" i="42"/>
  <c r="L13" i="42"/>
  <c r="K13" i="42"/>
  <c r="J13" i="42"/>
  <c r="S1" i="54"/>
  <c r="G10" i="16"/>
  <c r="M70" i="42" a="1"/>
  <c r="M70" i="42"/>
  <c r="N70" i="42" a="1"/>
  <c r="N70" i="42"/>
  <c r="O70" i="42" a="1"/>
  <c r="O70" i="42"/>
  <c r="P21" i="2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O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T78" i="42"/>
  <c r="S92" i="42"/>
  <c r="S14" i="44"/>
  <c r="N92" i="42"/>
  <c r="L92" i="42"/>
  <c r="K77" i="42"/>
  <c r="N77" i="42"/>
  <c r="K84" i="42"/>
  <c r="O84" i="42"/>
  <c r="T84" i="42"/>
  <c r="M80" i="42"/>
  <c r="J80" i="42"/>
  <c r="J76" i="42"/>
  <c r="R76" i="42"/>
  <c r="K76" i="42"/>
  <c r="L82" i="42"/>
  <c r="K82" i="42"/>
  <c r="Q82" i="42"/>
  <c r="K81" i="42"/>
  <c r="P81" i="42"/>
  <c r="N81" i="42"/>
  <c r="J94" i="42"/>
  <c r="S83" i="42"/>
  <c r="K83" i="42"/>
  <c r="L83" i="42"/>
  <c r="K79" i="42"/>
  <c r="J79" i="42"/>
  <c r="S78" i="42"/>
  <c r="J92" i="42"/>
  <c r="L77" i="42"/>
  <c r="Q84" i="42"/>
  <c r="R84" i="42"/>
  <c r="L80" i="42"/>
  <c r="P82" i="42"/>
  <c r="O81" i="42"/>
  <c r="Q83" i="42"/>
  <c r="N79" i="42"/>
  <c r="J93" i="42"/>
  <c r="R93" i="42"/>
  <c r="R15" i="44"/>
  <c r="P78" i="42"/>
  <c r="K78" i="42"/>
  <c r="R78" i="42"/>
  <c r="O92" i="42"/>
  <c r="R92" i="42"/>
  <c r="R14" i="44"/>
  <c r="T92" i="42"/>
  <c r="T14" i="44"/>
  <c r="J77" i="42"/>
  <c r="M84" i="42"/>
  <c r="J84" i="42"/>
  <c r="K80" i="42"/>
  <c r="Q76" i="42"/>
  <c r="P76" i="42"/>
  <c r="T76" i="42"/>
  <c r="T82" i="42"/>
  <c r="J82" i="42"/>
  <c r="S82" i="42"/>
  <c r="Q81" i="42"/>
  <c r="T81" i="42"/>
  <c r="N94" i="42"/>
  <c r="N96" i="42"/>
  <c r="O94" i="42"/>
  <c r="K94" i="42"/>
  <c r="N83" i="42"/>
  <c r="P83" i="42"/>
  <c r="R83" i="42"/>
  <c r="M79" i="42"/>
  <c r="Q93" i="42"/>
  <c r="Q15" i="44"/>
  <c r="K93" i="42"/>
  <c r="Q78" i="42"/>
  <c r="L78" i="42"/>
  <c r="P92" i="42"/>
  <c r="O77" i="42"/>
  <c r="L84" i="42"/>
  <c r="N80" i="42"/>
  <c r="S76" i="42"/>
  <c r="R82" i="42"/>
  <c r="M81" i="42"/>
  <c r="P94" i="42"/>
  <c r="P16" i="44"/>
  <c r="L79" i="42"/>
  <c r="L93" i="42"/>
  <c r="O78" i="42"/>
  <c r="M78" i="42"/>
  <c r="Q92" i="42"/>
  <c r="Q14" i="44"/>
  <c r="K92" i="42"/>
  <c r="M92" i="42"/>
  <c r="M96" i="42"/>
  <c r="M77" i="42"/>
  <c r="P84" i="42"/>
  <c r="N84" i="42"/>
  <c r="S84" i="42"/>
  <c r="O80" i="42"/>
  <c r="M76" i="42"/>
  <c r="N76" i="42"/>
  <c r="O76" i="42"/>
  <c r="N82" i="42"/>
  <c r="M82" i="42"/>
  <c r="S81" i="42"/>
  <c r="R81" i="42"/>
  <c r="L81" i="42"/>
  <c r="M94" i="42"/>
  <c r="L94" i="42"/>
  <c r="L96" i="42"/>
  <c r="O83" i="42"/>
  <c r="T83" i="42"/>
  <c r="J83" i="42"/>
  <c r="O79" i="42"/>
  <c r="L76" i="42"/>
  <c r="O82" i="42"/>
  <c r="J81" i="42"/>
  <c r="M83" i="42"/>
  <c r="S25" i="42"/>
  <c r="S26" i="42"/>
  <c r="R25" i="42"/>
  <c r="R26" i="42"/>
  <c r="Q25" i="42"/>
  <c r="Q26" i="42"/>
  <c r="K17" i="42"/>
  <c r="K18" i="42"/>
  <c r="J17" i="42"/>
  <c r="J18" i="42"/>
  <c r="P17" i="42"/>
  <c r="P18" i="42"/>
  <c r="Q17" i="42"/>
  <c r="Q18" i="42"/>
  <c r="N21" i="2"/>
  <c r="M19" i="2"/>
  <c r="M29" i="2"/>
  <c r="N20" i="2"/>
  <c r="O20" i="2"/>
  <c r="P20" i="2"/>
  <c r="P30" i="2"/>
  <c r="J16" i="2"/>
  <c r="K17" i="2"/>
  <c r="K27" i="2"/>
  <c r="L18" i="2"/>
  <c r="L28" i="2"/>
  <c r="D21" i="2"/>
  <c r="E21" i="2"/>
  <c r="D17" i="2"/>
  <c r="E17" i="2"/>
  <c r="E18" i="2"/>
  <c r="D18" i="2"/>
  <c r="E31" i="2"/>
  <c r="D31" i="2"/>
  <c r="S31" i="2"/>
  <c r="R28" i="42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O17" i="42"/>
  <c r="O18" i="42"/>
  <c r="T17" i="42"/>
  <c r="T18" i="42"/>
  <c r="L17" i="42"/>
  <c r="L18" i="42"/>
  <c r="J25" i="42"/>
  <c r="J26" i="42"/>
  <c r="L25" i="42"/>
  <c r="L26" i="42"/>
  <c r="K25" i="42"/>
  <c r="K26" i="42"/>
  <c r="R17" i="42"/>
  <c r="R18" i="42"/>
  <c r="N17" i="42"/>
  <c r="N18" i="42"/>
  <c r="M17" i="42"/>
  <c r="M18" i="42"/>
  <c r="M25" i="42"/>
  <c r="M26" i="42"/>
  <c r="N25" i="42"/>
  <c r="N26" i="42"/>
  <c r="P25" i="42"/>
  <c r="P26" i="42"/>
  <c r="S17" i="42"/>
  <c r="S18" i="42"/>
  <c r="O25" i="42"/>
  <c r="O26" i="42"/>
  <c r="T25" i="42"/>
  <c r="T26" i="42"/>
  <c r="P28" i="42"/>
  <c r="S28" i="42"/>
  <c r="M21" i="2"/>
  <c r="O30" i="2"/>
  <c r="K18" i="2"/>
  <c r="K28" i="2"/>
  <c r="O31" i="2"/>
  <c r="J17" i="2"/>
  <c r="J27" i="2"/>
  <c r="L19" i="2"/>
  <c r="L29" i="2"/>
  <c r="M18" i="2"/>
  <c r="L17" i="2"/>
  <c r="L27" i="2"/>
  <c r="P31" i="2"/>
  <c r="M20" i="2"/>
  <c r="M30" i="2"/>
  <c r="N31" i="2"/>
  <c r="N19" i="2"/>
  <c r="O19" i="2"/>
  <c r="Q28" i="42"/>
  <c r="J26" i="2"/>
  <c r="N30" i="2"/>
  <c r="N29" i="2"/>
  <c r="L21" i="2"/>
  <c r="L20" i="2"/>
  <c r="L30" i="2"/>
  <c r="M17" i="2"/>
  <c r="K19" i="2"/>
  <c r="K29" i="2"/>
  <c r="N18" i="2"/>
  <c r="O18" i="2"/>
  <c r="J18" i="2"/>
  <c r="J28" i="2"/>
  <c r="M31" i="2"/>
  <c r="M28" i="42"/>
  <c r="M28" i="2"/>
  <c r="N28" i="2"/>
  <c r="P18" i="2"/>
  <c r="P28" i="2"/>
  <c r="O29" i="2"/>
  <c r="P19" i="2"/>
  <c r="P29" i="2"/>
  <c r="N28" i="42"/>
  <c r="O28" i="42"/>
  <c r="L28" i="42"/>
  <c r="K21" i="2"/>
  <c r="J19" i="2"/>
  <c r="J29" i="2"/>
  <c r="N17" i="2"/>
  <c r="O17" i="2"/>
  <c r="M27" i="2"/>
  <c r="K20" i="2"/>
  <c r="K30" i="2"/>
  <c r="L31" i="2"/>
  <c r="K28" i="42"/>
  <c r="J21" i="2"/>
  <c r="J31" i="2"/>
  <c r="J20" i="2"/>
  <c r="J30" i="2"/>
  <c r="P17" i="2"/>
  <c r="P27" i="2"/>
  <c r="N27" i="2"/>
  <c r="O28" i="2"/>
  <c r="K31" i="2"/>
  <c r="J96" i="42"/>
  <c r="K54" i="42"/>
  <c r="L86" i="42"/>
  <c r="S54" i="42"/>
  <c r="J86" i="42"/>
  <c r="P54" i="42"/>
  <c r="P56" i="42"/>
  <c r="K86" i="42"/>
  <c r="Q54" i="42"/>
  <c r="N86" i="42"/>
  <c r="R54" i="42"/>
  <c r="R56" i="42"/>
  <c r="O86" i="42"/>
  <c r="M86" i="42"/>
  <c r="J54" i="42"/>
  <c r="O96" i="42"/>
  <c r="J28" i="42"/>
  <c r="O27" i="2"/>
  <c r="J56" i="42"/>
  <c r="L54" i="42"/>
  <c r="K16" i="2"/>
  <c r="K26" i="2"/>
  <c r="L16" i="2"/>
  <c r="M16" i="2"/>
  <c r="L26" i="2"/>
  <c r="N16" i="2"/>
  <c r="O16" i="2"/>
  <c r="M26" i="2"/>
  <c r="L14" i="42"/>
  <c r="N26" i="2"/>
  <c r="O26" i="2"/>
  <c r="P16" i="2"/>
  <c r="P26" i="2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/>
  <c r="O35" i="42"/>
  <c r="O54" i="42"/>
  <c r="N54" i="42"/>
  <c r="T22" i="53"/>
  <c r="T79" i="42"/>
  <c r="Q22" i="53"/>
  <c r="Q79" i="42"/>
  <c r="R22" i="53"/>
  <c r="R79" i="42"/>
  <c r="P22" i="53"/>
  <c r="P79" i="42"/>
  <c r="S79" i="42"/>
  <c r="Q66" i="2"/>
  <c r="C93" i="42"/>
  <c r="S55" i="2"/>
  <c r="S22" i="53"/>
  <c r="X22" i="53"/>
  <c r="L79" i="58"/>
  <c r="L20" i="42"/>
  <c r="L21" i="42"/>
  <c r="O37" i="42"/>
  <c r="O56" i="42"/>
  <c r="T32" i="53"/>
  <c r="R32" i="53"/>
  <c r="R42" i="2"/>
  <c r="Q65" i="42"/>
  <c r="Q69" i="42"/>
  <c r="Q73" i="2"/>
  <c r="R66" i="2"/>
  <c r="S42" i="2"/>
  <c r="T42" i="2"/>
  <c r="T47" i="2"/>
  <c r="U42" i="2"/>
  <c r="U47" i="2"/>
  <c r="S96" i="42"/>
  <c r="S15" i="44"/>
  <c r="Q42" i="2"/>
  <c r="P65" i="42"/>
  <c r="P73" i="2"/>
  <c r="C94" i="42"/>
  <c r="P32" i="53"/>
  <c r="Q32" i="53"/>
  <c r="S32" i="53"/>
  <c r="C16" i="44"/>
  <c r="T55" i="2"/>
  <c r="S58" i="2"/>
  <c r="S60" i="2"/>
  <c r="Q47" i="2"/>
  <c r="S47" i="2"/>
  <c r="R47" i="2"/>
  <c r="W47" i="2"/>
  <c r="S66" i="2"/>
  <c r="R73" i="2"/>
  <c r="W60" i="2"/>
  <c r="T58" i="2"/>
  <c r="U55" i="2"/>
  <c r="T60" i="2"/>
  <c r="S65" i="42"/>
  <c r="R65" i="42"/>
  <c r="T66" i="2"/>
  <c r="S73" i="2"/>
  <c r="U58" i="2"/>
  <c r="U60" i="2"/>
  <c r="T65" i="42"/>
  <c r="T69" i="42"/>
  <c r="U66" i="2"/>
  <c r="U73" i="2"/>
  <c r="T73" i="2"/>
  <c r="W73" i="2"/>
  <c r="T1" i="2"/>
  <c r="G13" i="16"/>
  <c r="P40" i="53"/>
  <c r="Q40" i="53"/>
  <c r="R40" i="53"/>
  <c r="S40" i="53"/>
  <c r="T40" i="53"/>
  <c r="X40" i="53"/>
  <c r="X32" i="53"/>
  <c r="S1" i="53"/>
  <c r="G14" i="16"/>
  <c r="S1" i="16"/>
  <c r="W1" i="44"/>
  <c r="P96" i="42"/>
  <c r="Q96" i="42"/>
  <c r="K96" i="42"/>
  <c r="W1" i="53"/>
  <c r="V1" i="54"/>
  <c r="W1" i="58"/>
  <c r="W1" i="2"/>
  <c r="W1" i="55"/>
  <c r="W1" i="42"/>
  <c r="P14" i="44"/>
  <c r="Q16" i="44"/>
  <c r="T96" i="42"/>
  <c r="R96" i="42"/>
  <c r="V1" i="4"/>
  <c r="S70" i="42" a="1"/>
  <c r="S70" i="42"/>
  <c r="P70" i="42" a="1"/>
  <c r="P70" i="42"/>
  <c r="T70" i="42" a="1"/>
  <c r="T70" i="42"/>
  <c r="R70" i="42" a="1"/>
  <c r="R70" i="42"/>
  <c r="Q70" i="42" a="1"/>
  <c r="Q70" i="42"/>
  <c r="Q103" i="42"/>
  <c r="Q104" i="42"/>
  <c r="Q102" i="42"/>
  <c r="Q13" i="44"/>
  <c r="R102" i="42"/>
  <c r="R13" i="44"/>
  <c r="R103" i="42"/>
  <c r="R104" i="42"/>
  <c r="T102" i="42"/>
  <c r="T13" i="44"/>
  <c r="T103" i="42"/>
  <c r="T104" i="42"/>
  <c r="P102" i="42"/>
  <c r="P13" i="44"/>
  <c r="P103" i="42"/>
  <c r="P104" i="42"/>
  <c r="S103" i="42"/>
  <c r="S104" i="42"/>
  <c r="S102" i="42"/>
  <c r="S1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41" authorId="0" shapeId="0" xr:uid="{260D5639-2D76-4345-9F92-5E308052D6CC}">
      <text>
        <r>
          <rPr>
            <b/>
            <sz val="9"/>
            <color indexed="81"/>
            <rFont val="Tahoma"/>
            <family val="2"/>
          </rPr>
          <t>JEN:</t>
        </r>
        <r>
          <rPr>
            <sz val="9"/>
            <color indexed="81"/>
            <rFont val="Tahoma"/>
            <family val="2"/>
          </rPr>
          <t xml:space="preserve">
9 month escalation calculated by 
(1+ FY22 full-year rate)^(9/12) - 1</t>
        </r>
      </text>
    </comment>
    <comment ref="Q69" authorId="0" shapeId="0" xr:uid="{39562B44-1021-4A09-99E8-E47F9C2D9BD7}">
      <text>
        <r>
          <rPr>
            <b/>
            <sz val="9"/>
            <color indexed="81"/>
            <rFont val="Tahoma"/>
            <family val="2"/>
          </rPr>
          <t>JEN:</t>
        </r>
        <r>
          <rPr>
            <sz val="9"/>
            <color indexed="81"/>
            <rFont val="Tahoma"/>
            <family val="2"/>
          </rPr>
          <t xml:space="preserve">
9 month escalation calculated by 
(1+ FY22 full-year rate)^(9/12) - 1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<sst xmlns="http://schemas.openxmlformats.org/spreadsheetml/2006/main" count="834" uniqueCount="275">
  <si>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</si>
  <si>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</si>
  <si>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</si>
  <si>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</si>
  <si>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</si>
  <si>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</si>
  <si>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</si>
  <si>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</si>
  <si>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</si>
  <si>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</si>
  <si>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</si>
  <si>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</si>
  <si>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</si>
  <si>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</si>
  <si>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</si>
  <si>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</si>
  <si>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</si>
  <si>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</si>
  <si>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</si>
  <si>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</si>
  <si>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</si>
  <si>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</si>
  <si>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</si>
  <si>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</si>
  <si>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</si>
  <si>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</si>
  <si>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</si>
  <si>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</si>
  <si>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</si>
  <si>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</si>
  <si>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</si>
  <si>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</si>
  <si>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</si>
  <si>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</si>
  <si>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</si>
  <si>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</si>
  <si>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</si>
  <si>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</si>
  <si>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</si>
  <si>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</si>
  <si>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</si>
  <si>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</si>
  <si>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</si>
  <si>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</si>
  <si>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</si>
  <si>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</si>
  <si>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</si>
  <si>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</si>
  <si>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</si>
  <si>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</si>
  <si>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</si>
  <si>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</si>
  <si>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</si>
  <si>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</si>
  <si>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</si>
  <si>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</si>
  <si>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</si>
  <si>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</si>
  <si>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</si>
  <si>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</si>
  <si>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</si>
  <si>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</si>
  <si>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</si>
  <si>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</si>
  <si>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</si>
  <si>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</si>
  <si>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</si>
  <si>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</si>
  <si>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</si>
  <si>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</si>
  <si>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</si>
  <si>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</si>
  <si>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</si>
  <si>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</si>
  <si>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</si>
  <si>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</si>
  <si>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</si>
  <si>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</si>
  <si>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</si>
  <si>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</si>
  <si>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</si>
  <si>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</si>
  <si>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</si>
  <si>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</si>
  <si>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</si>
  <si>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</si>
  <si>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</si>
  <si>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</si>
  <si>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</si>
  <si>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</si>
  <si>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</si>
  <si>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</si>
  <si>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</si>
  <si>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</si>
  <si>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</si>
  <si>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</si>
  <si>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</si>
  <si>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</si>
  <si>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</si>
  <si>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</si>
  <si>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</si>
  <si>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</si>
  <si>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</si>
  <si>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</si>
  <si>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</si>
  <si>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</si>
  <si>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</si>
  <si>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</si>
  <si>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</si>
  <si>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</si>
  <si>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</si>
  <si>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</si>
  <si>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</si>
  <si>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</si>
  <si>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</si>
  <si>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</si>
  <si>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</si>
  <si>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</si>
  <si>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</si>
  <si>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</si>
  <si>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</si>
  <si>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</si>
  <si>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</si>
  <si>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</si>
  <si>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</si>
  <si>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</si>
  <si>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</si>
  <si>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</si>
  <si>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</si>
  <si>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</si>
  <si>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</si>
  <si>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</si>
  <si>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</si>
  <si>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</si>
  <si>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</si>
  <si>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</si>
  <si>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</si>
  <si>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</si>
  <si>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</si>
  <si>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</si>
  <si>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</si>
  <si>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</si>
  <si>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</si>
  <si>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</si>
  <si>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</si>
  <si>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</si>
  <si>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</si>
  <si>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</si>
  <si>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</si>
  <si>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</si>
  <si>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</si>
  <si>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</si>
  <si>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</si>
  <si>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</si>
  <si>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</si>
  <si>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</si>
  <si>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</si>
  <si>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</si>
  <si>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</si>
  <si>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</si>
  <si>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</si>
  <si>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</si>
  <si>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</si>
  <si>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</si>
  <si>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</si>
  <si>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</si>
  <si>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</si>
  <si>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</si>
  <si>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</si>
  <si>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</si>
  <si>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</si>
  <si>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</si>
  <si>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</si>
  <si>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</si>
  <si>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</si>
  <si>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</si>
  <si>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</si>
  <si>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</si>
  <si>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</si>
  <si>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</si>
  <si>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</si>
  <si>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</si>
  <si>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</si>
  <si>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</si>
  <si>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</si>
  <si>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</si>
  <si>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</si>
  <si>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</si>
  <si>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</si>
  <si>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</si>
  <si>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</si>
  <si>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</si>
  <si>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</si>
  <si>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</si>
  <si>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</si>
  <si>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</si>
  <si>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</si>
  <si>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</si>
  <si>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</si>
  <si>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</si>
  <si>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</si>
  <si>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</si>
  <si>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</si>
  <si>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</si>
  <si>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</si>
  <si>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</si>
  <si>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</si>
  <si>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JEN</t>
  </si>
  <si>
    <t>GSL expenditure</t>
  </si>
  <si>
    <t>Insurance Premium</t>
  </si>
  <si>
    <t>REFCL testing &amp; maintenance</t>
  </si>
  <si>
    <t>Cyber security</t>
  </si>
  <si>
    <t>Transition costs</t>
  </si>
  <si>
    <t>Model change log</t>
  </si>
  <si>
    <t>Starting model name ----&gt;</t>
  </si>
  <si>
    <t>Model changes to above model</t>
  </si>
  <si>
    <t>Model sheet</t>
  </si>
  <si>
    <t>Reference</t>
  </si>
  <si>
    <t>Cell reference</t>
  </si>
  <si>
    <t>Type</t>
  </si>
  <si>
    <t>Legend</t>
  </si>
  <si>
    <t>Comments</t>
  </si>
  <si>
    <t>Change 1</t>
  </si>
  <si>
    <t>G8</t>
  </si>
  <si>
    <t>Change 2</t>
  </si>
  <si>
    <t>Change 3</t>
  </si>
  <si>
    <t>Change 4</t>
  </si>
  <si>
    <t>Change 5</t>
  </si>
  <si>
    <t>Change 6</t>
  </si>
  <si>
    <t>Change 7</t>
  </si>
  <si>
    <t>Change 8</t>
  </si>
  <si>
    <t>Change 9</t>
  </si>
  <si>
    <t>Change 10</t>
  </si>
  <si>
    <t>Change 11</t>
  </si>
  <si>
    <t>Updated debt raising cost inputs from the PTRM</t>
  </si>
  <si>
    <t>AER - Draft decision - Jemena distribution determination - 2021–26 - Opex model - September 2020</t>
  </si>
  <si>
    <t>Super guarantee increase</t>
  </si>
  <si>
    <t>WPI - BIS without super guarantee increase</t>
  </si>
  <si>
    <t>WPI - BIS with super guarantee increase</t>
  </si>
  <si>
    <t>WPI - Average of BIS and DAE</t>
  </si>
  <si>
    <t>Added labour escalation from BIS with the increase in superannuation guarantee</t>
  </si>
  <si>
    <t>Row 15</t>
  </si>
  <si>
    <t>Row 38</t>
  </si>
  <si>
    <t>Expected transformation program benefits</t>
  </si>
  <si>
    <t>Row 13</t>
  </si>
  <si>
    <t>Updated forecast for REFCL testing &amp; maintenance step change</t>
  </si>
  <si>
    <t>Row 16</t>
  </si>
  <si>
    <t>Row 29</t>
  </si>
  <si>
    <t>Included the Energy Safe Victoria levy as a specific forecast</t>
  </si>
  <si>
    <t>Energy Safe Victoria levy</t>
  </si>
  <si>
    <t>Included specific forecast of Energy Safe Victoria levy to be removed from the base year (2018) opex</t>
  </si>
  <si>
    <t>Change 12</t>
  </si>
  <si>
    <t>Added calculation of the average of BIS and DAE labour escalation</t>
  </si>
  <si>
    <t>GSL payments - base amount</t>
  </si>
  <si>
    <t>Updated label from draft decision to revised proposal</t>
  </si>
  <si>
    <t>Rows 51 and 55</t>
  </si>
  <si>
    <t>Formula</t>
  </si>
  <si>
    <t>Row 66</t>
  </si>
  <si>
    <t>Row 77</t>
  </si>
  <si>
    <t>Accepted AER's draft decision growth rate for customer numbers and pasted the growth rates as values</t>
  </si>
  <si>
    <t>Row 69</t>
  </si>
  <si>
    <t>Updated energy throughput growth rate to the 5-year historical average growth rate of 2015-19</t>
  </si>
  <si>
    <t>Change 13</t>
  </si>
  <si>
    <t>Change 14</t>
  </si>
  <si>
    <t>revised proposal</t>
  </si>
  <si>
    <t>Input | Category specific forecasts</t>
  </si>
  <si>
    <t>JEN re-stated 2019 customer numbers in the EB RIN and hence updated the customer number forecast in row 66 according to AER's draft decision customer growth rates.</t>
  </si>
  <si>
    <t>Moved the labour weight from DAE (row 51) to the average of DAE and BIS (row 55)</t>
  </si>
  <si>
    <t>L76</t>
  </si>
  <si>
    <t>O94</t>
  </si>
  <si>
    <t>Remove AER's efficiency adjustment as JEN offers expected transformation benefits as a negative step change</t>
  </si>
  <si>
    <t>Rows 39 to 41</t>
  </si>
  <si>
    <t>Row 42</t>
  </si>
  <si>
    <t>Removed transition costs as JEN proposes no efficiency adjustment. JEN offers negative step change to pass expected savings to customers</t>
  </si>
  <si>
    <t>Included a negative step change to pass expected opex savings from JEN's 2019 transformation program to customers upfront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</si>
</sst>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0.00000%"/>
    <numFmt numFmtId="207" formatCode="_(###0_);\(###0\);_(&quot;-&quot;_)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265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5" fontId="1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2" fillId="0" borderId="0"/>
    <xf numFmtId="177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7" fontId="19" fillId="4" borderId="0" applyNumberFormat="0" applyFont="0" applyBorder="0" applyAlignment="0">
      <alignment horizontal="right"/>
    </xf>
    <xf numFmtId="167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7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9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1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7" fontId="19" fillId="36" borderId="0" applyFont="0" applyBorder="0" applyAlignment="0">
      <alignment horizontal="right"/>
      <protection locked="0"/>
    </xf>
    <xf numFmtId="167" fontId="19" fillId="36" borderId="0" applyFont="0" applyBorder="0" applyAlignment="0">
      <alignment horizontal="right"/>
      <protection locked="0"/>
    </xf>
    <xf numFmtId="182" fontId="19" fillId="6" borderId="0" applyFont="0" applyBorder="0">
      <alignment horizontal="right"/>
      <protection locked="0"/>
    </xf>
    <xf numFmtId="182" fontId="19" fillId="6" borderId="0" applyFont="0" applyBorder="0">
      <alignment horizontal="right"/>
      <protection locked="0"/>
    </xf>
    <xf numFmtId="167" fontId="19" fillId="10" borderId="0" applyFont="0" applyBorder="0">
      <alignment horizontal="right"/>
      <protection locked="0"/>
    </xf>
    <xf numFmtId="167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3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4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5" fontId="19" fillId="0" borderId="0" applyFill="0" applyBorder="0"/>
    <xf numFmtId="185" fontId="19" fillId="0" borderId="0" applyFill="0" applyBorder="0"/>
    <xf numFmtId="185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6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7" fontId="19" fillId="0" borderId="0"/>
    <xf numFmtId="187" fontId="19" fillId="0" borderId="0"/>
    <xf numFmtId="187" fontId="19" fillId="0" borderId="0"/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3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42" borderId="0"/>
    <xf numFmtId="201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  <xf numFmtId="0" fontId="10" fillId="0" borderId="0"/>
  </cellStyleXfs>
  <cellXfs count="26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5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2" fontId="12" fillId="0" borderId="0" xfId="5" applyNumberFormat="1" applyFont="1" applyFill="1" applyBorder="1" applyAlignment="1" applyProtection="1">
      <alignment horizontal="center" vertical="center"/>
    </xf>
    <xf numFmtId="173" fontId="9" fillId="0" borderId="0" xfId="5" applyNumberFormat="1" applyFont="1" applyFill="1" applyBorder="1" applyAlignment="1" applyProtection="1">
      <alignment horizontal="center" vertical="center"/>
    </xf>
    <xf numFmtId="173" fontId="17" fillId="0" borderId="0" xfId="5" applyNumberFormat="1" applyFont="1" applyFill="1" applyBorder="1" applyAlignment="1" applyProtection="1">
      <alignment horizontal="center" vertical="center"/>
    </xf>
    <xf numFmtId="174" fontId="3" fillId="0" borderId="0" xfId="0" applyNumberFormat="1" applyFont="1"/>
    <xf numFmtId="176" fontId="12" fillId="0" borderId="0" xfId="5" applyNumberFormat="1" applyFont="1" applyFill="1" applyBorder="1" applyAlignment="1" applyProtection="1">
      <alignment horizontal="center" vertical="center"/>
    </xf>
    <xf numFmtId="168" fontId="3" fillId="3" borderId="0" xfId="0" applyNumberFormat="1" applyFont="1" applyFill="1" applyProtection="1"/>
    <xf numFmtId="168" fontId="4" fillId="3" borderId="0" xfId="0" applyNumberFormat="1" applyFont="1" applyFill="1" applyAlignment="1" applyProtection="1">
      <alignment horizontal="center"/>
    </xf>
    <xf numFmtId="168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/>
    </xf>
    <xf numFmtId="168" fontId="9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5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 wrapText="1"/>
    </xf>
    <xf numFmtId="192" fontId="3" fillId="41" borderId="3" xfId="0" applyNumberFormat="1" applyFont="1" applyFill="1" applyBorder="1" applyAlignment="1" applyProtection="1">
      <alignment horizontal="center"/>
      <protection locked="0"/>
    </xf>
    <xf numFmtId="196" fontId="3" fillId="0" borderId="0" xfId="0" applyNumberFormat="1" applyFont="1" applyAlignment="1" applyProtection="1">
      <alignment horizontal="left"/>
    </xf>
    <xf numFmtId="194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 wrapText="1"/>
    </xf>
    <xf numFmtId="168" fontId="5" fillId="0" borderId="0" xfId="0" applyNumberFormat="1" applyFont="1" applyProtection="1"/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165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16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5" fillId="0" borderId="0" xfId="0" applyNumberFormat="1" applyFont="1" applyFill="1" applyBorder="1" applyProtection="1"/>
    <xf numFmtId="168" fontId="4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left" indent="1"/>
    </xf>
    <xf numFmtId="168" fontId="3" fillId="0" borderId="0" xfId="0" applyNumberFormat="1" applyFont="1" applyAlignment="1" applyProtection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7" fontId="3" fillId="0" borderId="0" xfId="0" applyNumberFormat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Alignment="1" applyProtection="1">
      <alignment horizontal="left" indent="1"/>
    </xf>
    <xf numFmtId="168" fontId="4" fillId="0" borderId="7" xfId="0" applyNumberFormat="1" applyFont="1" applyBorder="1" applyAlignment="1" applyProtection="1">
      <alignment horizontal="center"/>
    </xf>
    <xf numFmtId="168" fontId="5" fillId="0" borderId="8" xfId="0" applyNumberFormat="1" applyFont="1" applyBorder="1" applyAlignment="1" applyProtection="1">
      <alignment horizontal="left" indent="1"/>
    </xf>
    <xf numFmtId="168" fontId="4" fillId="0" borderId="8" xfId="0" applyNumberFormat="1" applyFont="1" applyBorder="1" applyAlignment="1" applyProtection="1">
      <alignment horizontal="center"/>
    </xf>
    <xf numFmtId="197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 applyProtection="1"/>
    <xf numFmtId="175" fontId="3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Fill="1" applyAlignment="1" applyProtection="1">
      <alignment horizontal="left" indent="2"/>
    </xf>
    <xf numFmtId="168" fontId="15" fillId="0" borderId="8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Protection="1"/>
    <xf numFmtId="194" fontId="5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200" fontId="3" fillId="0" borderId="0" xfId="0" applyNumberFormat="1" applyFont="1" applyAlignment="1" applyProtection="1">
      <alignment horizontal="center"/>
    </xf>
    <xf numFmtId="200" fontId="5" fillId="0" borderId="0" xfId="0" applyNumberFormat="1" applyFont="1" applyAlignment="1" applyProtection="1">
      <alignment horizontal="center"/>
    </xf>
    <xf numFmtId="198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5" fontId="9" fillId="0" borderId="3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8" fontId="5" fillId="0" borderId="7" xfId="0" applyNumberFormat="1" applyFont="1" applyBorder="1" applyProtection="1"/>
    <xf numFmtId="168" fontId="3" fillId="0" borderId="7" xfId="0" applyNumberFormat="1" applyFont="1" applyBorder="1" applyProtection="1"/>
    <xf numFmtId="168" fontId="5" fillId="0" borderId="4" xfId="0" applyNumberFormat="1" applyFont="1" applyBorder="1" applyAlignment="1" applyProtection="1">
      <alignment horizontal="left"/>
    </xf>
    <xf numFmtId="168" fontId="4" fillId="0" borderId="4" xfId="0" applyNumberFormat="1" applyFont="1" applyBorder="1" applyAlignment="1" applyProtection="1">
      <alignment horizontal="center"/>
    </xf>
    <xf numFmtId="165" fontId="3" fillId="0" borderId="0" xfId="0" applyNumberFormat="1" applyFont="1" applyProtection="1"/>
    <xf numFmtId="168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5" fontId="3" fillId="0" borderId="0" xfId="0" applyNumberFormat="1" applyFont="1" applyProtection="1"/>
    <xf numFmtId="193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5" fontId="4" fillId="41" borderId="3" xfId="2" applyNumberFormat="1" applyFont="1" applyFill="1" applyBorder="1" applyAlignment="1" applyProtection="1">
      <alignment horizontal="center"/>
      <protection locked="0"/>
    </xf>
    <xf numFmtId="199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Protection="1">
      <protection locked="0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8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8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200" fontId="3" fillId="0" borderId="0" xfId="0" applyNumberFormat="1" applyFont="1" applyBorder="1" applyAlignment="1" applyProtection="1">
      <alignment horizontal="center"/>
    </xf>
    <xf numFmtId="200" fontId="5" fillId="0" borderId="0" xfId="0" applyNumberFormat="1" applyFont="1" applyBorder="1" applyAlignment="1" applyProtection="1">
      <alignment horizontal="center"/>
    </xf>
    <xf numFmtId="197" fontId="5" fillId="0" borderId="0" xfId="0" applyNumberFormat="1" applyFont="1" applyBorder="1" applyAlignment="1" applyProtection="1">
      <alignment horizontal="center"/>
    </xf>
    <xf numFmtId="168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4" fontId="3" fillId="0" borderId="0" xfId="0" applyNumberFormat="1" applyFont="1" applyProtection="1">
      <protection locked="0"/>
    </xf>
    <xf numFmtId="194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1" fontId="3" fillId="0" borderId="0" xfId="2" applyNumberFormat="1" applyFont="1" applyAlignment="1" applyProtection="1">
      <alignment horizontal="center"/>
      <protection locked="0"/>
    </xf>
    <xf numFmtId="173" fontId="9" fillId="0" borderId="0" xfId="5" applyNumberFormat="1" applyFont="1" applyFill="1" applyBorder="1" applyAlignment="1" applyProtection="1">
      <alignment horizontal="center" vertical="center"/>
      <protection locked="0"/>
    </xf>
    <xf numFmtId="168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8" fontId="15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81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3" fontId="12" fillId="8" borderId="9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3" fontId="3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/>
    </xf>
    <xf numFmtId="168" fontId="4" fillId="41" borderId="3" xfId="0" applyNumberFormat="1" applyFont="1" applyFill="1" applyBorder="1" applyAlignment="1" applyProtection="1">
      <alignment horizontal="center"/>
    </xf>
    <xf numFmtId="203" fontId="4" fillId="41" borderId="3" xfId="0" applyNumberFormat="1" applyFont="1" applyFill="1" applyBorder="1" applyAlignment="1" applyProtection="1">
      <alignment horizontal="center"/>
    </xf>
    <xf numFmtId="0" fontId="69" fillId="38" borderId="0" xfId="3" applyFont="1" applyFill="1" applyBorder="1" applyAlignment="1" applyProtection="1"/>
    <xf numFmtId="0" fontId="71" fillId="38" borderId="2" xfId="0" applyNumberFormat="1" applyFont="1" applyFill="1" applyBorder="1" applyAlignment="1" applyProtection="1">
      <alignment horizontal="center"/>
    </xf>
    <xf numFmtId="203" fontId="71" fillId="39" borderId="4" xfId="0" applyNumberFormat="1" applyFont="1" applyFill="1" applyBorder="1" applyAlignment="1" applyProtection="1">
      <alignment horizontal="center" vertical="center" wrapText="1"/>
    </xf>
    <xf numFmtId="192" fontId="3" fillId="41" borderId="29" xfId="0" applyNumberFormat="1" applyFont="1" applyFill="1" applyBorder="1" applyAlignment="1" applyProtection="1">
      <alignment horizontal="center"/>
      <protection locked="0"/>
    </xf>
    <xf numFmtId="10" fontId="3" fillId="0" borderId="30" xfId="2" applyNumberFormat="1" applyFont="1" applyBorder="1" applyAlignment="1" applyProtection="1">
      <alignment horizontal="center"/>
    </xf>
    <xf numFmtId="195" fontId="3" fillId="41" borderId="3" xfId="2" applyNumberFormat="1" applyFont="1" applyFill="1" applyBorder="1" applyAlignment="1" applyProtection="1">
      <alignment horizontal="center"/>
      <protection locked="0"/>
    </xf>
    <xf numFmtId="195" fontId="12" fillId="50" borderId="0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Alignment="1" applyProtection="1">
      <alignment horizontal="center"/>
      <protection locked="0"/>
    </xf>
    <xf numFmtId="165" fontId="3" fillId="0" borderId="0" xfId="0" applyNumberFormat="1" applyFont="1" applyProtection="1">
      <protection locked="0"/>
    </xf>
    <xf numFmtId="206" fontId="3" fillId="0" borderId="0" xfId="2" applyNumberFormat="1" applyFont="1" applyProtection="1"/>
    <xf numFmtId="164" fontId="21" fillId="39" borderId="4" xfId="0" applyNumberFormat="1" applyFont="1" applyFill="1" applyBorder="1" applyAlignment="1">
      <alignment horizontal="center" wrapText="1"/>
    </xf>
    <xf numFmtId="168" fontId="3" fillId="0" borderId="0" xfId="264" applyNumberFormat="1" applyFont="1"/>
    <xf numFmtId="168" fontId="5" fillId="0" borderId="0" xfId="0" applyNumberFormat="1" applyFont="1" applyAlignment="1">
      <alignment vertical="center"/>
    </xf>
    <xf numFmtId="168" fontId="4" fillId="51" borderId="31" xfId="264" applyNumberFormat="1" applyFont="1" applyFill="1" applyBorder="1" applyAlignment="1">
      <alignment vertical="center"/>
    </xf>
    <xf numFmtId="174" fontId="3" fillId="51" borderId="32" xfId="264" applyNumberFormat="1" applyFont="1" applyFill="1" applyBorder="1"/>
    <xf numFmtId="168" fontId="3" fillId="51" borderId="32" xfId="264" applyNumberFormat="1" applyFont="1" applyFill="1" applyBorder="1"/>
    <xf numFmtId="168" fontId="3" fillId="51" borderId="33" xfId="264" applyNumberFormat="1" applyFont="1" applyFill="1" applyBorder="1"/>
    <xf numFmtId="168" fontId="3" fillId="52" borderId="0" xfId="264" applyNumberFormat="1" applyFont="1" applyFill="1"/>
    <xf numFmtId="168" fontId="3" fillId="52" borderId="0" xfId="0" applyNumberFormat="1" applyFont="1" applyFill="1"/>
    <xf numFmtId="168" fontId="4" fillId="52" borderId="0" xfId="264" applyNumberFormat="1" applyFont="1" applyFill="1"/>
    <xf numFmtId="174" fontId="3" fillId="52" borderId="0" xfId="264" applyNumberFormat="1" applyFont="1" applyFill="1"/>
    <xf numFmtId="168" fontId="5" fillId="0" borderId="0" xfId="0" applyNumberFormat="1" applyFont="1" applyAlignment="1">
      <alignment horizontal="left" indent="1"/>
    </xf>
    <xf numFmtId="168" fontId="4" fillId="0" borderId="0" xfId="264" applyNumberFormat="1" applyFont="1"/>
    <xf numFmtId="174" fontId="3" fillId="0" borderId="0" xfId="264" applyNumberFormat="1" applyFont="1" applyAlignment="1">
      <alignment horizontal="left" indent="1"/>
    </xf>
    <xf numFmtId="168" fontId="3" fillId="0" borderId="0" xfId="264" applyNumberFormat="1" applyFont="1" applyAlignment="1">
      <alignment horizontal="center"/>
    </xf>
    <xf numFmtId="168" fontId="3" fillId="53" borderId="0" xfId="264" applyNumberFormat="1" applyFont="1" applyFill="1"/>
    <xf numFmtId="168" fontId="3" fillId="0" borderId="34" xfId="0" applyNumberFormat="1" applyFont="1" applyBorder="1" applyAlignment="1">
      <alignment horizontal="left" indent="1"/>
    </xf>
    <xf numFmtId="168" fontId="4" fillId="0" borderId="34" xfId="264" applyNumberFormat="1" applyFont="1" applyBorder="1"/>
    <xf numFmtId="168" fontId="3" fillId="0" borderId="34" xfId="264" applyNumberFormat="1" applyFont="1" applyBorder="1"/>
    <xf numFmtId="169" fontId="3" fillId="53" borderId="3" xfId="0" applyNumberFormat="1" applyFont="1" applyFill="1" applyBorder="1" applyAlignment="1" applyProtection="1">
      <alignment horizontal="center"/>
      <protection locked="0"/>
    </xf>
    <xf numFmtId="181" fontId="3" fillId="53" borderId="3" xfId="2" applyNumberFormat="1" applyFont="1" applyFill="1" applyBorder="1" applyAlignment="1" applyProtection="1">
      <alignment horizontal="center"/>
      <protection locked="0"/>
    </xf>
    <xf numFmtId="10" fontId="3" fillId="53" borderId="3" xfId="2" applyNumberFormat="1" applyFont="1" applyFill="1" applyBorder="1" applyAlignment="1" applyProtection="1">
      <alignment horizontal="center"/>
      <protection locked="0"/>
    </xf>
    <xf numFmtId="49" fontId="3" fillId="53" borderId="3" xfId="0" applyNumberFormat="1" applyFont="1" applyFill="1" applyBorder="1" applyAlignment="1" applyProtection="1">
      <alignment horizontal="left" indent="1"/>
      <protection locked="0"/>
    </xf>
    <xf numFmtId="10" fontId="3" fillId="53" borderId="26" xfId="2" applyNumberFormat="1" applyFont="1" applyFill="1" applyBorder="1" applyAlignment="1" applyProtection="1">
      <alignment horizontal="center"/>
      <protection locked="0"/>
    </xf>
    <xf numFmtId="195" fontId="3" fillId="53" borderId="3" xfId="2" applyNumberFormat="1" applyFont="1" applyFill="1" applyBorder="1" applyAlignment="1" applyProtection="1">
      <alignment horizontal="center"/>
      <protection locked="0"/>
    </xf>
    <xf numFmtId="2" fontId="3" fillId="53" borderId="0" xfId="0" applyNumberFormat="1" applyFont="1" applyFill="1" applyBorder="1" applyAlignment="1" applyProtection="1">
      <alignment horizontal="center"/>
      <protection locked="0"/>
    </xf>
    <xf numFmtId="0" fontId="3" fillId="0" borderId="0" xfId="264" applyNumberFormat="1" applyFont="1" applyAlignment="1">
      <alignment horizontal="left" indent="1"/>
    </xf>
    <xf numFmtId="10" fontId="3" fillId="53" borderId="0" xfId="2" applyNumberFormat="1" applyFont="1" applyFill="1" applyAlignment="1" applyProtection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168" fontId="3" fillId="0" borderId="0" xfId="264" applyNumberFormat="1" applyFont="1" applyAlignment="1">
      <alignment horizontal="center" vertical="top"/>
    </xf>
    <xf numFmtId="0" fontId="3" fillId="0" borderId="0" xfId="264" applyNumberFormat="1" applyFont="1" applyAlignment="1">
      <alignment vertical="top" wrapText="1"/>
    </xf>
    <xf numFmtId="168" fontId="4" fillId="53" borderId="0" xfId="0" applyNumberFormat="1" applyFont="1" applyFill="1" applyAlignment="1" applyProtection="1">
      <alignment horizontal="center"/>
    </xf>
    <xf numFmtId="171" fontId="3" fillId="53" borderId="3" xfId="0" applyNumberFormat="1" applyFont="1" applyFill="1" applyBorder="1" applyAlignment="1" applyProtection="1">
      <alignment horizontal="center"/>
      <protection locked="0"/>
    </xf>
    <xf numFmtId="207" fontId="3" fillId="53" borderId="3" xfId="0" applyNumberFormat="1" applyFont="1" applyFill="1" applyBorder="1" applyAlignment="1" applyProtection="1">
      <alignment horizontal="center"/>
      <protection locked="0"/>
    </xf>
    <xf numFmtId="193" fontId="5" fillId="8" borderId="28" xfId="0" applyNumberFormat="1" applyFont="1" applyFill="1" applyBorder="1" applyAlignment="1" applyProtection="1">
      <alignment horizontal="center"/>
      <protection locked="0"/>
    </xf>
    <xf numFmtId="10" fontId="3" fillId="41" borderId="3" xfId="2" applyNumberFormat="1" applyFont="1" applyFill="1" applyBorder="1" applyAlignment="1" applyProtection="1">
      <alignment horizontal="center"/>
    </xf>
    <xf numFmtId="0" fontId="3" fillId="0" borderId="0" xfId="264" applyFont="1" applyAlignment="1">
      <alignment horizontal="left" indent="1"/>
    </xf>
    <xf numFmtId="0" fontId="3" fillId="0" borderId="0" xfId="264" applyNumberFormat="1" applyFont="1" applyAlignment="1">
      <alignment horizontal="left" vertical="top" wrapText="1" indent="1"/>
    </xf>
    <xf numFmtId="0" fontId="71" fillId="38" borderId="2" xfId="0" applyNumberFormat="1" applyFont="1" applyFill="1" applyBorder="1" applyAlignment="1" applyProtection="1">
      <alignment horizontal="center"/>
    </xf>
  </cellXfs>
  <cellStyles count="26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2" xfId="89" xr:uid="{00000000-0005-0000-0000-000055000000}"/>
    <cellStyle name="Currency 2 2" xfId="90" xr:uid="{00000000-0005-0000-0000-000056000000}"/>
    <cellStyle name="Currency 3" xfId="91" xr:uid="{00000000-0005-0000-0000-000057000000}"/>
    <cellStyle name="Currency 3 2" xfId="92" xr:uid="{00000000-0005-0000-0000-000058000000}"/>
    <cellStyle name="Currency 4" xfId="93" xr:uid="{00000000-0005-0000-0000-000059000000}"/>
    <cellStyle name="Currency 4 2" xfId="94" xr:uid="{00000000-0005-0000-0000-00005A000000}"/>
    <cellStyle name="Currency 5" xfId="243" xr:uid="{00000000-0005-0000-0000-00005B000000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Emphasis 1" xfId="98" xr:uid="{00000000-0005-0000-0000-00005F000000}"/>
    <cellStyle name="Emphasis 2" xfId="99" xr:uid="{00000000-0005-0000-0000-000060000000}"/>
    <cellStyle name="Emphasis 3" xfId="100" xr:uid="{00000000-0005-0000-0000-000061000000}"/>
    <cellStyle name="Empty_Cell" xfId="247" xr:uid="{00000000-0005-0000-0000-000062000000}"/>
    <cellStyle name="Euro" xfId="101" xr:uid="{00000000-0005-0000-0000-000063000000}"/>
    <cellStyle name="Explanatory Text 2" xfId="102" xr:uid="{00000000-0005-0000-0000-000064000000}"/>
    <cellStyle name="Fixed" xfId="103" xr:uid="{00000000-0005-0000-0000-000065000000}"/>
    <cellStyle name="Fixed 2" xfId="104" xr:uid="{00000000-0005-0000-0000-000066000000}"/>
    <cellStyle name="Gilsans" xfId="105" xr:uid="{00000000-0005-0000-0000-000067000000}"/>
    <cellStyle name="Gilsansl" xfId="106" xr:uid="{00000000-0005-0000-0000-000068000000}"/>
    <cellStyle name="Good 2" xfId="107" xr:uid="{00000000-0005-0000-0000-000069000000}"/>
    <cellStyle name="Header1" xfId="248" xr:uid="{00000000-0005-0000-0000-00006A000000}"/>
    <cellStyle name="Header2" xfId="249" xr:uid="{00000000-0005-0000-0000-00006B000000}"/>
    <cellStyle name="Header3" xfId="250" xr:uid="{00000000-0005-0000-0000-00006C000000}"/>
    <cellStyle name="Header4" xfId="251" xr:uid="{00000000-0005-0000-0000-00006D000000}"/>
    <cellStyle name="Header5" xfId="252" xr:uid="{00000000-0005-0000-0000-00006E000000}"/>
    <cellStyle name="Heading 1 2" xfId="108" xr:uid="{00000000-0005-0000-0000-00006F000000}"/>
    <cellStyle name="Heading 1 2 2" xfId="109" xr:uid="{00000000-0005-0000-0000-000070000000}"/>
    <cellStyle name="Heading 1 3" xfId="110" xr:uid="{00000000-0005-0000-0000-000071000000}"/>
    <cellStyle name="Heading 2 2" xfId="111" xr:uid="{00000000-0005-0000-0000-000072000000}"/>
    <cellStyle name="Heading 2 2 2" xfId="112" xr:uid="{00000000-0005-0000-0000-000073000000}"/>
    <cellStyle name="Heading 2 3" xfId="113" xr:uid="{00000000-0005-0000-0000-000074000000}"/>
    <cellStyle name="Heading 3 2" xfId="114" xr:uid="{00000000-0005-0000-0000-000075000000}"/>
    <cellStyle name="Heading 3 2 2" xfId="115" xr:uid="{00000000-0005-0000-0000-000076000000}"/>
    <cellStyle name="Heading 3 3" xfId="116" xr:uid="{00000000-0005-0000-0000-000077000000}"/>
    <cellStyle name="Heading 4 2" xfId="117" xr:uid="{00000000-0005-0000-0000-000078000000}"/>
    <cellStyle name="Heading 4 2 2" xfId="118" xr:uid="{00000000-0005-0000-0000-000079000000}"/>
    <cellStyle name="Heading 4 3" xfId="119" xr:uid="{00000000-0005-0000-0000-00007A000000}"/>
    <cellStyle name="Heading(4)" xfId="120" xr:uid="{00000000-0005-0000-0000-00007B000000}"/>
    <cellStyle name="Hyperlink" xfId="3" builtinId="8"/>
    <cellStyle name="Hyperlink 2" xfId="121" xr:uid="{00000000-0005-0000-0000-00007D000000}"/>
    <cellStyle name="Hyperlink Arrow" xfId="122" xr:uid="{00000000-0005-0000-0000-00007E000000}"/>
    <cellStyle name="Hyperlink Text" xfId="123" xr:uid="{00000000-0005-0000-0000-00007F000000}"/>
    <cellStyle name="Input 2" xfId="124" xr:uid="{00000000-0005-0000-0000-000080000000}"/>
    <cellStyle name="Input|Date" xfId="1" xr:uid="{00000000-0005-0000-0000-000081000000}"/>
    <cellStyle name="Input1" xfId="125" xr:uid="{00000000-0005-0000-0000-000082000000}"/>
    <cellStyle name="Input1 2" xfId="126" xr:uid="{00000000-0005-0000-0000-000083000000}"/>
    <cellStyle name="Input2" xfId="127" xr:uid="{00000000-0005-0000-0000-000084000000}"/>
    <cellStyle name="Input2 2" xfId="128" xr:uid="{00000000-0005-0000-0000-000085000000}"/>
    <cellStyle name="Input3" xfId="129" xr:uid="{00000000-0005-0000-0000-000086000000}"/>
    <cellStyle name="Input3 2" xfId="130" xr:uid="{00000000-0005-0000-0000-000087000000}"/>
    <cellStyle name="Inputs_Divider" xfId="253" xr:uid="{00000000-0005-0000-0000-000088000000}"/>
    <cellStyle name="InSheet" xfId="254" xr:uid="{00000000-0005-0000-0000-000089000000}"/>
    <cellStyle name="Lines" xfId="131" xr:uid="{00000000-0005-0000-0000-00008A000000}"/>
    <cellStyle name="Linked Cell 2" xfId="132" xr:uid="{00000000-0005-0000-0000-00008B000000}"/>
    <cellStyle name="Mine" xfId="133" xr:uid="{00000000-0005-0000-0000-00008C000000}"/>
    <cellStyle name="Model Name" xfId="134" xr:uid="{00000000-0005-0000-0000-00008D000000}"/>
    <cellStyle name="Neutral 2" xfId="135" xr:uid="{00000000-0005-0000-0000-00008E000000}"/>
    <cellStyle name="Normal" xfId="0" builtinId="0"/>
    <cellStyle name="Normal - Style1" xfId="136" xr:uid="{00000000-0005-0000-0000-000090000000}"/>
    <cellStyle name="Normal 10" xfId="241" xr:uid="{00000000-0005-0000-0000-000091000000}"/>
    <cellStyle name="Normal 13" xfId="137" xr:uid="{00000000-0005-0000-0000-000092000000}"/>
    <cellStyle name="Normal 13 2" xfId="7" xr:uid="{00000000-0005-0000-0000-000093000000}"/>
    <cellStyle name="Normal 13_29(d) - Gas extensions -tariffs" xfId="138" xr:uid="{00000000-0005-0000-0000-000094000000}"/>
    <cellStyle name="Normal 15" xfId="139" xr:uid="{00000000-0005-0000-0000-000095000000}"/>
    <cellStyle name="Normal 16" xfId="140" xr:uid="{00000000-0005-0000-0000-000096000000}"/>
    <cellStyle name="Normal 2" xfId="141" xr:uid="{00000000-0005-0000-0000-000097000000}"/>
    <cellStyle name="Normal 2 2" xfId="142" xr:uid="{00000000-0005-0000-0000-000098000000}"/>
    <cellStyle name="Normal 2 2 2" xfId="143" xr:uid="{00000000-0005-0000-0000-000099000000}"/>
    <cellStyle name="Normal 2 3" xfId="144" xr:uid="{00000000-0005-0000-0000-00009A000000}"/>
    <cellStyle name="Normal 2 3 2" xfId="145" xr:uid="{00000000-0005-0000-0000-00009B000000}"/>
    <cellStyle name="Normal 2 3_29(d) - Gas extensions -tariffs" xfId="146" xr:uid="{00000000-0005-0000-0000-00009C000000}"/>
    <cellStyle name="Normal 2 4" xfId="147" xr:uid="{00000000-0005-0000-0000-00009D000000}"/>
    <cellStyle name="Normal 2 5" xfId="148" xr:uid="{00000000-0005-0000-0000-00009E000000}"/>
    <cellStyle name="Normal 2_29(d) - Gas extensions -tariffs" xfId="149" xr:uid="{00000000-0005-0000-0000-00009F000000}"/>
    <cellStyle name="Normal 3" xfId="150" xr:uid="{00000000-0005-0000-0000-0000A0000000}"/>
    <cellStyle name="Normal 3 2" xfId="151" xr:uid="{00000000-0005-0000-0000-0000A1000000}"/>
    <cellStyle name="Normal 3_29(d) - Gas extensions -tariffs" xfId="152" xr:uid="{00000000-0005-0000-0000-0000A2000000}"/>
    <cellStyle name="Normal 38" xfId="153" xr:uid="{00000000-0005-0000-0000-0000A3000000}"/>
    <cellStyle name="Normal 38 2" xfId="154" xr:uid="{00000000-0005-0000-0000-0000A4000000}"/>
    <cellStyle name="Normal 38_29(d) - Gas extensions -tariffs" xfId="155" xr:uid="{00000000-0005-0000-0000-0000A5000000}"/>
    <cellStyle name="Normal 4" xfId="156" xr:uid="{00000000-0005-0000-0000-0000A6000000}"/>
    <cellStyle name="Normal 4 2" xfId="157" xr:uid="{00000000-0005-0000-0000-0000A7000000}"/>
    <cellStyle name="Normal 4 3" xfId="158" xr:uid="{00000000-0005-0000-0000-0000A8000000}"/>
    <cellStyle name="Normal 4_29(d) - Gas extensions -tariffs" xfId="159" xr:uid="{00000000-0005-0000-0000-0000A9000000}"/>
    <cellStyle name="Normal 40" xfId="160" xr:uid="{00000000-0005-0000-0000-0000AA000000}"/>
    <cellStyle name="Normal 40 2" xfId="161" xr:uid="{00000000-0005-0000-0000-0000AB000000}"/>
    <cellStyle name="Normal 40_29(d) - Gas extensions -tariffs" xfId="162" xr:uid="{00000000-0005-0000-0000-0000AC000000}"/>
    <cellStyle name="Normal 5" xfId="163" xr:uid="{00000000-0005-0000-0000-0000AD000000}"/>
    <cellStyle name="Normal 5 2" xfId="164" xr:uid="{00000000-0005-0000-0000-0000AE000000}"/>
    <cellStyle name="Normal 5 25" xfId="264" xr:uid="{B6F61A22-194D-4A65-857B-8663B12BC658}"/>
    <cellStyle name="Normal 6" xfId="165" xr:uid="{00000000-0005-0000-0000-0000AF000000}"/>
    <cellStyle name="Normal 6 2" xfId="166" xr:uid="{00000000-0005-0000-0000-0000B0000000}"/>
    <cellStyle name="Normal 7" xfId="9" xr:uid="{00000000-0005-0000-0000-0000B1000000}"/>
    <cellStyle name="Normal 7 2" xfId="167" xr:uid="{00000000-0005-0000-0000-0000B2000000}"/>
    <cellStyle name="Normal 8" xfId="168" xr:uid="{00000000-0005-0000-0000-0000B3000000}"/>
    <cellStyle name="Normal 9" xfId="169" xr:uid="{00000000-0005-0000-0000-0000B4000000}"/>
    <cellStyle name="Note 2" xfId="170" xr:uid="{00000000-0005-0000-0000-0000B5000000}"/>
    <cellStyle name="OffSheet" xfId="255" xr:uid="{00000000-0005-0000-0000-0000B6000000}"/>
    <cellStyle name="Output 2" xfId="171" xr:uid="{00000000-0005-0000-0000-0000B7000000}"/>
    <cellStyle name="Percent" xfId="2" builtinId="5"/>
    <cellStyle name="Percent [2]" xfId="172" xr:uid="{00000000-0005-0000-0000-0000B9000000}"/>
    <cellStyle name="Percent [2] 2" xfId="173" xr:uid="{00000000-0005-0000-0000-0000BA000000}"/>
    <cellStyle name="Percent [2]_29(d) - Gas extensions -tariffs" xfId="174" xr:uid="{00000000-0005-0000-0000-0000BB000000}"/>
    <cellStyle name="Percent 2" xfId="4" xr:uid="{00000000-0005-0000-0000-0000BC000000}"/>
    <cellStyle name="Percent 2 2" xfId="175" xr:uid="{00000000-0005-0000-0000-0000BD000000}"/>
    <cellStyle name="Percent 3" xfId="176" xr:uid="{00000000-0005-0000-0000-0000BE000000}"/>
    <cellStyle name="Percent 3 2" xfId="177" xr:uid="{00000000-0005-0000-0000-0000BF000000}"/>
    <cellStyle name="Percent 4" xfId="178" xr:uid="{00000000-0005-0000-0000-0000C0000000}"/>
    <cellStyle name="Percent 5" xfId="242" xr:uid="{00000000-0005-0000-0000-0000C1000000}"/>
    <cellStyle name="Percent 7" xfId="179" xr:uid="{00000000-0005-0000-0000-0000C2000000}"/>
    <cellStyle name="Percentage" xfId="180" xr:uid="{00000000-0005-0000-0000-0000C3000000}"/>
    <cellStyle name="Period Title" xfId="181" xr:uid="{00000000-0005-0000-0000-0000C4000000}"/>
    <cellStyle name="PSChar" xfId="182" xr:uid="{00000000-0005-0000-0000-0000C5000000}"/>
    <cellStyle name="PSDate" xfId="183" xr:uid="{00000000-0005-0000-0000-0000C6000000}"/>
    <cellStyle name="PSDec" xfId="184" xr:uid="{00000000-0005-0000-0000-0000C7000000}"/>
    <cellStyle name="PSDetail" xfId="185" xr:uid="{00000000-0005-0000-0000-0000C8000000}"/>
    <cellStyle name="PSHeading" xfId="186" xr:uid="{00000000-0005-0000-0000-0000C9000000}"/>
    <cellStyle name="PSInt" xfId="187" xr:uid="{00000000-0005-0000-0000-0000CA000000}"/>
    <cellStyle name="PSSpacer" xfId="188" xr:uid="{00000000-0005-0000-0000-0000CB000000}"/>
    <cellStyle name="Ratio" xfId="189" xr:uid="{00000000-0005-0000-0000-0000CC000000}"/>
    <cellStyle name="Ratio 2" xfId="190" xr:uid="{00000000-0005-0000-0000-0000CD000000}"/>
    <cellStyle name="Ratio_29(d) - Gas extensions -tariffs" xfId="191" xr:uid="{00000000-0005-0000-0000-0000CE000000}"/>
    <cellStyle name="Right Date" xfId="192" xr:uid="{00000000-0005-0000-0000-0000CF000000}"/>
    <cellStyle name="Right Number" xfId="193" xr:uid="{00000000-0005-0000-0000-0000D0000000}"/>
    <cellStyle name="Right Year" xfId="194" xr:uid="{00000000-0005-0000-0000-0000D1000000}"/>
    <cellStyle name="SAPError" xfId="195" xr:uid="{00000000-0005-0000-0000-0000D2000000}"/>
    <cellStyle name="SAPError 2" xfId="196" xr:uid="{00000000-0005-0000-0000-0000D3000000}"/>
    <cellStyle name="SAPKey" xfId="197" xr:uid="{00000000-0005-0000-0000-0000D4000000}"/>
    <cellStyle name="SAPKey 2" xfId="198" xr:uid="{00000000-0005-0000-0000-0000D5000000}"/>
    <cellStyle name="SAPLocked" xfId="199" xr:uid="{00000000-0005-0000-0000-0000D6000000}"/>
    <cellStyle name="SAPLocked 2" xfId="200" xr:uid="{00000000-0005-0000-0000-0000D7000000}"/>
    <cellStyle name="SAPOutput" xfId="201" xr:uid="{00000000-0005-0000-0000-0000D8000000}"/>
    <cellStyle name="SAPOutput 2" xfId="202" xr:uid="{00000000-0005-0000-0000-0000D9000000}"/>
    <cellStyle name="SAPSpace" xfId="203" xr:uid="{00000000-0005-0000-0000-0000DA000000}"/>
    <cellStyle name="SAPSpace 2" xfId="204" xr:uid="{00000000-0005-0000-0000-0000DB000000}"/>
    <cellStyle name="SAPText" xfId="205" xr:uid="{00000000-0005-0000-0000-0000DC000000}"/>
    <cellStyle name="SAPText 2" xfId="206" xr:uid="{00000000-0005-0000-0000-0000DD000000}"/>
    <cellStyle name="SAPUnLocked" xfId="207" xr:uid="{00000000-0005-0000-0000-0000DE000000}"/>
    <cellStyle name="SAPUnLocked 2" xfId="208" xr:uid="{00000000-0005-0000-0000-0000DF000000}"/>
    <cellStyle name="Sheet Title" xfId="209" xr:uid="{00000000-0005-0000-0000-0000E0000000}"/>
    <cellStyle name="SheetHeader1" xfId="256" xr:uid="{00000000-0005-0000-0000-0000E1000000}"/>
    <cellStyle name="SheetHeader2" xfId="257" xr:uid="{00000000-0005-0000-0000-0000E2000000}"/>
    <cellStyle name="SheetHeader3" xfId="258" xr:uid="{00000000-0005-0000-0000-0000E3000000}"/>
    <cellStyle name="Style 1" xfId="210" xr:uid="{00000000-0005-0000-0000-0000E4000000}"/>
    <cellStyle name="Style 1 2" xfId="211" xr:uid="{00000000-0005-0000-0000-0000E5000000}"/>
    <cellStyle name="Style 1_29(d) - Gas extensions -tariffs" xfId="212" xr:uid="{00000000-0005-0000-0000-0000E6000000}"/>
    <cellStyle name="Style2" xfId="213" xr:uid="{00000000-0005-0000-0000-0000E7000000}"/>
    <cellStyle name="Style3" xfId="214" xr:uid="{00000000-0005-0000-0000-0000E8000000}"/>
    <cellStyle name="Style4" xfId="215" xr:uid="{00000000-0005-0000-0000-0000E9000000}"/>
    <cellStyle name="Style4 2" xfId="216" xr:uid="{00000000-0005-0000-0000-0000EA000000}"/>
    <cellStyle name="Style4_29(d) - Gas extensions -tariffs" xfId="217" xr:uid="{00000000-0005-0000-0000-0000EB000000}"/>
    <cellStyle name="Style5" xfId="218" xr:uid="{00000000-0005-0000-0000-0000EC000000}"/>
    <cellStyle name="Style5 2" xfId="219" xr:uid="{00000000-0005-0000-0000-0000ED000000}"/>
    <cellStyle name="Style5_29(d) - Gas extensions -tariffs" xfId="220" xr:uid="{00000000-0005-0000-0000-0000EE000000}"/>
    <cellStyle name="Table Head Green" xfId="221" xr:uid="{00000000-0005-0000-0000-0000EF000000}"/>
    <cellStyle name="Table Head_pldt" xfId="222" xr:uid="{00000000-0005-0000-0000-0000F0000000}"/>
    <cellStyle name="Table Source" xfId="223" xr:uid="{00000000-0005-0000-0000-0000F1000000}"/>
    <cellStyle name="Table Units" xfId="224" xr:uid="{00000000-0005-0000-0000-0000F2000000}"/>
    <cellStyle name="Table_Heading" xfId="259" xr:uid="{00000000-0005-0000-0000-0000F3000000}"/>
    <cellStyle name="Technical_Input" xfId="260" xr:uid="{00000000-0005-0000-0000-0000F4000000}"/>
    <cellStyle name="Text" xfId="225" xr:uid="{00000000-0005-0000-0000-0000F5000000}"/>
    <cellStyle name="Text 2" xfId="226" xr:uid="{00000000-0005-0000-0000-0000F6000000}"/>
    <cellStyle name="Text 3" xfId="227" xr:uid="{00000000-0005-0000-0000-0000F7000000}"/>
    <cellStyle name="Text Head 1" xfId="228" xr:uid="{00000000-0005-0000-0000-0000F8000000}"/>
    <cellStyle name="Text Head 2" xfId="229" xr:uid="{00000000-0005-0000-0000-0000F9000000}"/>
    <cellStyle name="Text Indent 2" xfId="230" xr:uid="{00000000-0005-0000-0000-0000FA000000}"/>
    <cellStyle name="Theirs" xfId="231" xr:uid="{00000000-0005-0000-0000-0000FB000000}"/>
    <cellStyle name="Title 2" xfId="232" xr:uid="{00000000-0005-0000-0000-0000FC000000}"/>
    <cellStyle name="TOC 1" xfId="233" xr:uid="{00000000-0005-0000-0000-0000FD000000}"/>
    <cellStyle name="TOC 2" xfId="234" xr:uid="{00000000-0005-0000-0000-0000FE000000}"/>
    <cellStyle name="TOC 3" xfId="235" xr:uid="{00000000-0005-0000-0000-0000FF000000}"/>
    <cellStyle name="Total 2" xfId="236" xr:uid="{00000000-0005-0000-0000-000000010000}"/>
    <cellStyle name="Totals" xfId="261" xr:uid="{00000000-0005-0000-0000-000001010000}"/>
    <cellStyle name="unit" xfId="262" xr:uid="{00000000-0005-0000-0000-000002010000}"/>
    <cellStyle name="User_Input" xfId="263" xr:uid="{00000000-0005-0000-0000-000003010000}"/>
    <cellStyle name="Warning Text 2" xfId="237" xr:uid="{00000000-0005-0000-0000-000004010000}"/>
    <cellStyle name="year" xfId="238" xr:uid="{00000000-0005-0000-0000-000005010000}"/>
    <cellStyle name="year 2" xfId="239" xr:uid="{00000000-0005-0000-0000-000006010000}"/>
    <cellStyle name="year_29(d) - Gas extensions -tariffs" xfId="240" xr:uid="{00000000-0005-0000-0000-000007010000}"/>
  </cellStyles>
  <dxfs count="26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FFCC"/>
      <color rgb="FFDBE5F1"/>
      <color rgb="FFDAEEF3"/>
      <color rgb="FF006100"/>
      <color rgb="FFC6EFCE"/>
      <color rgb="FF9C0006"/>
      <color rgb="FFFFFF99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6FCB-0DAA-4878-83BE-E686A47BE7E6}">
  <sheetPr>
    <tabColor theme="1"/>
  </sheetPr>
  <dimension ref="A1:AD43"/>
  <sheetViews>
    <sheetView showGridLines="0" tabSelected="1" workbookViewId="0"/>
  </sheetViews>
  <sheetFormatPr defaultColWidth="0" defaultRowHeight="11.25" customHeight="1" zeroHeight="1"/>
  <cols>
    <col min="1" max="2" width="1.5" style="8" customWidth="1"/>
    <col min="3" max="3" width="27.1640625" style="8" customWidth="1"/>
    <col min="4" max="4" width="16.5" style="8" customWidth="1"/>
    <col min="5" max="5" width="15.83203125" style="8" customWidth="1"/>
    <col min="6" max="6" width="11.33203125" style="8" customWidth="1"/>
    <col min="7" max="7" width="10.6640625" style="8" customWidth="1"/>
    <col min="8" max="15" width="11.5" style="8" customWidth="1"/>
    <col min="16" max="17" width="11" style="8" customWidth="1"/>
    <col min="18" max="19" width="10.5" style="8" customWidth="1"/>
    <col min="20" max="20" width="3" style="8" customWidth="1"/>
    <col min="21" max="22" width="10.5" style="8" hidden="1" customWidth="1"/>
    <col min="23" max="23" width="2.5" style="8" hidden="1" customWidth="1"/>
    <col min="24" max="16384" width="10.5" style="8" hidden="1"/>
  </cols>
  <sheetData>
    <row r="1" spans="1:30" s="1" customFormat="1" ht="15.75" customHeight="1">
      <c r="A1" s="38"/>
      <c r="B1" s="35" t="s">
        <v>206</v>
      </c>
      <c r="C1" s="35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52"/>
      <c r="R1" s="252"/>
      <c r="S1" s="252"/>
      <c r="T1" s="252"/>
      <c r="U1" s="252"/>
      <c r="V1" s="252"/>
      <c r="W1" s="252"/>
    </row>
    <row r="2" spans="1:30" s="5" customFormat="1" ht="13.5" customHeight="1" thickBot="1">
      <c r="A2" s="42"/>
      <c r="B2" s="41" t="s">
        <v>41</v>
      </c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53"/>
      <c r="R2" s="253"/>
      <c r="S2" s="253"/>
      <c r="T2" s="253"/>
      <c r="U2" s="253"/>
      <c r="V2" s="253"/>
      <c r="W2" s="253"/>
    </row>
    <row r="3" spans="1:30" s="6" customFormat="1" ht="3" customHeight="1"/>
    <row r="4" spans="1:30" customFormat="1" ht="12.75">
      <c r="A4" s="43"/>
      <c r="B4" s="51" t="s">
        <v>213</v>
      </c>
      <c r="C4" s="43"/>
      <c r="D4" s="43"/>
      <c r="E4" s="43"/>
      <c r="F4" s="44"/>
      <c r="G4" s="44"/>
      <c r="H4" s="44"/>
      <c r="I4" s="44"/>
      <c r="J4" s="45"/>
      <c r="K4" s="224"/>
      <c r="L4" s="45"/>
      <c r="M4" s="224"/>
      <c r="N4" s="45"/>
      <c r="O4" s="45"/>
      <c r="P4" s="45"/>
      <c r="Q4" s="45"/>
      <c r="R4" s="45"/>
      <c r="S4" s="45"/>
      <c r="T4" s="45"/>
      <c r="U4" s="45"/>
      <c r="V4" s="224"/>
      <c r="W4" s="224"/>
      <c r="X4" s="48"/>
      <c r="Y4" s="48"/>
      <c r="Z4" s="48"/>
      <c r="AA4" s="48"/>
      <c r="AB4" s="48"/>
      <c r="AC4" s="49"/>
      <c r="AD4" s="49"/>
    </row>
    <row r="5" spans="1:30" ht="11.25" customHeight="1"/>
    <row r="6" spans="1:30" s="225" customFormat="1" ht="17.25" customHeight="1">
      <c r="C6" s="226" t="s">
        <v>214</v>
      </c>
      <c r="D6" s="227" t="s">
        <v>235</v>
      </c>
      <c r="E6" s="228"/>
      <c r="F6" s="228"/>
      <c r="G6" s="229"/>
      <c r="H6" s="229"/>
      <c r="I6" s="229"/>
      <c r="J6" s="230"/>
    </row>
    <row r="7" spans="1:30" ht="11.25" customHeight="1"/>
    <row r="8" spans="1:30" s="231" customFormat="1">
      <c r="B8" s="232"/>
      <c r="C8" s="232" t="s">
        <v>215</v>
      </c>
      <c r="D8" s="233"/>
      <c r="F8" s="234"/>
    </row>
    <row r="9" spans="1:30" ht="11.25" customHeight="1"/>
    <row r="10" spans="1:30" ht="11.25" customHeight="1">
      <c r="C10" s="9" t="s">
        <v>216</v>
      </c>
      <c r="D10" s="14" t="s">
        <v>217</v>
      </c>
      <c r="E10" s="14" t="s">
        <v>218</v>
      </c>
      <c r="F10" s="14" t="s">
        <v>219</v>
      </c>
      <c r="G10" s="14" t="s">
        <v>220</v>
      </c>
      <c r="H10" s="235" t="s">
        <v>221</v>
      </c>
    </row>
    <row r="11" spans="1:30" ht="11.25" customHeight="1">
      <c r="C11" s="225"/>
      <c r="D11" s="225"/>
      <c r="E11" s="236"/>
      <c r="F11" s="225"/>
      <c r="G11" s="225"/>
      <c r="H11" s="237"/>
    </row>
    <row r="12" spans="1:30" ht="11.25" customHeight="1">
      <c r="C12" t="s">
        <v>60</v>
      </c>
      <c r="D12" s="238" t="s">
        <v>222</v>
      </c>
      <c r="E12" s="238" t="s">
        <v>223</v>
      </c>
      <c r="F12" s="238" t="s">
        <v>4</v>
      </c>
      <c r="G12" s="239"/>
      <c r="H12" s="250" t="s">
        <v>254</v>
      </c>
    </row>
    <row r="13" spans="1:30">
      <c r="C13" s="240"/>
      <c r="D13" s="241"/>
      <c r="E13" s="241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</row>
    <row r="14" spans="1:30">
      <c r="C14" s="15"/>
      <c r="D14" s="236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</row>
    <row r="15" spans="1:30">
      <c r="C15" s="9" t="s">
        <v>216</v>
      </c>
      <c r="D15" s="14" t="s">
        <v>217</v>
      </c>
      <c r="E15" s="14" t="s">
        <v>218</v>
      </c>
      <c r="F15" s="14" t="s">
        <v>219</v>
      </c>
      <c r="G15" s="14" t="s">
        <v>220</v>
      </c>
      <c r="H15" s="235" t="s">
        <v>221</v>
      </c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</row>
    <row r="16" spans="1:30">
      <c r="C16" s="15"/>
      <c r="D16" s="236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</row>
    <row r="17" spans="1:30">
      <c r="C17" t="s">
        <v>56</v>
      </c>
      <c r="D17" s="238" t="s">
        <v>224</v>
      </c>
      <c r="E17" s="238" t="s">
        <v>268</v>
      </c>
      <c r="F17" s="238" t="s">
        <v>4</v>
      </c>
      <c r="G17" s="239"/>
      <c r="H17" s="261" t="s">
        <v>250</v>
      </c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1:30">
      <c r="C18"/>
      <c r="D18" s="238" t="s">
        <v>225</v>
      </c>
      <c r="E18" s="238" t="s">
        <v>269</v>
      </c>
      <c r="F18" s="238" t="s">
        <v>4</v>
      </c>
      <c r="G18" s="239"/>
      <c r="H18" s="261" t="s">
        <v>270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1:30">
      <c r="C19" s="240"/>
      <c r="D19" s="241"/>
      <c r="E19" s="241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</row>
    <row r="20" spans="1:30">
      <c r="C20" s="15"/>
      <c r="D20" s="236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</row>
    <row r="21" spans="1:30">
      <c r="C21" s="9" t="s">
        <v>216</v>
      </c>
      <c r="D21" s="14" t="s">
        <v>217</v>
      </c>
      <c r="E21" s="14" t="s">
        <v>218</v>
      </c>
      <c r="F21" s="14" t="s">
        <v>219</v>
      </c>
      <c r="G21" s="14" t="s">
        <v>220</v>
      </c>
      <c r="H21" s="235" t="s">
        <v>221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</row>
    <row r="22" spans="1:30">
      <c r="C22" s="225"/>
      <c r="D22" s="236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</row>
    <row r="23" spans="1:30">
      <c r="C23" t="s">
        <v>196</v>
      </c>
      <c r="D23" s="238" t="s">
        <v>226</v>
      </c>
      <c r="E23" s="238" t="s">
        <v>271</v>
      </c>
      <c r="F23" s="238" t="s">
        <v>4</v>
      </c>
      <c r="G23" s="239"/>
      <c r="H23" s="250" t="s">
        <v>240</v>
      </c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</row>
    <row r="24" spans="1:30">
      <c r="C24"/>
      <c r="D24" s="238" t="s">
        <v>227</v>
      </c>
      <c r="E24" s="238" t="s">
        <v>272</v>
      </c>
      <c r="F24" s="238" t="s">
        <v>4</v>
      </c>
      <c r="G24" s="239"/>
      <c r="H24" s="250" t="s">
        <v>252</v>
      </c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</row>
    <row r="25" spans="1:30">
      <c r="C25" s="225"/>
      <c r="D25" s="238" t="s">
        <v>228</v>
      </c>
      <c r="E25" s="238" t="s">
        <v>255</v>
      </c>
      <c r="F25" s="238" t="s">
        <v>4</v>
      </c>
      <c r="G25" s="239"/>
      <c r="H25" s="250" t="s">
        <v>267</v>
      </c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</row>
    <row r="26" spans="1:30">
      <c r="C26" s="225"/>
      <c r="D26" s="238" t="s">
        <v>229</v>
      </c>
      <c r="E26" s="254" t="s">
        <v>258</v>
      </c>
      <c r="F26" s="254" t="s">
        <v>256</v>
      </c>
      <c r="G26" s="239"/>
      <c r="H26" s="250" t="s">
        <v>259</v>
      </c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</row>
    <row r="27" spans="1:30" ht="23.25" customHeight="1">
      <c r="C27" s="225"/>
      <c r="D27" s="254" t="s">
        <v>230</v>
      </c>
      <c r="E27" s="254" t="s">
        <v>257</v>
      </c>
      <c r="F27" s="254" t="s">
        <v>4</v>
      </c>
      <c r="G27" s="239"/>
      <c r="H27" s="262" t="s">
        <v>266</v>
      </c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</row>
    <row r="28" spans="1:30">
      <c r="C28" s="225"/>
      <c r="D28" s="238" t="s">
        <v>231</v>
      </c>
      <c r="E28" s="254" t="s">
        <v>260</v>
      </c>
      <c r="F28" s="254" t="s">
        <v>4</v>
      </c>
      <c r="G28" s="239"/>
      <c r="H28" s="250" t="s">
        <v>261</v>
      </c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</row>
    <row r="29" spans="1:30">
      <c r="C29" s="240"/>
      <c r="D29" s="240"/>
      <c r="E29" s="241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</row>
    <row r="30" spans="1:30">
      <c r="C30" s="15"/>
      <c r="D30" s="236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</row>
    <row r="31" spans="1:30">
      <c r="C31" s="9" t="s">
        <v>216</v>
      </c>
      <c r="D31" s="14" t="s">
        <v>217</v>
      </c>
      <c r="E31" s="14" t="s">
        <v>218</v>
      </c>
      <c r="F31" s="14" t="s">
        <v>219</v>
      </c>
      <c r="G31" s="14" t="s">
        <v>220</v>
      </c>
      <c r="H31" s="235" t="s">
        <v>221</v>
      </c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</row>
    <row r="32" spans="1:30" customFormat="1">
      <c r="A32" s="8"/>
      <c r="B32" s="8"/>
      <c r="C32" s="225"/>
      <c r="D32" s="236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8"/>
      <c r="U32" s="8"/>
      <c r="V32" s="8"/>
      <c r="W32" s="8"/>
      <c r="X32" s="48"/>
      <c r="Y32" s="48"/>
      <c r="Z32" s="48"/>
      <c r="AA32" s="48"/>
      <c r="AB32" s="48"/>
      <c r="AC32" s="49"/>
      <c r="AD32" s="49"/>
    </row>
    <row r="33" spans="1:23">
      <c r="C33" t="s">
        <v>59</v>
      </c>
      <c r="D33" s="238" t="s">
        <v>232</v>
      </c>
      <c r="E33" s="238" t="s">
        <v>244</v>
      </c>
      <c r="F33" s="238" t="s">
        <v>4</v>
      </c>
      <c r="G33" s="239"/>
      <c r="H33" s="261" t="s">
        <v>245</v>
      </c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</row>
    <row r="34" spans="1:23">
      <c r="C34"/>
      <c r="D34" s="238" t="s">
        <v>233</v>
      </c>
      <c r="E34" s="238" t="s">
        <v>241</v>
      </c>
      <c r="F34" s="238" t="s">
        <v>4</v>
      </c>
      <c r="G34" s="239"/>
      <c r="H34" s="261" t="s">
        <v>273</v>
      </c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</row>
    <row r="35" spans="1:23">
      <c r="C35"/>
      <c r="D35" s="238" t="s">
        <v>251</v>
      </c>
      <c r="E35" s="238" t="s">
        <v>246</v>
      </c>
      <c r="F35" s="238" t="s">
        <v>4</v>
      </c>
      <c r="G35" s="239"/>
      <c r="H35" s="261" t="s">
        <v>274</v>
      </c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</row>
    <row r="36" spans="1:23">
      <c r="C36"/>
      <c r="D36" s="238" t="s">
        <v>262</v>
      </c>
      <c r="E36" s="238" t="s">
        <v>247</v>
      </c>
      <c r="F36" s="238" t="s">
        <v>4</v>
      </c>
      <c r="G36" s="239"/>
      <c r="H36" s="261" t="s">
        <v>248</v>
      </c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</row>
    <row r="37" spans="1:23">
      <c r="C37"/>
      <c r="D37" s="238" t="s">
        <v>263</v>
      </c>
      <c r="E37" s="238" t="s">
        <v>242</v>
      </c>
      <c r="F37" s="238" t="s">
        <v>4</v>
      </c>
      <c r="G37" s="239"/>
      <c r="H37" s="261" t="s">
        <v>234</v>
      </c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</row>
    <row r="38" spans="1:23">
      <c r="C38" s="15"/>
      <c r="D38" s="236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</row>
    <row r="39" spans="1:23" ht="11.25" customHeight="1">
      <c r="A39" s="43"/>
      <c r="B39" s="51" t="s">
        <v>21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224"/>
      <c r="W39" s="224"/>
    </row>
    <row r="40" spans="1:23" ht="11.25" hidden="1" customHeight="1"/>
    <row r="41" spans="1:23" ht="11.25" hidden="1" customHeight="1"/>
    <row r="42" spans="1:23" ht="11.25" hidden="1" customHeight="1"/>
    <row r="43" spans="1:23" ht="11.25" hidden="1" customHeight="1"/>
  </sheetData>
  <mergeCells count="1">
    <mergeCell ref="H27:S27"/>
  </mergeCells>
  <phoneticPr fontId="12" type="noConversion"/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9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206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196</v>
      </c>
      <c r="D10" s="7" t="s">
        <v>184</v>
      </c>
    </row>
    <row r="11" spans="1:47">
      <c r="C11" s="19" t="s">
        <v>59</v>
      </c>
      <c r="D11" s="7" t="s">
        <v>50</v>
      </c>
    </row>
    <row r="12" spans="1:47">
      <c r="C12" s="19" t="s">
        <v>197</v>
      </c>
      <c r="D12" s="7" t="s">
        <v>185</v>
      </c>
    </row>
    <row r="13" spans="1:47">
      <c r="C13" s="19" t="s">
        <v>198</v>
      </c>
      <c r="D13" s="7" t="s">
        <v>186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1:AU35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207</v>
      </c>
      <c r="H7" s="29"/>
      <c r="I7" s="29"/>
      <c r="S7" s="131" t="str">
        <f>IF(COUNTBLANK($G7),"Check","Ok")</f>
        <v>Ok</v>
      </c>
    </row>
    <row r="8" spans="1:47">
      <c r="C8" s="29" t="s">
        <v>137</v>
      </c>
      <c r="D8" s="256" t="s">
        <v>67</v>
      </c>
      <c r="E8" s="29"/>
      <c r="F8" s="29"/>
      <c r="G8" s="243" t="s">
        <v>264</v>
      </c>
      <c r="H8" s="29"/>
      <c r="I8" s="29"/>
      <c r="S8" s="131" t="str">
        <f>IF(COUNTBLANK($G8),"Check","Ok")</f>
        <v>Ok</v>
      </c>
    </row>
    <row r="9" spans="1:47">
      <c r="C9" s="29" t="s">
        <v>192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193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194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2018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151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195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  <row r="30" spans="1:47" hidden="1"/>
    <row r="31" spans="1:47" hidden="1"/>
    <row r="32" spans="1:47" hidden="1"/>
    <row r="33" hidden="1"/>
    <row r="34" hidden="1"/>
    <row r="35" hidden="1"/>
  </sheetData>
  <dataConsolidate/>
  <conditionalFormatting sqref="W16:W17">
    <cfRule type="cellIs" dxfId="266" priority="13" operator="equal">
      <formula>"Check"</formula>
    </cfRule>
    <cfRule type="cellIs" dxfId="265" priority="14" operator="equal">
      <formula>"Ok"</formula>
    </cfRule>
  </conditionalFormatting>
  <conditionalFormatting sqref="V1">
    <cfRule type="cellIs" dxfId="264" priority="3" operator="equal">
      <formula>"Check"</formula>
    </cfRule>
    <cfRule type="cellIs" dxfId="263" priority="4" operator="equal">
      <formula>"Ok"</formula>
    </cfRule>
  </conditionalFormatting>
  <conditionalFormatting sqref="S7:S16">
    <cfRule type="cellIs" dxfId="262" priority="5" operator="equal">
      <formula>"Check"</formula>
    </cfRule>
    <cfRule type="cellIs" dxfId="261" priority="6" operator="equal">
      <formula>"Ok"</formula>
    </cfRule>
  </conditionalFormatting>
  <conditionalFormatting sqref="S1">
    <cfRule type="cellIs" dxfId="260" priority="1" operator="equal">
      <formula>"Check"</formula>
    </cfRule>
    <cfRule type="cellIs" dxfId="259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"draft,final,revised proposal"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102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135</v>
      </c>
      <c r="F6" s="62" t="s">
        <v>96</v>
      </c>
      <c r="G6" s="62" t="s">
        <v>135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7">
        <f>F62*(1+3%)</f>
        <v>117.83200000000001</v>
      </c>
      <c r="G66" s="218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58" priority="11" operator="equal">
      <formula>"Check"</formula>
    </cfRule>
    <cfRule type="cellIs" dxfId="257" priority="12" operator="equal">
      <formula>"Ok"</formula>
    </cfRule>
  </conditionalFormatting>
  <conditionalFormatting sqref="W1">
    <cfRule type="cellIs" dxfId="256" priority="7" operator="equal">
      <formula>"Check"</formula>
    </cfRule>
    <cfRule type="cellIs" dxfId="255" priority="8" operator="equal">
      <formula>"Ok"</formula>
    </cfRule>
  </conditionalFormatting>
  <conditionalFormatting sqref="T1">
    <cfRule type="cellIs" dxfId="254" priority="5" operator="equal">
      <formula>"Check"</formula>
    </cfRule>
    <cfRule type="cellIs" dxfId="253" priority="6" operator="equal">
      <formula>"Ok"</formula>
    </cfRule>
  </conditionalFormatting>
  <conditionalFormatting sqref="X51:X57">
    <cfRule type="cellIs" dxfId="252" priority="3" operator="equal">
      <formula>"Check"</formula>
    </cfRule>
    <cfRule type="cellIs" dxfId="251" priority="4" operator="equal">
      <formula>"Ok"</formula>
    </cfRule>
  </conditionalFormatting>
  <conditionalFormatting sqref="X58:X62 T9:T84">
    <cfRule type="cellIs" dxfId="250" priority="1" operator="equal">
      <formula>"Check"</formula>
    </cfRule>
    <cfRule type="cellIs" dxfId="249" priority="2" operator="equal">
      <formula>"Ok"</formula>
    </cfRule>
  </conditionalFormatting>
  <dataValidations disablePrompts="1"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theme="5" tint="0.59999389629810485"/>
  </sheetPr>
  <dimension ref="A1:X101"/>
  <sheetViews>
    <sheetView showGridLines="0"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121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202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90.428592978618695</v>
      </c>
      <c r="K13" s="161">
        <v>88.670798166675951</v>
      </c>
      <c r="L13" s="161">
        <v>89.714278320310214</v>
      </c>
      <c r="M13" s="161">
        <v>91.512856906680724</v>
      </c>
      <c r="N13" s="161">
        <v>91.983331818592859</v>
      </c>
      <c r="O13" s="150"/>
      <c r="P13" s="222"/>
      <c r="Q13" s="222"/>
      <c r="R13" s="222"/>
      <c r="S13" s="222"/>
      <c r="T13" s="222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90.428592978618695</v>
      </c>
      <c r="K15" s="129">
        <f t="shared" ref="K15:T15" si="1">K13</f>
        <v>88.670798166675951</v>
      </c>
      <c r="L15" s="129">
        <f t="shared" si="1"/>
        <v>89.714278320310214</v>
      </c>
      <c r="M15" s="129">
        <f t="shared" si="1"/>
        <v>91.512856906680724</v>
      </c>
      <c r="N15" s="129">
        <f t="shared" si="1"/>
        <v>91.983331818592859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160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0.61928897427544138</v>
      </c>
      <c r="K19" s="161">
        <v>0.6512543560425843</v>
      </c>
      <c r="L19" s="161">
        <v>0.70546757317914743</v>
      </c>
      <c r="M19" s="161">
        <v>0.73983439279258356</v>
      </c>
      <c r="N19" s="161">
        <v>0.7707404714874273</v>
      </c>
      <c r="O19" s="150"/>
      <c r="P19" s="222"/>
      <c r="Q19" s="222"/>
      <c r="R19" s="222"/>
      <c r="S19" s="222"/>
      <c r="T19" s="222"/>
      <c r="U19" s="29"/>
      <c r="V19" s="29"/>
      <c r="W19" s="29"/>
      <c r="X19" s="29"/>
    </row>
    <row r="20" spans="1:24">
      <c r="A20" s="29"/>
      <c r="B20" s="29"/>
      <c r="C20" s="61" t="s">
        <v>208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219">
        <v>0.12474499999999999</v>
      </c>
      <c r="K20" s="219">
        <v>0.12474499999999999</v>
      </c>
      <c r="L20" s="219">
        <v>0.12474499999999999</v>
      </c>
      <c r="M20" s="219">
        <v>0.12474499999999999</v>
      </c>
      <c r="N20" s="219">
        <v>0.12474499999999999</v>
      </c>
      <c r="O20" s="150"/>
      <c r="P20" s="222"/>
      <c r="Q20" s="222"/>
      <c r="R20" s="222"/>
      <c r="S20" s="222"/>
      <c r="T20" s="222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222"/>
      <c r="Q21" s="222"/>
      <c r="R21" s="222"/>
      <c r="S21" s="222"/>
      <c r="T21" s="222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158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0.74403397427544138</v>
      </c>
      <c r="K29" s="129">
        <f t="shared" ref="K29:S29" si="4">SUM(K19:K27)</f>
        <v>0.7759993560425843</v>
      </c>
      <c r="L29" s="129">
        <f t="shared" si="4"/>
        <v>0.83021257317914743</v>
      </c>
      <c r="M29" s="129">
        <f t="shared" si="4"/>
        <v>0.86457939279258356</v>
      </c>
      <c r="N29" s="129">
        <f t="shared" si="4"/>
        <v>0.8954854714874273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203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56.594030596920952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56.594030596920952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160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0.38712444197722784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189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6.7696315094557202E-2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158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0.45482075707178504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2" t="str">
        <f>$E$79</f>
        <v>$millions</v>
      </c>
      <c r="F60" s="213" t="s">
        <v>99</v>
      </c>
      <c r="G60" s="32"/>
      <c r="H60" s="32"/>
      <c r="I60" s="30"/>
      <c r="J60" s="161">
        <v>82.570048906029299</v>
      </c>
      <c r="K60" s="161">
        <v>87.612991970377607</v>
      </c>
      <c r="L60" s="161">
        <v>81.820382370000004</v>
      </c>
      <c r="M60" s="161">
        <v>87.548048559999998</v>
      </c>
      <c r="N60" s="161"/>
      <c r="O60" s="161"/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180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177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0.19171972000000009</v>
      </c>
      <c r="K64" s="161">
        <v>-0.2468716100000001</v>
      </c>
      <c r="L64" s="161">
        <v>0.48004487999999984</v>
      </c>
      <c r="M64" s="161">
        <v>-0.67777713999999989</v>
      </c>
      <c r="N64" s="161"/>
      <c r="O64" s="150"/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188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0.11060399999999999</v>
      </c>
      <c r="K65" s="161">
        <v>0.2</v>
      </c>
      <c r="L65" s="161">
        <v>0.23927899999999999</v>
      </c>
      <c r="M65" s="161">
        <v>2.4720619999999999E-2</v>
      </c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/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178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82.267725186029296</v>
      </c>
      <c r="K70" s="129">
        <f t="shared" ref="K70:S70" si="12">K60-SUM(K64:K68)</f>
        <v>87.659863580377603</v>
      </c>
      <c r="L70" s="129">
        <f t="shared" si="12"/>
        <v>81.10105849</v>
      </c>
      <c r="M70" s="129">
        <f t="shared" si="12"/>
        <v>88.201105080000005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>
        <v>0</v>
      </c>
      <c r="K74" s="161">
        <v>0</v>
      </c>
      <c r="L74" s="161">
        <v>0</v>
      </c>
      <c r="M74" s="161">
        <v>0</v>
      </c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189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0.218525</v>
      </c>
      <c r="K75" s="161">
        <v>0.14519000000000001</v>
      </c>
      <c r="L75" s="161">
        <v>0.15711</v>
      </c>
      <c r="M75" s="161">
        <v>0.2475</v>
      </c>
      <c r="N75" s="161"/>
      <c r="O75" s="161"/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246" t="s">
        <v>249</v>
      </c>
      <c r="D76" s="30" t="s">
        <v>207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249">
        <v>1.091234</v>
      </c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158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0.218525</v>
      </c>
      <c r="K79" s="184">
        <f t="shared" ref="K79:S79" si="14">SUM(K74:K77)</f>
        <v>0.14519000000000001</v>
      </c>
      <c r="L79" s="184">
        <f t="shared" si="14"/>
        <v>1.2483440000000001</v>
      </c>
      <c r="M79" s="184">
        <f t="shared" si="14"/>
        <v>0.2475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113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114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115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116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117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179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44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  <row r="96" spans="1:24" hidden="1"/>
    <row r="97" hidden="1"/>
    <row r="98" hidden="1"/>
    <row r="99" hidden="1"/>
    <row r="100" hidden="1"/>
    <row r="101" hidden="1"/>
  </sheetData>
  <conditionalFormatting sqref="X60 X74:X77 X64:X68">
    <cfRule type="cellIs" dxfId="248" priority="61" operator="equal">
      <formula>"Check"</formula>
    </cfRule>
    <cfRule type="cellIs" dxfId="247" priority="62" operator="equal">
      <formula>"Ok"</formula>
    </cfRule>
  </conditionalFormatting>
  <conditionalFormatting sqref="X79">
    <cfRule type="cellIs" dxfId="246" priority="59" operator="equal">
      <formula>"Check"</formula>
    </cfRule>
    <cfRule type="cellIs" dxfId="245" priority="60" operator="equal">
      <formula>"Ok"</formula>
    </cfRule>
  </conditionalFormatting>
  <conditionalFormatting sqref="X15">
    <cfRule type="cellIs" dxfId="244" priority="57" operator="equal">
      <formula>"Check"</formula>
    </cfRule>
    <cfRule type="cellIs" dxfId="243" priority="58" operator="equal">
      <formula>"Ok"</formula>
    </cfRule>
  </conditionalFormatting>
  <conditionalFormatting sqref="W1">
    <cfRule type="cellIs" dxfId="242" priority="55" operator="equal">
      <formula>"Check"</formula>
    </cfRule>
    <cfRule type="cellIs" dxfId="241" priority="56" operator="equal">
      <formula>"Ok"</formula>
    </cfRule>
  </conditionalFormatting>
  <conditionalFormatting sqref="S1:T1">
    <cfRule type="cellIs" dxfId="240" priority="53" operator="equal">
      <formula>"Check"</formula>
    </cfRule>
    <cfRule type="cellIs" dxfId="239" priority="54" operator="equal">
      <formula>"Ok"</formula>
    </cfRule>
  </conditionalFormatting>
  <conditionalFormatting sqref="J15:T15">
    <cfRule type="cellIs" dxfId="238" priority="52" operator="equal">
      <formula>0</formula>
    </cfRule>
  </conditionalFormatting>
  <conditionalFormatting sqref="J79:S79">
    <cfRule type="cellIs" dxfId="237" priority="51" operator="equal">
      <formula>0</formula>
    </cfRule>
  </conditionalFormatting>
  <conditionalFormatting sqref="X71:X73">
    <cfRule type="cellIs" dxfId="236" priority="49" operator="equal">
      <formula>"Check"</formula>
    </cfRule>
    <cfRule type="cellIs" dxfId="235" priority="50" operator="equal">
      <formula>"Ok"</formula>
    </cfRule>
  </conditionalFormatting>
  <conditionalFormatting sqref="J66:T68 J56:T56 N60:T60 J77:S77 N64:T65 N74:S75 J76:K76 M76:S76">
    <cfRule type="expression" dxfId="234" priority="47">
      <formula>J$57=J$4</formula>
    </cfRule>
  </conditionalFormatting>
  <conditionalFormatting sqref="P13:T13 J21:T27 O19:T20">
    <cfRule type="expression" dxfId="233" priority="46">
      <formula>J$10=J$4</formula>
    </cfRule>
  </conditionalFormatting>
  <conditionalFormatting sqref="N60:O60">
    <cfRule type="expression" dxfId="232" priority="43">
      <formula>N$10=N$4</formula>
    </cfRule>
  </conditionalFormatting>
  <conditionalFormatting sqref="X70">
    <cfRule type="cellIs" dxfId="231" priority="41" operator="equal">
      <formula>"Check"</formula>
    </cfRule>
    <cfRule type="cellIs" dxfId="230" priority="42" operator="equal">
      <formula>"Ok"</formula>
    </cfRule>
  </conditionalFormatting>
  <conditionalFormatting sqref="J70:S70">
    <cfRule type="cellIs" dxfId="229" priority="39" operator="equal">
      <formula>0</formula>
    </cfRule>
  </conditionalFormatting>
  <conditionalFormatting sqref="J85:T89 J91:T91 J93:N93 P93:T93">
    <cfRule type="expression" dxfId="228" priority="38">
      <formula>J$83=J$4</formula>
    </cfRule>
  </conditionalFormatting>
  <conditionalFormatting sqref="X29">
    <cfRule type="cellIs" dxfId="227" priority="34" operator="equal">
      <formula>"Check"</formula>
    </cfRule>
    <cfRule type="cellIs" dxfId="226" priority="35" operator="equal">
      <formula>"Ok"</formula>
    </cfRule>
  </conditionalFormatting>
  <conditionalFormatting sqref="J29:T29">
    <cfRule type="cellIs" dxfId="225" priority="33" operator="equal">
      <formula>0</formula>
    </cfRule>
  </conditionalFormatting>
  <conditionalFormatting sqref="O60">
    <cfRule type="expression" dxfId="224" priority="27">
      <formula>O$10=O$4</formula>
    </cfRule>
  </conditionalFormatting>
  <conditionalFormatting sqref="T79">
    <cfRule type="cellIs" dxfId="223" priority="26" operator="equal">
      <formula>0</formula>
    </cfRule>
  </conditionalFormatting>
  <conditionalFormatting sqref="T74:T77">
    <cfRule type="expression" dxfId="222" priority="25">
      <formula>T$57=T$4</formula>
    </cfRule>
  </conditionalFormatting>
  <conditionalFormatting sqref="T70">
    <cfRule type="cellIs" dxfId="221" priority="24" operator="equal">
      <formula>0</formula>
    </cfRule>
  </conditionalFormatting>
  <conditionalFormatting sqref="O12:O13">
    <cfRule type="expression" dxfId="220" priority="22">
      <formula>O$10=O$4</formula>
    </cfRule>
  </conditionalFormatting>
  <conditionalFormatting sqref="X38">
    <cfRule type="cellIs" dxfId="219" priority="20" operator="equal">
      <formula>"Check"</formula>
    </cfRule>
    <cfRule type="cellIs" dxfId="218" priority="21" operator="equal">
      <formula>"Ok"</formula>
    </cfRule>
  </conditionalFormatting>
  <conditionalFormatting sqref="J38:T38">
    <cfRule type="cellIs" dxfId="217" priority="19" operator="equal">
      <formula>0</formula>
    </cfRule>
  </conditionalFormatting>
  <conditionalFormatting sqref="J42:N50 P42:T50">
    <cfRule type="expression" dxfId="216" priority="18">
      <formula>J$33=J$4</formula>
    </cfRule>
  </conditionalFormatting>
  <conditionalFormatting sqref="X52">
    <cfRule type="cellIs" dxfId="215" priority="16" operator="equal">
      <formula>"Check"</formula>
    </cfRule>
    <cfRule type="cellIs" dxfId="214" priority="17" operator="equal">
      <formula>"Ok"</formula>
    </cfRule>
  </conditionalFormatting>
  <conditionalFormatting sqref="J52:T52">
    <cfRule type="cellIs" dxfId="213" priority="15" operator="equal">
      <formula>0</formula>
    </cfRule>
  </conditionalFormatting>
  <conditionalFormatting sqref="J36">
    <cfRule type="expression" dxfId="212" priority="13">
      <formula>J$33=J$4</formula>
    </cfRule>
  </conditionalFormatting>
  <conditionalFormatting sqref="O35">
    <cfRule type="expression" dxfId="211" priority="12">
      <formula>O$10=O$4</formula>
    </cfRule>
  </conditionalFormatting>
  <conditionalFormatting sqref="K36:N36 P36:T36">
    <cfRule type="expression" dxfId="210" priority="10">
      <formula>K$33=K$4</formula>
    </cfRule>
  </conditionalFormatting>
  <conditionalFormatting sqref="O43:O50">
    <cfRule type="expression" dxfId="209" priority="9">
      <formula>O$33=O$4</formula>
    </cfRule>
  </conditionalFormatting>
  <conditionalFormatting sqref="J13:N13">
    <cfRule type="expression" dxfId="208" priority="8">
      <formula>J$10=J$4</formula>
    </cfRule>
  </conditionalFormatting>
  <conditionalFormatting sqref="J19:N19">
    <cfRule type="expression" dxfId="207" priority="7">
      <formula>J$10=J$4</formula>
    </cfRule>
  </conditionalFormatting>
  <conditionalFormatting sqref="O36">
    <cfRule type="expression" dxfId="206" priority="6">
      <formula>O$33=O$4</formula>
    </cfRule>
  </conditionalFormatting>
  <conditionalFormatting sqref="O42">
    <cfRule type="expression" dxfId="205" priority="5">
      <formula>O$33=O$4</formula>
    </cfRule>
  </conditionalFormatting>
  <conditionalFormatting sqref="J64:M65">
    <cfRule type="expression" dxfId="204" priority="4">
      <formula>J$57=J$4</formula>
    </cfRule>
  </conditionalFormatting>
  <conditionalFormatting sqref="J60:M60">
    <cfRule type="expression" dxfId="203" priority="3">
      <formula>J$10=J$4</formula>
    </cfRule>
  </conditionalFormatting>
  <conditionalFormatting sqref="J74:M75">
    <cfRule type="expression" dxfId="202" priority="1">
      <formula>J$57=J$4</formula>
    </cfRule>
  </conditionalFormatting>
  <dataValidations disablePrompts="1"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5" tint="0.59999389629810485"/>
  </sheetPr>
  <dimension ref="A1:AX205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121</v>
      </c>
      <c r="K3" s="263"/>
      <c r="L3" s="263"/>
      <c r="M3" s="263"/>
      <c r="N3" s="180"/>
      <c r="O3" s="263"/>
      <c r="P3" s="263"/>
      <c r="Q3" s="263"/>
      <c r="R3" s="263"/>
      <c r="S3" s="263"/>
      <c r="T3" s="26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6">
        <f>DATE(PPFirstYear,MONTH('Input|General'!$G$9),1)</f>
        <v>42705</v>
      </c>
      <c r="L4" s="216">
        <f>DATE(PPFirstYear+1,MONTH('Input|General'!$G$9),1)</f>
        <v>43070</v>
      </c>
      <c r="M4" s="216">
        <f>DATE(PPFirstYear+2,MONTH('Input|General'!$G$9),1)</f>
        <v>43435</v>
      </c>
      <c r="N4" s="216">
        <f>DATE(PPFirstYear+3,MONTH('Input|General'!$G$9),1)</f>
        <v>43800</v>
      </c>
      <c r="O4" s="216">
        <f>DATE(PPFirstYear+4,MONTH('Input|General'!$G$9),1)</f>
        <v>44166</v>
      </c>
      <c r="P4" s="216">
        <f>DATE(PPFirstYear+5,MONTH('Input|General'!$G$10),1)</f>
        <v>44348</v>
      </c>
      <c r="Q4" s="216">
        <f>DATE(PPFirstYear+6,MONTH('Input|General'!$G$10),1)</f>
        <v>44713</v>
      </c>
      <c r="R4" s="216">
        <f>DATE(PPFirstYear+7,MONTH('Input|General'!$G$10),1)</f>
        <v>45078</v>
      </c>
      <c r="S4" s="216">
        <f>DATE(PPFirstYear+8,MONTH('Input|General'!$G$10),1)</f>
        <v>45444</v>
      </c>
      <c r="T4" s="216">
        <f>DATE(PPFirstYear+9,MONTH('Input|General'!$G$10),1)</f>
        <v>45809</v>
      </c>
      <c r="U4" s="216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120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46" t="s">
        <v>237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47">
        <v>8.1374984736782129E-3</v>
      </c>
      <c r="R39" s="247">
        <v>7.4195233082361822E-3</v>
      </c>
      <c r="S39" s="247">
        <v>8.7514619619906957E-3</v>
      </c>
      <c r="T39" s="247">
        <v>1.1196532715190248E-2</v>
      </c>
      <c r="U39" s="247">
        <v>1.1184913955027824E-2</v>
      </c>
    </row>
    <row r="40" spans="1:50" ht="11.25" customHeight="1" outlineLevel="1">
      <c r="C40" s="246" t="s">
        <v>236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45">
        <v>5.0000000000000001E-3</v>
      </c>
      <c r="R40" s="245">
        <v>5.0000000000000001E-3</v>
      </c>
      <c r="S40" s="245">
        <v>5.0000000000000001E-3</v>
      </c>
      <c r="T40" s="245">
        <v>5.0000000000000001E-3</v>
      </c>
      <c r="U40" s="245">
        <v>5.0000000000000001E-3</v>
      </c>
    </row>
    <row r="41" spans="1:50" ht="11.25" customHeight="1" outlineLevel="1">
      <c r="C41" s="246" t="s">
        <v>238</v>
      </c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245">
        <f>(1+Q40+Q39)^(9/12)-1</f>
        <v>9.8370311036397595E-3</v>
      </c>
      <c r="R41" s="245">
        <f t="shared" ref="R41:U41" si="35">R40+R39</f>
        <v>1.2419523308236181E-2</v>
      </c>
      <c r="S41" s="245">
        <f t="shared" si="35"/>
        <v>1.3751461961990695E-2</v>
      </c>
      <c r="T41" s="245">
        <f t="shared" si="35"/>
        <v>1.6196532715190247E-2</v>
      </c>
      <c r="U41" s="245">
        <f t="shared" si="35"/>
        <v>1.6184913955027823E-2</v>
      </c>
    </row>
    <row r="42" spans="1:50" ht="11.25" customHeight="1" outlineLevel="1">
      <c r="C42" s="246" t="s">
        <v>239</v>
      </c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245">
        <f>AVERAGE(Q41,Q38)</f>
        <v>6.1119035076110367E-3</v>
      </c>
      <c r="R42" s="245">
        <f t="shared" ref="R42:U42" si="36">AVERAGE(R41,R38)</f>
        <v>4.9608934391037352E-3</v>
      </c>
      <c r="S42" s="245">
        <f t="shared" si="36"/>
        <v>6.512577699459102E-3</v>
      </c>
      <c r="T42" s="245">
        <f t="shared" si="36"/>
        <v>9.9346404822831889E-3</v>
      </c>
      <c r="U42" s="245">
        <f t="shared" si="36"/>
        <v>1.3075423782207421E-2</v>
      </c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7">IF(J36=J4,IF(COUNTA($C38:$C45)=COUNT(J38:J45),"Ok","Check"),"")</f>
        <v/>
      </c>
      <c r="K47" s="132" t="str">
        <f t="shared" si="37"/>
        <v/>
      </c>
      <c r="L47" s="132" t="str">
        <f t="shared" si="37"/>
        <v/>
      </c>
      <c r="M47" s="132" t="str">
        <f t="shared" si="37"/>
        <v/>
      </c>
      <c r="N47" s="132" t="str">
        <f t="shared" si="37"/>
        <v/>
      </c>
      <c r="O47" s="132" t="str">
        <f t="shared" si="37"/>
        <v/>
      </c>
      <c r="P47" s="132" t="str">
        <f t="shared" si="37"/>
        <v/>
      </c>
      <c r="Q47" s="132" t="str">
        <f t="shared" si="37"/>
        <v>Ok</v>
      </c>
      <c r="R47" s="132" t="str">
        <f t="shared" si="37"/>
        <v>Ok</v>
      </c>
      <c r="S47" s="132" t="str">
        <f t="shared" si="37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8">R4</f>
        <v>45078</v>
      </c>
      <c r="S49" s="160">
        <f t="shared" si="38"/>
        <v>45444</v>
      </c>
      <c r="T49" s="160">
        <f t="shared" si="38"/>
        <v>45809</v>
      </c>
      <c r="U49" s="160">
        <f t="shared" si="38"/>
        <v>46174</v>
      </c>
    </row>
    <row r="50" spans="1:50" ht="11.25" customHeight="1" outlineLevel="1"/>
    <row r="51" spans="1:50" ht="11.25" customHeight="1" outlineLevel="1">
      <c r="C51" s="146" t="str">
        <f t="shared" ref="C51:C58" si="39">C38</f>
        <v>WPI - DAE</v>
      </c>
      <c r="D51" s="30" t="s">
        <v>100</v>
      </c>
      <c r="E51" s="30" t="str">
        <f t="shared" ref="E51:E58" si="40">percent</f>
        <v>Per cent</v>
      </c>
      <c r="J51" s="202"/>
      <c r="K51" s="150"/>
      <c r="L51" s="150"/>
      <c r="M51" s="150"/>
      <c r="N51" s="150"/>
      <c r="O51" s="150"/>
      <c r="P51" s="150"/>
      <c r="Q51" s="245"/>
      <c r="R51" s="245"/>
      <c r="S51" s="245"/>
      <c r="T51" s="245"/>
      <c r="U51" s="245"/>
    </row>
    <row r="52" spans="1:50" ht="11.25" customHeight="1" outlineLevel="1">
      <c r="C52" s="146" t="str">
        <f t="shared" si="39"/>
        <v>WPI - BIS without super guarantee increase</v>
      </c>
      <c r="D52" s="30" t="s">
        <v>100</v>
      </c>
      <c r="E52" s="30" t="str">
        <f t="shared" si="40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 t="str">
        <f t="shared" si="39"/>
        <v>Super guarantee increase</v>
      </c>
      <c r="D53" s="30" t="s">
        <v>100</v>
      </c>
      <c r="E53" s="30" t="str">
        <f t="shared" si="40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 t="str">
        <f t="shared" si="39"/>
        <v>WPI - BIS with super guarantee increase</v>
      </c>
      <c r="D54" s="30" t="s">
        <v>100</v>
      </c>
      <c r="E54" s="30" t="str">
        <f t="shared" si="40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 t="str">
        <f t="shared" si="39"/>
        <v>WPI - Average of BIS and DAE</v>
      </c>
      <c r="D55" s="30" t="s">
        <v>100</v>
      </c>
      <c r="E55" s="30" t="str">
        <f t="shared" si="40"/>
        <v>Per cent</v>
      </c>
      <c r="J55" s="202"/>
      <c r="K55" s="150"/>
      <c r="L55" s="150"/>
      <c r="M55" s="150"/>
      <c r="N55" s="150"/>
      <c r="O55" s="150"/>
      <c r="P55" s="150"/>
      <c r="Q55" s="245">
        <v>0.59199999999999997</v>
      </c>
      <c r="R55" s="245">
        <f>Q55</f>
        <v>0.59199999999999997</v>
      </c>
      <c r="S55" s="245">
        <f t="shared" ref="S55:U55" si="41">R55</f>
        <v>0.59199999999999997</v>
      </c>
      <c r="T55" s="245">
        <f t="shared" si="41"/>
        <v>0.59199999999999997</v>
      </c>
      <c r="U55" s="245">
        <f t="shared" si="41"/>
        <v>0.59199999999999997</v>
      </c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40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40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40"/>
        <v>Per cent</v>
      </c>
      <c r="J58" s="202"/>
      <c r="K58" s="150"/>
      <c r="L58" s="150"/>
      <c r="M58" s="150"/>
      <c r="N58" s="150"/>
      <c r="O58" s="150"/>
      <c r="P58" s="150"/>
      <c r="Q58" s="60">
        <f>1-Q55</f>
        <v>0.40800000000000003</v>
      </c>
      <c r="R58" s="60">
        <f t="shared" ref="R58:U58" si="42">1-R55</f>
        <v>0.40800000000000003</v>
      </c>
      <c r="S58" s="60">
        <f t="shared" si="42"/>
        <v>0.40800000000000003</v>
      </c>
      <c r="T58" s="60">
        <f t="shared" si="42"/>
        <v>0.40800000000000003</v>
      </c>
      <c r="U58" s="60">
        <f t="shared" si="42"/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3">IF(Q49=Q$4,IF(SUM(Q51:Q58)=1,"Ok","Check"),"")</f>
        <v>Ok</v>
      </c>
      <c r="R60" s="132" t="str">
        <f t="shared" si="43"/>
        <v>Ok</v>
      </c>
      <c r="S60" s="132" t="str">
        <f t="shared" si="43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4">Q4</f>
        <v>44713</v>
      </c>
      <c r="R64" s="160">
        <f t="shared" si="44"/>
        <v>45078</v>
      </c>
      <c r="S64" s="160">
        <f t="shared" si="44"/>
        <v>45444</v>
      </c>
      <c r="T64" s="160">
        <f t="shared" si="44"/>
        <v>45809</v>
      </c>
      <c r="U64" s="160">
        <f t="shared" si="44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167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257">
        <v>366176.87294788047</v>
      </c>
      <c r="Q66" s="257">
        <f>P66*EXP(Q77)</f>
        <v>368548.51719256584</v>
      </c>
      <c r="R66" s="257">
        <f t="shared" ref="R66:U66" si="45">Q66*EXP(R77)</f>
        <v>372672.69911783427</v>
      </c>
      <c r="S66" s="257">
        <f t="shared" si="45"/>
        <v>377985.46219142969</v>
      </c>
      <c r="T66" s="257">
        <f t="shared" si="45"/>
        <v>383367.54237441655</v>
      </c>
      <c r="U66" s="257">
        <f t="shared" si="45"/>
        <v>388752.7946047954</v>
      </c>
    </row>
    <row r="67" spans="3:23" outlineLevel="1">
      <c r="C67" s="61" t="s">
        <v>168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6926.8716121611487</v>
      </c>
      <c r="Q67" s="194">
        <v>7019.5715709146534</v>
      </c>
      <c r="R67" s="194">
        <v>7154.7214646457451</v>
      </c>
      <c r="S67" s="194">
        <v>7289.0996860291198</v>
      </c>
      <c r="T67" s="194">
        <v>7416.5097193689235</v>
      </c>
      <c r="U67" s="194">
        <v>7541.6836405667691</v>
      </c>
    </row>
    <row r="68" spans="3:23" outlineLevel="1">
      <c r="C68" s="61" t="s">
        <v>169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1058.508018</v>
      </c>
      <c r="Q68" s="194">
        <v>1058.508018</v>
      </c>
      <c r="R68" s="194">
        <v>1058.508018</v>
      </c>
      <c r="S68" s="194">
        <v>1058.508018</v>
      </c>
      <c r="T68" s="194">
        <v>1058.508018</v>
      </c>
      <c r="U68" s="194">
        <v>1058.508018</v>
      </c>
    </row>
    <row r="69" spans="3:23" outlineLevel="1">
      <c r="C69" s="61" t="s">
        <v>170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4216.1959998207694</v>
      </c>
      <c r="Q69" s="258">
        <f>P69*(EXP(0.446380862394302%))^(9/12)</f>
        <v>4230.3348731222877</v>
      </c>
      <c r="R69" s="258">
        <f t="shared" ref="R69:U69" si="46">Q69*EXP(0.446380862394302%)</f>
        <v>4249.2604871453223</v>
      </c>
      <c r="S69" s="258">
        <f t="shared" si="46"/>
        <v>4268.2707703203014</v>
      </c>
      <c r="T69" s="258">
        <f t="shared" si="46"/>
        <v>4287.3661014389127</v>
      </c>
      <c r="U69" s="258">
        <f t="shared" si="46"/>
        <v>4306.5468609874788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7">IF(J64=J$4,IF(COUNTA($C66:$C71)=COUNT(J66:J71),"Ok","Check"),"")</f>
        <v/>
      </c>
      <c r="K73" s="132" t="str">
        <f t="shared" si="47"/>
        <v/>
      </c>
      <c r="L73" s="132" t="str">
        <f t="shared" si="47"/>
        <v/>
      </c>
      <c r="M73" s="132" t="str">
        <f t="shared" si="47"/>
        <v/>
      </c>
      <c r="N73" s="132" t="str">
        <f t="shared" si="47"/>
        <v/>
      </c>
      <c r="O73" s="132"/>
      <c r="P73" s="132" t="str">
        <f t="shared" si="47"/>
        <v>Ok</v>
      </c>
      <c r="Q73" s="132" t="str">
        <f t="shared" si="47"/>
        <v>Ok</v>
      </c>
      <c r="R73" s="132" t="str">
        <f t="shared" si="47"/>
        <v>Ok</v>
      </c>
      <c r="S73" s="132" t="str">
        <f t="shared" si="47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8">R4</f>
        <v>45078</v>
      </c>
      <c r="S75" s="160">
        <f t="shared" si="48"/>
        <v>45444</v>
      </c>
      <c r="T75" s="160">
        <f t="shared" si="48"/>
        <v>45809</v>
      </c>
      <c r="U75" s="160">
        <f t="shared" si="48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256" t="s">
        <v>68</v>
      </c>
      <c r="E77" s="30" t="s">
        <v>18</v>
      </c>
      <c r="F77" s="30" t="s">
        <v>36</v>
      </c>
      <c r="G77" s="32"/>
      <c r="H77" s="32"/>
      <c r="J77" s="117" t="str">
        <f t="shared" ref="J77:M77" si="49">IF(ISBLANK(I66),"",IF(ISBLANK(J66),"",LN(J66)-LN(I66)))</f>
        <v/>
      </c>
      <c r="K77" s="117" t="str">
        <f t="shared" si="49"/>
        <v/>
      </c>
      <c r="L77" s="117" t="str">
        <f t="shared" si="49"/>
        <v/>
      </c>
      <c r="M77" s="117" t="str">
        <f t="shared" si="49"/>
        <v/>
      </c>
      <c r="N77" s="117" t="str">
        <f>IF(ISBLANK(M66),"",IF(ISBLANK(N66),"",LN(N66)-LN(M66)))</f>
        <v/>
      </c>
      <c r="O77" s="117" t="str">
        <f t="shared" ref="O77:P77" si="50">IF(ISBLANK(N66),"",IF(ISBLANK(O66),"",LN(O66)-LN(N66)))</f>
        <v/>
      </c>
      <c r="P77" s="117" t="str">
        <f t="shared" si="50"/>
        <v/>
      </c>
      <c r="Q77" s="251">
        <v>6.4558881827654346E-3</v>
      </c>
      <c r="R77" s="251">
        <v>1.1128187900737885E-2</v>
      </c>
      <c r="S77" s="251">
        <v>1.4155182895876806E-2</v>
      </c>
      <c r="T77" s="251">
        <v>1.4138434615228235E-2</v>
      </c>
      <c r="U77" s="251">
        <v>1.3949482477427111E-2</v>
      </c>
    </row>
    <row r="78" spans="3:23" outlineLevel="1">
      <c r="C78" s="146" t="str">
        <f t="shared" ref="C78:C82" si="51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52">IF(ISBLANK(I67),"",IF(ISBLANK(J67),"",LN(J67)-LN(I67)))</f>
        <v/>
      </c>
      <c r="K78" s="117" t="str">
        <f t="shared" si="52"/>
        <v/>
      </c>
      <c r="L78" s="117" t="str">
        <f t="shared" si="52"/>
        <v/>
      </c>
      <c r="M78" s="117" t="str">
        <f t="shared" si="52"/>
        <v/>
      </c>
      <c r="N78" s="117" t="str">
        <f t="shared" si="52"/>
        <v/>
      </c>
      <c r="O78" s="117" t="str">
        <f t="shared" si="52"/>
        <v/>
      </c>
      <c r="P78" s="117" t="str">
        <f t="shared" si="52"/>
        <v/>
      </c>
      <c r="Q78" s="117">
        <f t="shared" si="52"/>
        <v>1.3293901929610996E-2</v>
      </c>
      <c r="R78" s="117">
        <f t="shared" si="52"/>
        <v>1.9070297088894961E-2</v>
      </c>
      <c r="S78" s="117">
        <f t="shared" si="52"/>
        <v>1.8607555055014657E-2</v>
      </c>
      <c r="T78" s="117">
        <f t="shared" si="52"/>
        <v>1.7328519751830029E-2</v>
      </c>
      <c r="U78" s="117">
        <f t="shared" si="52"/>
        <v>1.6736893311405154E-2</v>
      </c>
    </row>
    <row r="79" spans="3:23" outlineLevel="1">
      <c r="C79" s="146" t="str">
        <f t="shared" si="51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53">IF(ISBLANK(I68),"",IF(ISBLANK(J68),"",LN(J68)-LN(I68)))</f>
        <v/>
      </c>
      <c r="K79" s="117" t="str">
        <f t="shared" si="53"/>
        <v/>
      </c>
      <c r="L79" s="117" t="str">
        <f t="shared" si="53"/>
        <v/>
      </c>
      <c r="M79" s="117" t="str">
        <f t="shared" si="53"/>
        <v/>
      </c>
      <c r="N79" s="117" t="str">
        <f t="shared" si="53"/>
        <v/>
      </c>
      <c r="O79" s="117" t="str">
        <f t="shared" si="53"/>
        <v/>
      </c>
      <c r="P79" s="117" t="str">
        <f t="shared" si="53"/>
        <v/>
      </c>
      <c r="Q79" s="117">
        <f t="shared" si="53"/>
        <v>0</v>
      </c>
      <c r="R79" s="117">
        <f t="shared" si="53"/>
        <v>0</v>
      </c>
      <c r="S79" s="117">
        <f t="shared" si="53"/>
        <v>0</v>
      </c>
      <c r="T79" s="117">
        <f t="shared" si="53"/>
        <v>0</v>
      </c>
      <c r="U79" s="117">
        <f t="shared" si="53"/>
        <v>0</v>
      </c>
    </row>
    <row r="80" spans="3:23" outlineLevel="1">
      <c r="C80" s="146" t="str">
        <f t="shared" si="51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O80" si="54">IF(ISBLANK(I69),"",IF(ISBLANK(J69),"",LN(J69)-LN(I69)))</f>
        <v/>
      </c>
      <c r="K80" s="117" t="str">
        <f t="shared" si="54"/>
        <v/>
      </c>
      <c r="L80" s="117" t="str">
        <f t="shared" si="54"/>
        <v/>
      </c>
      <c r="M80" s="117" t="str">
        <f t="shared" si="54"/>
        <v/>
      </c>
      <c r="N80" s="117" t="str">
        <f t="shared" si="54"/>
        <v/>
      </c>
      <c r="O80" s="117" t="str">
        <f t="shared" si="54"/>
        <v/>
      </c>
      <c r="P80" s="117" t="str">
        <f t="shared" ref="P80:U81" si="55">IF(ISBLANK(O69),"",IF(ISBLANK(P69),"",LN(P69)-LN(O69)))</f>
        <v/>
      </c>
      <c r="Q80" s="117">
        <f t="shared" si="55"/>
        <v>3.347856467957655E-3</v>
      </c>
      <c r="R80" s="117">
        <f t="shared" si="55"/>
        <v>4.4638086239441321E-3</v>
      </c>
      <c r="S80" s="117">
        <f t="shared" si="55"/>
        <v>4.4638086239423558E-3</v>
      </c>
      <c r="T80" s="117">
        <f t="shared" si="55"/>
        <v>4.4638086239423558E-3</v>
      </c>
      <c r="U80" s="117">
        <f t="shared" si="55"/>
        <v>4.4638086239441321E-3</v>
      </c>
    </row>
    <row r="81" spans="3:23" outlineLevel="1">
      <c r="C81" s="146">
        <f t="shared" si="51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O81" si="56">IF(ISBLANK(I70),"",IF(ISBLANK(J70),"",LN(J70)-LN(I70)))</f>
        <v/>
      </c>
      <c r="K81" s="117" t="str">
        <f t="shared" si="56"/>
        <v/>
      </c>
      <c r="L81" s="117" t="str">
        <f t="shared" si="56"/>
        <v/>
      </c>
      <c r="M81" s="117" t="str">
        <f t="shared" si="56"/>
        <v/>
      </c>
      <c r="N81" s="117" t="str">
        <f t="shared" si="56"/>
        <v/>
      </c>
      <c r="O81" s="117" t="str">
        <f t="shared" si="56"/>
        <v/>
      </c>
      <c r="P81" s="117" t="str">
        <f t="shared" si="55"/>
        <v/>
      </c>
      <c r="Q81" s="117" t="str">
        <f t="shared" si="55"/>
        <v/>
      </c>
      <c r="R81" s="117" t="str">
        <f t="shared" si="55"/>
        <v/>
      </c>
      <c r="S81" s="117" t="str">
        <f t="shared" si="55"/>
        <v/>
      </c>
      <c r="T81" s="117" t="str">
        <f t="shared" si="55"/>
        <v/>
      </c>
      <c r="U81" s="117" t="str">
        <f t="shared" si="55"/>
        <v/>
      </c>
    </row>
    <row r="82" spans="3:23" outlineLevel="1">
      <c r="C82" s="146">
        <f t="shared" si="51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7">IF(ISBLANK(I71),"",IF(ISBLANK(J71),"",LN(J71)-LN(I71)))</f>
        <v/>
      </c>
      <c r="K82" s="117" t="str">
        <f t="shared" si="57"/>
        <v/>
      </c>
      <c r="L82" s="117" t="str">
        <f t="shared" si="57"/>
        <v/>
      </c>
      <c r="M82" s="117" t="str">
        <f t="shared" si="57"/>
        <v/>
      </c>
      <c r="N82" s="117" t="str">
        <f t="shared" si="57"/>
        <v/>
      </c>
      <c r="O82" s="117" t="str">
        <f t="shared" si="57"/>
        <v/>
      </c>
      <c r="P82" s="117" t="str">
        <f t="shared" si="57"/>
        <v/>
      </c>
      <c r="Q82" s="117" t="str">
        <f t="shared" si="57"/>
        <v/>
      </c>
      <c r="R82" s="117" t="str">
        <f t="shared" si="57"/>
        <v/>
      </c>
      <c r="S82" s="117" t="str">
        <f t="shared" si="57"/>
        <v/>
      </c>
      <c r="T82" s="117" t="str">
        <f t="shared" si="57"/>
        <v/>
      </c>
      <c r="U82" s="117" t="str">
        <f t="shared" si="57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171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59" t="s">
        <v>172</v>
      </c>
      <c r="K84" s="259" t="s">
        <v>173</v>
      </c>
      <c r="L84" s="259" t="s">
        <v>174</v>
      </c>
      <c r="M84" s="259" t="s">
        <v>199</v>
      </c>
      <c r="N84" s="259" t="s">
        <v>175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60">
        <v>0.67430000000000001</v>
      </c>
      <c r="K86" s="260">
        <v>0.6895</v>
      </c>
      <c r="L86" s="260">
        <v>0.3795</v>
      </c>
      <c r="M86" s="260">
        <v>0.69730000000000003</v>
      </c>
      <c r="N86" s="60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8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60">
        <v>0.15079999999999999</v>
      </c>
      <c r="K87" s="260">
        <v>0.15559999999999999</v>
      </c>
      <c r="L87" s="260">
        <v>0.21160000000000001</v>
      </c>
      <c r="M87" s="260">
        <v>0.1237</v>
      </c>
      <c r="N87" s="60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8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60">
        <v>0.17499999999999999</v>
      </c>
      <c r="K88" s="260">
        <v>0.15479999999999999</v>
      </c>
      <c r="L88" s="260">
        <v>0.40889999999999999</v>
      </c>
      <c r="M88" s="260">
        <v>0.17899999999999999</v>
      </c>
      <c r="N88" s="60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8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60">
        <v>0</v>
      </c>
      <c r="K89" s="60">
        <v>0</v>
      </c>
      <c r="L89" s="60">
        <v>0</v>
      </c>
      <c r="M89" s="60">
        <v>0</v>
      </c>
      <c r="N89" s="60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8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8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 cm="1">
        <f t="array" ref="J93">IF(ISBLANK(J84),IF(ISBLANK(J86:J91),"Ok","Check"),IF(ROUND(SUM(J86:J91),1)=1,"Ok","Check"))</f>
        <v>Ok</v>
      </c>
      <c r="K93" s="132" t="str" cm="1">
        <f t="array" ref="K93">IF(ISBLANK(K84),IF(ISBLANK(K86:K91),"Ok","Check"),IF(ROUND(SUM(K86:K91),1)=1,"Ok","Check"))</f>
        <v>Ok</v>
      </c>
      <c r="L93" s="132" t="str" cm="1">
        <f t="array" ref="L93">IF(ISBLANK(L84),IF(ISBLANK(L86:L91),"Ok","Check"),IF(ROUND(SUM(L86:L91),1)=1,"Ok","Check"))</f>
        <v>Ok</v>
      </c>
      <c r="M93" s="132" t="str" cm="1">
        <f t="array" ref="M93">IF(ISBLANK(M84),IF(ISBLANK(M86:M91),"Ok","Check"),IF(ROUND(SUM(M86:M91),1)=1,"Ok","Check"))</f>
        <v>Ok</v>
      </c>
      <c r="N93" s="132" t="str" cm="1">
        <f t="array" ref="N93">IF(ISBLANK(N84),IF(ISBLANK(N86:N91),"Ok","Check"),IF(ROUND(SUM(N86:N91),1)=1,"Ok","Check"))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176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9">R4</f>
        <v>45078</v>
      </c>
      <c r="S95" s="160">
        <f t="shared" si="59"/>
        <v>45444</v>
      </c>
      <c r="T95" s="160">
        <f t="shared" si="59"/>
        <v>45809</v>
      </c>
      <c r="U95" s="160">
        <f t="shared" si="59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60">IF(J$95=J$4,SUMPRODUCT(J$77:J$82,$J$86:$J$91),"")</f>
        <v/>
      </c>
      <c r="K97" s="117" t="str">
        <f t="shared" si="60"/>
        <v/>
      </c>
      <c r="L97" s="117" t="str">
        <f t="shared" si="60"/>
        <v/>
      </c>
      <c r="M97" s="117" t="str">
        <f t="shared" si="60"/>
        <v/>
      </c>
      <c r="N97" s="117" t="str">
        <f t="shared" si="60"/>
        <v/>
      </c>
      <c r="O97" s="117" t="str">
        <f t="shared" si="60"/>
        <v/>
      </c>
      <c r="P97" s="117" t="str">
        <f t="shared" si="60"/>
        <v/>
      </c>
      <c r="Q97" s="117">
        <f t="shared" si="60"/>
        <v>6.3579258126240708E-3</v>
      </c>
      <c r="R97" s="117">
        <f t="shared" si="60"/>
        <v>1.0379537902472915E-2</v>
      </c>
      <c r="S97" s="117">
        <f t="shared" si="60"/>
        <v>1.235085912898594E-2</v>
      </c>
      <c r="T97" s="117">
        <f>IF(T$95=T$4,SUMPRODUCT(T$77:T$82,$J$86:$J$91),"")</f>
        <v>1.2146687239624369E-2</v>
      </c>
      <c r="U97" s="117">
        <f>IF(U$95=U$4,SUMPRODUCT(U$77:U$82,$J$86:$J$91),"")</f>
        <v>1.1930059545888997E-2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61">IF(J$95=J$4,SUMPRODUCT(J$77:J$82,$K$86:$K$91),"")</f>
        <v/>
      </c>
      <c r="K98" s="117" t="str">
        <f t="shared" si="61"/>
        <v/>
      </c>
      <c r="L98" s="117" t="str">
        <f t="shared" si="61"/>
        <v/>
      </c>
      <c r="M98" s="117" t="str">
        <f t="shared" si="61"/>
        <v/>
      </c>
      <c r="N98" s="117" t="str">
        <f t="shared" si="61"/>
        <v/>
      </c>
      <c r="O98" s="117" t="str">
        <f t="shared" si="61"/>
        <v/>
      </c>
      <c r="P98" s="117" t="str">
        <f t="shared" si="61"/>
        <v/>
      </c>
      <c r="Q98" s="117">
        <f t="shared" si="61"/>
        <v>6.5198660422642381E-3</v>
      </c>
      <c r="R98" s="117">
        <f t="shared" si="61"/>
        <v>1.0640223784590827E-2</v>
      </c>
      <c r="S98" s="117">
        <f t="shared" si="61"/>
        <v>1.2655334173267337E-2</v>
      </c>
      <c r="T98" s="117">
        <f>IF(T$95=T$4,SUMPRODUCT(T$77:T$82,$K$86:$K$91),"")</f>
        <v>1.244476834058462E-2</v>
      </c>
      <c r="U98" s="117">
        <f>IF(U$95=U$4,SUMPRODUCT(U$77:U$82,$K$86:$K$91),"")</f>
        <v>1.2222428767440634E-2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62">IF(J$95=J$4,SUMPRODUCT(J$77:J$82,$L$86:$L$91),"")</f>
        <v/>
      </c>
      <c r="K99" s="117" t="str">
        <f t="shared" si="62"/>
        <v/>
      </c>
      <c r="L99" s="117" t="str">
        <f t="shared" si="62"/>
        <v/>
      </c>
      <c r="M99" s="117" t="str">
        <f t="shared" si="62"/>
        <v/>
      </c>
      <c r="N99" s="117" t="str">
        <f t="shared" si="62"/>
        <v/>
      </c>
      <c r="O99" s="117" t="str">
        <f t="shared" si="62"/>
        <v/>
      </c>
      <c r="P99" s="117" t="str">
        <f t="shared" si="62"/>
        <v/>
      </c>
      <c r="Q99" s="117">
        <f t="shared" si="62"/>
        <v>5.2629992136651697E-3</v>
      </c>
      <c r="R99" s="117">
        <f t="shared" si="62"/>
        <v>8.2584221723402025E-3</v>
      </c>
      <c r="S99" s="117">
        <f t="shared" si="62"/>
        <v>9.3092505586263481E-3</v>
      </c>
      <c r="T99" s="117">
        <f>IF(T$95=T$4,SUMPRODUCT(T$77:T$82,$L$86:$L$91),"")</f>
        <v>9.0322507159663491E-3</v>
      </c>
      <c r="U99" s="117">
        <f>IF(U$95=U$4,SUMPRODUCT(U$77:U$82,$L$86:$L$91),"")</f>
        <v>8.8353552248769188E-3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63">IF(J$95=J$4,SUMPRODUCT(J$77:J$82,$M$86:$M$91),"")</f>
        <v/>
      </c>
      <c r="K100" s="117" t="str">
        <f t="shared" si="63"/>
        <v/>
      </c>
      <c r="L100" s="117" t="str">
        <f t="shared" si="63"/>
        <v/>
      </c>
      <c r="M100" s="117" t="str">
        <f t="shared" si="63"/>
        <v/>
      </c>
      <c r="N100" s="117" t="str">
        <f t="shared" si="63"/>
        <v/>
      </c>
      <c r="O100" s="117" t="str">
        <f t="shared" si="63"/>
        <v/>
      </c>
      <c r="P100" s="117" t="str">
        <f t="shared" si="63"/>
        <v/>
      </c>
      <c r="Q100" s="117">
        <f t="shared" si="63"/>
        <v>6.1461464985352182E-3</v>
      </c>
      <c r="R100" s="117">
        <f t="shared" si="63"/>
        <v>1.0118681173080834E-2</v>
      </c>
      <c r="S100" s="117">
        <f t="shared" si="63"/>
        <v>1.217216359360021E-2</v>
      </c>
      <c r="T100" s="117">
        <f>IF(T$95=T$4,SUMPRODUCT(T$77:T$82,$M$86:$M$91),"")</f>
        <v>1.2002268350500023E-2</v>
      </c>
      <c r="U100" s="117">
        <f>IF(U$95=U$4,SUMPRODUCT(U$77:U$82,$M$86:$M$91),"")</f>
        <v>1.1797327834130743E-2</v>
      </c>
      <c r="W100" s="132"/>
    </row>
    <row r="101" spans="1:50" outlineLevel="1">
      <c r="C101" s="146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6.6861097916486693E-3</v>
      </c>
      <c r="R101" s="117">
        <f t="shared" ref="R101:U101" si="64">IF(R$95=R$4,SUMPRODUCT(R$77:R$82,$N$86:$N$91),"")</f>
        <v>9.9080494597445518E-3</v>
      </c>
      <c r="S101" s="117">
        <f t="shared" si="64"/>
        <v>1.0287531700783375E-2</v>
      </c>
      <c r="T101" s="117">
        <f t="shared" si="64"/>
        <v>9.7838155015407963E-3</v>
      </c>
      <c r="U101" s="117">
        <f t="shared" si="64"/>
        <v>9.5172589768378855E-3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65">R4</f>
        <v>45078</v>
      </c>
      <c r="S105" s="160">
        <f t="shared" si="65"/>
        <v>45444</v>
      </c>
      <c r="T105" s="160">
        <f t="shared" si="65"/>
        <v>45809</v>
      </c>
      <c r="U105" s="160">
        <f t="shared" si="65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6">$R$107</f>
        <v>5.0000000000000001E-3</v>
      </c>
      <c r="U107" s="167">
        <f t="shared" si="66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7">IF(J105=J$4,IF(ISBLANK(J107),"Check","Ok"),"")</f>
        <v/>
      </c>
      <c r="K109" s="132" t="str">
        <f t="shared" si="67"/>
        <v/>
      </c>
      <c r="L109" s="132" t="str">
        <f t="shared" si="67"/>
        <v/>
      </c>
      <c r="M109" s="132" t="str">
        <f t="shared" si="67"/>
        <v/>
      </c>
      <c r="N109" s="132" t="str">
        <f t="shared" si="67"/>
        <v/>
      </c>
      <c r="O109" s="132" t="str">
        <f t="shared" si="67"/>
        <v/>
      </c>
      <c r="P109" s="132" t="str">
        <f t="shared" si="67"/>
        <v/>
      </c>
      <c r="Q109" s="132" t="str">
        <f t="shared" si="67"/>
        <v>Ok</v>
      </c>
      <c r="R109" s="132" t="str">
        <f t="shared" si="67"/>
        <v>Ok</v>
      </c>
      <c r="S109" s="132" t="str">
        <f t="shared" si="67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mergeCells count="2">
    <mergeCell ref="K3:M3"/>
    <mergeCell ref="O3:T3"/>
  </mergeCells>
  <conditionalFormatting sqref="W1">
    <cfRule type="cellIs" dxfId="201" priority="139" operator="equal">
      <formula>"Check"</formula>
    </cfRule>
    <cfRule type="cellIs" dxfId="200" priority="140" operator="equal">
      <formula>"Ok"</formula>
    </cfRule>
  </conditionalFormatting>
  <conditionalFormatting sqref="T1">
    <cfRule type="cellIs" dxfId="199" priority="103" operator="equal">
      <formula>"Check"</formula>
    </cfRule>
    <cfRule type="cellIs" dxfId="198" priority="104" operator="equal">
      <formula>"Ok"</formula>
    </cfRule>
  </conditionalFormatting>
  <conditionalFormatting sqref="W60">
    <cfRule type="cellIs" dxfId="197" priority="91" operator="equal">
      <formula>"Check"</formula>
    </cfRule>
    <cfRule type="cellIs" dxfId="196" priority="92" operator="equal">
      <formula>"Ok"</formula>
    </cfRule>
  </conditionalFormatting>
  <conditionalFormatting sqref="J60:T60">
    <cfRule type="cellIs" dxfId="195" priority="83" operator="equal">
      <formula>"Check"</formula>
    </cfRule>
    <cfRule type="cellIs" dxfId="194" priority="84" operator="equal">
      <formula>"Ok"</formula>
    </cfRule>
  </conditionalFormatting>
  <conditionalFormatting sqref="J36:U36">
    <cfRule type="expression" dxfId="193" priority="74">
      <formula>J$36=J$4</formula>
    </cfRule>
  </conditionalFormatting>
  <conditionalFormatting sqref="J43:T45 J38:P42">
    <cfRule type="expression" dxfId="192" priority="72">
      <formula>J$36=J$4</formula>
    </cfRule>
  </conditionalFormatting>
  <conditionalFormatting sqref="J52:U53 J51:P51 J54:P55 Q54:U54 J56:U57 J58:P58">
    <cfRule type="expression" dxfId="191" priority="71">
      <formula>J$49=J$4</formula>
    </cfRule>
  </conditionalFormatting>
  <conditionalFormatting sqref="W109">
    <cfRule type="cellIs" dxfId="190" priority="65" operator="equal">
      <formula>"Check"</formula>
    </cfRule>
    <cfRule type="cellIs" dxfId="189" priority="66" operator="equal">
      <formula>"Ok"</formula>
    </cfRule>
  </conditionalFormatting>
  <conditionalFormatting sqref="J109:T109">
    <cfRule type="cellIs" dxfId="188" priority="63" operator="equal">
      <formula>"Check"</formula>
    </cfRule>
    <cfRule type="cellIs" dxfId="187" priority="64" operator="equal">
      <formula>"Ok"</formula>
    </cfRule>
  </conditionalFormatting>
  <conditionalFormatting sqref="W47">
    <cfRule type="cellIs" dxfId="186" priority="61" operator="equal">
      <formula>"Check"</formula>
    </cfRule>
    <cfRule type="cellIs" dxfId="185" priority="62" operator="equal">
      <formula>"Ok"</formula>
    </cfRule>
  </conditionalFormatting>
  <conditionalFormatting sqref="J47:T47">
    <cfRule type="cellIs" dxfId="184" priority="59" operator="equal">
      <formula>"Check"</formula>
    </cfRule>
    <cfRule type="cellIs" dxfId="183" priority="60" operator="equal">
      <formula>"Ok"</formula>
    </cfRule>
  </conditionalFormatting>
  <conditionalFormatting sqref="W73">
    <cfRule type="cellIs" dxfId="182" priority="57" operator="equal">
      <formula>"Check"</formula>
    </cfRule>
    <cfRule type="cellIs" dxfId="181" priority="58" operator="equal">
      <formula>"Ok"</formula>
    </cfRule>
  </conditionalFormatting>
  <conditionalFormatting sqref="J73:T73">
    <cfRule type="cellIs" dxfId="180" priority="55" operator="equal">
      <formula>"Check"</formula>
    </cfRule>
    <cfRule type="cellIs" dxfId="179" priority="56" operator="equal">
      <formula>"Ok"</formula>
    </cfRule>
  </conditionalFormatting>
  <conditionalFormatting sqref="J64:U64">
    <cfRule type="expression" dxfId="178" priority="49">
      <formula>J$64=J$4</formula>
    </cfRule>
  </conditionalFormatting>
  <conditionalFormatting sqref="J70:T71 J66:O69">
    <cfRule type="expression" dxfId="177" priority="47">
      <formula>J$64=J$4</formula>
    </cfRule>
  </conditionalFormatting>
  <conditionalFormatting sqref="J49:U49">
    <cfRule type="expression" dxfId="176" priority="44">
      <formula>J$36=J$4</formula>
    </cfRule>
  </conditionalFormatting>
  <conditionalFormatting sqref="J75:U75">
    <cfRule type="expression" dxfId="175" priority="43">
      <formula>J$36=J$4</formula>
    </cfRule>
  </conditionalFormatting>
  <conditionalFormatting sqref="J105:U105">
    <cfRule type="expression" dxfId="174" priority="42">
      <formula>J$36=J$4</formula>
    </cfRule>
  </conditionalFormatting>
  <conditionalFormatting sqref="J26:T32">
    <cfRule type="cellIs" dxfId="173" priority="40" operator="equal">
      <formula>0</formula>
    </cfRule>
  </conditionalFormatting>
  <conditionalFormatting sqref="J16:T22">
    <cfRule type="cellIs" dxfId="172" priority="39" operator="equal">
      <formula>0</formula>
    </cfRule>
  </conditionalFormatting>
  <conditionalFormatting sqref="W93:W101">
    <cfRule type="cellIs" dxfId="171" priority="35" operator="equal">
      <formula>"Check"</formula>
    </cfRule>
    <cfRule type="cellIs" dxfId="170" priority="36" operator="equal">
      <formula>"Ok"</formula>
    </cfRule>
  </conditionalFormatting>
  <conditionalFormatting sqref="K90:M91">
    <cfRule type="expression" dxfId="169" priority="34">
      <formula>K$84=K$4</formula>
    </cfRule>
  </conditionalFormatting>
  <conditionalFormatting sqref="J96:T96 J93:T94">
    <cfRule type="cellIs" dxfId="168" priority="32" operator="equal">
      <formula>"Check"</formula>
    </cfRule>
    <cfRule type="cellIs" dxfId="167" priority="33" operator="equal">
      <formula>"Ok"</formula>
    </cfRule>
  </conditionalFormatting>
  <conditionalFormatting sqref="J95:U95">
    <cfRule type="expression" dxfId="166" priority="31">
      <formula>J$95=J$4</formula>
    </cfRule>
  </conditionalFormatting>
  <conditionalFormatting sqref="J107:U107">
    <cfRule type="expression" dxfId="165" priority="144">
      <formula>J$105=J$4</formula>
    </cfRule>
  </conditionalFormatting>
  <conditionalFormatting sqref="U26:U32">
    <cfRule type="cellIs" dxfId="164" priority="29" operator="equal">
      <formula>0</formula>
    </cfRule>
  </conditionalFormatting>
  <conditionalFormatting sqref="U16:U22">
    <cfRule type="cellIs" dxfId="163" priority="28" operator="equal">
      <formula>0</formula>
    </cfRule>
  </conditionalFormatting>
  <conditionalFormatting sqref="U109">
    <cfRule type="cellIs" dxfId="162" priority="10" operator="equal">
      <formula>"Check"</formula>
    </cfRule>
    <cfRule type="cellIs" dxfId="161" priority="11" operator="equal">
      <formula>"Ok"</formula>
    </cfRule>
  </conditionalFormatting>
  <conditionalFormatting sqref="U47">
    <cfRule type="cellIs" dxfId="160" priority="23" operator="equal">
      <formula>"Check"</formula>
    </cfRule>
    <cfRule type="cellIs" dxfId="159" priority="24" operator="equal">
      <formula>"Ok"</formula>
    </cfRule>
  </conditionalFormatting>
  <conditionalFormatting sqref="U43:U45">
    <cfRule type="expression" dxfId="158" priority="22">
      <formula>U$36=U$4</formula>
    </cfRule>
  </conditionalFormatting>
  <conditionalFormatting sqref="U56:U57 U52:U54">
    <cfRule type="expression" dxfId="157" priority="19">
      <formula>U$49=U$4</formula>
    </cfRule>
  </conditionalFormatting>
  <conditionalFormatting sqref="U60">
    <cfRule type="cellIs" dxfId="156" priority="17" operator="equal">
      <formula>"Check"</formula>
    </cfRule>
    <cfRule type="cellIs" dxfId="155" priority="18" operator="equal">
      <formula>"Ok"</formula>
    </cfRule>
  </conditionalFormatting>
  <conditionalFormatting sqref="U73">
    <cfRule type="cellIs" dxfId="154" priority="14" operator="equal">
      <formula>"Check"</formula>
    </cfRule>
    <cfRule type="cellIs" dxfId="153" priority="15" operator="equal">
      <formula>"Ok"</formula>
    </cfRule>
  </conditionalFormatting>
  <conditionalFormatting sqref="U70:U71">
    <cfRule type="expression" dxfId="152" priority="13">
      <formula>U$64=U$4</formula>
    </cfRule>
  </conditionalFormatting>
  <conditionalFormatting sqref="U107">
    <cfRule type="expression" dxfId="151" priority="12">
      <formula>U$105=U$4</formula>
    </cfRule>
  </conditionalFormatting>
  <conditionalFormatting sqref="Q38:U38">
    <cfRule type="expression" dxfId="150" priority="9">
      <formula>Q$36=Q$4</formula>
    </cfRule>
  </conditionalFormatting>
  <conditionalFormatting sqref="R38:U38">
    <cfRule type="expression" dxfId="149" priority="8">
      <formula>R$36=R$4</formula>
    </cfRule>
  </conditionalFormatting>
  <conditionalFormatting sqref="P67:U68 P69">
    <cfRule type="expression" dxfId="148" priority="7">
      <formula>P$64=P$4</formula>
    </cfRule>
  </conditionalFormatting>
  <conditionalFormatting sqref="K89:M89">
    <cfRule type="expression" dxfId="147" priority="5">
      <formula>K$84=K$4</formula>
    </cfRule>
  </conditionalFormatting>
  <conditionalFormatting sqref="Q58:U58">
    <cfRule type="expression" dxfId="146" priority="4">
      <formula>Q$49=Q$4</formula>
    </cfRule>
  </conditionalFormatting>
  <conditionalFormatting sqref="U58">
    <cfRule type="expression" dxfId="145" priority="3">
      <formula>U$49=U$4</formula>
    </cfRule>
  </conditionalFormatting>
  <conditionalFormatting sqref="K86:M88">
    <cfRule type="expression" dxfId="144" priority="1">
      <formula>K$84=K$4</formula>
    </cfRule>
  </conditionalFormatting>
  <dataValidations disablePrompts="1"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</sheetPr>
  <dimension ref="A1:AV52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121</v>
      </c>
      <c r="K3" s="170"/>
      <c r="L3" s="170"/>
      <c r="M3" s="180"/>
      <c r="N3" s="263"/>
      <c r="O3" s="263"/>
      <c r="P3" s="263"/>
      <c r="Q3" s="263"/>
      <c r="R3" s="263"/>
      <c r="S3" s="263"/>
      <c r="T3" s="215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209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1">
        <v>3.858140809755835</v>
      </c>
      <c r="Q12" s="221">
        <v>4.998818736811856</v>
      </c>
      <c r="R12" s="221">
        <v>6.0024197364434135</v>
      </c>
      <c r="S12" s="221">
        <v>6.4391596064405201</v>
      </c>
      <c r="T12" s="221">
        <v>6.9086698142394676</v>
      </c>
    </row>
    <row r="13" spans="1:48" outlineLevel="1">
      <c r="C13" s="61" t="s">
        <v>210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48">
        <v>0</v>
      </c>
      <c r="Q13" s="248">
        <v>3.1429506188157104E-2</v>
      </c>
      <c r="R13" s="248">
        <v>0.42995650068213015</v>
      </c>
      <c r="S13" s="248">
        <v>0.433676854390521</v>
      </c>
      <c r="T13" s="248">
        <v>0.43879148482314678</v>
      </c>
    </row>
    <row r="14" spans="1:48" outlineLevel="1">
      <c r="C14" s="61" t="s">
        <v>211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1">
        <v>0.57196171808213181</v>
      </c>
      <c r="Q14" s="221">
        <v>0.573309412378877</v>
      </c>
      <c r="R14" s="221">
        <v>0.57473284975563455</v>
      </c>
      <c r="S14" s="221">
        <v>0.57618163645770004</v>
      </c>
      <c r="T14" s="221">
        <v>0.57765202293586804</v>
      </c>
    </row>
    <row r="15" spans="1:48" outlineLevel="1">
      <c r="C15" s="61" t="s">
        <v>212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48">
        <v>0</v>
      </c>
      <c r="Q15" s="248">
        <v>0</v>
      </c>
      <c r="R15" s="248">
        <v>0</v>
      </c>
      <c r="S15" s="248">
        <v>0</v>
      </c>
      <c r="T15" s="248">
        <v>0</v>
      </c>
    </row>
    <row r="16" spans="1:48" outlineLevel="1">
      <c r="C16" s="246" t="s">
        <v>243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48">
        <f>-4*'Input|Rate of change'!P21</f>
        <v>-4.0061027177493038</v>
      </c>
      <c r="Q16" s="248">
        <f>P16</f>
        <v>-4.0061027177493038</v>
      </c>
      <c r="R16" s="248">
        <f t="shared" ref="R16:T16" si="2">Q16</f>
        <v>-4.0061027177493038</v>
      </c>
      <c r="S16" s="248">
        <f t="shared" si="2"/>
        <v>-4.0061027177493038</v>
      </c>
      <c r="T16" s="248">
        <f t="shared" si="2"/>
        <v>-4.0061027177493038</v>
      </c>
    </row>
    <row r="17" spans="1:48" outlineLevel="1">
      <c r="C17" s="61"/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21"/>
      <c r="Q17" s="221"/>
      <c r="R17" s="221"/>
      <c r="S17" s="221"/>
      <c r="T17" s="221"/>
    </row>
    <row r="18" spans="1:48" outlineLevel="1">
      <c r="C18" s="61"/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21"/>
      <c r="Q18" s="221"/>
      <c r="R18" s="221"/>
      <c r="S18" s="221"/>
      <c r="T18" s="221"/>
    </row>
    <row r="19" spans="1:48" outlineLevel="1">
      <c r="C19" s="61"/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21"/>
      <c r="Q19" s="221"/>
      <c r="R19" s="221"/>
      <c r="S19" s="221"/>
      <c r="T19" s="221"/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21"/>
      <c r="Q20" s="221"/>
      <c r="R20" s="221"/>
      <c r="S20" s="221"/>
      <c r="T20" s="221"/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3">IF(J10=J4,IF(COUNTA($C12:$C20)=COUNT(J12:J20),"Ok","Check"),"")</f>
        <v/>
      </c>
      <c r="K22" s="132" t="str">
        <f t="shared" si="3"/>
        <v/>
      </c>
      <c r="L22" s="132" t="str">
        <f t="shared" si="3"/>
        <v/>
      </c>
      <c r="M22" s="132" t="str">
        <f t="shared" si="3"/>
        <v/>
      </c>
      <c r="N22" s="132" t="str">
        <f t="shared" si="3"/>
        <v/>
      </c>
      <c r="O22" s="132" t="str">
        <f t="shared" si="3"/>
        <v/>
      </c>
      <c r="P22" s="132" t="str">
        <f t="shared" si="3"/>
        <v>Ok</v>
      </c>
      <c r="Q22" s="132" t="str">
        <f t="shared" si="3"/>
        <v>Ok</v>
      </c>
      <c r="R22" s="132" t="str">
        <f t="shared" si="3"/>
        <v>Ok</v>
      </c>
      <c r="S22" s="132" t="str">
        <f t="shared" si="3"/>
        <v>Ok</v>
      </c>
      <c r="T22" s="132" t="str">
        <f t="shared" si="3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265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4">IF(YEAR(J$4)&gt;=FPFirstYear,IF(YEAR(J$4)&lt;=FPLastYear,J$4,""),"")</f>
        <v/>
      </c>
      <c r="K26" s="160" t="str">
        <f t="shared" si="4"/>
        <v/>
      </c>
      <c r="L26" s="160" t="str">
        <f t="shared" si="4"/>
        <v/>
      </c>
      <c r="M26" s="160" t="str">
        <f t="shared" si="4"/>
        <v/>
      </c>
      <c r="N26" s="160" t="str">
        <f t="shared" si="4"/>
        <v/>
      </c>
      <c r="O26" s="160"/>
      <c r="P26" s="160">
        <f t="shared" ref="P26:T26" si="5">P$4</f>
        <v>44713</v>
      </c>
      <c r="Q26" s="160">
        <f t="shared" si="5"/>
        <v>45078</v>
      </c>
      <c r="R26" s="160">
        <f t="shared" si="5"/>
        <v>45444</v>
      </c>
      <c r="S26" s="160">
        <f t="shared" si="5"/>
        <v>45809</v>
      </c>
      <c r="T26" s="160">
        <f t="shared" si="5"/>
        <v>46174</v>
      </c>
    </row>
    <row r="27" spans="1:48" outlineLevel="1">
      <c r="G27" s="32"/>
      <c r="H27" s="32"/>
    </row>
    <row r="28" spans="1:48" outlineLevel="1">
      <c r="C28" s="61" t="s">
        <v>253</v>
      </c>
      <c r="D28" s="16" t="s">
        <v>68</v>
      </c>
      <c r="E28" s="148" t="s">
        <v>15</v>
      </c>
      <c r="F28" s="169">
        <v>44348</v>
      </c>
      <c r="G28" s="21"/>
      <c r="H28" s="21"/>
      <c r="I28" s="16"/>
      <c r="J28" s="150"/>
      <c r="K28" s="150"/>
      <c r="L28" s="150"/>
      <c r="M28" s="150"/>
      <c r="N28" s="168"/>
      <c r="O28" s="168"/>
      <c r="P28" s="220">
        <v>0.18129241295611756</v>
      </c>
      <c r="Q28" s="220">
        <v>0.18292959181791585</v>
      </c>
      <c r="R28" s="220">
        <v>0.18292959181791585</v>
      </c>
      <c r="S28" s="220">
        <v>0.18292959181791585</v>
      </c>
      <c r="T28" s="220">
        <v>0.18292959181791585</v>
      </c>
    </row>
    <row r="29" spans="1:48" outlineLevel="1">
      <c r="C29" s="246" t="s">
        <v>249</v>
      </c>
      <c r="D29" s="16" t="s">
        <v>68</v>
      </c>
      <c r="E29" s="148" t="s">
        <v>15</v>
      </c>
      <c r="F29" s="169">
        <v>44348</v>
      </c>
      <c r="G29" s="21"/>
      <c r="H29" s="21"/>
      <c r="I29" s="16"/>
      <c r="J29" s="150"/>
      <c r="K29" s="150"/>
      <c r="L29" s="150"/>
      <c r="M29" s="150"/>
      <c r="N29" s="168"/>
      <c r="O29" s="168"/>
      <c r="P29" s="248">
        <v>1.3689995546095024</v>
      </c>
      <c r="Q29" s="248">
        <v>1.3689995546095024</v>
      </c>
      <c r="R29" s="248">
        <v>1.3689995546095024</v>
      </c>
      <c r="S29" s="248">
        <v>1.3689995546095024</v>
      </c>
      <c r="T29" s="248">
        <v>1.3689995546095024</v>
      </c>
    </row>
    <row r="30" spans="1:48" outlineLevel="1">
      <c r="C30" s="61"/>
      <c r="D30" s="16" t="s">
        <v>68</v>
      </c>
      <c r="E30" s="148" t="s">
        <v>15</v>
      </c>
      <c r="F30" s="169">
        <v>44348</v>
      </c>
      <c r="G30" s="21"/>
      <c r="H30" s="21"/>
      <c r="I30" s="16"/>
      <c r="J30" s="150"/>
      <c r="K30" s="150"/>
      <c r="L30" s="150"/>
      <c r="M30" s="150"/>
      <c r="N30" s="168"/>
      <c r="O30" s="168"/>
      <c r="P30" s="220"/>
      <c r="Q30" s="220"/>
      <c r="R30" s="220"/>
      <c r="S30" s="220"/>
      <c r="T30" s="220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R32" si="6">IF(J26=J4,IF(COUNTA($C28:$C30)=COUNT(J28:J30),"Ok","Check"),"")</f>
        <v/>
      </c>
      <c r="K32" s="132" t="str">
        <f t="shared" si="6"/>
        <v/>
      </c>
      <c r="L32" s="132" t="str">
        <f t="shared" si="6"/>
        <v/>
      </c>
      <c r="M32" s="132" t="str">
        <f t="shared" si="6"/>
        <v/>
      </c>
      <c r="N32" s="132" t="str">
        <f t="shared" si="6"/>
        <v/>
      </c>
      <c r="O32" s="132" t="str">
        <f t="shared" si="6"/>
        <v/>
      </c>
      <c r="P32" s="132" t="str">
        <f t="shared" si="6"/>
        <v>Ok</v>
      </c>
      <c r="Q32" s="132" t="str">
        <f t="shared" si="6"/>
        <v>Ok</v>
      </c>
      <c r="R32" s="132" t="str">
        <f t="shared" si="6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7">IF(YEAR(J$4)&gt;=FPFirstYear,IF(YEAR(J$4)&lt;=FPLastYear,J$4,""),"")</f>
        <v/>
      </c>
      <c r="K36" s="160" t="str">
        <f t="shared" si="7"/>
        <v/>
      </c>
      <c r="L36" s="160" t="str">
        <f t="shared" si="7"/>
        <v/>
      </c>
      <c r="M36" s="160" t="str">
        <f t="shared" si="7"/>
        <v/>
      </c>
      <c r="N36" s="160" t="str">
        <f t="shared" si="7"/>
        <v/>
      </c>
      <c r="O36" s="160"/>
      <c r="P36" s="160">
        <f t="shared" ref="P36:T36" si="8">P$4</f>
        <v>44713</v>
      </c>
      <c r="Q36" s="160">
        <f t="shared" si="8"/>
        <v>45078</v>
      </c>
      <c r="R36" s="160">
        <f t="shared" si="8"/>
        <v>45444</v>
      </c>
      <c r="S36" s="160">
        <f t="shared" si="8"/>
        <v>45809</v>
      </c>
      <c r="T36" s="160">
        <f t="shared" si="8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248">
        <v>0.75033252651508098</v>
      </c>
      <c r="Q38" s="248">
        <v>0.78376632151862335</v>
      </c>
      <c r="R38" s="248">
        <v>0.81475614438066835</v>
      </c>
      <c r="S38" s="248">
        <v>0.83234293462646958</v>
      </c>
      <c r="T38" s="248">
        <v>0.8437895318426466</v>
      </c>
      <c r="U38" s="223"/>
    </row>
    <row r="39" spans="1:48" outlineLevel="1">
      <c r="G39" s="32"/>
      <c r="H39" s="32"/>
      <c r="U39" s="223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R40" si="9">IF(J36=J4,IF(ISBLANK(J38),"Check","Ok"),"")</f>
        <v/>
      </c>
      <c r="K40" s="132" t="str">
        <f t="shared" si="9"/>
        <v/>
      </c>
      <c r="L40" s="132" t="str">
        <f t="shared" si="9"/>
        <v/>
      </c>
      <c r="M40" s="132" t="str">
        <f t="shared" si="9"/>
        <v/>
      </c>
      <c r="N40" s="132" t="str">
        <f t="shared" si="9"/>
        <v/>
      </c>
      <c r="O40" s="132" t="str">
        <f t="shared" si="9"/>
        <v/>
      </c>
      <c r="P40" s="132" t="str">
        <f t="shared" si="9"/>
        <v>Ok</v>
      </c>
      <c r="Q40" s="132" t="str">
        <f t="shared" si="9"/>
        <v>Ok</v>
      </c>
      <c r="R40" s="132" t="str">
        <f t="shared" si="9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43" priority="41" operator="equal">
      <formula>"Check"</formula>
    </cfRule>
    <cfRule type="cellIs" dxfId="142" priority="42" operator="equal">
      <formula>"Ok"</formula>
    </cfRule>
  </conditionalFormatting>
  <conditionalFormatting sqref="W1">
    <cfRule type="cellIs" dxfId="141" priority="43" operator="equal">
      <formula>"Check"</formula>
    </cfRule>
    <cfRule type="cellIs" dxfId="140" priority="44" operator="equal">
      <formula>"Ok"</formula>
    </cfRule>
  </conditionalFormatting>
  <conditionalFormatting sqref="J10:T10">
    <cfRule type="expression" dxfId="139" priority="39">
      <formula>J$10=J$4</formula>
    </cfRule>
  </conditionalFormatting>
  <conditionalFormatting sqref="J12:O20">
    <cfRule type="expression" dxfId="138" priority="38">
      <formula>J$10=J$4</formula>
    </cfRule>
  </conditionalFormatting>
  <conditionalFormatting sqref="X22">
    <cfRule type="cellIs" dxfId="137" priority="34" operator="equal">
      <formula>"Check"</formula>
    </cfRule>
    <cfRule type="cellIs" dxfId="136" priority="35" operator="equal">
      <formula>"Ok"</formula>
    </cfRule>
  </conditionalFormatting>
  <conditionalFormatting sqref="J22:U22">
    <cfRule type="cellIs" dxfId="135" priority="32" operator="equal">
      <formula>"Check"</formula>
    </cfRule>
    <cfRule type="cellIs" dxfId="134" priority="33" operator="equal">
      <formula>"Ok"</formula>
    </cfRule>
  </conditionalFormatting>
  <conditionalFormatting sqref="X32">
    <cfRule type="cellIs" dxfId="133" priority="30" operator="equal">
      <formula>"Check"</formula>
    </cfRule>
    <cfRule type="cellIs" dxfId="132" priority="31" operator="equal">
      <formula>"Ok"</formula>
    </cfRule>
  </conditionalFormatting>
  <conditionalFormatting sqref="J32:U32">
    <cfRule type="cellIs" dxfId="131" priority="28" operator="equal">
      <formula>"Check"</formula>
    </cfRule>
    <cfRule type="cellIs" dxfId="130" priority="29" operator="equal">
      <formula>"Ok"</formula>
    </cfRule>
  </conditionalFormatting>
  <conditionalFormatting sqref="X40">
    <cfRule type="cellIs" dxfId="129" priority="25" operator="equal">
      <formula>"Check"</formula>
    </cfRule>
    <cfRule type="cellIs" dxfId="128" priority="26" operator="equal">
      <formula>"Ok"</formula>
    </cfRule>
  </conditionalFormatting>
  <conditionalFormatting sqref="J40:U40">
    <cfRule type="cellIs" dxfId="127" priority="23" operator="equal">
      <formula>"Check"</formula>
    </cfRule>
    <cfRule type="cellIs" dxfId="126" priority="24" operator="equal">
      <formula>"Ok"</formula>
    </cfRule>
  </conditionalFormatting>
  <conditionalFormatting sqref="J38:O38">
    <cfRule type="expression" dxfId="125" priority="18">
      <formula>J$36=J$4</formula>
    </cfRule>
  </conditionalFormatting>
  <conditionalFormatting sqref="J26:N26">
    <cfRule type="expression" dxfId="124" priority="17">
      <formula>J$10=J$4</formula>
    </cfRule>
  </conditionalFormatting>
  <conditionalFormatting sqref="J36:N36">
    <cfRule type="expression" dxfId="123" priority="16">
      <formula>J$10=J$4</formula>
    </cfRule>
  </conditionalFormatting>
  <conditionalFormatting sqref="O26">
    <cfRule type="expression" dxfId="122" priority="15">
      <formula>O$10=O$4</formula>
    </cfRule>
  </conditionalFormatting>
  <conditionalFormatting sqref="O36">
    <cfRule type="expression" dxfId="121" priority="14">
      <formula>O$10=O$4</formula>
    </cfRule>
  </conditionalFormatting>
  <conditionalFormatting sqref="P26:T26">
    <cfRule type="expression" dxfId="120" priority="13">
      <formula>P$10=P$4</formula>
    </cfRule>
  </conditionalFormatting>
  <conditionalFormatting sqref="P36:T36">
    <cfRule type="expression" dxfId="119" priority="12">
      <formula>P$10=P$4</formula>
    </cfRule>
  </conditionalFormatting>
  <conditionalFormatting sqref="P12:T12">
    <cfRule type="expression" dxfId="118" priority="10">
      <formula>P$10=P$4</formula>
    </cfRule>
  </conditionalFormatting>
  <conditionalFormatting sqref="P14:T14">
    <cfRule type="expression" dxfId="117" priority="8">
      <formula>P$10=P$4</formula>
    </cfRule>
  </conditionalFormatting>
  <conditionalFormatting sqref="P17:T20">
    <cfRule type="expression" dxfId="116" priority="6">
      <formula>P$10=P$4</formula>
    </cfRule>
  </conditionalFormatting>
  <conditionalFormatting sqref="J28:M30 O29:O30">
    <cfRule type="expression" dxfId="115" priority="5">
      <formula>J$26=J$4</formula>
    </cfRule>
  </conditionalFormatting>
  <conditionalFormatting sqref="O28">
    <cfRule type="expression" dxfId="114" priority="4">
      <formula>O$10=O$4</formula>
    </cfRule>
  </conditionalFormatting>
  <conditionalFormatting sqref="N28:N30">
    <cfRule type="expression" dxfId="113" priority="3">
      <formula>N$10=N$4</formula>
    </cfRule>
  </conditionalFormatting>
  <conditionalFormatting sqref="P28:T28">
    <cfRule type="expression" dxfId="112" priority="2">
      <formula>P$10=P$4</formula>
    </cfRule>
  </conditionalFormatting>
  <conditionalFormatting sqref="P30:T30">
    <cfRule type="expression" dxfId="111" priority="1">
      <formula>P$10=P$4</formula>
    </cfRule>
  </conditionalFormatting>
  <dataValidations disablePrompts="1"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V12:V21 I28:I31 V33 I33 V41 I4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4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121</v>
      </c>
      <c r="K3" s="170"/>
      <c r="L3" s="170"/>
      <c r="M3" s="180"/>
      <c r="N3" s="263"/>
      <c r="O3" s="263"/>
      <c r="P3" s="263"/>
      <c r="Q3" s="263"/>
      <c r="R3" s="263"/>
      <c r="S3" s="263"/>
      <c r="T3" s="215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161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81.10105849</v>
      </c>
      <c r="M12" s="109">
        <f>IF(YEAR(M$4)=BaseYear,'Input|Reported opex'!M70,0)</f>
        <v>0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161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84.497555116751414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162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89.714278320310214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162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97.520413681169686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200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56.594030596920952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200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56.680374945678068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201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113.36074989135614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163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1.2483440000000001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163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1.3006244050152833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164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0.83021257317914743</v>
      </c>
      <c r="M22" s="109">
        <f>IF(YEAR(M$4)=BaseYear,'Input|Reported opex'!M29,0)</f>
        <v>0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164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0.90245025759082387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204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0.45482075707178504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204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0.45551466774851851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205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0.91102933549703702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138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84.497555116751414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159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157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15.84033621018645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100.33789132693786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165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-1.3092034829214965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Adjustment 1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Adjustment 1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Adjustment 2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Adjustment 2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Adjustment 3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Adjustment 3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Adjustment 4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Adjustment 4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opex'!$C$89</f>
        <v>Adjustment 5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 t="str">
        <f>C51</f>
        <v>Adjustment 5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166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99.028687844016375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6.1946094717474729E-3</v>
      </c>
      <c r="Q63" s="117">
        <f ca="1">IF(Q60=Q4,AVERAGE(OFFSET('Input|Rate of change'!R97,0,0,COUNTA('Input|Rate of change'!$J$84:$N$84),1)),0)</f>
        <v>9.8609828984458671E-3</v>
      </c>
      <c r="R63" s="117">
        <f ca="1">IF(R60=R4,AVERAGE(OFFSET('Input|Rate of change'!S97,0,0,COUNTA('Input|Rate of change'!$J$84:$N$84),1)),0)</f>
        <v>1.1355027831052642E-2</v>
      </c>
      <c r="S63" s="117">
        <f ca="1">IF(S60=S4,AVERAGE(OFFSET('Input|Rate of change'!T97,0,0,COUNTA('Input|Rate of change'!$J$84:$N$84),1)),0)</f>
        <v>1.1081958029643232E-2</v>
      </c>
      <c r="T63" s="117">
        <f ca="1">IF(T60=T4,AVERAGE(OFFSET('Input|Rate of change'!U97,0,0,COUNTA('Input|Rate of change'!$J$84:$N$84),1)),0)</f>
        <v>1.0860486069835038E-2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3.6182468765057333E-3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139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6.0507495966215519E-3</v>
      </c>
      <c r="Q69" s="143">
        <f t="shared" ca="1" si="9"/>
        <v>7.7626580711740445E-3</v>
      </c>
      <c r="R69" s="143">
        <f t="shared" ca="1" si="9"/>
        <v>1.0177981263112867E-2</v>
      </c>
      <c r="S69" s="143">
        <f t="shared" ca="1" si="9"/>
        <v>1.1943299386351081E-2</v>
      </c>
      <c r="T69" s="143">
        <f t="shared" ref="T69" ca="1" si="10">(1+T63)*(1+T65)*(1-T67)-1</f>
        <v>1.3591778159045775E-2</v>
      </c>
    </row>
    <row r="70" spans="1:48" outlineLevel="1">
      <c r="C70" s="124" t="s">
        <v>140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6.0507495966215519E-3</v>
      </c>
      <c r="Q70" s="117">
        <f t="array" aca="1" ref="Q70" ca="1">IF(Q$60=Q$4,PRODUCT(1+$J69:Q69)-1,"")</f>
        <v>1.3860377567988413E-2</v>
      </c>
      <c r="R70" s="117">
        <f t="array" aca="1" ref="R70" ca="1">IF(R$60=R$4,PRODUCT(1+$J69:R69)-1,"")</f>
        <v>2.4179429494287863E-2</v>
      </c>
      <c r="S70" s="117">
        <f t="array" aca="1" ref="S70" ca="1">IF(S$60=S$4,PRODUCT(1+$J69:S69)-1,"")</f>
        <v>3.6411511046080314E-2</v>
      </c>
      <c r="T70" s="117">
        <f t="array" aca="1" ref="T70" ca="1">IF(T$60=T$4,PRODUCT(1+$J69:T69)-1,"")</f>
        <v>5.0498186385700139E-2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Insurance Premium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3.858140809755835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4.998818736811856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6.0024197364434135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6.4391596064405201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6.9086698142394676</v>
      </c>
    </row>
    <row r="77" spans="1:48" outlineLevel="1">
      <c r="C77" s="121" t="str">
        <f>'Input|Step changes'!C13</f>
        <v>REFCL testing &amp; maintenance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3.1429506188157104E-2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0.42995650068213015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0.433676854390521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0.43879148482314678</v>
      </c>
    </row>
    <row r="78" spans="1:48" outlineLevel="1">
      <c r="C78" s="121" t="str">
        <f>'Input|Step changes'!C14</f>
        <v>Cyber security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0.57196171808213181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0.573309412378877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0.57473284975563455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0.57618163645770004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0.57765202293586804</v>
      </c>
    </row>
    <row r="79" spans="1:48" outlineLevel="1">
      <c r="C79" s="121" t="str">
        <f>'Input|Step changes'!C15</f>
        <v>Transition costs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 t="str">
        <f>'Input|Step changes'!C16</f>
        <v>Expected transformation program benefits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-4.0061027177493038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-4.0061027177493038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-4.0061027177493038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-4.0061027177493038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-4.0061027177493038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0.42399981008866305</v>
      </c>
      <c r="Q86" s="174">
        <f t="shared" si="14"/>
        <v>1.5974549376295863</v>
      </c>
      <c r="R86" s="174">
        <f t="shared" si="14"/>
        <v>3.0010063691318747</v>
      </c>
      <c r="S86" s="174">
        <f t="shared" si="14"/>
        <v>3.4429153795394374</v>
      </c>
      <c r="T86" s="174">
        <f t="shared" ref="T86" si="15">SUM(T75:T85)</f>
        <v>3.9190106042491788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118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payments - base amount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0.18129241295611756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0.18292959181791585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0.18292959181791585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0.18292959181791585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0.18292959181791585</v>
      </c>
    </row>
    <row r="93" spans="1:48" outlineLevel="1">
      <c r="C93" s="121" t="str">
        <f>'Input|Step changes'!C29</f>
        <v>Energy Safe Victoria levy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1.3689995546095024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1.3689995546095024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1.3689995546095024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1.3689995546095024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1.3689995546095024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119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1.5502919675656199</v>
      </c>
      <c r="Q96" s="128">
        <f t="shared" si="19"/>
        <v>1.5519291464274183</v>
      </c>
      <c r="R96" s="128">
        <f t="shared" si="19"/>
        <v>1.5519291464274183</v>
      </c>
      <c r="S96" s="128">
        <f t="shared" si="19"/>
        <v>1.5519291464274183</v>
      </c>
      <c r="T96" s="128">
        <f t="shared" ref="T96" si="20">SUM(T91:T95)</f>
        <v>1.5519291464274183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136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100.05188544713118</v>
      </c>
      <c r="Q102" s="149">
        <f t="shared" ref="Q102:T102" ca="1" si="23">(1+Q70)*SUM($J56:$S56)+Q86</f>
        <v>101.9987177852265</v>
      </c>
      <c r="R102" s="149">
        <f t="shared" ca="1" si="23"/>
        <v>104.42415138878448</v>
      </c>
      <c r="S102" s="149">
        <f t="shared" ca="1" si="23"/>
        <v>106.07738738486705</v>
      </c>
      <c r="T102" s="149">
        <f t="shared" ca="1" si="23"/>
        <v>107.94846758454401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101.6021774146968</v>
      </c>
      <c r="Q103" s="149">
        <f t="shared" ref="Q103:T103" ca="1" si="24">(1+Q70)*SUM($J56:$S56)+Q86+Q96</f>
        <v>103.55064693165392</v>
      </c>
      <c r="R103" s="149">
        <f t="shared" ca="1" si="24"/>
        <v>105.97608053521189</v>
      </c>
      <c r="S103" s="149">
        <f t="shared" ca="1" si="24"/>
        <v>107.62931653129446</v>
      </c>
      <c r="T103" s="149">
        <f t="shared" ca="1" si="24"/>
        <v>109.50039673097142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102.35250994121188</v>
      </c>
      <c r="Q104" s="149">
        <f ca="1">Q103+'Input|Step changes'!Q38</f>
        <v>104.33441325317254</v>
      </c>
      <c r="R104" s="149">
        <f ca="1">R103+'Input|Step changes'!R38</f>
        <v>106.79083667959256</v>
      </c>
      <c r="S104" s="149">
        <f ca="1">S103+'Input|Step changes'!S38</f>
        <v>108.46165946592093</v>
      </c>
      <c r="T104" s="149">
        <f ca="1">T103+'Input|Step changes'!T38</f>
        <v>110.34418626281406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121</v>
      </c>
      <c r="K3" s="170"/>
      <c r="L3" s="170"/>
      <c r="M3" s="180"/>
      <c r="N3" s="263"/>
      <c r="O3" s="263"/>
      <c r="P3" s="263"/>
      <c r="Q3" s="263"/>
      <c r="R3" s="263"/>
      <c r="S3" s="263"/>
      <c r="T3" s="263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100.05188544713118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101.9987177852265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104.42415138878448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106.07738738486705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107.94846758454401</v>
      </c>
      <c r="U13" s="111"/>
      <c r="V13" s="150"/>
    </row>
    <row r="14" spans="1:27">
      <c r="C14" s="111" t="str">
        <f>'Input|Step changes'!C28</f>
        <v>GSL payments - base amount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0.18129241295611756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0.18292959181791585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0.18292959181791585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0.18292959181791585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0.18292959181791585</v>
      </c>
      <c r="U14" s="111"/>
      <c r="V14" s="150"/>
    </row>
    <row r="15" spans="1:27">
      <c r="C15" s="111" t="str">
        <f>'Input|Step changes'!C29</f>
        <v>Energy Safe Victoria levy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1.3689995546095024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1.3689995546095024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1.3689995546095024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1.3689995546095024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1.3689995546095024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9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123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124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125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126</v>
      </c>
      <c r="D28" s="16" t="s">
        <v>68</v>
      </c>
      <c r="E28" s="16"/>
      <c r="F28" s="16"/>
      <c r="G28" s="151">
        <v>36617</v>
      </c>
    </row>
    <row r="29" spans="1:47">
      <c r="C29" s="15" t="s">
        <v>127</v>
      </c>
      <c r="D29" s="16" t="s">
        <v>68</v>
      </c>
      <c r="E29" s="16"/>
      <c r="F29" s="16"/>
      <c r="G29" s="151">
        <v>36647</v>
      </c>
    </row>
    <row r="30" spans="1:47">
      <c r="C30" s="15" t="s">
        <v>128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129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130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131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132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133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134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156</v>
      </c>
      <c r="H40" s="14" t="s">
        <v>154</v>
      </c>
      <c r="I40" s="14" t="s">
        <v>155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152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153</v>
      </c>
      <c r="H64" s="14" t="s">
        <v>121</v>
      </c>
    </row>
    <row r="65" spans="1:47">
      <c r="C65" s="15" t="s">
        <v>187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141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142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143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144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145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190</v>
      </c>
      <c r="D71" s="16" t="s">
        <v>97</v>
      </c>
      <c r="E71" s="16"/>
      <c r="F71" s="16"/>
      <c r="G71" s="181" t="s">
        <v>191</v>
      </c>
      <c r="H71" s="183">
        <f>DATE(YEAR(H70)+1,6,1)</f>
        <v>44348</v>
      </c>
    </row>
    <row r="72" spans="1:47">
      <c r="C72" s="15" t="s">
        <v>146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147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148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149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150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09"/>
      <c r="H77" s="210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153</v>
      </c>
      <c r="H80" s="211"/>
    </row>
    <row r="81" spans="1:47">
      <c r="C81" s="15" t="s">
        <v>181</v>
      </c>
      <c r="D81" s="16" t="s">
        <v>68</v>
      </c>
      <c r="E81" s="16"/>
      <c r="F81" s="16"/>
      <c r="G81" s="181" t="s">
        <v>106</v>
      </c>
      <c r="H81" s="210"/>
    </row>
    <row r="82" spans="1:47">
      <c r="C82" s="15" t="s">
        <v>182</v>
      </c>
      <c r="D82" s="16" t="s">
        <v>68</v>
      </c>
      <c r="E82" s="16"/>
      <c r="F82" s="16"/>
      <c r="G82" s="182" t="s">
        <v>183</v>
      </c>
      <c r="H82" s="210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Change log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2020-11-30T08:35:07Z</dcterms:created>
  <dcterms:modified xsi:type="dcterms:W3CDTF">2020-11-30T08:35:13Z</dcterms:modified>
</cp:coreProperties>
</file>