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G:\Coy1-Fin\Reg_Affairs\Regulated Pricing\Network\Price Submission 1 July 2023\"/>
    </mc:Choice>
  </mc:AlternateContent>
  <xr:revisionPtr revIDLastSave="0" documentId="13_ncr:1_{9FEDD404-3345-4FDC-8A19-2091D400548A}" xr6:coauthVersionLast="47" xr6:coauthVersionMax="47" xr10:uidLastSave="{00000000-0000-0000-0000-000000000000}"/>
  <bookViews>
    <workbookView xWindow="-120" yWindow="-120" windowWidth="29040" windowHeight="15840" tabRatio="837" xr2:uid="{00000000-000D-0000-FFFF-FFFF00000000}"/>
  </bookViews>
  <sheets>
    <sheet name="Price List_Excl GST" sheetId="3" r:id="rId1"/>
    <sheet name="Price List_Incl GST" sheetId="11" r:id="rId2"/>
    <sheet name="Price List_DUOS_Excl GST" sheetId="10" r:id="rId3"/>
    <sheet name="Price List_TUOS_Excl GST" sheetId="9" r:id="rId4"/>
    <sheet name="Price List_CCF_Excl GST" sheetId="8" r:id="rId5"/>
    <sheet name="Price List_QSS_Excl GST" sheetId="12" r:id="rId6"/>
    <sheet name="Price List_Roadmap_Excl GST" sheetId="14" r:id="rId7"/>
    <sheet name="Explanatory Notes" sheetId="13" r:id="rId8"/>
  </sheets>
  <externalReferences>
    <externalReference r:id="rId9"/>
    <externalReference r:id="rId10"/>
  </externalReferences>
  <definedNames>
    <definedName name="_xlnm.Print_Area" localSheetId="7">'Explanatory Notes'!$A$1:$B$41</definedName>
    <definedName name="_xlnm.Print_Area" localSheetId="4">'Price List_CCF_Excl GST'!$B$2:$N$44</definedName>
    <definedName name="_xlnm.Print_Area" localSheetId="2">'Price List_DUOS_Excl GST'!$B$2:$N$44</definedName>
    <definedName name="_xlnm.Print_Area" localSheetId="0">'Price List_Excl GST'!$B$2:$P$74</definedName>
    <definedName name="_xlnm.Print_Area" localSheetId="1">'Price List_Incl GST'!$A$1:$P$59</definedName>
    <definedName name="_xlnm.Print_Area" localSheetId="5">'Price List_QSS_Excl GST'!$B$2:$N$44</definedName>
    <definedName name="_xlnm.Print_Area" localSheetId="6">'Price List_Roadmap_Excl GST'!$B$2:$N$44</definedName>
    <definedName name="_xlnm.Print_Area" localSheetId="3">'Price List_TUOS_Excl GST'!$B$2:$N$44</definedName>
    <definedName name="YEAR">[1]Outcomes!$B$4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9" i="14" l="1"/>
  <c r="E39" i="14"/>
  <c r="F39" i="14"/>
  <c r="G39" i="14"/>
  <c r="H39" i="14"/>
  <c r="M44" i="14" l="1"/>
  <c r="I44" i="14"/>
  <c r="H44" i="14"/>
  <c r="G44" i="14"/>
  <c r="F44" i="14"/>
  <c r="E44" i="14"/>
  <c r="I43" i="14"/>
  <c r="H43" i="14"/>
  <c r="G43" i="14"/>
  <c r="F43" i="14"/>
  <c r="E43" i="14"/>
  <c r="M42" i="14"/>
  <c r="I42" i="14"/>
  <c r="H42" i="14"/>
  <c r="G42" i="14"/>
  <c r="F42" i="14"/>
  <c r="E42" i="14"/>
  <c r="M41" i="14"/>
  <c r="I41" i="14"/>
  <c r="H41" i="14"/>
  <c r="G41" i="14"/>
  <c r="F41" i="14"/>
  <c r="E41" i="14"/>
  <c r="I40" i="14"/>
  <c r="H40" i="14"/>
  <c r="G40" i="14"/>
  <c r="F40" i="14"/>
  <c r="E40" i="14"/>
  <c r="L38" i="14"/>
  <c r="K38" i="14"/>
  <c r="J38" i="14"/>
  <c r="H38" i="14"/>
  <c r="G38" i="14"/>
  <c r="F38" i="14"/>
  <c r="E38" i="14"/>
  <c r="L37" i="14"/>
  <c r="K37" i="14"/>
  <c r="J37" i="14"/>
  <c r="H37" i="14"/>
  <c r="G37" i="14"/>
  <c r="F37" i="14"/>
  <c r="E37" i="14"/>
  <c r="J29" i="14"/>
  <c r="I29" i="14"/>
  <c r="H29" i="14"/>
  <c r="F29" i="14"/>
  <c r="G28" i="14"/>
  <c r="F28" i="14"/>
  <c r="M26" i="14"/>
  <c r="L26" i="14"/>
  <c r="K26" i="14"/>
  <c r="J26" i="14"/>
  <c r="I26" i="14"/>
  <c r="H26" i="14"/>
  <c r="F26" i="14"/>
  <c r="M25" i="14"/>
  <c r="L25" i="14"/>
  <c r="K25" i="14"/>
  <c r="J25" i="14"/>
  <c r="I25" i="14"/>
  <c r="H25" i="14"/>
  <c r="F25" i="14"/>
  <c r="K24" i="14"/>
  <c r="J24" i="14"/>
  <c r="I24" i="14"/>
  <c r="H24" i="14"/>
  <c r="F24" i="14"/>
  <c r="M23" i="14"/>
  <c r="L23" i="14"/>
  <c r="K23" i="14"/>
  <c r="J23" i="14"/>
  <c r="I23" i="14"/>
  <c r="H23" i="14"/>
  <c r="F23" i="14"/>
  <c r="M22" i="14"/>
  <c r="L22" i="14"/>
  <c r="K22" i="14"/>
  <c r="J22" i="14"/>
  <c r="I22" i="14"/>
  <c r="H22" i="14"/>
  <c r="F22" i="14"/>
  <c r="J21" i="14"/>
  <c r="I21" i="14"/>
  <c r="H21" i="14"/>
  <c r="F21" i="14"/>
  <c r="K20" i="14"/>
  <c r="J20" i="14"/>
  <c r="I20" i="14"/>
  <c r="H20" i="14"/>
  <c r="F20" i="14"/>
  <c r="J19" i="14"/>
  <c r="I19" i="14"/>
  <c r="H19" i="14"/>
  <c r="F19" i="14"/>
  <c r="J18" i="14"/>
  <c r="I18" i="14"/>
  <c r="H18" i="14"/>
  <c r="F18" i="14"/>
  <c r="G17" i="14"/>
  <c r="F17" i="14"/>
  <c r="G15" i="14"/>
  <c r="F15" i="14"/>
  <c r="G14" i="14"/>
  <c r="F14" i="14"/>
  <c r="K12" i="14"/>
  <c r="J12" i="14"/>
  <c r="I12" i="14"/>
  <c r="H12" i="14"/>
  <c r="F12" i="14"/>
  <c r="J11" i="14"/>
  <c r="I11" i="14"/>
  <c r="H11" i="14"/>
  <c r="F11" i="14"/>
  <c r="J10" i="14"/>
  <c r="I10" i="14"/>
  <c r="H10" i="14"/>
  <c r="F10" i="14"/>
  <c r="G9" i="14"/>
  <c r="F9" i="14"/>
  <c r="M44" i="12"/>
  <c r="I44" i="12"/>
  <c r="H44" i="12"/>
  <c r="G44" i="12"/>
  <c r="F44" i="12"/>
  <c r="E44" i="12"/>
  <c r="I43" i="12"/>
  <c r="H43" i="12"/>
  <c r="G43" i="12"/>
  <c r="F43" i="12"/>
  <c r="E43" i="12"/>
  <c r="M42" i="12"/>
  <c r="I42" i="12"/>
  <c r="H42" i="12"/>
  <c r="G42" i="12"/>
  <c r="F42" i="12"/>
  <c r="E42" i="12"/>
  <c r="M41" i="12"/>
  <c r="I41" i="12"/>
  <c r="H41" i="12"/>
  <c r="G41" i="12"/>
  <c r="F41" i="12"/>
  <c r="E41" i="12"/>
  <c r="I40" i="12"/>
  <c r="H40" i="12"/>
  <c r="G40" i="12"/>
  <c r="F40" i="12"/>
  <c r="E40" i="12"/>
  <c r="H39" i="12"/>
  <c r="G39" i="12"/>
  <c r="F39" i="12"/>
  <c r="L38" i="12"/>
  <c r="K38" i="12"/>
  <c r="J38" i="12"/>
  <c r="H38" i="12"/>
  <c r="G38" i="12"/>
  <c r="F38" i="12"/>
  <c r="E38" i="12"/>
  <c r="L37" i="12"/>
  <c r="K37" i="12"/>
  <c r="J37" i="12"/>
  <c r="H37" i="12"/>
  <c r="G37" i="12"/>
  <c r="F37" i="12"/>
  <c r="E37" i="12"/>
  <c r="J29" i="12"/>
  <c r="I29" i="12"/>
  <c r="H29" i="12"/>
  <c r="F29" i="12"/>
  <c r="G28" i="12"/>
  <c r="F28" i="12"/>
  <c r="M26" i="12"/>
  <c r="L26" i="12"/>
  <c r="K26" i="12"/>
  <c r="J26" i="12"/>
  <c r="I26" i="12"/>
  <c r="H26" i="12"/>
  <c r="F26" i="12"/>
  <c r="M25" i="12"/>
  <c r="L25" i="12"/>
  <c r="K25" i="12"/>
  <c r="J25" i="12"/>
  <c r="I25" i="12"/>
  <c r="H25" i="12"/>
  <c r="F25" i="12"/>
  <c r="K24" i="12"/>
  <c r="J24" i="12"/>
  <c r="I24" i="12"/>
  <c r="H24" i="12"/>
  <c r="F24" i="12"/>
  <c r="M23" i="12"/>
  <c r="L23" i="12"/>
  <c r="K23" i="12"/>
  <c r="J23" i="12"/>
  <c r="I23" i="12"/>
  <c r="H23" i="12"/>
  <c r="F23" i="12"/>
  <c r="M22" i="12"/>
  <c r="L22" i="12"/>
  <c r="K22" i="12"/>
  <c r="J22" i="12"/>
  <c r="I22" i="12"/>
  <c r="H22" i="12"/>
  <c r="F22" i="12"/>
  <c r="J21" i="12"/>
  <c r="I21" i="12"/>
  <c r="H21" i="12"/>
  <c r="F21" i="12"/>
  <c r="K20" i="12"/>
  <c r="J20" i="12"/>
  <c r="I20" i="12"/>
  <c r="H20" i="12"/>
  <c r="F20" i="12"/>
  <c r="J19" i="12"/>
  <c r="I19" i="12"/>
  <c r="H19" i="12"/>
  <c r="F19" i="12"/>
  <c r="J18" i="12"/>
  <c r="I18" i="12"/>
  <c r="H18" i="12"/>
  <c r="F18" i="12"/>
  <c r="G17" i="12"/>
  <c r="F17" i="12"/>
  <c r="G15" i="12"/>
  <c r="F15" i="12"/>
  <c r="G14" i="12"/>
  <c r="F14" i="12"/>
  <c r="K12" i="12"/>
  <c r="J12" i="12"/>
  <c r="I12" i="12"/>
  <c r="H12" i="12"/>
  <c r="F12" i="12"/>
  <c r="J11" i="12"/>
  <c r="I11" i="12"/>
  <c r="H11" i="12"/>
  <c r="F11" i="12"/>
  <c r="J10" i="12"/>
  <c r="I10" i="12"/>
  <c r="H10" i="12"/>
  <c r="F10" i="12"/>
  <c r="G9" i="12"/>
  <c r="F9" i="12"/>
  <c r="M44" i="8"/>
  <c r="I44" i="8"/>
  <c r="H44" i="8"/>
  <c r="G44" i="8"/>
  <c r="F44" i="8"/>
  <c r="E44" i="8"/>
  <c r="I43" i="8"/>
  <c r="H43" i="8"/>
  <c r="G43" i="8"/>
  <c r="F43" i="8"/>
  <c r="E43" i="8"/>
  <c r="M42" i="8"/>
  <c r="I42" i="8"/>
  <c r="H42" i="8"/>
  <c r="G42" i="8"/>
  <c r="F42" i="8"/>
  <c r="E42" i="8"/>
  <c r="M41" i="8"/>
  <c r="I41" i="8"/>
  <c r="H41" i="8"/>
  <c r="G41" i="8"/>
  <c r="F41" i="8"/>
  <c r="E41" i="8"/>
  <c r="I40" i="8"/>
  <c r="H40" i="8"/>
  <c r="G40" i="8"/>
  <c r="F40" i="8"/>
  <c r="E40" i="8"/>
  <c r="H39" i="8"/>
  <c r="G39" i="8"/>
  <c r="F39" i="8"/>
  <c r="L38" i="8"/>
  <c r="K38" i="8"/>
  <c r="J38" i="8"/>
  <c r="H38" i="8"/>
  <c r="G38" i="8"/>
  <c r="F38" i="8"/>
  <c r="E38" i="8"/>
  <c r="L37" i="8"/>
  <c r="K37" i="8"/>
  <c r="J37" i="8"/>
  <c r="H37" i="8"/>
  <c r="G37" i="8"/>
  <c r="F37" i="8"/>
  <c r="E37" i="8"/>
  <c r="J29" i="8"/>
  <c r="I29" i="8"/>
  <c r="H29" i="8"/>
  <c r="F29" i="8"/>
  <c r="G28" i="8"/>
  <c r="F28" i="8"/>
  <c r="M26" i="8"/>
  <c r="L26" i="8"/>
  <c r="K26" i="8"/>
  <c r="J26" i="8"/>
  <c r="I26" i="8"/>
  <c r="H26" i="8"/>
  <c r="F26" i="8"/>
  <c r="M25" i="8"/>
  <c r="L25" i="8"/>
  <c r="K25" i="8"/>
  <c r="J25" i="8"/>
  <c r="I25" i="8"/>
  <c r="H25" i="8"/>
  <c r="F25" i="8"/>
  <c r="K24" i="8"/>
  <c r="J24" i="8"/>
  <c r="I24" i="8"/>
  <c r="H24" i="8"/>
  <c r="F24" i="8"/>
  <c r="M23" i="8"/>
  <c r="L23" i="8"/>
  <c r="K23" i="8"/>
  <c r="J23" i="8"/>
  <c r="I23" i="8"/>
  <c r="H23" i="8"/>
  <c r="F23" i="8"/>
  <c r="M22" i="8"/>
  <c r="L22" i="8"/>
  <c r="K22" i="8"/>
  <c r="J22" i="8"/>
  <c r="I22" i="8"/>
  <c r="H22" i="8"/>
  <c r="F22" i="8"/>
  <c r="J21" i="8"/>
  <c r="I21" i="8"/>
  <c r="H21" i="8"/>
  <c r="F21" i="8"/>
  <c r="K20" i="8"/>
  <c r="J20" i="8"/>
  <c r="I20" i="8"/>
  <c r="H20" i="8"/>
  <c r="F20" i="8"/>
  <c r="J19" i="8"/>
  <c r="I19" i="8"/>
  <c r="H19" i="8"/>
  <c r="F19" i="8"/>
  <c r="J18" i="8"/>
  <c r="I18" i="8"/>
  <c r="H18" i="8"/>
  <c r="F18" i="8"/>
  <c r="G17" i="8"/>
  <c r="F17" i="8"/>
  <c r="G15" i="8"/>
  <c r="F15" i="8"/>
  <c r="G14" i="8"/>
  <c r="F14" i="8"/>
  <c r="K12" i="8"/>
  <c r="J12" i="8"/>
  <c r="I12" i="8"/>
  <c r="H12" i="8"/>
  <c r="F12" i="8"/>
  <c r="J11" i="8"/>
  <c r="I11" i="8"/>
  <c r="H11" i="8"/>
  <c r="F11" i="8"/>
  <c r="J10" i="8"/>
  <c r="I10" i="8"/>
  <c r="H10" i="8"/>
  <c r="F10" i="8"/>
  <c r="G9" i="8"/>
  <c r="F9" i="8"/>
  <c r="I39" i="12"/>
  <c r="E39" i="12"/>
  <c r="I39" i="8"/>
  <c r="E39" i="8"/>
  <c r="M44" i="9"/>
  <c r="I44" i="9"/>
  <c r="H44" i="9"/>
  <c r="G44" i="9"/>
  <c r="F44" i="9"/>
  <c r="E44" i="9"/>
  <c r="I43" i="9"/>
  <c r="H43" i="9"/>
  <c r="G43" i="9"/>
  <c r="F43" i="9"/>
  <c r="E43" i="9"/>
  <c r="M42" i="9"/>
  <c r="I42" i="9"/>
  <c r="H42" i="9"/>
  <c r="G42" i="9"/>
  <c r="F42" i="9"/>
  <c r="E42" i="9"/>
  <c r="M41" i="9"/>
  <c r="I41" i="9"/>
  <c r="H41" i="9"/>
  <c r="G41" i="9"/>
  <c r="F41" i="9"/>
  <c r="E41" i="9"/>
  <c r="I40" i="9"/>
  <c r="H40" i="9"/>
  <c r="G40" i="9"/>
  <c r="F40" i="9"/>
  <c r="E40" i="9"/>
  <c r="I39" i="9"/>
  <c r="H39" i="9"/>
  <c r="G39" i="9"/>
  <c r="F39" i="9"/>
  <c r="E39" i="9"/>
  <c r="L38" i="9"/>
  <c r="K38" i="9"/>
  <c r="J38" i="9"/>
  <c r="H38" i="9"/>
  <c r="G38" i="9"/>
  <c r="F38" i="9"/>
  <c r="E38" i="9"/>
  <c r="L37" i="9"/>
  <c r="K37" i="9"/>
  <c r="J37" i="9"/>
  <c r="H37" i="9"/>
  <c r="G37" i="9"/>
  <c r="F37" i="9"/>
  <c r="E37" i="9"/>
  <c r="J29" i="9"/>
  <c r="I29" i="9"/>
  <c r="H29" i="9"/>
  <c r="F29" i="9"/>
  <c r="G28" i="9"/>
  <c r="F28" i="9"/>
  <c r="M26" i="9"/>
  <c r="L26" i="9"/>
  <c r="K26" i="9"/>
  <c r="J26" i="9"/>
  <c r="I26" i="9"/>
  <c r="H26" i="9"/>
  <c r="F26" i="9"/>
  <c r="M25" i="9"/>
  <c r="L25" i="9"/>
  <c r="K25" i="9"/>
  <c r="J25" i="9"/>
  <c r="I25" i="9"/>
  <c r="H25" i="9"/>
  <c r="F25" i="9"/>
  <c r="K24" i="9"/>
  <c r="J24" i="9"/>
  <c r="I24" i="9"/>
  <c r="H24" i="9"/>
  <c r="F24" i="9"/>
  <c r="M23" i="9"/>
  <c r="L23" i="9"/>
  <c r="K23" i="9"/>
  <c r="J23" i="9"/>
  <c r="I23" i="9"/>
  <c r="H23" i="9"/>
  <c r="F23" i="9"/>
  <c r="M22" i="9"/>
  <c r="L22" i="9"/>
  <c r="K22" i="9"/>
  <c r="J22" i="9"/>
  <c r="I22" i="9"/>
  <c r="H22" i="9"/>
  <c r="F22" i="9"/>
  <c r="J21" i="9"/>
  <c r="I21" i="9"/>
  <c r="H21" i="9"/>
  <c r="F21" i="9"/>
  <c r="K20" i="9"/>
  <c r="J20" i="9"/>
  <c r="I20" i="9"/>
  <c r="H20" i="9"/>
  <c r="F20" i="9"/>
  <c r="J19" i="9"/>
  <c r="I19" i="9"/>
  <c r="H19" i="9"/>
  <c r="F19" i="9"/>
  <c r="J18" i="9"/>
  <c r="I18" i="9"/>
  <c r="H18" i="9"/>
  <c r="F18" i="9"/>
  <c r="G17" i="9"/>
  <c r="F17" i="9"/>
  <c r="G15" i="9"/>
  <c r="F15" i="9"/>
  <c r="G14" i="9"/>
  <c r="F14" i="9"/>
  <c r="K12" i="9"/>
  <c r="J12" i="9"/>
  <c r="I12" i="9"/>
  <c r="H12" i="9"/>
  <c r="F12" i="9"/>
  <c r="J11" i="9"/>
  <c r="I11" i="9"/>
  <c r="H11" i="9"/>
  <c r="F11" i="9"/>
  <c r="J10" i="9"/>
  <c r="I10" i="9"/>
  <c r="H10" i="9"/>
  <c r="F10" i="9"/>
  <c r="G9" i="9"/>
  <c r="F9" i="9"/>
  <c r="M44" i="10"/>
  <c r="I44" i="10"/>
  <c r="H44" i="10"/>
  <c r="G44" i="10"/>
  <c r="F44" i="10"/>
  <c r="E44" i="10"/>
  <c r="I43" i="10"/>
  <c r="H43" i="10"/>
  <c r="G43" i="10"/>
  <c r="F43" i="10"/>
  <c r="E43" i="10"/>
  <c r="M42" i="10"/>
  <c r="I42" i="10"/>
  <c r="H42" i="10"/>
  <c r="G42" i="10"/>
  <c r="F42" i="10"/>
  <c r="E42" i="10"/>
  <c r="M41" i="10"/>
  <c r="I41" i="10"/>
  <c r="H41" i="10"/>
  <c r="G41" i="10"/>
  <c r="F41" i="10"/>
  <c r="E41" i="10"/>
  <c r="I40" i="10"/>
  <c r="H40" i="10"/>
  <c r="G40" i="10"/>
  <c r="F40" i="10"/>
  <c r="E40" i="10"/>
  <c r="M39" i="10"/>
  <c r="I39" i="10"/>
  <c r="H39" i="10"/>
  <c r="G39" i="10"/>
  <c r="F39" i="10"/>
  <c r="E39" i="10"/>
  <c r="L38" i="10"/>
  <c r="K38" i="10"/>
  <c r="J38" i="10"/>
  <c r="H38" i="10"/>
  <c r="G38" i="10"/>
  <c r="F38" i="10"/>
  <c r="E38" i="10"/>
  <c r="L37" i="10"/>
  <c r="K37" i="10"/>
  <c r="J37" i="10"/>
  <c r="H37" i="10"/>
  <c r="G37" i="10"/>
  <c r="F37" i="10"/>
  <c r="E37" i="10"/>
  <c r="J29" i="10"/>
  <c r="I29" i="10"/>
  <c r="H29" i="10"/>
  <c r="F29" i="10"/>
  <c r="G28" i="10"/>
  <c r="F28" i="10"/>
  <c r="M26" i="10"/>
  <c r="L26" i="10"/>
  <c r="K26" i="10"/>
  <c r="J26" i="10"/>
  <c r="I26" i="10"/>
  <c r="H26" i="10"/>
  <c r="F26" i="10"/>
  <c r="M25" i="10"/>
  <c r="L25" i="10"/>
  <c r="K25" i="10"/>
  <c r="J25" i="10"/>
  <c r="I25" i="10"/>
  <c r="H25" i="10"/>
  <c r="F25" i="10"/>
  <c r="K24" i="10"/>
  <c r="J24" i="10"/>
  <c r="I24" i="10"/>
  <c r="H24" i="10"/>
  <c r="F24" i="10"/>
  <c r="M23" i="10"/>
  <c r="L23" i="10"/>
  <c r="K23" i="10"/>
  <c r="J23" i="10"/>
  <c r="I23" i="10"/>
  <c r="H23" i="10"/>
  <c r="F23" i="10"/>
  <c r="M22" i="10"/>
  <c r="L22" i="10"/>
  <c r="K22" i="10"/>
  <c r="J22" i="10"/>
  <c r="I22" i="10"/>
  <c r="H22" i="10"/>
  <c r="F22" i="10"/>
  <c r="J21" i="10"/>
  <c r="I21" i="10"/>
  <c r="H21" i="10"/>
  <c r="F21" i="10"/>
  <c r="K20" i="10"/>
  <c r="J20" i="10"/>
  <c r="I20" i="10"/>
  <c r="H20" i="10"/>
  <c r="F20" i="10"/>
  <c r="J19" i="10"/>
  <c r="I19" i="10"/>
  <c r="H19" i="10"/>
  <c r="F19" i="10"/>
  <c r="J18" i="10"/>
  <c r="I18" i="10"/>
  <c r="H18" i="10"/>
  <c r="F18" i="10"/>
  <c r="G17" i="10"/>
  <c r="F17" i="10"/>
  <c r="G15" i="10"/>
  <c r="F15" i="10"/>
  <c r="G14" i="10"/>
  <c r="F14" i="10"/>
  <c r="K12" i="10"/>
  <c r="J12" i="10"/>
  <c r="I12" i="10"/>
  <c r="H12" i="10"/>
  <c r="F12" i="10"/>
  <c r="J11" i="10"/>
  <c r="I11" i="10"/>
  <c r="H11" i="10"/>
  <c r="F11" i="10"/>
  <c r="J10" i="10"/>
  <c r="I10" i="10"/>
  <c r="H10" i="10"/>
  <c r="F10" i="10"/>
  <c r="G9" i="10"/>
  <c r="F9" i="10"/>
  <c r="M56" i="11"/>
  <c r="I56" i="11"/>
  <c r="H56" i="11"/>
  <c r="G56" i="11"/>
  <c r="F56" i="11"/>
  <c r="D56" i="11"/>
  <c r="I55" i="11"/>
  <c r="H55" i="11"/>
  <c r="G55" i="11"/>
  <c r="F55" i="11"/>
  <c r="D55" i="11"/>
  <c r="M54" i="11"/>
  <c r="I54" i="11"/>
  <c r="H54" i="11"/>
  <c r="G54" i="11"/>
  <c r="F54" i="11"/>
  <c r="D54" i="11"/>
  <c r="M53" i="11"/>
  <c r="I53" i="11"/>
  <c r="H53" i="11"/>
  <c r="G53" i="11"/>
  <c r="F53" i="11"/>
  <c r="D53" i="11"/>
  <c r="I52" i="11"/>
  <c r="H52" i="11"/>
  <c r="G52" i="11"/>
  <c r="F52" i="11"/>
  <c r="D52" i="11"/>
  <c r="M51" i="11"/>
  <c r="H51" i="11"/>
  <c r="G51" i="11"/>
  <c r="F51" i="11"/>
  <c r="D51" i="11"/>
  <c r="L50" i="11"/>
  <c r="K50" i="11"/>
  <c r="J50" i="11"/>
  <c r="H50" i="11"/>
  <c r="G50" i="11"/>
  <c r="F50" i="11"/>
  <c r="D50" i="11"/>
  <c r="L49" i="11"/>
  <c r="K49" i="11"/>
  <c r="J49" i="11"/>
  <c r="H49" i="11"/>
  <c r="G49" i="11"/>
  <c r="F49" i="11"/>
  <c r="D49" i="11"/>
  <c r="J37" i="11"/>
  <c r="I37" i="11"/>
  <c r="H37" i="11"/>
  <c r="F37" i="11"/>
  <c r="G36" i="11"/>
  <c r="F36" i="11"/>
  <c r="M34" i="11"/>
  <c r="L34" i="11"/>
  <c r="K34" i="11"/>
  <c r="J34" i="11"/>
  <c r="I34" i="11"/>
  <c r="H34" i="11"/>
  <c r="F34" i="11"/>
  <c r="M33" i="11"/>
  <c r="L33" i="11"/>
  <c r="K33" i="11"/>
  <c r="J33" i="11"/>
  <c r="I33" i="11"/>
  <c r="H33" i="11"/>
  <c r="F33" i="11"/>
  <c r="K32" i="11"/>
  <c r="J32" i="11"/>
  <c r="I32" i="11"/>
  <c r="H32" i="11"/>
  <c r="F32" i="11"/>
  <c r="M31" i="11"/>
  <c r="L31" i="11"/>
  <c r="K31" i="11"/>
  <c r="J31" i="11"/>
  <c r="I31" i="11"/>
  <c r="H31" i="11"/>
  <c r="F31" i="11"/>
  <c r="M30" i="11"/>
  <c r="L30" i="11"/>
  <c r="K30" i="11"/>
  <c r="J30" i="11"/>
  <c r="I30" i="11"/>
  <c r="H30" i="11"/>
  <c r="F30" i="11"/>
  <c r="J29" i="11"/>
  <c r="I29" i="11"/>
  <c r="H29" i="11"/>
  <c r="F29" i="11"/>
  <c r="K28" i="11"/>
  <c r="J28" i="11"/>
  <c r="I28" i="11"/>
  <c r="H28" i="11"/>
  <c r="F28" i="11"/>
  <c r="J27" i="11"/>
  <c r="I27" i="11"/>
  <c r="H27" i="11"/>
  <c r="F27" i="11"/>
  <c r="J26" i="11"/>
  <c r="I26" i="11"/>
  <c r="H26" i="11"/>
  <c r="F26" i="11"/>
  <c r="G25" i="11"/>
  <c r="F25" i="11"/>
  <c r="G15" i="11"/>
  <c r="F15" i="11"/>
  <c r="G14" i="11"/>
  <c r="F14" i="11"/>
  <c r="K12" i="11"/>
  <c r="J12" i="11"/>
  <c r="I12" i="11"/>
  <c r="H12" i="11"/>
  <c r="F12" i="11"/>
  <c r="J11" i="11"/>
  <c r="I11" i="11"/>
  <c r="H11" i="11"/>
  <c r="F11" i="11"/>
  <c r="J10" i="11"/>
  <c r="I10" i="11"/>
  <c r="H10" i="11"/>
  <c r="F10" i="11"/>
  <c r="G9" i="11"/>
  <c r="F9" i="11"/>
  <c r="L55" i="3"/>
  <c r="H55" i="3"/>
  <c r="G55" i="3"/>
  <c r="F55" i="3"/>
  <c r="E55" i="3"/>
  <c r="D55" i="3"/>
  <c r="H54" i="3"/>
  <c r="G54" i="3"/>
  <c r="F54" i="3"/>
  <c r="E54" i="3"/>
  <c r="D54" i="3"/>
  <c r="L53" i="3"/>
  <c r="H53" i="3"/>
  <c r="G53" i="3"/>
  <c r="F53" i="3"/>
  <c r="E53" i="3"/>
  <c r="D53" i="3"/>
  <c r="L52" i="3"/>
  <c r="H52" i="3"/>
  <c r="G52" i="3"/>
  <c r="F52" i="3"/>
  <c r="E52" i="3"/>
  <c r="D52" i="3"/>
  <c r="H51" i="3"/>
  <c r="G51" i="3"/>
  <c r="F51" i="3"/>
  <c r="E51" i="3"/>
  <c r="D51" i="3"/>
  <c r="L50" i="3"/>
  <c r="H50" i="3"/>
  <c r="G50" i="3"/>
  <c r="F50" i="3"/>
  <c r="E50" i="3"/>
  <c r="D50" i="3"/>
  <c r="K49" i="3"/>
  <c r="J49" i="3"/>
  <c r="I49" i="3"/>
  <c r="G49" i="3"/>
  <c r="F49" i="3"/>
  <c r="E49" i="3"/>
  <c r="D49" i="3"/>
  <c r="K48" i="3"/>
  <c r="J48" i="3"/>
  <c r="I48" i="3"/>
  <c r="G48" i="3"/>
  <c r="F48" i="3"/>
  <c r="E48" i="3"/>
  <c r="D48" i="3"/>
  <c r="J37" i="3"/>
  <c r="I37" i="3"/>
  <c r="H37" i="3"/>
  <c r="F37" i="3"/>
  <c r="G36" i="3"/>
  <c r="F36" i="3"/>
  <c r="M34" i="3"/>
  <c r="L34" i="3"/>
  <c r="K34" i="3"/>
  <c r="J34" i="3"/>
  <c r="I34" i="3"/>
  <c r="H34" i="3"/>
  <c r="F34" i="3"/>
  <c r="M33" i="3"/>
  <c r="L33" i="3"/>
  <c r="K33" i="3"/>
  <c r="J33" i="3"/>
  <c r="I33" i="3"/>
  <c r="H33" i="3"/>
  <c r="F33" i="3"/>
  <c r="K32" i="3"/>
  <c r="J32" i="3"/>
  <c r="I32" i="3"/>
  <c r="H32" i="3"/>
  <c r="F32" i="3"/>
  <c r="M31" i="3"/>
  <c r="L31" i="3"/>
  <c r="K31" i="3"/>
  <c r="J31" i="3"/>
  <c r="I31" i="3"/>
  <c r="H31" i="3"/>
  <c r="F31" i="3"/>
  <c r="M30" i="3"/>
  <c r="L30" i="3"/>
  <c r="K30" i="3"/>
  <c r="J30" i="3"/>
  <c r="I30" i="3"/>
  <c r="H30" i="3"/>
  <c r="F30" i="3"/>
  <c r="J29" i="3"/>
  <c r="I29" i="3"/>
  <c r="H29" i="3"/>
  <c r="F29" i="3"/>
  <c r="K28" i="3"/>
  <c r="J28" i="3"/>
  <c r="I28" i="3"/>
  <c r="H28" i="3"/>
  <c r="F28" i="3"/>
  <c r="J27" i="3"/>
  <c r="I27" i="3"/>
  <c r="H27" i="3"/>
  <c r="F27" i="3"/>
  <c r="J26" i="3"/>
  <c r="I26" i="3"/>
  <c r="H26" i="3"/>
  <c r="F26" i="3"/>
  <c r="G25" i="3"/>
  <c r="F25" i="3"/>
  <c r="G15" i="3"/>
  <c r="F15" i="3"/>
  <c r="G14" i="3"/>
  <c r="F14" i="3"/>
  <c r="K12" i="3"/>
  <c r="J12" i="3"/>
  <c r="I12" i="3"/>
  <c r="H12" i="3"/>
  <c r="F12" i="3"/>
  <c r="J11" i="3"/>
  <c r="I11" i="3"/>
  <c r="H11" i="3"/>
  <c r="F11" i="3"/>
  <c r="J10" i="3"/>
  <c r="I10" i="3"/>
  <c r="H10" i="3"/>
  <c r="F10" i="3"/>
  <c r="G9" i="3"/>
  <c r="F9" i="3"/>
  <c r="B3" i="14"/>
  <c r="B3" i="12" l="1"/>
  <c r="B3" i="8"/>
  <c r="B3" i="9"/>
  <c r="B3" i="10"/>
  <c r="E34" i="11" l="1"/>
  <c r="D34" i="11"/>
  <c r="B34" i="11"/>
  <c r="E33" i="11"/>
  <c r="D33" i="11"/>
  <c r="B33" i="11"/>
  <c r="E32" i="11"/>
  <c r="D32" i="11"/>
  <c r="B32" i="11"/>
  <c r="E31" i="11"/>
  <c r="D31" i="11"/>
  <c r="B31" i="11"/>
  <c r="E30" i="11"/>
  <c r="D30" i="11"/>
  <c r="B30" i="11"/>
  <c r="E29" i="11"/>
  <c r="D29" i="11"/>
  <c r="C29" i="11"/>
  <c r="B29" i="11"/>
  <c r="E28" i="11"/>
  <c r="D28" i="11"/>
  <c r="B28" i="11"/>
  <c r="E27" i="11"/>
  <c r="D27" i="11"/>
  <c r="B27" i="11"/>
  <c r="E26" i="11"/>
  <c r="D26" i="11"/>
  <c r="B26" i="11"/>
  <c r="E25" i="11"/>
  <c r="D25" i="11"/>
  <c r="B25" i="11"/>
  <c r="E23" i="11"/>
  <c r="D23" i="11"/>
  <c r="E22" i="11"/>
  <c r="D22" i="11"/>
  <c r="E21" i="11"/>
  <c r="D21" i="11"/>
  <c r="E20" i="11"/>
  <c r="D20" i="11"/>
  <c r="E19" i="11"/>
  <c r="D19" i="11"/>
  <c r="E18" i="11"/>
  <c r="D18" i="11"/>
  <c r="E17" i="11"/>
  <c r="D17" i="11"/>
  <c r="B23" i="11"/>
  <c r="B22" i="11"/>
  <c r="B21" i="11"/>
  <c r="B20" i="11"/>
  <c r="B19" i="11"/>
  <c r="B18" i="11"/>
  <c r="B17" i="11"/>
  <c r="E15" i="11"/>
  <c r="D15" i="11"/>
  <c r="B15" i="11"/>
  <c r="E14" i="11"/>
  <c r="D14" i="11"/>
  <c r="B14" i="11"/>
  <c r="E12" i="11"/>
  <c r="D12" i="11"/>
  <c r="B12" i="11"/>
  <c r="E11" i="11"/>
  <c r="D11" i="11"/>
  <c r="B11" i="11"/>
  <c r="E10" i="11"/>
  <c r="D10" i="11"/>
  <c r="B10" i="11"/>
  <c r="E9" i="11"/>
  <c r="D9" i="11"/>
  <c r="B9" i="11"/>
  <c r="B42" i="11" l="1"/>
  <c r="B3" i="11"/>
  <c r="B42" i="3"/>
  <c r="E57" i="11" l="1"/>
</calcChain>
</file>

<file path=xl/sharedStrings.xml><?xml version="1.0" encoding="utf-8"?>
<sst xmlns="http://schemas.openxmlformats.org/spreadsheetml/2006/main" count="1056" uniqueCount="206">
  <si>
    <t>Tariff</t>
  </si>
  <si>
    <t>Network</t>
  </si>
  <si>
    <t>Energy</t>
  </si>
  <si>
    <t>Demand</t>
  </si>
  <si>
    <t>Peak</t>
  </si>
  <si>
    <t>Shoulder</t>
  </si>
  <si>
    <t>Off-Peak</t>
  </si>
  <si>
    <t>Capacity</t>
  </si>
  <si>
    <t>Code</t>
  </si>
  <si>
    <t>Description</t>
  </si>
  <si>
    <t>Access</t>
  </si>
  <si>
    <t>All</t>
  </si>
  <si>
    <t>Charge</t>
  </si>
  <si>
    <t>$/Day</t>
  </si>
  <si>
    <t>c/kWh</t>
  </si>
  <si>
    <t>$/kVA/M</t>
  </si>
  <si>
    <t>Residential Tariffs</t>
  </si>
  <si>
    <t>BLNE2AU</t>
  </si>
  <si>
    <t>Business Tariffs</t>
  </si>
  <si>
    <t>Controlled Load Tariffs</t>
  </si>
  <si>
    <t>BLND1SR</t>
  </si>
  <si>
    <t>BLND1SU</t>
  </si>
  <si>
    <t>BHND1CO</t>
  </si>
  <si>
    <t>BSSD3AO</t>
  </si>
  <si>
    <t>Obsolete tariffs on same rate</t>
  </si>
  <si>
    <t>BLNN2AU</t>
  </si>
  <si>
    <t>BLNT3AU</t>
  </si>
  <si>
    <t>BLNC1AU</t>
  </si>
  <si>
    <t>BLNC2AU</t>
  </si>
  <si>
    <t>BLNN1AU</t>
  </si>
  <si>
    <t>BLNT2AU</t>
  </si>
  <si>
    <t>BLNT1AO</t>
  </si>
  <si>
    <t>BLND3AO</t>
  </si>
  <si>
    <t>BLNS1AO</t>
  </si>
  <si>
    <t>BHND3AO</t>
  </si>
  <si>
    <t>BHNS1AO</t>
  </si>
  <si>
    <t>BLNP1AO</t>
  </si>
  <si>
    <t>BLNP3AO</t>
  </si>
  <si>
    <t>Sub Trans 3 Rate Demand</t>
  </si>
  <si>
    <t>Controlled Load 1</t>
  </si>
  <si>
    <t>Controlled Load 2</t>
  </si>
  <si>
    <t>HV TOU mthly Demand</t>
  </si>
  <si>
    <t>LV Residential TOU</t>
  </si>
  <si>
    <t xml:space="preserve">LV TOU &lt;100MWh </t>
  </si>
  <si>
    <t>BLNN3AO</t>
  </si>
  <si>
    <t>Unmetered Tariffs</t>
  </si>
  <si>
    <t>Obsolete Tariffs - Not applicable to new connections</t>
  </si>
  <si>
    <t>LV TOU Demand 3 Rate</t>
  </si>
  <si>
    <t>LV TOU Demand 1 Rate</t>
  </si>
  <si>
    <t>Application</t>
  </si>
  <si>
    <t>Customer specific prices</t>
  </si>
  <si>
    <t>Subtransmission or Inter Distributor Transfers</t>
  </si>
  <si>
    <t>Various</t>
  </si>
  <si>
    <t>Obsolete</t>
  </si>
  <si>
    <t>LV 1 Rate Demand Sth Urban</t>
  </si>
  <si>
    <t>LV 1 Rate Demand Sth Rural</t>
  </si>
  <si>
    <t>HV 1 Rate Demand Cent Urban TOU</t>
  </si>
  <si>
    <t>HV 1 Rate Demand Sth Urban</t>
  </si>
  <si>
    <t>LV TOU avg daily Demand</t>
  </si>
  <si>
    <t>HV TOU avg daily Demand</t>
  </si>
  <si>
    <t>BLNE1AU</t>
  </si>
  <si>
    <t>BLND3TO</t>
  </si>
  <si>
    <t>BLNE3AU</t>
  </si>
  <si>
    <t>BLNE4AU</t>
  </si>
  <si>
    <t>BLNE12AU</t>
  </si>
  <si>
    <t>BLNE14AU</t>
  </si>
  <si>
    <t>BLNE11AU</t>
  </si>
  <si>
    <t>NSW Solar Bonus Scheme Net</t>
  </si>
  <si>
    <t>NSW Solar Bonus Scheme Gross</t>
  </si>
  <si>
    <t>Essential Energy Customer Specific</t>
  </si>
  <si>
    <t xml:space="preserve">NSW Solar bonus scheme rebate for net metering introduced by the NSW Government and applicable to residential customers who submitted an application on or before 18th November 2010 and purchased a system on or before 27th October 2010. Refer to Section 1.1 for GST application. </t>
  </si>
  <si>
    <t xml:space="preserve">NSW Solar bonus scheme rebate for gross metering introduced by the NSW Government and applicable to residential customers who submitted an application on or before 18th November 2010 and purchased a system on or before 27th October 2010. Refer to Section 1.1 for GST application. </t>
  </si>
  <si>
    <t xml:space="preserve">NSW Solar bonus scheme rebate for net metering introduced by the NSW Government and applicable to business customers who submitted an application on or before 18th November 2010 and purchased a system on or before 27th October 2010. Refer to Section 1.1 for GST application. </t>
  </si>
  <si>
    <t xml:space="preserve">NSW Solar bonus scheme rebate for gross metering introduced by the NSW Government and applicable to business customers who submitted an application on or before 18th November 2010 and purchased a system on or before 27th October 2010. Refer to Section 1.1 for GST application. </t>
  </si>
  <si>
    <t>LV TOU Demand Alternative tariff</t>
  </si>
  <si>
    <t xml:space="preserve">BLNE13AU
</t>
  </si>
  <si>
    <t>NSW Solar bonus scheme rebate for net metering introduced by the NSW Government and applicable to residential customers who joined the scheme after 18th November 2010 or purchased a system after 27th October 2010. Refer to Section 1.1 for GST application. Discontinued from 29 April 2011.</t>
  </si>
  <si>
    <t>NSW Solar bonus scheme rebate for gross metering introduced by the NSW Government and applicable to residential customers who joined the scheme after 18th November 2010 or purchased a system after 27th October 2010.  Refer to Section 1.1 for GST application. Discontinued from 29 April 2011.</t>
  </si>
  <si>
    <t>NSW Solar bonus scheme rebate for net metering introduced by the NSW Government and applicable to business customers who joined the scheme after 18th November 2010 or purchased a system after 27th October 2010. Refer to Section 1.1 for GST application. Discontinued from 1 April 2011.</t>
  </si>
  <si>
    <t>NSW Solar bonus scheme rebate for gross metering introduced by the NSW Government and applicable to business customers who joined the scheme after 18th November 2010 or purchased a system after 27th October 2010. Refer to Section 1.1 for GST application. Discontinued from 1 April 2011.</t>
  </si>
  <si>
    <t>BLNE20AU</t>
  </si>
  <si>
    <t>BLNE22AU</t>
  </si>
  <si>
    <t>BLNE21AU</t>
  </si>
  <si>
    <t>BLNE23AU</t>
  </si>
  <si>
    <t>Excluding GST</t>
  </si>
  <si>
    <t>Export Tariffs</t>
  </si>
  <si>
    <t>BLNE0AU</t>
  </si>
  <si>
    <t>Ineligible Export</t>
  </si>
  <si>
    <t>Generally for larger business use whose consumption exceeds 100 MWh per year.  The charges include a monthly maximum demand charge.  The maximum demand charge is metered on a half hour basis in kVA, which reflects the customer’s power factor.  New customers should be connected on BLND3AO.</t>
  </si>
  <si>
    <t>To all premises whose demand exceeds 72 kVA. New customers should be connected on BLND3AO.</t>
  </si>
  <si>
    <t>For larger business metered at HV Distribution System.  The charges include a monthly maximum demand charge.  The maximum demand is metered on a half hour basis in kVA, which reflects the customer’s power factor. New customers should be connected on BHND3AO.</t>
  </si>
  <si>
    <t>To business premises whose consumption is connected to the HV Distribution System. New customers should be connected on BHND3AO.</t>
  </si>
  <si>
    <t>BLNE30AU</t>
  </si>
  <si>
    <t>BLNE24AU</t>
  </si>
  <si>
    <t>BLNE25AU</t>
  </si>
  <si>
    <t>QLD Government Solar Bonus Scheme</t>
  </si>
  <si>
    <t>BLNE26AU</t>
  </si>
  <si>
    <t>BLNE27AU</t>
  </si>
  <si>
    <t xml:space="preserve">QLD Government Solar Bonus </t>
  </si>
  <si>
    <t>QLD Government Solar bonus scheme rebate for eligible residential customers located in Qld but connected to Essential Energy's Distribution Network. Discontinued 9 July 2012.</t>
  </si>
  <si>
    <t>QLD Government Solar bonus scheme rebate for eligible business customers located in Qld but connected to Essential Energy's Distribution Network. Discontinued 9 July 2012.</t>
  </si>
  <si>
    <t>QLD Government Solar bonus scheme rebate for eligible business customers located in Qld but connected to Essential Energy's Distribution Network. Discontinued 9 July 2012. This solar tariff has GST applied, please refer to Section 1.1 for GST application for other solar tariffs.</t>
  </si>
  <si>
    <t>NSW Solar Bonus Scheme Retailer Contribution</t>
  </si>
  <si>
    <t>BLND1CO
 BLND1NO</t>
  </si>
  <si>
    <t>BHND1SO
 BHTD1SO</t>
  </si>
  <si>
    <t>Tariff Code</t>
  </si>
  <si>
    <t>Obsolete Tariff Code</t>
  </si>
  <si>
    <t>LV Unmetered NUOS</t>
  </si>
  <si>
    <t>LV Public Street Lighting TOU NUOS</t>
  </si>
  <si>
    <t>Business Anytime Export gross metered</t>
  </si>
  <si>
    <t>Business Anytime Export net metered</t>
  </si>
  <si>
    <t>Residential Anytime Export gross metered</t>
  </si>
  <si>
    <t>Residential Anytime Export net metered</t>
  </si>
  <si>
    <t>Effective 1 July 2015</t>
  </si>
  <si>
    <t xml:space="preserve">LV TOU &lt;160MWh </t>
  </si>
  <si>
    <t>NSW Solar bonus scheme retailer contribution applicable to retailers who have customers on the Solar bonus scheme. Refer to Section 1.1 for GST application. From IPARTs Solar Feed-in Tariffs, dated June 2014. To be confirmed by IPART</t>
  </si>
  <si>
    <t>Essential Energy Interim Network Price List (Excluding GST)</t>
  </si>
  <si>
    <t>Explanation</t>
  </si>
  <si>
    <t xml:space="preserve">BLNT3AU LV Residential TOU  </t>
  </si>
  <si>
    <t>Premises wholly used as a private dwelling where consumption does not exceed 160 MWh per year and they have a TOU capable meter.</t>
  </si>
  <si>
    <t>BLNC1AU Controlled Load 1</t>
  </si>
  <si>
    <t>BLNC2AU Controlled Load 2</t>
  </si>
  <si>
    <t>To all residential and business premises where the premise has another primary metering point present and at the same metering point as the secondary load and the load is remotely controlled.  Applicable to loads such as water heating, swimming pool pumps, heat pumps etc.  Loads must be permanently connected or on a dedicated power circuit with indicators to show when supply is available.  Supply will be made available for 10 to 18 hours per day on weekdays and all hours on weekends except where the load is controlled by a time clock.</t>
  </si>
  <si>
    <t>BLNE21AU Anytime Export Gross metered</t>
  </si>
  <si>
    <t>Residential premises with a gross metered export tariff and no rebate applicable</t>
  </si>
  <si>
    <t>BLNE23AU Anytime Export Net metered</t>
  </si>
  <si>
    <t>Residential premises with a net metered export tariff and no rebate applicable</t>
  </si>
  <si>
    <t>BLNE20AU Anytime Export Gross metered</t>
  </si>
  <si>
    <t>Business premises with a gross metered export tariff and no rebate applicable</t>
  </si>
  <si>
    <t>BLNE22AU Anytime Export Net metered</t>
  </si>
  <si>
    <t>Business premises with a net metered export tariff and no rebate applicable</t>
  </si>
  <si>
    <t>BLNE0AU Ineligible Export</t>
  </si>
  <si>
    <t>Where application to connect to grid has not yet been approved.</t>
  </si>
  <si>
    <t>BLNE26AU QLD Government Solar Bonus</t>
  </si>
  <si>
    <t>BLNE27AU QLD Government Solar Bonus</t>
  </si>
  <si>
    <r>
      <t>QLD Government Solar bonus scheme for eligible business customers located in</t>
    </r>
    <r>
      <rPr>
        <b/>
        <sz val="9"/>
        <rFont val="Arial"/>
        <family val="2"/>
      </rPr>
      <t xml:space="preserve"> </t>
    </r>
    <r>
      <rPr>
        <sz val="9"/>
        <rFont val="Arial"/>
        <family val="2"/>
      </rPr>
      <t>Qld but connected to Essential Energy's Distribution Network.</t>
    </r>
  </si>
  <si>
    <t>BLNT2AU LV TOU &lt;100MWh</t>
  </si>
  <si>
    <t>Business premises whose consumption does not exceed 100 MWh per year and they have a TOU capable meter.</t>
  </si>
  <si>
    <t>BLNT1AO LV TOU &lt;160MWh</t>
  </si>
  <si>
    <t>Only available to business premises whose consumption does not exceed 160 MWh per year.</t>
  </si>
  <si>
    <r>
      <t>BLND3AO LV TOU Demand 3</t>
    </r>
    <r>
      <rPr>
        <sz val="9"/>
        <rFont val="Arial"/>
        <family val="2"/>
      </rPr>
      <t xml:space="preserve"> </t>
    </r>
    <r>
      <rPr>
        <b/>
        <sz val="9"/>
        <rFont val="Arial"/>
        <family val="2"/>
      </rPr>
      <t>Rate</t>
    </r>
    <r>
      <rPr>
        <sz val="9"/>
        <rFont val="Arial"/>
        <family val="2"/>
      </rPr>
      <t xml:space="preserve">  </t>
    </r>
  </si>
  <si>
    <t xml:space="preserve">Business premises whose consumption exceeds 160MWh per year and connected to the LV Distribution System. </t>
  </si>
  <si>
    <r>
      <t>BLNS1AO LV TOU Avg daily Demand</t>
    </r>
    <r>
      <rPr>
        <sz val="9"/>
        <rFont val="Arial"/>
        <family val="2"/>
      </rPr>
      <t xml:space="preserve">  </t>
    </r>
  </si>
  <si>
    <t>1.  The daily kVA maximum demand in each of the Peak, Shoulder and Off Peak periods will be metered for each day of the month.</t>
  </si>
  <si>
    <t>2.  The metered kVA Demand for each day of the Peak, Shoulder and Off-Peak periods will be summed for the month and divided by the number of days in the month when the load occurs.  This means that Peak and Shoulder Demand will be divided by the number of week days, and Off Peak Demand by the total number of days.</t>
  </si>
  <si>
    <t>3.  The average TOU Demand calculated above will be multiplied by the TOU Demand rates.</t>
  </si>
  <si>
    <t xml:space="preserve">4.  No adjustments to billable demand shall be made for pre-season “test runs”.          </t>
  </si>
  <si>
    <r>
      <t>BLND3TO LV TOU Demand Alternative Tariff</t>
    </r>
    <r>
      <rPr>
        <sz val="9"/>
        <rFont val="Arial"/>
        <family val="2"/>
      </rPr>
      <t xml:space="preserve">  </t>
    </r>
  </si>
  <si>
    <t xml:space="preserve">The Demand Charge is based on the highest measured half-hour kVA demand registered in either the peak or shoulder periods during the month.  </t>
  </si>
  <si>
    <t>BHND3AO HV TOU Mthly Demand</t>
  </si>
  <si>
    <t>Business premises whose consumption is connected to the HV Distribution System and metered at HV.</t>
  </si>
  <si>
    <r>
      <t>BHNS1AO</t>
    </r>
    <r>
      <rPr>
        <b/>
        <sz val="11"/>
        <rFont val="Franklin Gothic Book"/>
        <family val="2"/>
      </rPr>
      <t xml:space="preserve"> </t>
    </r>
    <r>
      <rPr>
        <b/>
        <sz val="9"/>
        <rFont val="Arial"/>
        <family val="2"/>
      </rPr>
      <t>HV TOU Avg daily Demand</t>
    </r>
    <r>
      <rPr>
        <sz val="9"/>
        <rFont val="Arial"/>
        <family val="2"/>
      </rPr>
      <t xml:space="preserve">  </t>
    </r>
  </si>
  <si>
    <t>2.  The metered kVA Demand for each day of the Peak, Shoulder and Off-Peak periods will be summed for the month and divided by the number of days in the month when the load occurs.  This means that Peak and Shoulder Demand will be divided by the number of week days.  Off Peak Demand by the total number of days.</t>
  </si>
  <si>
    <t xml:space="preserve">4.  No adjustments to billable demand shall be made for pre-season “test runs”.       </t>
  </si>
  <si>
    <t>BSSD3AO Sub Trans 3 Rate Demand</t>
  </si>
  <si>
    <t>Applicable to connections at a subtransmission voltage as defined by Essential Energy.  Please note that this tariff is not applicable for connection to dual purpose subtransmission/distribution circuits</t>
  </si>
  <si>
    <t>BLNP1AO LV Unmetered NUOS</t>
  </si>
  <si>
    <t>Refer to Unmetered Supply section 2 Definitions. All new unmetered supply connections will have this tariff applied.</t>
  </si>
  <si>
    <t>BLNP3AO LV Public Street Lighting TOU NUOS</t>
  </si>
  <si>
    <t>Refer to Unmetered Supply section 2 Definitions. All new public street lighting connections will have this tariff applied.</t>
  </si>
  <si>
    <t xml:space="preserve">Customer specific prices </t>
  </si>
  <si>
    <t>Refer Explanatory Notes 1.7 Customer Specific (cost reflective network prices)</t>
  </si>
  <si>
    <t>EXPLANATION OF NETWORK TARIFFS</t>
  </si>
  <si>
    <r>
      <rPr>
        <sz val="9"/>
        <rFont val="Arial"/>
        <family val="2"/>
      </rPr>
      <t>QLD Government Solar bonus scheme for eligible residential customers located in</t>
    </r>
    <r>
      <rPr>
        <b/>
        <sz val="9"/>
        <rFont val="Arial"/>
        <family val="2"/>
      </rPr>
      <t xml:space="preserve"> </t>
    </r>
    <r>
      <rPr>
        <sz val="9"/>
        <rFont val="Arial"/>
        <family val="2"/>
      </rPr>
      <t>Qld but connected to Essential Energy's Distribution Network.</t>
    </r>
  </si>
  <si>
    <t>BLNT3AL</t>
  </si>
  <si>
    <t>LV Residential TOU_Interval meter</t>
  </si>
  <si>
    <t>BLND1AR</t>
  </si>
  <si>
    <t>BLNT1SU</t>
  </si>
  <si>
    <t>BLNT2AL</t>
  </si>
  <si>
    <t>LV Business TOU_Interval meter</t>
  </si>
  <si>
    <t>BLND1AB</t>
  </si>
  <si>
    <t>Anytime</t>
  </si>
  <si>
    <t>BLNDTRS</t>
  </si>
  <si>
    <t>Transitional Demand</t>
  </si>
  <si>
    <r>
      <t xml:space="preserve">Essential Energy </t>
    </r>
    <r>
      <rPr>
        <sz val="26"/>
        <color indexed="9"/>
        <rFont val="Arial"/>
        <family val="2"/>
      </rPr>
      <t>Network Price List - DUOS Component (Excluding GST)</t>
    </r>
  </si>
  <si>
    <t>Essential Energy Network Price List - TUOS Component (Excluding GST)</t>
  </si>
  <si>
    <t>Essential Energy Network Price List - CCF Component (Excluding GST)</t>
  </si>
  <si>
    <t>Essential Energy Network Price List - QSS Component (Excluding GST)</t>
  </si>
  <si>
    <t>LV Residential Anytime</t>
  </si>
  <si>
    <t>LV Small Business Anytime</t>
  </si>
  <si>
    <t>Small Residential - Opt in Demand</t>
  </si>
  <si>
    <t>Small Business - Opt in Demand</t>
  </si>
  <si>
    <t>BLNN2AU  LV Residential Anytime</t>
  </si>
  <si>
    <t xml:space="preserve">Premises wholly used as a private dwelling where consumption does not exceed 160 MWh per year. </t>
  </si>
  <si>
    <t>BLNT3AL LV Residential TOU_Interval meter</t>
  </si>
  <si>
    <t>BLND1AR Small Residential - Opt in Demand</t>
  </si>
  <si>
    <r>
      <t>BLNN1AU</t>
    </r>
    <r>
      <rPr>
        <b/>
        <sz val="11"/>
        <rFont val="Franklin Gothic Book"/>
        <family val="2"/>
      </rPr>
      <t xml:space="preserve"> </t>
    </r>
    <r>
      <rPr>
        <b/>
        <sz val="9"/>
        <rFont val="Arial"/>
        <family val="2"/>
      </rPr>
      <t>LV Small Business Anytime</t>
    </r>
  </si>
  <si>
    <t xml:space="preserve">Business premises whose consumption does not exceed 100 MWh per year.  </t>
  </si>
  <si>
    <t>BLNT2AL LV Business TOU_Interval meter</t>
  </si>
  <si>
    <t>BLND1AB Small Business - Opt in Demand</t>
  </si>
  <si>
    <t>BLNDTRS Transitional Demand</t>
  </si>
  <si>
    <t>Premises wholly used as a private dwelling where consumption does not exceed 160 MWh per year and they have an Interval capable meter.</t>
  </si>
  <si>
    <t>Business premises whose consumption does not exceed 100 MWh per year and they have an Interval capable meter.</t>
  </si>
  <si>
    <t xml:space="preserve">Eligible customers will be automatically assigned to this tariff by Essential Energy and it is not available by request. 
This tariff is for customers that have been identified on an Anytime tariff or Time-of-Use tariff but do not meet the associated eligibility requirements for those tariffs. 
Applies from 1 July 2017 and will be assigned to customers who would otherwise be worse off from being moved to the applicable Demand tariff at that date. The tariff will transition over 5 years to the rate of BLND3AO
1. Low voltage connection
2. Premises where consumption exceeds 160 MWh per year
3. Interval capable meter </t>
  </si>
  <si>
    <r>
      <t xml:space="preserve">Essential Energy </t>
    </r>
    <r>
      <rPr>
        <sz val="26"/>
        <color indexed="9"/>
        <rFont val="Arial"/>
        <family val="2"/>
      </rPr>
      <t>Network Price List (Excluding GST)</t>
    </r>
  </si>
  <si>
    <t>Essential Energy Network Price List (Excluding GST)</t>
  </si>
  <si>
    <t>Essential Energy Network Price List (Including GST)</t>
  </si>
  <si>
    <t>LV ToU &lt;160 MWh</t>
  </si>
  <si>
    <t>Only available to business premises whose consumption does not exceed 160 MWh per year. New customers should be connected on BLNT1AO</t>
  </si>
  <si>
    <t>Not available to new customers. Customers who have a monthly load factor greater than 60% for at least 4 of the most recent 12 months coinciding with a minimum on season anytime monthly demand of 1500 kVA. This is intended for customers with a seasonal demand. Demand Charges will be calculated as follows:</t>
  </si>
  <si>
    <t>Not available to new customers. Business premises whose consumption is connected to the HV Distribution System and metered at HV. Available to customers who have a monthly load factor greater than 60% for at least 4 of the most recent 12 months coinciding with a minimum on season anytime monthly demand of 1500 kVA. (The minimum demand and load factor requirements will be waived where a generator supports a substantial part of the load on the load side of the meter.) This is intended for customers with a seasonal demand. Demand Charges will be calculated as follows:</t>
  </si>
  <si>
    <t>Effective 1 July 2023</t>
  </si>
  <si>
    <t xml:space="preserve"> BHND1SO
  BHTD1SO</t>
  </si>
  <si>
    <t xml:space="preserve"> BLND1CO
  BLND1NO</t>
  </si>
  <si>
    <t>Essential Energy Network Price List - Roadmap Component (Excluding GST)</t>
  </si>
  <si>
    <t>To all residential and business premises where the premise has another primary metering point present at the same metering point as the secondary load and the load is remotely controlled.  Applicable to loads such as water heating, swimming pool pumps etc.  Loads must be permanently connected or on a dedicated power circuit with indicators to show when supply is available.  Supply will be made available for 5 to 9 hours on weekdays and extra hours on weekends except where the load is controlled by a time clock.  Note: This tariff is not available for the top boost element of a two element water heater for new connections.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</si>
</sst>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0_-;\-* #,##0.0000_-;_-* &quot;-&quot;??_-;_-@_-"/>
    <numFmt numFmtId="165" formatCode="#,##0.0000_ ;[Red]\-#,##0.0000\ "/>
    <numFmt numFmtId="166" formatCode="#,##0.0000;\-#,##0.0000"/>
  </numFmts>
  <fonts count="27" x14ac:knownFonts="1">
    <font>
      <sz val="11"/>
      <name val="Franklin Gothic Book"/>
    </font>
    <font>
      <sz val="11"/>
      <name val="Franklin Gothic Book"/>
      <family val="2"/>
    </font>
    <font>
      <sz val="10"/>
      <name val="Arial"/>
      <family val="2"/>
    </font>
    <font>
      <sz val="11"/>
      <color indexed="9"/>
      <name val="Arial"/>
      <family val="2"/>
    </font>
    <font>
      <sz val="26"/>
      <color indexed="9"/>
      <name val="Arial"/>
      <family val="2"/>
    </font>
    <font>
      <b/>
      <sz val="12"/>
      <color indexed="9"/>
      <name val="Arial"/>
      <family val="2"/>
    </font>
    <font>
      <sz val="11"/>
      <name val="Arial"/>
      <family val="2"/>
    </font>
    <font>
      <sz val="12"/>
      <color indexed="9"/>
      <name val="Arial"/>
      <family val="2"/>
    </font>
    <font>
      <b/>
      <sz val="11"/>
      <color indexed="9"/>
      <name val="Arial"/>
      <family val="2"/>
    </font>
    <font>
      <b/>
      <sz val="10"/>
      <color indexed="9"/>
      <name val="Arial"/>
      <family val="2"/>
    </font>
    <font>
      <b/>
      <sz val="11"/>
      <color indexed="8"/>
      <name val="Arial"/>
      <family val="2"/>
    </font>
    <font>
      <sz val="11"/>
      <color indexed="8"/>
      <name val="Arial"/>
      <family val="2"/>
    </font>
    <font>
      <sz val="11"/>
      <color rgb="FFFF0000"/>
      <name val="Arial"/>
      <family val="2"/>
    </font>
    <font>
      <sz val="11"/>
      <color theme="1"/>
      <name val="Arial"/>
      <family val="2"/>
    </font>
    <font>
      <sz val="11"/>
      <color indexed="10"/>
      <name val="Arial"/>
      <family val="2"/>
    </font>
    <font>
      <sz val="14"/>
      <name val="Arial"/>
      <family val="2"/>
    </font>
    <font>
      <b/>
      <sz val="14"/>
      <color indexed="8"/>
      <name val="Arial"/>
      <family val="2"/>
    </font>
    <font>
      <sz val="14"/>
      <color indexed="8"/>
      <name val="Arial"/>
      <family val="2"/>
    </font>
    <font>
      <b/>
      <sz val="11"/>
      <name val="Franklin Gothic Book"/>
      <family val="2"/>
    </font>
    <font>
      <b/>
      <sz val="11"/>
      <color rgb="FFFFFFFF"/>
      <name val="Arial"/>
      <family val="2"/>
    </font>
    <font>
      <b/>
      <sz val="9"/>
      <name val="Arial"/>
      <family val="2"/>
    </font>
    <font>
      <sz val="9"/>
      <name val="Arial"/>
      <family val="2"/>
    </font>
    <font>
      <sz val="26"/>
      <color theme="0"/>
      <name val="Arial"/>
      <family val="2"/>
    </font>
    <font>
      <sz val="11"/>
      <color theme="0"/>
      <name val="Arial"/>
      <family val="2"/>
    </font>
    <font>
      <b/>
      <sz val="12"/>
      <color theme="0"/>
      <name val="Arial"/>
      <family val="2"/>
    </font>
    <font>
      <sz val="12"/>
      <color theme="0"/>
      <name val="Arial"/>
      <family val="2"/>
    </font>
    <font>
      <b/>
      <sz val="11"/>
      <color theme="0"/>
      <name val="Arial"/>
      <family val="2"/>
    </font>
  </fonts>
  <fills count="9">
    <fill>
      <patternFill patternType="none"/>
    </fill>
    <fill>
      <patternFill patternType="gray125"/>
    </fill>
    <fill>
      <patternFill patternType="solid">
        <fgColor indexed="41"/>
        <bgColor indexed="64"/>
      </patternFill>
    </fill>
    <fill>
      <patternFill patternType="solid">
        <fgColor indexed="23"/>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006A71"/>
        <bgColor indexed="64"/>
      </patternFill>
    </fill>
    <fill>
      <patternFill patternType="solid">
        <fgColor rgb="FF808080"/>
        <bgColor indexed="64"/>
      </patternFill>
    </fill>
  </fills>
  <borders count="2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rgb="FF006A71"/>
      </left>
      <right style="medium">
        <color rgb="FF006A71"/>
      </right>
      <top style="medium">
        <color rgb="FF006A71"/>
      </top>
      <bottom style="medium">
        <color rgb="FF006A71"/>
      </bottom>
      <diagonal/>
    </border>
    <border>
      <left/>
      <right style="medium">
        <color rgb="FF006A71"/>
      </right>
      <top style="medium">
        <color rgb="FF006A71"/>
      </top>
      <bottom style="medium">
        <color rgb="FF006A71"/>
      </bottom>
      <diagonal/>
    </border>
    <border>
      <left style="medium">
        <color rgb="FF006A71"/>
      </left>
      <right style="medium">
        <color rgb="FF006A71"/>
      </right>
      <top/>
      <bottom style="medium">
        <color rgb="FF006A71"/>
      </bottom>
      <diagonal/>
    </border>
    <border>
      <left style="medium">
        <color rgb="FF006A71"/>
      </left>
      <right style="medium">
        <color rgb="FF006A71"/>
      </right>
      <top/>
      <bottom/>
      <diagonal/>
    </border>
    <border>
      <left/>
      <right style="medium">
        <color rgb="FF006A71"/>
      </right>
      <top/>
      <bottom style="medium">
        <color rgb="FF006A71"/>
      </bottom>
      <diagonal/>
    </border>
    <border>
      <left/>
      <right style="medium">
        <color rgb="FF006A71"/>
      </right>
      <top/>
      <bottom/>
      <diagonal/>
    </border>
    <border>
      <left style="medium">
        <color rgb="FF006A71"/>
      </left>
      <right style="medium">
        <color rgb="FF006A71"/>
      </right>
      <top style="medium">
        <color rgb="FF006A71"/>
      </top>
      <bottom/>
      <diagonal/>
    </border>
  </borders>
  <cellStyleXfs count="3">
    <xf numFmtId="0" fontId="0" fillId="0" borderId="0"/>
    <xf numFmtId="43" fontId="1" fillId="0" borderId="0" applyFont="0" applyFill="0" applyBorder="0" applyAlignment="0" applyProtection="0"/>
    <xf numFmtId="3" fontId="2" fillId="2" borderId="0" applyNumberFormat="0" applyFont="0" applyBorder="0" applyAlignment="0">
      <alignment horizontal="right"/>
      <protection locked="0"/>
    </xf>
  </cellStyleXfs>
  <cellXfs count="170">
    <xf numFmtId="0" fontId="0" fillId="0" borderId="0" xfId="0"/>
    <xf numFmtId="0" fontId="3" fillId="5" borderId="0" xfId="0" applyFont="1" applyFill="1"/>
    <xf numFmtId="0" fontId="4" fillId="3" borderId="1" xfId="0" applyFont="1" applyFill="1" applyBorder="1" applyAlignment="1">
      <alignment horizontal="left"/>
    </xf>
    <xf numFmtId="0" fontId="4" fillId="3" borderId="14" xfId="0" applyFont="1" applyFill="1" applyBorder="1" applyAlignment="1">
      <alignment horizontal="left"/>
    </xf>
    <xf numFmtId="0" fontId="3" fillId="3" borderId="14" xfId="0" applyFont="1" applyFill="1" applyBorder="1"/>
    <xf numFmtId="0" fontId="5" fillId="3" borderId="14" xfId="0" applyFont="1" applyFill="1" applyBorder="1" applyAlignment="1">
      <alignment horizontal="center"/>
    </xf>
    <xf numFmtId="0" fontId="3" fillId="3" borderId="3" xfId="0" applyFont="1" applyFill="1" applyBorder="1"/>
    <xf numFmtId="0" fontId="6" fillId="0" borderId="0" xfId="0" applyFont="1"/>
    <xf numFmtId="0" fontId="3" fillId="3" borderId="0" xfId="0" applyFont="1" applyFill="1"/>
    <xf numFmtId="0" fontId="3" fillId="3" borderId="6" xfId="0" applyFont="1" applyFill="1" applyBorder="1"/>
    <xf numFmtId="0" fontId="8" fillId="3" borderId="7" xfId="0" applyFont="1" applyFill="1" applyBorder="1"/>
    <xf numFmtId="0" fontId="8" fillId="3" borderId="15" xfId="0" applyFont="1" applyFill="1" applyBorder="1"/>
    <xf numFmtId="0" fontId="3" fillId="3" borderId="15" xfId="0" applyFont="1" applyFill="1" applyBorder="1"/>
    <xf numFmtId="0" fontId="3" fillId="3" borderId="9" xfId="0" applyFont="1" applyFill="1" applyBorder="1"/>
    <xf numFmtId="0" fontId="6" fillId="5" borderId="0" xfId="0" applyFont="1" applyFill="1"/>
    <xf numFmtId="0" fontId="6" fillId="5" borderId="0" xfId="0" applyFont="1" applyFill="1" applyAlignment="1">
      <alignment wrapText="1"/>
    </xf>
    <xf numFmtId="0" fontId="9" fillId="3" borderId="8" xfId="0" applyFont="1" applyFill="1" applyBorder="1" applyAlignment="1">
      <alignment horizontal="center" wrapText="1"/>
    </xf>
    <xf numFmtId="0" fontId="6" fillId="0" borderId="0" xfId="0" applyFont="1" applyAlignment="1">
      <alignment wrapText="1"/>
    </xf>
    <xf numFmtId="43" fontId="11" fillId="0" borderId="10" xfId="1" applyFont="1" applyFill="1" applyBorder="1" applyAlignment="1" applyProtection="1">
      <alignment horizontal="left" vertical="center"/>
      <protection locked="0"/>
    </xf>
    <xf numFmtId="43" fontId="11" fillId="0" borderId="10" xfId="1" applyFont="1" applyFill="1" applyBorder="1" applyAlignment="1" applyProtection="1">
      <alignment horizontal="left" vertical="center" wrapText="1"/>
      <protection locked="0"/>
    </xf>
    <xf numFmtId="164" fontId="6" fillId="0" borderId="10" xfId="1" applyNumberFormat="1" applyFont="1" applyFill="1" applyBorder="1" applyAlignment="1" applyProtection="1">
      <alignment horizontal="center" vertical="center"/>
      <protection locked="0"/>
    </xf>
    <xf numFmtId="0" fontId="10" fillId="4" borderId="2" xfId="0" applyFont="1" applyFill="1" applyBorder="1" applyProtection="1">
      <protection locked="0"/>
    </xf>
    <xf numFmtId="0" fontId="11" fillId="4" borderId="1" xfId="0" applyFont="1" applyFill="1" applyBorder="1" applyProtection="1">
      <protection locked="0"/>
    </xf>
    <xf numFmtId="164" fontId="11" fillId="4" borderId="2" xfId="1" applyNumberFormat="1" applyFont="1" applyFill="1" applyBorder="1" applyAlignment="1" applyProtection="1">
      <alignment horizontal="left"/>
      <protection locked="0"/>
    </xf>
    <xf numFmtId="43" fontId="13" fillId="5" borderId="10" xfId="1" applyFont="1" applyFill="1" applyBorder="1" applyAlignment="1" applyProtection="1">
      <alignment horizontal="left" vertical="center"/>
      <protection locked="0"/>
    </xf>
    <xf numFmtId="164" fontId="11" fillId="0" borderId="10" xfId="1" applyNumberFormat="1" applyFont="1" applyFill="1" applyBorder="1" applyAlignment="1" applyProtection="1">
      <alignment horizontal="center" vertical="center"/>
      <protection locked="0"/>
    </xf>
    <xf numFmtId="0" fontId="12" fillId="5" borderId="6" xfId="0" applyFont="1" applyFill="1" applyBorder="1" applyAlignment="1">
      <alignment vertical="center" wrapText="1"/>
    </xf>
    <xf numFmtId="0" fontId="12" fillId="0" borderId="6" xfId="0" applyFont="1" applyBorder="1" applyAlignment="1">
      <alignment vertical="center" wrapText="1"/>
    </xf>
    <xf numFmtId="43" fontId="13" fillId="0" borderId="10" xfId="1" applyFont="1" applyFill="1" applyBorder="1" applyAlignment="1" applyProtection="1">
      <alignment horizontal="left" vertical="center"/>
      <protection locked="0"/>
    </xf>
    <xf numFmtId="165" fontId="11" fillId="0" borderId="10" xfId="1" applyNumberFormat="1" applyFont="1" applyFill="1" applyBorder="1" applyAlignment="1" applyProtection="1">
      <alignment horizontal="center" vertical="center"/>
      <protection locked="0"/>
    </xf>
    <xf numFmtId="43" fontId="11" fillId="0" borderId="11" xfId="1" applyFont="1" applyFill="1" applyBorder="1" applyAlignment="1" applyProtection="1">
      <alignment horizontal="left" vertical="center" wrapText="1"/>
      <protection locked="0"/>
    </xf>
    <xf numFmtId="43" fontId="11" fillId="0" borderId="0" xfId="1" applyFont="1" applyFill="1" applyBorder="1" applyAlignment="1" applyProtection="1">
      <alignment horizontal="left" vertical="center" wrapText="1"/>
      <protection locked="0"/>
    </xf>
    <xf numFmtId="43" fontId="11" fillId="0" borderId="0" xfId="1" applyFont="1" applyFill="1" applyBorder="1" applyAlignment="1" applyProtection="1">
      <alignment horizontal="center" vertical="center" wrapText="1"/>
      <protection locked="0"/>
    </xf>
    <xf numFmtId="164" fontId="11" fillId="0" borderId="0" xfId="1" applyNumberFormat="1" applyFont="1" applyFill="1" applyBorder="1" applyAlignment="1" applyProtection="1">
      <alignment horizontal="center" vertical="center"/>
      <protection locked="0"/>
    </xf>
    <xf numFmtId="1" fontId="8" fillId="3" borderId="2" xfId="0" applyNumberFormat="1" applyFont="1" applyFill="1" applyBorder="1" applyAlignment="1">
      <alignment horizontal="center"/>
    </xf>
    <xf numFmtId="0" fontId="8" fillId="3" borderId="2" xfId="0" applyFont="1" applyFill="1" applyBorder="1" applyAlignment="1">
      <alignment horizontal="center"/>
    </xf>
    <xf numFmtId="1" fontId="8" fillId="3" borderId="2" xfId="0" applyNumberFormat="1" applyFont="1" applyFill="1" applyBorder="1" applyAlignment="1">
      <alignment horizontal="left"/>
    </xf>
    <xf numFmtId="0" fontId="8" fillId="3" borderId="5" xfId="0" applyFont="1" applyFill="1" applyBorder="1" applyAlignment="1">
      <alignment horizontal="center"/>
    </xf>
    <xf numFmtId="0" fontId="8" fillId="3" borderId="5" xfId="0" applyFont="1" applyFill="1" applyBorder="1" applyAlignment="1">
      <alignment horizontal="left"/>
    </xf>
    <xf numFmtId="164" fontId="11" fillId="4" borderId="3" xfId="1" applyNumberFormat="1" applyFont="1" applyFill="1" applyBorder="1" applyAlignment="1" applyProtection="1">
      <alignment horizontal="left"/>
      <protection locked="0"/>
    </xf>
    <xf numFmtId="0" fontId="14" fillId="5" borderId="0" xfId="0" applyFont="1" applyFill="1"/>
    <xf numFmtId="0" fontId="14" fillId="0" borderId="0" xfId="0" applyFont="1"/>
    <xf numFmtId="0" fontId="3" fillId="3" borderId="1" xfId="0" applyFont="1" applyFill="1" applyBorder="1" applyAlignment="1">
      <alignment horizontal="left"/>
    </xf>
    <xf numFmtId="0" fontId="3" fillId="3" borderId="3" xfId="0" applyFont="1" applyFill="1" applyBorder="1" applyAlignment="1">
      <alignment horizontal="left"/>
    </xf>
    <xf numFmtId="0" fontId="8" fillId="3" borderId="4" xfId="0" applyFont="1" applyFill="1" applyBorder="1"/>
    <xf numFmtId="0" fontId="3" fillId="3" borderId="4" xfId="0" applyFont="1" applyFill="1" applyBorder="1" applyAlignment="1">
      <alignment horizontal="left"/>
    </xf>
    <xf numFmtId="0" fontId="3" fillId="3" borderId="6" xfId="0" applyFont="1" applyFill="1" applyBorder="1" applyAlignment="1">
      <alignment horizontal="left"/>
    </xf>
    <xf numFmtId="0" fontId="3" fillId="3" borderId="7" xfId="0" applyFont="1" applyFill="1" applyBorder="1" applyAlignment="1">
      <alignment horizontal="left" wrapText="1"/>
    </xf>
    <xf numFmtId="0" fontId="8" fillId="3" borderId="2" xfId="0" applyFont="1" applyFill="1" applyBorder="1" applyAlignment="1">
      <alignment horizontal="left"/>
    </xf>
    <xf numFmtId="0" fontId="8" fillId="3" borderId="5" xfId="0" applyFont="1" applyFill="1" applyBorder="1"/>
    <xf numFmtId="0" fontId="8" fillId="3" borderId="7" xfId="0" applyFont="1" applyFill="1" applyBorder="1" applyAlignment="1">
      <alignment horizontal="left" wrapText="1"/>
    </xf>
    <xf numFmtId="164" fontId="6" fillId="0" borderId="0" xfId="0" applyNumberFormat="1" applyFont="1"/>
    <xf numFmtId="1" fontId="8" fillId="3" borderId="5" xfId="0" applyNumberFormat="1" applyFont="1" applyFill="1" applyBorder="1" applyAlignment="1">
      <alignment horizontal="center"/>
    </xf>
    <xf numFmtId="0" fontId="8" fillId="3" borderId="8" xfId="0" applyFont="1" applyFill="1" applyBorder="1" applyAlignment="1">
      <alignment horizontal="center" wrapText="1"/>
    </xf>
    <xf numFmtId="0" fontId="15" fillId="5" borderId="0" xfId="0" applyFont="1" applyFill="1"/>
    <xf numFmtId="0" fontId="16" fillId="4" borderId="2" xfId="0" applyFont="1" applyFill="1" applyBorder="1"/>
    <xf numFmtId="0" fontId="16" fillId="4" borderId="5" xfId="0" applyFont="1" applyFill="1" applyBorder="1"/>
    <xf numFmtId="0" fontId="17" fillId="4" borderId="1" xfId="0" applyFont="1" applyFill="1" applyBorder="1"/>
    <xf numFmtId="0" fontId="17" fillId="4" borderId="3" xfId="0" applyFont="1" applyFill="1" applyBorder="1"/>
    <xf numFmtId="0" fontId="16" fillId="4" borderId="2" xfId="0" applyFont="1" applyFill="1" applyBorder="1" applyAlignment="1">
      <alignment horizontal="center"/>
    </xf>
    <xf numFmtId="0" fontId="15" fillId="0" borderId="0" xfId="0" applyFont="1"/>
    <xf numFmtId="43" fontId="17" fillId="4" borderId="4" xfId="1" applyFont="1" applyFill="1" applyBorder="1" applyAlignment="1" applyProtection="1">
      <alignment horizontal="left"/>
      <protection locked="0"/>
    </xf>
    <xf numFmtId="43" fontId="17" fillId="4" borderId="6" xfId="1" applyFont="1" applyFill="1" applyBorder="1" applyAlignment="1" applyProtection="1">
      <alignment horizontal="left"/>
      <protection locked="0"/>
    </xf>
    <xf numFmtId="164" fontId="17" fillId="4" borderId="5" xfId="1" applyNumberFormat="1" applyFont="1" applyFill="1" applyBorder="1" applyAlignment="1" applyProtection="1">
      <alignment horizontal="right"/>
      <protection locked="0"/>
    </xf>
    <xf numFmtId="164" fontId="17" fillId="4" borderId="5" xfId="1" applyNumberFormat="1" applyFont="1" applyFill="1" applyBorder="1" applyAlignment="1" applyProtection="1">
      <alignment horizontal="left"/>
      <protection locked="0"/>
    </xf>
    <xf numFmtId="0" fontId="16" fillId="4" borderId="2" xfId="0" applyFont="1" applyFill="1" applyBorder="1" applyProtection="1">
      <protection locked="0"/>
    </xf>
    <xf numFmtId="0" fontId="17" fillId="4" borderId="1" xfId="0" applyFont="1" applyFill="1" applyBorder="1" applyProtection="1">
      <protection locked="0"/>
    </xf>
    <xf numFmtId="0" fontId="17" fillId="4" borderId="3" xfId="0" applyFont="1" applyFill="1" applyBorder="1" applyProtection="1">
      <protection locked="0"/>
    </xf>
    <xf numFmtId="164" fontId="17" fillId="4" borderId="2" xfId="1" applyNumberFormat="1" applyFont="1" applyFill="1" applyBorder="1" applyAlignment="1" applyProtection="1">
      <alignment horizontal="left"/>
      <protection locked="0"/>
    </xf>
    <xf numFmtId="164" fontId="17" fillId="4" borderId="2" xfId="1" applyNumberFormat="1" applyFont="1" applyFill="1" applyBorder="1" applyAlignment="1" applyProtection="1">
      <alignment horizontal="center"/>
      <protection locked="0"/>
    </xf>
    <xf numFmtId="164" fontId="17" fillId="4" borderId="3" xfId="1" applyNumberFormat="1" applyFont="1" applyFill="1" applyBorder="1" applyAlignment="1" applyProtection="1">
      <alignment horizontal="left"/>
      <protection locked="0"/>
    </xf>
    <xf numFmtId="0" fontId="7" fillId="3" borderId="7" xfId="0" applyFont="1" applyFill="1" applyBorder="1" applyAlignment="1">
      <alignment horizontal="left"/>
    </xf>
    <xf numFmtId="0" fontId="7" fillId="3" borderId="15" xfId="0" applyFont="1" applyFill="1" applyBorder="1" applyAlignment="1">
      <alignment horizontal="left"/>
    </xf>
    <xf numFmtId="0" fontId="5" fillId="3" borderId="15" xfId="0" applyFont="1" applyFill="1" applyBorder="1" applyAlignment="1">
      <alignment horizontal="center"/>
    </xf>
    <xf numFmtId="43" fontId="11" fillId="6" borderId="10" xfId="1" applyFont="1" applyFill="1" applyBorder="1" applyAlignment="1" applyProtection="1">
      <alignment horizontal="left" vertical="center"/>
      <protection locked="0"/>
    </xf>
    <xf numFmtId="43" fontId="11" fillId="6" borderId="10" xfId="1" applyFont="1" applyFill="1" applyBorder="1" applyAlignment="1" applyProtection="1">
      <alignment horizontal="left" vertical="center" wrapText="1"/>
      <protection locked="0"/>
    </xf>
    <xf numFmtId="43" fontId="11" fillId="6" borderId="10" xfId="1" applyFont="1" applyFill="1" applyBorder="1" applyAlignment="1" applyProtection="1">
      <alignment vertical="center" wrapText="1"/>
      <protection locked="0"/>
    </xf>
    <xf numFmtId="0" fontId="8" fillId="3" borderId="5" xfId="0" applyFont="1" applyFill="1" applyBorder="1" applyAlignment="1">
      <alignment horizontal="center" vertical="top"/>
    </xf>
    <xf numFmtId="0" fontId="19" fillId="7" borderId="16" xfId="0" applyFont="1" applyFill="1" applyBorder="1" applyAlignment="1">
      <alignment horizontal="left" vertical="center" wrapText="1"/>
    </xf>
    <xf numFmtId="0" fontId="19" fillId="7" borderId="17" xfId="0" applyFont="1" applyFill="1" applyBorder="1" applyAlignment="1">
      <alignment horizontal="left" vertical="center" wrapText="1"/>
    </xf>
    <xf numFmtId="0" fontId="20" fillId="0" borderId="19" xfId="0" applyFont="1" applyBorder="1" applyAlignment="1">
      <alignment horizontal="left" vertical="center" wrapText="1"/>
    </xf>
    <xf numFmtId="0" fontId="21" fillId="0" borderId="21" xfId="0" applyFont="1" applyBorder="1" applyAlignment="1">
      <alignment horizontal="left" vertical="center" wrapText="1"/>
    </xf>
    <xf numFmtId="0" fontId="20"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justify" vertical="center" wrapText="1"/>
    </xf>
    <xf numFmtId="0" fontId="20" fillId="0" borderId="20" xfId="0" applyFont="1" applyBorder="1" applyAlignment="1">
      <alignment horizontal="justify" vertical="center" wrapText="1"/>
    </xf>
    <xf numFmtId="0" fontId="21" fillId="0" borderId="21" xfId="0" applyFont="1" applyBorder="1" applyAlignment="1">
      <alignment horizontal="justify" vertical="center" wrapText="1"/>
    </xf>
    <xf numFmtId="165" fontId="11" fillId="0" borderId="10" xfId="1" applyNumberFormat="1" applyFont="1" applyFill="1" applyBorder="1" applyAlignment="1" applyProtection="1">
      <alignment horizontal="right" vertical="center"/>
      <protection locked="0"/>
    </xf>
    <xf numFmtId="164" fontId="11" fillId="0" borderId="10" xfId="1" applyNumberFormat="1" applyFont="1" applyFill="1" applyBorder="1" applyAlignment="1" applyProtection="1">
      <alignment horizontal="right" vertical="center"/>
      <protection locked="0"/>
    </xf>
    <xf numFmtId="0" fontId="20" fillId="0" borderId="22" xfId="0" applyFont="1" applyBorder="1" applyAlignment="1">
      <alignment horizontal="left" vertical="center" wrapText="1"/>
    </xf>
    <xf numFmtId="43" fontId="6" fillId="0" borderId="0" xfId="0" applyNumberFormat="1" applyFont="1"/>
    <xf numFmtId="0" fontId="8" fillId="3" borderId="6" xfId="0" applyFont="1" applyFill="1" applyBorder="1"/>
    <xf numFmtId="0" fontId="8" fillId="3" borderId="9" xfId="0" applyFont="1" applyFill="1" applyBorder="1" applyAlignment="1">
      <alignment horizontal="left" wrapText="1"/>
    </xf>
    <xf numFmtId="0" fontId="11" fillId="4" borderId="13" xfId="0" applyFont="1" applyFill="1" applyBorder="1" applyProtection="1">
      <protection locked="0"/>
    </xf>
    <xf numFmtId="0" fontId="6" fillId="0" borderId="12" xfId="0" applyFont="1" applyBorder="1"/>
    <xf numFmtId="0" fontId="14" fillId="0" borderId="12" xfId="0" applyFont="1" applyBorder="1"/>
    <xf numFmtId="0" fontId="5" fillId="3" borderId="0" xfId="0" applyFont="1" applyFill="1" applyAlignment="1">
      <alignment horizontal="center"/>
    </xf>
    <xf numFmtId="0" fontId="22" fillId="8" borderId="1" xfId="0" applyFont="1" applyFill="1" applyBorder="1" applyAlignment="1">
      <alignment horizontal="left"/>
    </xf>
    <xf numFmtId="0" fontId="22" fillId="8" borderId="14" xfId="0" applyFont="1" applyFill="1" applyBorder="1" applyAlignment="1">
      <alignment horizontal="left"/>
    </xf>
    <xf numFmtId="0" fontId="23" fillId="8" borderId="14" xfId="0" applyFont="1" applyFill="1" applyBorder="1"/>
    <xf numFmtId="0" fontId="24" fillId="8" borderId="14" xfId="0" applyFont="1" applyFill="1" applyBorder="1" applyAlignment="1">
      <alignment horizontal="center"/>
    </xf>
    <xf numFmtId="0" fontId="23" fillId="8" borderId="3" xfId="0" applyFont="1" applyFill="1" applyBorder="1"/>
    <xf numFmtId="0" fontId="23" fillId="8" borderId="0" xfId="0" applyFont="1" applyFill="1"/>
    <xf numFmtId="0" fontId="23" fillId="8" borderId="6" xfId="0" applyFont="1" applyFill="1" applyBorder="1"/>
    <xf numFmtId="0" fontId="25" fillId="8" borderId="7" xfId="0" applyFont="1" applyFill="1" applyBorder="1" applyAlignment="1">
      <alignment horizontal="left"/>
    </xf>
    <xf numFmtId="0" fontId="25" fillId="8" borderId="15" xfId="0" applyFont="1" applyFill="1" applyBorder="1" applyAlignment="1">
      <alignment horizontal="left"/>
    </xf>
    <xf numFmtId="0" fontId="23" fillId="8" borderId="15" xfId="0" applyFont="1" applyFill="1" applyBorder="1"/>
    <xf numFmtId="0" fontId="24" fillId="8" borderId="15" xfId="0" applyFont="1" applyFill="1" applyBorder="1" applyAlignment="1">
      <alignment horizontal="center"/>
    </xf>
    <xf numFmtId="0" fontId="23" fillId="8" borderId="9" xfId="0" applyFont="1" applyFill="1" applyBorder="1"/>
    <xf numFmtId="1" fontId="26" fillId="8" borderId="2" xfId="0" applyNumberFormat="1" applyFont="1" applyFill="1" applyBorder="1" applyAlignment="1">
      <alignment horizontal="center"/>
    </xf>
    <xf numFmtId="0" fontId="26" fillId="8" borderId="2" xfId="0" applyFont="1" applyFill="1" applyBorder="1" applyAlignment="1">
      <alignment horizontal="center"/>
    </xf>
    <xf numFmtId="0" fontId="26" fillId="8" borderId="5" xfId="0" applyFont="1" applyFill="1" applyBorder="1" applyAlignment="1">
      <alignment horizontal="center"/>
    </xf>
    <xf numFmtId="0" fontId="26" fillId="8" borderId="8" xfId="0" applyFont="1" applyFill="1" applyBorder="1" applyAlignment="1">
      <alignment horizontal="center" wrapText="1"/>
    </xf>
    <xf numFmtId="0" fontId="6" fillId="0" borderId="10" xfId="0" applyFont="1" applyBorder="1" applyAlignment="1">
      <alignment vertical="top" wrapText="1"/>
    </xf>
    <xf numFmtId="164" fontId="17" fillId="4" borderId="11" xfId="1" applyNumberFormat="1" applyFont="1" applyFill="1" applyBorder="1" applyAlignment="1" applyProtection="1">
      <alignment horizontal="center"/>
      <protection locked="0"/>
    </xf>
    <xf numFmtId="164" fontId="17" fillId="4" borderId="13" xfId="1" applyNumberFormat="1" applyFont="1" applyFill="1" applyBorder="1" applyAlignment="1" applyProtection="1">
      <alignment horizontal="center"/>
      <protection locked="0"/>
    </xf>
    <xf numFmtId="164" fontId="17" fillId="4" borderId="12" xfId="1" applyNumberFormat="1" applyFont="1" applyFill="1" applyBorder="1" applyAlignment="1" applyProtection="1">
      <alignment horizontal="center"/>
      <protection locked="0"/>
    </xf>
    <xf numFmtId="166" fontId="6" fillId="0" borderId="12" xfId="1" applyNumberFormat="1" applyFont="1" applyFill="1" applyBorder="1" applyAlignment="1" applyProtection="1">
      <alignment vertical="center"/>
      <protection locked="0"/>
    </xf>
    <xf numFmtId="14" fontId="6" fillId="0" borderId="0" xfId="0" applyNumberFormat="1" applyFont="1"/>
    <xf numFmtId="0" fontId="6" fillId="0" borderId="10" xfId="0" applyFont="1" applyBorder="1" applyAlignment="1">
      <alignment horizontal="left" vertical="top" wrapText="1"/>
    </xf>
    <xf numFmtId="166" fontId="6" fillId="0" borderId="11" xfId="1" applyNumberFormat="1" applyFont="1" applyFill="1" applyBorder="1" applyAlignment="1" applyProtection="1">
      <alignment horizontal="center" vertical="center"/>
      <protection locked="0"/>
    </xf>
    <xf numFmtId="166" fontId="6" fillId="0" borderId="12" xfId="1" applyNumberFormat="1" applyFont="1" applyFill="1" applyBorder="1" applyAlignment="1" applyProtection="1">
      <alignment horizontal="center" vertical="center"/>
      <protection locked="0"/>
    </xf>
    <xf numFmtId="0" fontId="8" fillId="3"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8" xfId="0" applyFont="1" applyFill="1" applyBorder="1" applyAlignment="1">
      <alignment horizontal="center" vertical="center" wrapText="1"/>
    </xf>
    <xf numFmtId="43" fontId="11" fillId="0" borderId="11" xfId="1" applyFont="1" applyFill="1" applyBorder="1" applyAlignment="1" applyProtection="1">
      <alignment horizontal="center" vertical="center" wrapText="1"/>
      <protection locked="0"/>
    </xf>
    <xf numFmtId="43" fontId="11" fillId="0" borderId="12" xfId="1" applyFont="1" applyFill="1" applyBorder="1" applyAlignment="1" applyProtection="1">
      <alignment horizontal="center" vertical="center" wrapText="1"/>
      <protection locked="0"/>
    </xf>
    <xf numFmtId="0" fontId="6" fillId="0" borderId="0" xfId="0" applyFont="1" applyAlignment="1">
      <alignment horizontal="left" wrapText="1"/>
    </xf>
    <xf numFmtId="0" fontId="5" fillId="3" borderId="0" xfId="0" applyFont="1" applyFill="1" applyAlignment="1">
      <alignment horizontal="center"/>
    </xf>
    <xf numFmtId="0" fontId="8" fillId="3" borderId="10" xfId="0" applyFont="1" applyFill="1" applyBorder="1" applyAlignment="1">
      <alignment horizontal="center" vertical="center"/>
    </xf>
    <xf numFmtId="164" fontId="17" fillId="4" borderId="10" xfId="1" applyNumberFormat="1" applyFont="1" applyFill="1" applyBorder="1" applyAlignment="1" applyProtection="1">
      <alignment horizontal="center"/>
      <protection locked="0"/>
    </xf>
    <xf numFmtId="0" fontId="12" fillId="5" borderId="6" xfId="0" applyFont="1" applyFill="1" applyBorder="1" applyAlignment="1">
      <alignment horizontal="left" vertical="center" wrapText="1"/>
    </xf>
    <xf numFmtId="0" fontId="7" fillId="3" borderId="4" xfId="0" applyFont="1" applyFill="1" applyBorder="1" applyAlignment="1">
      <alignment horizontal="left"/>
    </xf>
    <xf numFmtId="0" fontId="7" fillId="3" borderId="0" xfId="0" applyFont="1" applyFill="1" applyAlignment="1">
      <alignment horizontal="left"/>
    </xf>
    <xf numFmtId="164" fontId="11" fillId="0" borderId="11" xfId="1" applyNumberFormat="1" applyFont="1" applyFill="1" applyBorder="1" applyAlignment="1" applyProtection="1">
      <alignment horizontal="center" vertical="center" wrapText="1"/>
      <protection locked="0"/>
    </xf>
    <xf numFmtId="164" fontId="11" fillId="0" borderId="12" xfId="1" applyNumberFormat="1" applyFont="1" applyFill="1" applyBorder="1" applyAlignment="1" applyProtection="1">
      <alignment horizontal="center" vertical="center" wrapText="1"/>
      <protection locked="0"/>
    </xf>
    <xf numFmtId="0" fontId="3" fillId="3" borderId="0" xfId="0" applyFont="1" applyFill="1"/>
    <xf numFmtId="0" fontId="8" fillId="3" borderId="4" xfId="0" applyFont="1" applyFill="1" applyBorder="1" applyAlignment="1">
      <alignment horizontal="center" vertical="center"/>
    </xf>
    <xf numFmtId="0" fontId="8" fillId="3" borderId="6" xfId="0" applyFont="1" applyFill="1" applyBorder="1" applyAlignment="1">
      <alignment horizontal="center" vertical="center"/>
    </xf>
    <xf numFmtId="0" fontId="25" fillId="8" borderId="4" xfId="0" applyFont="1" applyFill="1" applyBorder="1" applyAlignment="1">
      <alignment horizontal="left"/>
    </xf>
    <xf numFmtId="0" fontId="25" fillId="8" borderId="0" xfId="0" applyFont="1" applyFill="1" applyAlignment="1">
      <alignment horizontal="left"/>
    </xf>
    <xf numFmtId="0" fontId="24" fillId="8" borderId="0" xfId="0" applyFont="1" applyFill="1" applyAlignment="1">
      <alignment horizontal="center"/>
    </xf>
    <xf numFmtId="0" fontId="26" fillId="8" borderId="10" xfId="0" applyFont="1" applyFill="1" applyBorder="1" applyAlignment="1">
      <alignment horizontal="center" vertical="center"/>
    </xf>
    <xf numFmtId="164" fontId="17" fillId="4" borderId="11" xfId="1" applyNumberFormat="1" applyFont="1" applyFill="1" applyBorder="1" applyAlignment="1" applyProtection="1">
      <alignment horizontal="center"/>
      <protection locked="0"/>
    </xf>
    <xf numFmtId="164" fontId="17" fillId="4" borderId="13" xfId="1" applyNumberFormat="1" applyFont="1" applyFill="1" applyBorder="1" applyAlignment="1" applyProtection="1">
      <alignment horizontal="center"/>
      <protection locked="0"/>
    </xf>
    <xf numFmtId="164" fontId="17" fillId="4" borderId="12" xfId="1" applyNumberFormat="1" applyFont="1" applyFill="1" applyBorder="1" applyAlignment="1" applyProtection="1">
      <alignment horizontal="center"/>
      <protection locked="0"/>
    </xf>
    <xf numFmtId="0" fontId="26" fillId="8" borderId="2" xfId="0" applyFont="1" applyFill="1" applyBorder="1" applyAlignment="1">
      <alignment horizontal="center" vertical="center"/>
    </xf>
    <xf numFmtId="0" fontId="26" fillId="8" borderId="5" xfId="0" applyFont="1" applyFill="1" applyBorder="1" applyAlignment="1">
      <alignment horizontal="center" vertical="center"/>
    </xf>
    <xf numFmtId="0" fontId="26" fillId="8" borderId="8" xfId="0" applyFont="1" applyFill="1" applyBorder="1" applyAlignment="1">
      <alignment horizontal="center" vertical="center"/>
    </xf>
    <xf numFmtId="0" fontId="26" fillId="8" borderId="2" xfId="0" applyFont="1" applyFill="1" applyBorder="1" applyAlignment="1">
      <alignment horizontal="center" vertical="center" wrapText="1"/>
    </xf>
    <xf numFmtId="0" fontId="26" fillId="8" borderId="5" xfId="0" applyFont="1" applyFill="1" applyBorder="1" applyAlignment="1">
      <alignment horizontal="center" vertical="center" wrapText="1"/>
    </xf>
    <xf numFmtId="0" fontId="26" fillId="8" borderId="8" xfId="0" applyFont="1" applyFill="1" applyBorder="1" applyAlignment="1">
      <alignment horizontal="center" vertical="center" wrapText="1"/>
    </xf>
    <xf numFmtId="0" fontId="6" fillId="0" borderId="11" xfId="0" applyFont="1" applyBorder="1" applyAlignment="1">
      <alignment horizontal="center" vertical="top" wrapText="1"/>
    </xf>
    <xf numFmtId="0" fontId="6" fillId="0" borderId="13" xfId="0" applyFont="1" applyBorder="1" applyAlignment="1">
      <alignment horizontal="center" vertical="top" wrapText="1"/>
    </xf>
    <xf numFmtId="0" fontId="6" fillId="0" borderId="12" xfId="0" applyFont="1" applyBorder="1" applyAlignment="1">
      <alignment horizontal="center" vertical="top" wrapText="1"/>
    </xf>
    <xf numFmtId="164" fontId="11" fillId="0" borderId="7" xfId="1" applyNumberFormat="1" applyFont="1" applyFill="1" applyBorder="1" applyAlignment="1" applyProtection="1">
      <alignment horizontal="left" vertical="center" wrapText="1"/>
      <protection locked="0"/>
    </xf>
    <xf numFmtId="164" fontId="11" fillId="0" borderId="15" xfId="1" applyNumberFormat="1" applyFont="1" applyFill="1" applyBorder="1" applyAlignment="1" applyProtection="1">
      <alignment horizontal="left" vertical="center" wrapText="1"/>
      <protection locked="0"/>
    </xf>
    <xf numFmtId="43" fontId="11" fillId="0" borderId="11" xfId="1" applyFont="1" applyFill="1" applyBorder="1" applyAlignment="1" applyProtection="1">
      <alignment horizontal="left" vertical="center" wrapText="1"/>
      <protection locked="0"/>
    </xf>
    <xf numFmtId="43" fontId="11" fillId="0" borderId="12" xfId="1" applyFont="1" applyFill="1" applyBorder="1" applyAlignment="1" applyProtection="1">
      <alignment horizontal="left" vertical="center" wrapText="1"/>
      <protection locked="0"/>
    </xf>
    <xf numFmtId="0" fontId="8" fillId="3" borderId="1"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9" xfId="0" applyFont="1" applyFill="1" applyBorder="1" applyAlignment="1">
      <alignment horizontal="center" vertical="center"/>
    </xf>
    <xf numFmtId="0" fontId="20" fillId="0" borderId="22" xfId="0" applyFont="1" applyBorder="1" applyAlignment="1">
      <alignment horizontal="left" vertical="center" wrapText="1"/>
    </xf>
    <xf numFmtId="0" fontId="20" fillId="0" borderId="19" xfId="0" applyFont="1" applyBorder="1" applyAlignment="1">
      <alignment horizontal="left" vertical="center" wrapText="1"/>
    </xf>
    <xf numFmtId="0" fontId="20" fillId="0" borderId="18" xfId="0" applyFont="1" applyBorder="1" applyAlignment="1">
      <alignment horizontal="left" vertical="center" wrapText="1"/>
    </xf>
    <xf numFmtId="0" fontId="21" fillId="0" borderId="22" xfId="0" applyFont="1" applyBorder="1" applyAlignment="1">
      <alignment horizontal="justify" vertical="center" wrapText="1"/>
    </xf>
    <xf numFmtId="0" fontId="21" fillId="0" borderId="18" xfId="0" applyFont="1" applyBorder="1" applyAlignment="1">
      <alignment horizontal="justify" vertical="center" wrapText="1"/>
    </xf>
    <xf numFmtId="43" fontId="6" fillId="0" borderId="11" xfId="1" applyFont="1" applyFill="1" applyBorder="1" applyAlignment="1" applyProtection="1">
      <alignment horizontal="center" vertical="center"/>
      <protection locked="0"/>
    </xf>
    <xf numFmtId="43" fontId="6" fillId="0" borderId="12" xfId="1" applyFont="1" applyFill="1" applyBorder="1" applyAlignment="1" applyProtection="1">
      <alignment horizontal="center" vertical="center"/>
      <protection locked="0"/>
    </xf>
  </cellXfs>
  <cellStyles count="3">
    <cellStyle name="Comma" xfId="1" builtinId="3"/>
    <cellStyle name="Input1" xfId="2" xr:uid="{00000000-0005-0000-0000-000001000000}"/>
    <cellStyle name="Normal" xfId="0" builtinId="0"/>
  </cellStyles>
  <dxfs count="0"/>
  <tableStyles count="0" defaultTableStyle="TableStyleMedium9"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764722</xdr:colOff>
      <xdr:row>1</xdr:row>
      <xdr:rowOff>27213</xdr:rowOff>
    </xdr:from>
    <xdr:to>
      <xdr:col>12</xdr:col>
      <xdr:colOff>795565</xdr:colOff>
      <xdr:row>4</xdr:row>
      <xdr:rowOff>4535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70847" y="201838"/>
          <a:ext cx="1916793" cy="786947"/>
        </a:xfrm>
        <a:prstGeom prst="rect">
          <a:avLst/>
        </a:prstGeom>
        <a:noFill/>
      </xdr:spPr>
    </xdr:pic>
    <xdr:clientData/>
  </xdr:twoCellAnchor>
  <xdr:twoCellAnchor editAs="oneCell">
    <xdr:from>
      <xdr:col>14</xdr:col>
      <xdr:colOff>979714</xdr:colOff>
      <xdr:row>40</xdr:row>
      <xdr:rowOff>54428</xdr:rowOff>
    </xdr:from>
    <xdr:to>
      <xdr:col>16</xdr:col>
      <xdr:colOff>1179</xdr:colOff>
      <xdr:row>43</xdr:row>
      <xdr:rowOff>907</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9857" y="8885464"/>
          <a:ext cx="1909989" cy="7937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762000</xdr:colOff>
      <xdr:row>1</xdr:row>
      <xdr:rowOff>31750</xdr:rowOff>
    </xdr:from>
    <xdr:to>
      <xdr:col>12</xdr:col>
      <xdr:colOff>795564</xdr:colOff>
      <xdr:row>4</xdr:row>
      <xdr:rowOff>15875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8750" y="206375"/>
          <a:ext cx="1909989" cy="793750"/>
        </a:xfrm>
        <a:prstGeom prst="rect">
          <a:avLst/>
        </a:prstGeom>
        <a:noFill/>
      </xdr:spPr>
    </xdr:pic>
    <xdr:clientData/>
  </xdr:twoCellAnchor>
  <xdr:twoCellAnchor editAs="oneCell">
    <xdr:from>
      <xdr:col>14</xdr:col>
      <xdr:colOff>247650</xdr:colOff>
      <xdr:row>40</xdr:row>
      <xdr:rowOff>25400</xdr:rowOff>
    </xdr:from>
    <xdr:to>
      <xdr:col>16</xdr:col>
      <xdr:colOff>3174</xdr:colOff>
      <xdr:row>42</xdr:row>
      <xdr:rowOff>200026</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68525" y="8645525"/>
          <a:ext cx="1909989" cy="7937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714829</xdr:colOff>
      <xdr:row>1</xdr:row>
      <xdr:rowOff>0</xdr:rowOff>
    </xdr:from>
    <xdr:to>
      <xdr:col>12</xdr:col>
      <xdr:colOff>800100</xdr:colOff>
      <xdr:row>3</xdr:row>
      <xdr:rowOff>183697</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1615" y="0"/>
          <a:ext cx="1937203" cy="80735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714829</xdr:colOff>
      <xdr:row>1</xdr:row>
      <xdr:rowOff>1</xdr:rowOff>
    </xdr:from>
    <xdr:to>
      <xdr:col>12</xdr:col>
      <xdr:colOff>800100</xdr:colOff>
      <xdr:row>3</xdr:row>
      <xdr:rowOff>163287</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1615" y="176894"/>
          <a:ext cx="1937203" cy="78921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714829</xdr:colOff>
      <xdr:row>1</xdr:row>
      <xdr:rowOff>1</xdr:rowOff>
    </xdr:from>
    <xdr:to>
      <xdr:col>12</xdr:col>
      <xdr:colOff>800100</xdr:colOff>
      <xdr:row>3</xdr:row>
      <xdr:rowOff>166688</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85485" y="178595"/>
          <a:ext cx="1923596" cy="78581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714829</xdr:colOff>
      <xdr:row>1</xdr:row>
      <xdr:rowOff>0</xdr:rowOff>
    </xdr:from>
    <xdr:to>
      <xdr:col>12</xdr:col>
      <xdr:colOff>800100</xdr:colOff>
      <xdr:row>3</xdr:row>
      <xdr:rowOff>119062</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85485" y="178594"/>
          <a:ext cx="1923596" cy="7381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714829</xdr:colOff>
      <xdr:row>1</xdr:row>
      <xdr:rowOff>0</xdr:rowOff>
    </xdr:from>
    <xdr:to>
      <xdr:col>13</xdr:col>
      <xdr:colOff>0</xdr:colOff>
      <xdr:row>3</xdr:row>
      <xdr:rowOff>119062</xdr:rowOff>
    </xdr:to>
    <xdr:pic>
      <xdr:nvPicPr>
        <xdr:cNvPr id="2" name="Picture 1">
          <a:extLst>
            <a:ext uri="{FF2B5EF4-FFF2-40B4-BE49-F238E27FC236}">
              <a16:creationId xmlns:a16="http://schemas.microsoft.com/office/drawing/2014/main" id="{D0B54C53-F5B7-40DC-96E5-66DFFFA1B99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25679" y="180975"/>
          <a:ext cx="1685471" cy="7381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8854440</xdr:colOff>
      <xdr:row>0</xdr:row>
      <xdr:rowOff>30480</xdr:rowOff>
    </xdr:from>
    <xdr:to>
      <xdr:col>2</xdr:col>
      <xdr:colOff>3810</xdr:colOff>
      <xdr:row>3</xdr:row>
      <xdr:rowOff>163830</xdr:rowOff>
    </xdr:to>
    <xdr:pic>
      <xdr:nvPicPr>
        <xdr:cNvPr id="4" name="image1.jpeg">
          <a:extLst>
            <a:ext uri="{FF2B5EF4-FFF2-40B4-BE49-F238E27FC236}">
              <a16:creationId xmlns:a16="http://schemas.microsoft.com/office/drawing/2014/main" id="{124F9224-B2DE-42B8-BA44-74772AD906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3440" y="30480"/>
          <a:ext cx="1413510" cy="7124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sbarlow\LOCALS~1\Temp\notesC51760\FY2009%20WAPC%20model%20_%20Country%20Energy_working_TUOS%20adjv2.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Coy1-Fin\Reg_Affairs\Regulated%20Pricing\Network\Price%20Submission%201%20July%202023\Revenue%20Modelling%202023-24_v3.xlsx" TargetMode="External"/><Relationship Id="rId1" Type="http://schemas.openxmlformats.org/officeDocument/2006/relationships/externalLinkPath" Target="Revenue%20Modelling%202023-24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alcs"/>
      <sheetName val="Outcomes"/>
      <sheetName val="WAPC"/>
      <sheetName val="Trans"/>
      <sheetName val="DUOS (t+1)"/>
      <sheetName val="Network (t+1)"/>
      <sheetName val="NUOS (t+1)"/>
      <sheetName val="Equal_Bus"/>
      <sheetName val="Equal_Res"/>
      <sheetName val="DUOS (t)"/>
      <sheetName val="Network (t)"/>
      <sheetName val="Q (t-1) act"/>
      <sheetName val="Q (t+1)"/>
      <sheetName val="Q (t-1) adj (t+1)"/>
      <sheetName val="Q (t-1) adj (t)"/>
      <sheetName val="TCR(t+1) working"/>
      <sheetName val="TCR (t+1)"/>
      <sheetName val="Price Limits"/>
      <sheetName val="Qty for cpt"/>
      <sheetName val="Add DUOS for cpt"/>
      <sheetName val="cpt rev"/>
      <sheetName val="ESF"/>
      <sheetName val="ESF Revenue"/>
      <sheetName val="NUOS (t+1) incl cpt"/>
      <sheetName val="RE (t+1)"/>
      <sheetName val="RE (t)"/>
      <sheetName val="RE rev"/>
      <sheetName val="RE rev for PL"/>
    </sheetNames>
    <sheetDataSet>
      <sheetData sheetId="0" refreshError="1"/>
      <sheetData sheetId="1" refreshError="1"/>
      <sheetData sheetId="2" refreshError="1">
        <row r="4">
          <cell r="B4">
            <v>2009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sion"/>
      <sheetName val="BRC paper"/>
      <sheetName val="Tables"/>
      <sheetName val="Inputs"/>
      <sheetName val="Control"/>
      <sheetName val="Outcomes"/>
      <sheetName val="Side Constraint"/>
      <sheetName val="NUOS (t)"/>
      <sheetName val="NUOS (t-1)"/>
      <sheetName val="ARR"/>
      <sheetName val="DUOS (t)"/>
      <sheetName val="DUOS (t-1)"/>
      <sheetName val="LRMC_Res"/>
      <sheetName val="Trans"/>
      <sheetName val="TUOS (t)"/>
      <sheetName val="TUOS (t-1)"/>
      <sheetName val="CPT"/>
      <sheetName val="CPT (t)"/>
      <sheetName val="CCF"/>
      <sheetName val="CCF (t)"/>
      <sheetName val="CCF (t-1)"/>
      <sheetName val="QSS"/>
      <sheetName val="QSS (t)"/>
      <sheetName val="QSS (t-1)"/>
      <sheetName val="NSW RM"/>
      <sheetName val="NSW RM (t)"/>
      <sheetName val="TT"/>
      <sheetName val="Q (t)"/>
      <sheetName val="NUOS vs TS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0">
          <cell r="B10" t="str">
            <v>BLNN2AU</v>
          </cell>
          <cell r="C10" t="str">
            <v>LV Residential Anytime</v>
          </cell>
          <cell r="D10" t="str">
            <v>t-2</v>
          </cell>
          <cell r="E10">
            <v>380.55768216313493</v>
          </cell>
          <cell r="F10">
            <v>12.169021557495126</v>
          </cell>
          <cell r="G10">
            <v>0</v>
          </cell>
          <cell r="H10">
            <v>0</v>
          </cell>
          <cell r="I10">
            <v>0</v>
          </cell>
          <cell r="J10">
            <v>0</v>
          </cell>
          <cell r="K10">
            <v>0</v>
          </cell>
          <cell r="L10">
            <v>0</v>
          </cell>
          <cell r="M10">
            <v>0</v>
          </cell>
          <cell r="N10">
            <v>0</v>
          </cell>
          <cell r="O10">
            <v>0</v>
          </cell>
          <cell r="P10">
            <v>0</v>
          </cell>
        </row>
        <row r="11">
          <cell r="B11" t="str">
            <v>BLNT3AU</v>
          </cell>
          <cell r="C11" t="str">
            <v>LV Residential ToU</v>
          </cell>
          <cell r="D11" t="str">
            <v>t-2</v>
          </cell>
          <cell r="E11">
            <v>380.55768216313493</v>
          </cell>
          <cell r="F11">
            <v>0</v>
          </cell>
          <cell r="G11">
            <v>16.988322072147696</v>
          </cell>
          <cell r="H11">
            <v>13.201535730386144</v>
          </cell>
          <cell r="I11">
            <v>5.0548952822954902</v>
          </cell>
          <cell r="J11">
            <v>0</v>
          </cell>
          <cell r="K11">
            <v>0</v>
          </cell>
          <cell r="L11">
            <v>0</v>
          </cell>
          <cell r="M11">
            <v>0</v>
          </cell>
          <cell r="N11">
            <v>0</v>
          </cell>
          <cell r="O11">
            <v>0</v>
          </cell>
          <cell r="P11">
            <v>0</v>
          </cell>
        </row>
        <row r="12">
          <cell r="B12" t="str">
            <v>BLNT3AL</v>
          </cell>
          <cell r="C12" t="str">
            <v>LV Residential ToU_Interval meter</v>
          </cell>
          <cell r="D12" t="str">
            <v>t-2</v>
          </cell>
          <cell r="E12">
            <v>380.55768216313493</v>
          </cell>
          <cell r="F12">
            <v>0</v>
          </cell>
          <cell r="G12">
            <v>17.644274343236539</v>
          </cell>
          <cell r="H12">
            <v>12.695815692277529</v>
          </cell>
          <cell r="I12">
            <v>5.0548952822954902</v>
          </cell>
          <cell r="J12">
            <v>0</v>
          </cell>
          <cell r="K12">
            <v>0</v>
          </cell>
          <cell r="L12">
            <v>0</v>
          </cell>
          <cell r="M12">
            <v>0</v>
          </cell>
          <cell r="N12">
            <v>0</v>
          </cell>
          <cell r="O12">
            <v>0</v>
          </cell>
          <cell r="P12">
            <v>0</v>
          </cell>
        </row>
        <row r="13">
          <cell r="B13" t="str">
            <v>BLND1AR</v>
          </cell>
          <cell r="C13" t="str">
            <v>Small Residential-Opt in Demand</v>
          </cell>
          <cell r="D13" t="str">
            <v>t-2</v>
          </cell>
          <cell r="E13">
            <v>380.55768216313493</v>
          </cell>
          <cell r="F13">
            <v>0</v>
          </cell>
          <cell r="G13">
            <v>4.9389322347339748</v>
          </cell>
          <cell r="H13">
            <v>3.6568105386804994</v>
          </cell>
          <cell r="I13">
            <v>2.2623508586507768</v>
          </cell>
          <cell r="J13">
            <v>0</v>
          </cell>
          <cell r="K13">
            <v>4.7289529122793352</v>
          </cell>
          <cell r="L13">
            <v>0</v>
          </cell>
          <cell r="M13">
            <v>0</v>
          </cell>
          <cell r="N13">
            <v>0</v>
          </cell>
          <cell r="O13">
            <v>0</v>
          </cell>
          <cell r="P13">
            <v>0</v>
          </cell>
        </row>
        <row r="14">
          <cell r="B14" t="str">
            <v>BLNC1AU</v>
          </cell>
          <cell r="C14" t="str">
            <v>Energy Saver 1</v>
          </cell>
          <cell r="D14" t="str">
            <v>t-2</v>
          </cell>
          <cell r="E14">
            <v>39.270581656342678</v>
          </cell>
          <cell r="F14">
            <v>2.3905199341999772</v>
          </cell>
          <cell r="G14">
            <v>0</v>
          </cell>
          <cell r="H14">
            <v>0</v>
          </cell>
          <cell r="I14">
            <v>0</v>
          </cell>
          <cell r="J14">
            <v>0</v>
          </cell>
          <cell r="K14">
            <v>0</v>
          </cell>
          <cell r="L14">
            <v>0</v>
          </cell>
          <cell r="M14">
            <v>0</v>
          </cell>
          <cell r="N14">
            <v>0</v>
          </cell>
          <cell r="O14">
            <v>0</v>
          </cell>
          <cell r="P14">
            <v>0</v>
          </cell>
        </row>
        <row r="15">
          <cell r="B15" t="str">
            <v>BLNC2AU</v>
          </cell>
          <cell r="C15" t="str">
            <v>Energy Saver 2</v>
          </cell>
          <cell r="D15" t="str">
            <v>t-2</v>
          </cell>
          <cell r="E15">
            <v>39.270581656342678</v>
          </cell>
          <cell r="F15">
            <v>5.3451771606058278</v>
          </cell>
          <cell r="G15">
            <v>0</v>
          </cell>
          <cell r="H15">
            <v>0</v>
          </cell>
          <cell r="I15">
            <v>0</v>
          </cell>
          <cell r="J15">
            <v>0</v>
          </cell>
          <cell r="K15">
            <v>0</v>
          </cell>
          <cell r="L15">
            <v>0</v>
          </cell>
          <cell r="M15">
            <v>0</v>
          </cell>
          <cell r="N15">
            <v>0</v>
          </cell>
          <cell r="O15">
            <v>0</v>
          </cell>
          <cell r="P15">
            <v>0</v>
          </cell>
        </row>
        <row r="16">
          <cell r="B16" t="str">
            <v>BLNN1AU</v>
          </cell>
          <cell r="C16" t="str">
            <v>LV Small business Anytime</v>
          </cell>
          <cell r="D16" t="str">
            <v>t-2</v>
          </cell>
          <cell r="E16">
            <v>380.55768216313493</v>
          </cell>
          <cell r="F16">
            <v>16.830456926743146</v>
          </cell>
          <cell r="G16">
            <v>0</v>
          </cell>
          <cell r="H16">
            <v>0</v>
          </cell>
          <cell r="I16">
            <v>0</v>
          </cell>
          <cell r="J16">
            <v>0</v>
          </cell>
          <cell r="K16">
            <v>0</v>
          </cell>
          <cell r="L16">
            <v>0</v>
          </cell>
          <cell r="M16">
            <v>0</v>
          </cell>
          <cell r="N16">
            <v>0</v>
          </cell>
          <cell r="O16">
            <v>0</v>
          </cell>
          <cell r="P16">
            <v>0</v>
          </cell>
        </row>
        <row r="17">
          <cell r="B17" t="str">
            <v>BLNT2AU</v>
          </cell>
          <cell r="C17" t="str">
            <v>LV ToU &lt; 100MWh</v>
          </cell>
          <cell r="D17" t="str">
            <v>t-2</v>
          </cell>
          <cell r="E17">
            <v>1383.52331500009</v>
          </cell>
          <cell r="F17">
            <v>0</v>
          </cell>
          <cell r="G17">
            <v>17.98578501249478</v>
          </cell>
          <cell r="H17">
            <v>14.065367098403829</v>
          </cell>
          <cell r="I17">
            <v>7.4187829779886947</v>
          </cell>
          <cell r="J17">
            <v>0</v>
          </cell>
          <cell r="K17">
            <v>0</v>
          </cell>
          <cell r="L17">
            <v>0</v>
          </cell>
          <cell r="M17">
            <v>0</v>
          </cell>
          <cell r="N17">
            <v>0</v>
          </cell>
          <cell r="O17">
            <v>0</v>
          </cell>
          <cell r="P17">
            <v>0</v>
          </cell>
        </row>
        <row r="18">
          <cell r="B18" t="str">
            <v>BLNT2AL</v>
          </cell>
          <cell r="C18" t="str">
            <v>LV Business ToU_Interval meter</v>
          </cell>
          <cell r="D18" t="str">
            <v>t-2</v>
          </cell>
          <cell r="E18">
            <v>647.00111615325034</v>
          </cell>
          <cell r="F18">
            <v>0</v>
          </cell>
          <cell r="G18">
            <v>18.670910761079035</v>
          </cell>
          <cell r="H18">
            <v>13.537155161416296</v>
          </cell>
          <cell r="I18">
            <v>7.1662204724962919</v>
          </cell>
          <cell r="J18">
            <v>0</v>
          </cell>
          <cell r="K18">
            <v>0</v>
          </cell>
          <cell r="L18">
            <v>0</v>
          </cell>
          <cell r="M18">
            <v>0</v>
          </cell>
          <cell r="N18">
            <v>0</v>
          </cell>
          <cell r="O18">
            <v>0</v>
          </cell>
          <cell r="P18">
            <v>0</v>
          </cell>
        </row>
        <row r="19">
          <cell r="B19" t="str">
            <v>BLNT1AO</v>
          </cell>
          <cell r="C19" t="str">
            <v>LV ToU &gt; 100 MWh/yr</v>
          </cell>
          <cell r="D19" t="str">
            <v>t-2</v>
          </cell>
          <cell r="E19">
            <v>1383.52331500009</v>
          </cell>
          <cell r="F19">
            <v>0</v>
          </cell>
          <cell r="G19">
            <v>17.98578501249478</v>
          </cell>
          <cell r="H19">
            <v>14.065367098403829</v>
          </cell>
          <cell r="I19">
            <v>7.4187829779886947</v>
          </cell>
          <cell r="J19">
            <v>0</v>
          </cell>
          <cell r="K19">
            <v>0</v>
          </cell>
          <cell r="L19">
            <v>0</v>
          </cell>
          <cell r="M19">
            <v>0</v>
          </cell>
          <cell r="N19">
            <v>0</v>
          </cell>
          <cell r="O19">
            <v>0</v>
          </cell>
          <cell r="P19">
            <v>0</v>
          </cell>
        </row>
        <row r="20">
          <cell r="B20" t="str">
            <v>BLND1AB</v>
          </cell>
          <cell r="C20" t="str">
            <v>Small business-Opt in Demand</v>
          </cell>
          <cell r="D20" t="str">
            <v>t-2</v>
          </cell>
          <cell r="E20">
            <v>647.00111615325034</v>
          </cell>
          <cell r="F20">
            <v>0</v>
          </cell>
          <cell r="G20">
            <v>8.3444785005075506</v>
          </cell>
          <cell r="H20">
            <v>6.0393836459642074</v>
          </cell>
          <cell r="I20">
            <v>3.3193786008822874</v>
          </cell>
          <cell r="J20">
            <v>0</v>
          </cell>
          <cell r="K20">
            <v>7.6845484824539207</v>
          </cell>
          <cell r="L20">
            <v>0</v>
          </cell>
          <cell r="M20">
            <v>0</v>
          </cell>
          <cell r="N20">
            <v>0</v>
          </cell>
          <cell r="O20">
            <v>0</v>
          </cell>
          <cell r="P20">
            <v>0</v>
          </cell>
        </row>
        <row r="21">
          <cell r="B21" t="str">
            <v>BLNT1SU</v>
          </cell>
          <cell r="C21" t="str">
            <v>LV ToU &gt; 100 MWh/yr Sth U</v>
          </cell>
          <cell r="D21" t="str">
            <v>t-2</v>
          </cell>
          <cell r="E21">
            <v>3378.192084444408</v>
          </cell>
          <cell r="F21">
            <v>0</v>
          </cell>
          <cell r="G21">
            <v>21.208114124937453</v>
          </cell>
          <cell r="H21">
            <v>15.781914109354034</v>
          </cell>
          <cell r="I21">
            <v>8.3593802753858153</v>
          </cell>
          <cell r="J21">
            <v>0</v>
          </cell>
          <cell r="K21">
            <v>0</v>
          </cell>
          <cell r="L21">
            <v>0</v>
          </cell>
          <cell r="M21">
            <v>0</v>
          </cell>
          <cell r="N21">
            <v>0</v>
          </cell>
          <cell r="O21">
            <v>0</v>
          </cell>
          <cell r="P21">
            <v>0</v>
          </cell>
        </row>
        <row r="22">
          <cell r="B22" t="str">
            <v>BLTTSS2</v>
          </cell>
          <cell r="C22" t="str">
            <v>Tariff Trial - Sun soaker Residential</v>
          </cell>
          <cell r="D22" t="str">
            <v>t-1</v>
          </cell>
          <cell r="E22">
            <v>380.55768216313493</v>
          </cell>
          <cell r="F22">
            <v>0</v>
          </cell>
          <cell r="G22">
            <v>15.170045017757037</v>
          </cell>
          <cell r="H22">
            <v>0</v>
          </cell>
          <cell r="I22">
            <v>5.0548952822954902</v>
          </cell>
          <cell r="J22">
            <v>0</v>
          </cell>
          <cell r="K22">
            <v>0</v>
          </cell>
          <cell r="L22">
            <v>0</v>
          </cell>
          <cell r="M22">
            <v>0</v>
          </cell>
          <cell r="N22">
            <v>0</v>
          </cell>
          <cell r="O22">
            <v>0</v>
          </cell>
          <cell r="P22">
            <v>0</v>
          </cell>
        </row>
        <row r="23">
          <cell r="B23" t="str">
            <v>BLTTSS1</v>
          </cell>
          <cell r="C23" t="str">
            <v>Tariff Trial - Sun soaker Small Business</v>
          </cell>
          <cell r="D23" t="str">
            <v>t-1</v>
          </cell>
          <cell r="E23">
            <v>647.00111615325034</v>
          </cell>
          <cell r="F23">
            <v>0</v>
          </cell>
          <cell r="G23">
            <v>16.104032961247665</v>
          </cell>
          <cell r="H23">
            <v>0</v>
          </cell>
          <cell r="I23">
            <v>7.1662204724962919</v>
          </cell>
          <cell r="J23">
            <v>0</v>
          </cell>
          <cell r="K23">
            <v>0</v>
          </cell>
          <cell r="L23">
            <v>0</v>
          </cell>
          <cell r="M23">
            <v>0</v>
          </cell>
          <cell r="N23">
            <v>0</v>
          </cell>
          <cell r="O23">
            <v>0</v>
          </cell>
          <cell r="P23">
            <v>0</v>
          </cell>
        </row>
        <row r="24">
          <cell r="B24" t="str">
            <v>BLTTEX1</v>
          </cell>
          <cell r="C24" t="str">
            <v>Tariff Trial - Export charge</v>
          </cell>
          <cell r="D24" t="str">
            <v>t-1</v>
          </cell>
          <cell r="E24">
            <v>0</v>
          </cell>
          <cell r="F24">
            <v>0</v>
          </cell>
          <cell r="G24">
            <v>0</v>
          </cell>
          <cell r="H24">
            <v>0</v>
          </cell>
          <cell r="I24">
            <v>0</v>
          </cell>
          <cell r="J24">
            <v>0</v>
          </cell>
          <cell r="K24">
            <v>0</v>
          </cell>
          <cell r="L24">
            <v>0</v>
          </cell>
          <cell r="M24">
            <v>0</v>
          </cell>
          <cell r="N24">
            <v>0</v>
          </cell>
          <cell r="O24">
            <v>0</v>
          </cell>
          <cell r="P24">
            <v>-13.504001126467884</v>
          </cell>
        </row>
        <row r="25">
          <cell r="B25" t="str">
            <v>BLTTEX1</v>
          </cell>
          <cell r="C25" t="str">
            <v>Tariff Trial - Export charge sml business</v>
          </cell>
          <cell r="D25" t="str">
            <v>t-1</v>
          </cell>
          <cell r="E25">
            <v>0</v>
          </cell>
          <cell r="F25">
            <v>0</v>
          </cell>
          <cell r="G25">
            <v>0</v>
          </cell>
          <cell r="H25">
            <v>0</v>
          </cell>
          <cell r="I25">
            <v>0</v>
          </cell>
          <cell r="J25">
            <v>0</v>
          </cell>
          <cell r="K25">
            <v>0</v>
          </cell>
          <cell r="L25">
            <v>0</v>
          </cell>
          <cell r="M25">
            <v>0</v>
          </cell>
          <cell r="N25">
            <v>0</v>
          </cell>
          <cell r="O25">
            <v>0</v>
          </cell>
          <cell r="P25">
            <v>-14.104591581482042</v>
          </cell>
        </row>
        <row r="26">
          <cell r="B26" t="str">
            <v>TTPTR</v>
          </cell>
          <cell r="C26" t="str">
            <v>Tariff Trial - Critical Peak Rebate</v>
          </cell>
          <cell r="D26" t="str">
            <v>t-1</v>
          </cell>
          <cell r="E26">
            <v>0</v>
          </cell>
          <cell r="F26">
            <v>0</v>
          </cell>
          <cell r="G26">
            <v>-204.01357440450536</v>
          </cell>
          <cell r="H26">
            <v>0</v>
          </cell>
          <cell r="I26">
            <v>0</v>
          </cell>
          <cell r="J26">
            <v>0</v>
          </cell>
          <cell r="K26">
            <v>0</v>
          </cell>
          <cell r="L26">
            <v>0</v>
          </cell>
          <cell r="M26">
            <v>0</v>
          </cell>
          <cell r="N26">
            <v>0</v>
          </cell>
          <cell r="O26">
            <v>0</v>
          </cell>
          <cell r="P26">
            <v>0</v>
          </cell>
        </row>
        <row r="27">
          <cell r="B27" t="str">
            <v>TTCPP</v>
          </cell>
          <cell r="C27" t="str">
            <v>Tariff Trial  - Critical Peak Charge</v>
          </cell>
          <cell r="D27" t="str">
            <v>t-1</v>
          </cell>
          <cell r="E27">
            <v>0</v>
          </cell>
          <cell r="F27">
            <v>0</v>
          </cell>
          <cell r="G27">
            <v>204.01357440450536</v>
          </cell>
          <cell r="H27">
            <v>0</v>
          </cell>
          <cell r="I27">
            <v>0</v>
          </cell>
          <cell r="J27">
            <v>0</v>
          </cell>
          <cell r="K27">
            <v>0</v>
          </cell>
          <cell r="L27">
            <v>0</v>
          </cell>
          <cell r="M27">
            <v>0</v>
          </cell>
          <cell r="N27">
            <v>0</v>
          </cell>
          <cell r="O27">
            <v>0</v>
          </cell>
          <cell r="P27">
            <v>0</v>
          </cell>
        </row>
        <row r="29">
          <cell r="B29" t="str">
            <v>Tariff Class B; Low voltage - Large Business</v>
          </cell>
        </row>
        <row r="30">
          <cell r="B30" t="str">
            <v>BLND3AO</v>
          </cell>
          <cell r="C30" t="str">
            <v>LV ToU Demand 3 Rate</v>
          </cell>
          <cell r="D30" t="str">
            <v>t-2</v>
          </cell>
          <cell r="E30">
            <v>6503.0443447865046</v>
          </cell>
          <cell r="F30">
            <v>0</v>
          </cell>
          <cell r="G30">
            <v>4.8554559270662114</v>
          </cell>
          <cell r="H30">
            <v>3.9090352981827383</v>
          </cell>
          <cell r="I30">
            <v>2.5321080469908837</v>
          </cell>
          <cell r="J30">
            <v>0</v>
          </cell>
          <cell r="K30">
            <v>10.964162322530141</v>
          </cell>
          <cell r="L30">
            <v>9.9199563870510783</v>
          </cell>
          <cell r="M30">
            <v>2.5993234505774674</v>
          </cell>
          <cell r="N30">
            <v>0</v>
          </cell>
          <cell r="O30">
            <v>0</v>
          </cell>
          <cell r="P30">
            <v>0</v>
          </cell>
        </row>
        <row r="31">
          <cell r="B31" t="str">
            <v>BLND3TO</v>
          </cell>
          <cell r="C31" t="str">
            <v>LV ToU Demand-alternate tariff</v>
          </cell>
          <cell r="D31" t="str">
            <v>t-2</v>
          </cell>
          <cell r="E31">
            <v>6503.0443447865046</v>
          </cell>
          <cell r="F31">
            <v>0</v>
          </cell>
          <cell r="G31">
            <v>16.017847777951751</v>
          </cell>
          <cell r="H31">
            <v>12.177427906044471</v>
          </cell>
          <cell r="I31">
            <v>5.3204002313061149</v>
          </cell>
          <cell r="J31">
            <v>0</v>
          </cell>
          <cell r="K31">
            <v>14.102823953997062</v>
          </cell>
          <cell r="L31">
            <v>0</v>
          </cell>
          <cell r="M31">
            <v>0</v>
          </cell>
          <cell r="N31">
            <v>0</v>
          </cell>
          <cell r="O31">
            <v>0</v>
          </cell>
          <cell r="P31">
            <v>0</v>
          </cell>
        </row>
        <row r="32">
          <cell r="B32" t="str">
            <v>BLNDTRS</v>
          </cell>
          <cell r="C32" t="str">
            <v>Transitional Demand</v>
          </cell>
          <cell r="D32" t="str">
            <v>t-2</v>
          </cell>
          <cell r="E32">
            <v>6503.0443447865046</v>
          </cell>
          <cell r="F32">
            <v>0</v>
          </cell>
          <cell r="G32">
            <v>4.8554559270662114</v>
          </cell>
          <cell r="H32">
            <v>3.9090352981827383</v>
          </cell>
          <cell r="I32">
            <v>2.5321080469908837</v>
          </cell>
          <cell r="J32">
            <v>0</v>
          </cell>
          <cell r="K32">
            <v>10.964162322530141</v>
          </cell>
          <cell r="L32">
            <v>9.9199563870510783</v>
          </cell>
          <cell r="M32">
            <v>2.5993234505774674</v>
          </cell>
          <cell r="N32">
            <v>0</v>
          </cell>
          <cell r="O32">
            <v>0</v>
          </cell>
          <cell r="P32">
            <v>0</v>
          </cell>
        </row>
        <row r="33">
          <cell r="B33" t="str">
            <v>BLNS1AO</v>
          </cell>
          <cell r="C33" t="str">
            <v>LV ToU avg daily Demand</v>
          </cell>
          <cell r="D33" t="str">
            <v>t-2</v>
          </cell>
          <cell r="E33">
            <v>7713.9814004738491</v>
          </cell>
          <cell r="F33">
            <v>0</v>
          </cell>
          <cell r="G33">
            <v>4.5034655401259069</v>
          </cell>
          <cell r="H33">
            <v>3.6483031224721438</v>
          </cell>
          <cell r="I33">
            <v>2.3975007333016984</v>
          </cell>
          <cell r="J33">
            <v>0</v>
          </cell>
          <cell r="K33">
            <v>15.211954231365327</v>
          </cell>
          <cell r="L33">
            <v>13.763196685521008</v>
          </cell>
          <cell r="M33">
            <v>3.5175780303627886</v>
          </cell>
          <cell r="N33">
            <v>0</v>
          </cell>
          <cell r="O33">
            <v>0</v>
          </cell>
          <cell r="P33">
            <v>0</v>
          </cell>
        </row>
        <row r="34">
          <cell r="B34" t="str">
            <v>BLND1CO</v>
          </cell>
          <cell r="C34" t="str">
            <v>LV 1 Rate Dmd Cent</v>
          </cell>
          <cell r="D34" t="str">
            <v>t-2</v>
          </cell>
          <cell r="E34">
            <v>9946.027207670897</v>
          </cell>
          <cell r="F34">
            <v>0</v>
          </cell>
          <cell r="G34">
            <v>7.4217358670883531</v>
          </cell>
          <cell r="H34">
            <v>5.8391363270707339</v>
          </cell>
          <cell r="I34">
            <v>3.0417177973682237</v>
          </cell>
          <cell r="J34">
            <v>22.61700869578387</v>
          </cell>
          <cell r="K34">
            <v>0</v>
          </cell>
          <cell r="L34">
            <v>0</v>
          </cell>
          <cell r="M34">
            <v>0</v>
          </cell>
          <cell r="N34">
            <v>0</v>
          </cell>
          <cell r="O34">
            <v>0</v>
          </cell>
          <cell r="P34">
            <v>0</v>
          </cell>
        </row>
        <row r="35">
          <cell r="B35" t="str">
            <v>BLND1SR</v>
          </cell>
          <cell r="C35" t="str">
            <v>LV 1 Rate Dmd Sth Rural</v>
          </cell>
          <cell r="D35" t="str">
            <v>t-2</v>
          </cell>
          <cell r="E35">
            <v>7713.9814004738491</v>
          </cell>
          <cell r="F35">
            <v>0</v>
          </cell>
          <cell r="G35">
            <v>16.644668354392586</v>
          </cell>
          <cell r="H35">
            <v>12.70673154623381</v>
          </cell>
          <cell r="I35">
            <v>5.1982355950578469</v>
          </cell>
          <cell r="J35">
            <v>15.021935703871195</v>
          </cell>
          <cell r="K35">
            <v>0</v>
          </cell>
          <cell r="L35">
            <v>0</v>
          </cell>
          <cell r="M35">
            <v>0</v>
          </cell>
          <cell r="N35">
            <v>5.4610992649833712</v>
          </cell>
          <cell r="O35">
            <v>0</v>
          </cell>
          <cell r="P35">
            <v>0</v>
          </cell>
        </row>
        <row r="36">
          <cell r="B36" t="str">
            <v>BLND1SU</v>
          </cell>
          <cell r="C36" t="str">
            <v>LV 1 Rate Dmd Sth Urburn</v>
          </cell>
          <cell r="D36" t="str">
            <v>t-2</v>
          </cell>
          <cell r="E36">
            <v>2075.5135750086333</v>
          </cell>
          <cell r="F36">
            <v>0</v>
          </cell>
          <cell r="G36">
            <v>18.970833254380317</v>
          </cell>
          <cell r="H36">
            <v>14.429807112892057</v>
          </cell>
          <cell r="I36">
            <v>7.1103773179963374</v>
          </cell>
          <cell r="J36">
            <v>14.733705116057829</v>
          </cell>
          <cell r="K36">
            <v>0</v>
          </cell>
          <cell r="L36">
            <v>0</v>
          </cell>
          <cell r="M36">
            <v>0</v>
          </cell>
          <cell r="N36">
            <v>5.4680172494290034</v>
          </cell>
          <cell r="O36">
            <v>0</v>
          </cell>
          <cell r="P36">
            <v>0</v>
          </cell>
        </row>
        <row r="37">
          <cell r="B37" t="str">
            <v>BLTTBD1</v>
          </cell>
          <cell r="C37" t="str">
            <v>Tariff Trial - Grid Scale Battery</v>
          </cell>
          <cell r="D37" t="str">
            <v>t-1</v>
          </cell>
          <cell r="E37">
            <v>6503.0443447865046</v>
          </cell>
          <cell r="F37">
            <v>0</v>
          </cell>
          <cell r="G37">
            <v>4.8554559270662114</v>
          </cell>
          <cell r="H37">
            <v>3.9090352981827383</v>
          </cell>
          <cell r="I37">
            <v>2.5321080469908837</v>
          </cell>
          <cell r="J37">
            <v>0</v>
          </cell>
          <cell r="K37">
            <v>10.964162322530141</v>
          </cell>
          <cell r="L37">
            <v>9.9199563870510783</v>
          </cell>
          <cell r="M37">
            <v>2.5993234505774674</v>
          </cell>
          <cell r="N37">
            <v>0</v>
          </cell>
          <cell r="O37">
            <v>0</v>
          </cell>
          <cell r="P37">
            <v>-14.104591581482042</v>
          </cell>
        </row>
        <row r="38">
          <cell r="B38" t="str">
            <v>BLTD3SS</v>
          </cell>
          <cell r="C38" t="str">
            <v>Tariff Trial - Large Business Sun Soaker</v>
          </cell>
          <cell r="D38" t="str">
            <v>t-1</v>
          </cell>
          <cell r="E38">
            <v>6503.0443447865046</v>
          </cell>
          <cell r="F38">
            <v>0</v>
          </cell>
          <cell r="G38">
            <v>4.8554559270662114</v>
          </cell>
          <cell r="H38">
            <v>3.9090352981827383</v>
          </cell>
          <cell r="I38">
            <v>2.5321080469908837</v>
          </cell>
          <cell r="J38">
            <v>0</v>
          </cell>
          <cell r="K38">
            <v>10.964162322530141</v>
          </cell>
          <cell r="L38">
            <v>9.9199563870510783</v>
          </cell>
          <cell r="M38">
            <v>2.5993234505774674</v>
          </cell>
          <cell r="N38">
            <v>0</v>
          </cell>
          <cell r="O38">
            <v>0</v>
          </cell>
          <cell r="P38">
            <v>-14.104591581482042</v>
          </cell>
        </row>
        <row r="39">
          <cell r="B39" t="str">
            <v>BLTD3WD</v>
          </cell>
          <cell r="C39" t="str">
            <v>Tariff Trial - Large Business Weekly Demand</v>
          </cell>
          <cell r="D39" t="str">
            <v>t-1</v>
          </cell>
          <cell r="E39">
            <v>6503.0443447865046</v>
          </cell>
          <cell r="F39">
            <v>0</v>
          </cell>
          <cell r="G39">
            <v>4.8554559270662114</v>
          </cell>
          <cell r="H39">
            <v>3.9090352981827383</v>
          </cell>
          <cell r="I39">
            <v>2.5321080469908837</v>
          </cell>
          <cell r="J39">
            <v>0</v>
          </cell>
          <cell r="K39">
            <v>13.705202903162677</v>
          </cell>
          <cell r="L39">
            <v>12.399945483813847</v>
          </cell>
          <cell r="M39">
            <v>3.2491543132218341</v>
          </cell>
          <cell r="N39">
            <v>0</v>
          </cell>
          <cell r="O39">
            <v>0</v>
          </cell>
          <cell r="P39">
            <v>0</v>
          </cell>
        </row>
        <row r="41">
          <cell r="B41" t="str">
            <v>Tariff Class C; High voltage - demand</v>
          </cell>
        </row>
        <row r="42">
          <cell r="B42" t="str">
            <v>BHND3AO</v>
          </cell>
          <cell r="C42" t="str">
            <v>HV ToU mthly Demand</v>
          </cell>
          <cell r="D42" t="str">
            <v>t-2</v>
          </cell>
          <cell r="E42">
            <v>8049.7254108094885</v>
          </cell>
          <cell r="F42">
            <v>0</v>
          </cell>
          <cell r="G42">
            <v>3.6747753624018178</v>
          </cell>
          <cell r="H42">
            <v>2.9943136015578671</v>
          </cell>
          <cell r="I42">
            <v>2.4543827586543441</v>
          </cell>
          <cell r="J42">
            <v>0</v>
          </cell>
          <cell r="K42">
            <v>10.475681344750999</v>
          </cell>
          <cell r="L42">
            <v>9.4779974071556641</v>
          </cell>
          <cell r="M42">
            <v>2.8362564650752087</v>
          </cell>
          <cell r="N42">
            <v>0</v>
          </cell>
          <cell r="O42">
            <v>0</v>
          </cell>
          <cell r="P42">
            <v>0</v>
          </cell>
        </row>
        <row r="43">
          <cell r="B43" t="str">
            <v>BHNS1AO</v>
          </cell>
          <cell r="C43" t="str">
            <v>HV ToU avg daily Demand</v>
          </cell>
          <cell r="D43" t="str">
            <v>t-2</v>
          </cell>
          <cell r="E43">
            <v>7824.0896719305119</v>
          </cell>
          <cell r="F43">
            <v>0</v>
          </cell>
          <cell r="G43">
            <v>3.5851847504655607</v>
          </cell>
          <cell r="H43">
            <v>3.0360657853394839</v>
          </cell>
          <cell r="I43">
            <v>2.4455317938117895</v>
          </cell>
          <cell r="J43">
            <v>0</v>
          </cell>
          <cell r="K43">
            <v>11.092830163558649</v>
          </cell>
          <cell r="L43">
            <v>10.036370147981632</v>
          </cell>
          <cell r="M43">
            <v>3.0032562216243073</v>
          </cell>
          <cell r="N43">
            <v>0</v>
          </cell>
          <cell r="O43">
            <v>0</v>
          </cell>
          <cell r="P43">
            <v>0</v>
          </cell>
        </row>
        <row r="44">
          <cell r="B44" t="str">
            <v>BHND1CO</v>
          </cell>
          <cell r="C44" t="str">
            <v>HV 1 Rate Dmd Cent U</v>
          </cell>
          <cell r="D44" t="str">
            <v>t-2</v>
          </cell>
          <cell r="E44">
            <v>12762.444600678788</v>
          </cell>
          <cell r="F44">
            <v>0</v>
          </cell>
          <cell r="G44">
            <v>8.1806221557937331</v>
          </cell>
          <cell r="H44">
            <v>7.5355898444959628</v>
          </cell>
          <cell r="I44">
            <v>3.2125988270461976</v>
          </cell>
          <cell r="J44">
            <v>16.487621425045305</v>
          </cell>
          <cell r="K44">
            <v>0</v>
          </cell>
          <cell r="L44">
            <v>0</v>
          </cell>
          <cell r="M44">
            <v>0</v>
          </cell>
          <cell r="N44">
            <v>0</v>
          </cell>
          <cell r="O44">
            <v>0</v>
          </cell>
          <cell r="P44">
            <v>0</v>
          </cell>
        </row>
        <row r="45">
          <cell r="B45" t="str">
            <v>BHND1SO</v>
          </cell>
          <cell r="C45" t="str">
            <v>HV 1 Rate Dmd Sth U</v>
          </cell>
          <cell r="D45" t="str">
            <v>t-2</v>
          </cell>
          <cell r="E45">
            <v>9513.0451185728907</v>
          </cell>
          <cell r="F45">
            <v>0</v>
          </cell>
          <cell r="G45">
            <v>7.2999153189448025</v>
          </cell>
          <cell r="H45">
            <v>6.8145473053952408</v>
          </cell>
          <cell r="I45">
            <v>4.9954940535536698</v>
          </cell>
          <cell r="J45">
            <v>11.906767176641509</v>
          </cell>
          <cell r="K45">
            <v>0</v>
          </cell>
          <cell r="L45">
            <v>0</v>
          </cell>
          <cell r="M45">
            <v>0</v>
          </cell>
          <cell r="N45">
            <v>4.3850427408167638</v>
          </cell>
          <cell r="O45">
            <v>0</v>
          </cell>
          <cell r="P45">
            <v>0</v>
          </cell>
        </row>
        <row r="46">
          <cell r="B46" t="str">
            <v>BHTTBD1</v>
          </cell>
          <cell r="C46" t="str">
            <v>Tariff Trial - Grid Scale Battery</v>
          </cell>
          <cell r="D46" t="str">
            <v>t-1</v>
          </cell>
          <cell r="E46">
            <v>8049.7254108094885</v>
          </cell>
          <cell r="F46">
            <v>0</v>
          </cell>
          <cell r="G46">
            <v>3.6747753624018178</v>
          </cell>
          <cell r="H46">
            <v>2.9943136015578671</v>
          </cell>
          <cell r="I46">
            <v>2.4543827586543441</v>
          </cell>
          <cell r="J46">
            <v>0</v>
          </cell>
          <cell r="K46">
            <v>10.475681344750999</v>
          </cell>
          <cell r="L46">
            <v>9.4779974071556641</v>
          </cell>
          <cell r="M46">
            <v>2.8362564650752087</v>
          </cell>
          <cell r="N46">
            <v>0</v>
          </cell>
          <cell r="O46">
            <v>0</v>
          </cell>
          <cell r="P46">
            <v>-0.73399849441519538</v>
          </cell>
        </row>
        <row r="48">
          <cell r="B48" t="str">
            <v>Tariff Class D; Subtransmission</v>
          </cell>
        </row>
        <row r="49">
          <cell r="B49" t="str">
            <v>BSSD3AO</v>
          </cell>
          <cell r="C49" t="str">
            <v>SUB TRANS 3 RATE DEMAND</v>
          </cell>
          <cell r="D49" t="str">
            <v>t-2</v>
          </cell>
          <cell r="E49">
            <v>7990.5370590654011</v>
          </cell>
          <cell r="F49">
            <v>0</v>
          </cell>
          <cell r="G49">
            <v>4.2877324075222791</v>
          </cell>
          <cell r="H49">
            <v>2.5443657403772986</v>
          </cell>
          <cell r="I49">
            <v>2.1210025735130915</v>
          </cell>
          <cell r="J49">
            <v>0</v>
          </cell>
          <cell r="K49">
            <v>4.0425422394677097</v>
          </cell>
          <cell r="L49">
            <v>2.8819462995742171</v>
          </cell>
          <cell r="M49">
            <v>1.1488318611566977</v>
          </cell>
          <cell r="N49">
            <v>0</v>
          </cell>
          <cell r="O49">
            <v>0</v>
          </cell>
          <cell r="P49">
            <v>0</v>
          </cell>
        </row>
        <row r="50">
          <cell r="B50" t="str">
            <v/>
          </cell>
          <cell r="C50" t="str">
            <v/>
          </cell>
          <cell r="D50" t="str">
            <v/>
          </cell>
          <cell r="E50">
            <v>0</v>
          </cell>
          <cell r="F50">
            <v>0</v>
          </cell>
          <cell r="G50">
            <v>0</v>
          </cell>
          <cell r="H50">
            <v>0</v>
          </cell>
          <cell r="I50">
            <v>0</v>
          </cell>
          <cell r="J50">
            <v>0</v>
          </cell>
          <cell r="K50">
            <v>0</v>
          </cell>
          <cell r="L50">
            <v>0</v>
          </cell>
          <cell r="M50">
            <v>0</v>
          </cell>
          <cell r="N50">
            <v>0</v>
          </cell>
          <cell r="O50">
            <v>0</v>
          </cell>
        </row>
        <row r="51">
          <cell r="B51" t="str">
            <v>BSS04CU</v>
          </cell>
          <cell r="C51" t="str">
            <v>Peak Gold Mines</v>
          </cell>
          <cell r="D51" t="str">
            <v>t-2</v>
          </cell>
          <cell r="E51">
            <v>535594.63111344259</v>
          </cell>
          <cell r="F51">
            <v>0</v>
          </cell>
          <cell r="G51">
            <v>0.28195426710383714</v>
          </cell>
          <cell r="H51">
            <v>0.24286716678480835</v>
          </cell>
          <cell r="I51">
            <v>0.23413897933492814</v>
          </cell>
          <cell r="J51">
            <v>7.0080564919954451</v>
          </cell>
          <cell r="K51">
            <v>0</v>
          </cell>
          <cell r="L51">
            <v>0</v>
          </cell>
          <cell r="M51">
            <v>0</v>
          </cell>
          <cell r="N51">
            <v>0</v>
          </cell>
          <cell r="O51">
            <v>0</v>
          </cell>
          <cell r="P51">
            <v>0</v>
          </cell>
        </row>
        <row r="52">
          <cell r="B52" t="str">
            <v>BSS05CU</v>
          </cell>
          <cell r="C52" t="str">
            <v>Oberon Timber Complex</v>
          </cell>
          <cell r="D52" t="str">
            <v>t-2</v>
          </cell>
          <cell r="E52">
            <v>521088.24916759599</v>
          </cell>
          <cell r="F52">
            <v>0</v>
          </cell>
          <cell r="G52">
            <v>0.26816626084243217</v>
          </cell>
          <cell r="H52">
            <v>0.23540393403780935</v>
          </cell>
          <cell r="I52">
            <v>0.22743471940965782</v>
          </cell>
          <cell r="J52">
            <v>3.5244038064696972</v>
          </cell>
          <cell r="K52">
            <v>0</v>
          </cell>
          <cell r="L52">
            <v>0</v>
          </cell>
          <cell r="M52">
            <v>0</v>
          </cell>
          <cell r="N52">
            <v>0</v>
          </cell>
          <cell r="O52">
            <v>0</v>
          </cell>
          <cell r="P52">
            <v>0</v>
          </cell>
        </row>
        <row r="53">
          <cell r="B53" t="str">
            <v>BSS05NO</v>
          </cell>
          <cell r="C53" t="str">
            <v>Harwood Sugar</v>
          </cell>
          <cell r="D53" t="str">
            <v>t-2</v>
          </cell>
          <cell r="E53">
            <v>24544.279838360948</v>
          </cell>
          <cell r="F53">
            <v>0</v>
          </cell>
          <cell r="G53">
            <v>2.1115847493511914</v>
          </cell>
          <cell r="H53">
            <v>1.2631796301287765</v>
          </cell>
          <cell r="I53">
            <v>1.1571764260273332</v>
          </cell>
          <cell r="J53">
            <v>10.000418217846956</v>
          </cell>
          <cell r="K53">
            <v>0</v>
          </cell>
          <cell r="L53">
            <v>0</v>
          </cell>
          <cell r="M53">
            <v>0</v>
          </cell>
          <cell r="N53">
            <v>0</v>
          </cell>
          <cell r="O53">
            <v>0</v>
          </cell>
          <cell r="P53">
            <v>0</v>
          </cell>
        </row>
        <row r="54">
          <cell r="B54" t="str">
            <v>BSS06CU</v>
          </cell>
          <cell r="C54" t="str">
            <v>Fletcher International Exports</v>
          </cell>
          <cell r="D54" t="str">
            <v>t-2</v>
          </cell>
          <cell r="E54">
            <v>310295.16966373567</v>
          </cell>
          <cell r="F54">
            <v>0</v>
          </cell>
          <cell r="G54">
            <v>0.282839735395854</v>
          </cell>
          <cell r="H54">
            <v>0.24337314866596083</v>
          </cell>
          <cell r="I54">
            <v>0.2338859883943519</v>
          </cell>
          <cell r="J54">
            <v>6.5512726958598906</v>
          </cell>
          <cell r="K54">
            <v>0</v>
          </cell>
          <cell r="L54">
            <v>0</v>
          </cell>
          <cell r="M54">
            <v>0</v>
          </cell>
          <cell r="N54">
            <v>0</v>
          </cell>
          <cell r="O54">
            <v>0</v>
          </cell>
          <cell r="P54">
            <v>0</v>
          </cell>
        </row>
        <row r="55">
          <cell r="B55" t="str">
            <v>BSS08CU</v>
          </cell>
          <cell r="C55" t="str">
            <v>Cadia Mine</v>
          </cell>
          <cell r="D55" t="str">
            <v>t-2</v>
          </cell>
          <cell r="E55">
            <v>6723729.6676489599</v>
          </cell>
          <cell r="F55">
            <v>0</v>
          </cell>
          <cell r="G55">
            <v>0</v>
          </cell>
          <cell r="H55">
            <v>0</v>
          </cell>
          <cell r="I55">
            <v>0</v>
          </cell>
          <cell r="J55">
            <v>0</v>
          </cell>
          <cell r="K55">
            <v>0</v>
          </cell>
          <cell r="L55">
            <v>0</v>
          </cell>
          <cell r="M55">
            <v>0</v>
          </cell>
          <cell r="N55">
            <v>0</v>
          </cell>
          <cell r="O55">
            <v>0</v>
          </cell>
          <cell r="P55">
            <v>0</v>
          </cell>
        </row>
        <row r="56">
          <cell r="B56" t="str">
            <v>BSS10CU</v>
          </cell>
          <cell r="C56" t="str">
            <v>Ulan Coal Mine Cassilis Road</v>
          </cell>
          <cell r="D56" t="str">
            <v>t-2</v>
          </cell>
          <cell r="E56">
            <v>765372.90321504266</v>
          </cell>
          <cell r="F56">
            <v>0</v>
          </cell>
          <cell r="G56">
            <v>0.26728079255041531</v>
          </cell>
          <cell r="H56">
            <v>0.2338859883943519</v>
          </cell>
          <cell r="I56">
            <v>0.22692873752850537</v>
          </cell>
          <cell r="J56">
            <v>3.659262528521253</v>
          </cell>
          <cell r="K56">
            <v>0</v>
          </cell>
          <cell r="L56">
            <v>0</v>
          </cell>
          <cell r="M56">
            <v>0</v>
          </cell>
          <cell r="N56">
            <v>0</v>
          </cell>
          <cell r="O56">
            <v>0</v>
          </cell>
          <cell r="P56">
            <v>0</v>
          </cell>
        </row>
        <row r="57">
          <cell r="B57" t="str">
            <v>BSS11CU</v>
          </cell>
          <cell r="C57" t="str">
            <v>Cobar Mine</v>
          </cell>
          <cell r="D57" t="str">
            <v>t-2</v>
          </cell>
          <cell r="E57">
            <v>430488.2391663827</v>
          </cell>
          <cell r="F57">
            <v>0</v>
          </cell>
          <cell r="G57">
            <v>0.75757723538716493</v>
          </cell>
          <cell r="H57">
            <v>0.65220650863716179</v>
          </cell>
          <cell r="I57">
            <v>0.43261037221698695</v>
          </cell>
          <cell r="J57">
            <v>8.9018632327530387</v>
          </cell>
          <cell r="K57">
            <v>0</v>
          </cell>
          <cell r="L57">
            <v>0</v>
          </cell>
          <cell r="M57">
            <v>0</v>
          </cell>
          <cell r="N57">
            <v>0</v>
          </cell>
          <cell r="O57">
            <v>0</v>
          </cell>
          <cell r="P57">
            <v>0</v>
          </cell>
        </row>
        <row r="58">
          <cell r="B58" t="str">
            <v>BSS12CU</v>
          </cell>
          <cell r="C58" t="str">
            <v>Endeavor Operations Pty Ltd</v>
          </cell>
          <cell r="D58" t="str">
            <v>t-2</v>
          </cell>
          <cell r="E58">
            <v>883849.39261545776</v>
          </cell>
          <cell r="F58">
            <v>0</v>
          </cell>
          <cell r="G58">
            <v>0.51508541884484049</v>
          </cell>
          <cell r="H58">
            <v>0.37543441964675717</v>
          </cell>
          <cell r="I58">
            <v>0.34203961549069373</v>
          </cell>
          <cell r="J58">
            <v>4.6944998933326758</v>
          </cell>
          <cell r="K58">
            <v>0</v>
          </cell>
          <cell r="L58">
            <v>0</v>
          </cell>
          <cell r="M58">
            <v>0</v>
          </cell>
          <cell r="N58">
            <v>0</v>
          </cell>
          <cell r="O58">
            <v>0</v>
          </cell>
          <cell r="P58">
            <v>0</v>
          </cell>
        </row>
        <row r="59">
          <cell r="B59" t="str">
            <v>BSS13CU</v>
          </cell>
          <cell r="C59" t="str">
            <v>Uncle Bens-Bathurst</v>
          </cell>
          <cell r="D59" t="str">
            <v>t-2</v>
          </cell>
          <cell r="E59">
            <v>357399.99747966713</v>
          </cell>
          <cell r="F59">
            <v>0</v>
          </cell>
          <cell r="G59">
            <v>0.38681901197268787</v>
          </cell>
          <cell r="H59">
            <v>0.30282601970137679</v>
          </cell>
          <cell r="I59">
            <v>0.28258674445527776</v>
          </cell>
          <cell r="J59">
            <v>4.2795275809723039</v>
          </cell>
          <cell r="K59">
            <v>0</v>
          </cell>
          <cell r="L59">
            <v>0</v>
          </cell>
          <cell r="M59">
            <v>0</v>
          </cell>
          <cell r="N59">
            <v>0</v>
          </cell>
          <cell r="O59">
            <v>0</v>
          </cell>
          <cell r="P59">
            <v>0</v>
          </cell>
        </row>
        <row r="60">
          <cell r="B60" t="str">
            <v>BSS20CU</v>
          </cell>
          <cell r="C60" t="str">
            <v>Nth Parkes Mine</v>
          </cell>
          <cell r="D60" t="str">
            <v>t-2</v>
          </cell>
          <cell r="E60">
            <v>910775.93580823729</v>
          </cell>
          <cell r="F60">
            <v>0</v>
          </cell>
          <cell r="G60">
            <v>0.19024505114495083</v>
          </cell>
          <cell r="H60">
            <v>0.19024505114495083</v>
          </cell>
          <cell r="I60">
            <v>0.19024505114495083</v>
          </cell>
          <cell r="J60">
            <v>6.2042598493696781</v>
          </cell>
          <cell r="K60">
            <v>0</v>
          </cell>
          <cell r="L60">
            <v>0</v>
          </cell>
          <cell r="M60">
            <v>0</v>
          </cell>
          <cell r="N60">
            <v>0</v>
          </cell>
          <cell r="O60">
            <v>0</v>
          </cell>
          <cell r="P60">
            <v>0</v>
          </cell>
        </row>
        <row r="61">
          <cell r="B61" t="str">
            <v>BSS25AO</v>
          </cell>
          <cell r="C61" t="str">
            <v>Tritton Mine</v>
          </cell>
          <cell r="D61" t="str">
            <v>t-2</v>
          </cell>
          <cell r="E61">
            <v>171340.40211064497</v>
          </cell>
          <cell r="F61">
            <v>0</v>
          </cell>
          <cell r="G61">
            <v>0.19024505114495083</v>
          </cell>
          <cell r="H61">
            <v>0.19024505114495083</v>
          </cell>
          <cell r="I61">
            <v>0.19024505114495083</v>
          </cell>
          <cell r="J61">
            <v>0</v>
          </cell>
          <cell r="K61">
            <v>4.4107225820434302</v>
          </cell>
          <cell r="L61">
            <v>4.2643673229200774</v>
          </cell>
          <cell r="M61">
            <v>3.544714961441644</v>
          </cell>
          <cell r="N61">
            <v>0</v>
          </cell>
          <cell r="O61">
            <v>0</v>
          </cell>
          <cell r="P61">
            <v>0</v>
          </cell>
        </row>
        <row r="62">
          <cell r="B62" t="str">
            <v>BSS26AO</v>
          </cell>
          <cell r="C62" t="str">
            <v>Lake Cowal Mine</v>
          </cell>
          <cell r="D62" t="str">
            <v>t-2</v>
          </cell>
          <cell r="E62">
            <v>778508.37310226297</v>
          </cell>
          <cell r="F62">
            <v>0</v>
          </cell>
          <cell r="G62">
            <v>0.20390656193606768</v>
          </cell>
          <cell r="H62">
            <v>0.19973221141655975</v>
          </cell>
          <cell r="I62">
            <v>0.19783477936223798</v>
          </cell>
          <cell r="J62">
            <v>0</v>
          </cell>
          <cell r="K62">
            <v>1.5652848873933762</v>
          </cell>
          <cell r="L62">
            <v>1.5011516839572998</v>
          </cell>
          <cell r="M62">
            <v>1.1320936648796647</v>
          </cell>
          <cell r="N62">
            <v>0</v>
          </cell>
          <cell r="O62">
            <v>0</v>
          </cell>
          <cell r="P62">
            <v>0</v>
          </cell>
        </row>
        <row r="63">
          <cell r="B63" t="str">
            <v>BSS27AO</v>
          </cell>
          <cell r="C63" t="str">
            <v>Manildra Flour Mill</v>
          </cell>
          <cell r="D63" t="str">
            <v>t-1</v>
          </cell>
          <cell r="E63">
            <v>261251.40672677179</v>
          </cell>
          <cell r="F63">
            <v>0</v>
          </cell>
          <cell r="G63">
            <v>0.47663079587725238</v>
          </cell>
          <cell r="H63">
            <v>0.47663079587725238</v>
          </cell>
          <cell r="I63">
            <v>0.47663079587725238</v>
          </cell>
          <cell r="J63">
            <v>7.6589660172621272</v>
          </cell>
          <cell r="K63">
            <v>0</v>
          </cell>
          <cell r="L63">
            <v>0</v>
          </cell>
          <cell r="M63">
            <v>0</v>
          </cell>
          <cell r="N63">
            <v>0</v>
          </cell>
          <cell r="O63">
            <v>0</v>
          </cell>
          <cell r="P63">
            <v>0</v>
          </cell>
        </row>
        <row r="64">
          <cell r="B64" t="str">
            <v>CRNP1</v>
          </cell>
          <cell r="C64" t="str">
            <v>Perilya Mine, Broken Hill          </v>
          </cell>
          <cell r="D64" t="str">
            <v>t-2</v>
          </cell>
          <cell r="E64">
            <v>590530.57435296557</v>
          </cell>
          <cell r="F64">
            <v>0</v>
          </cell>
          <cell r="G64">
            <v>0.14260695271608589</v>
          </cell>
          <cell r="H64">
            <v>0.14260695271608589</v>
          </cell>
          <cell r="I64">
            <v>0.14260695271608589</v>
          </cell>
          <cell r="J64">
            <v>0</v>
          </cell>
          <cell r="K64">
            <v>0</v>
          </cell>
          <cell r="L64">
            <v>0</v>
          </cell>
          <cell r="M64">
            <v>0</v>
          </cell>
          <cell r="N64">
            <v>0</v>
          </cell>
          <cell r="O64">
            <v>10.141317431366648</v>
          </cell>
          <cell r="P64">
            <v>0</v>
          </cell>
        </row>
        <row r="65">
          <cell r="B65" t="str">
            <v>CRNP2</v>
          </cell>
          <cell r="C65" t="str">
            <v>Bemax and Snapper      </v>
          </cell>
          <cell r="D65" t="str">
            <v>t-2</v>
          </cell>
          <cell r="E65">
            <v>380899.89869887382</v>
          </cell>
          <cell r="F65">
            <v>0</v>
          </cell>
          <cell r="G65">
            <v>2.5957924903282112</v>
          </cell>
          <cell r="H65">
            <v>2.5957924903282112</v>
          </cell>
          <cell r="I65">
            <v>0.69442691137457435</v>
          </cell>
          <cell r="J65">
            <v>0</v>
          </cell>
          <cell r="K65">
            <v>0</v>
          </cell>
          <cell r="L65">
            <v>0</v>
          </cell>
          <cell r="M65">
            <v>0</v>
          </cell>
          <cell r="N65">
            <v>0</v>
          </cell>
          <cell r="O65">
            <v>5.3111473937316811</v>
          </cell>
          <cell r="P65">
            <v>0</v>
          </cell>
        </row>
        <row r="66">
          <cell r="B66" t="str">
            <v>BSS21SU</v>
          </cell>
          <cell r="C66" t="str">
            <v>IDT Blowering Dam</v>
          </cell>
          <cell r="D66" t="str">
            <v>t-2</v>
          </cell>
          <cell r="E66">
            <v>0</v>
          </cell>
          <cell r="F66">
            <v>0</v>
          </cell>
          <cell r="G66">
            <v>80.916162809620175</v>
          </cell>
          <cell r="H66">
            <v>80.916162809620175</v>
          </cell>
          <cell r="I66">
            <v>40.218367921580437</v>
          </cell>
          <cell r="J66">
            <v>0</v>
          </cell>
          <cell r="K66">
            <v>0</v>
          </cell>
          <cell r="L66">
            <v>0</v>
          </cell>
          <cell r="M66">
            <v>0</v>
          </cell>
          <cell r="N66">
            <v>0</v>
          </cell>
          <cell r="O66">
            <v>0</v>
          </cell>
          <cell r="P66">
            <v>0</v>
          </cell>
        </row>
        <row r="67">
          <cell r="B67" t="str">
            <v>BSS22SU</v>
          </cell>
          <cell r="C67" t="str">
            <v>IDT Cabramurra Aux</v>
          </cell>
          <cell r="D67" t="str">
            <v>t-2</v>
          </cell>
          <cell r="E67">
            <v>115143.10121794947</v>
          </cell>
          <cell r="F67">
            <v>0</v>
          </cell>
          <cell r="G67">
            <v>1.0064089581408457</v>
          </cell>
          <cell r="H67">
            <v>0.76393882496109122</v>
          </cell>
          <cell r="I67">
            <v>0.70548893589420036</v>
          </cell>
          <cell r="J67">
            <v>4.7615632320466057</v>
          </cell>
          <cell r="K67">
            <v>0</v>
          </cell>
          <cell r="L67">
            <v>0</v>
          </cell>
          <cell r="M67">
            <v>0</v>
          </cell>
          <cell r="N67">
            <v>0</v>
          </cell>
          <cell r="O67">
            <v>0</v>
          </cell>
          <cell r="P67">
            <v>0</v>
          </cell>
        </row>
        <row r="68">
          <cell r="B68" t="str">
            <v>BSS24NU</v>
          </cell>
          <cell r="C68" t="str">
            <v>Kirra - IDC</v>
          </cell>
          <cell r="D68" t="str">
            <v>t-2</v>
          </cell>
          <cell r="E68">
            <v>60432.830846989076</v>
          </cell>
          <cell r="F68">
            <v>0</v>
          </cell>
          <cell r="G68">
            <v>0.38545379868300289</v>
          </cell>
          <cell r="H68">
            <v>0.22214969636289925</v>
          </cell>
          <cell r="I68">
            <v>0.18286265059330348</v>
          </cell>
          <cell r="J68">
            <v>0</v>
          </cell>
          <cell r="K68">
            <v>6.4135616466272385</v>
          </cell>
          <cell r="L68">
            <v>4.6302630523531514</v>
          </cell>
          <cell r="M68">
            <v>1.769384092542394</v>
          </cell>
          <cell r="N68">
            <v>0</v>
          </cell>
          <cell r="O68">
            <v>0</v>
          </cell>
          <cell r="P68">
            <v>0</v>
          </cell>
        </row>
        <row r="69">
          <cell r="B69" t="str">
            <v>BSS30AO</v>
          </cell>
          <cell r="C69" t="str">
            <v>Tomingley Gold Operations</v>
          </cell>
          <cell r="D69" t="str">
            <v>t-1</v>
          </cell>
          <cell r="E69">
            <v>206855.5592838834</v>
          </cell>
          <cell r="F69">
            <v>0</v>
          </cell>
          <cell r="G69">
            <v>0.56765206630816212</v>
          </cell>
          <cell r="H69">
            <v>0.43458919389183337</v>
          </cell>
          <cell r="I69">
            <v>0.4207344809829055</v>
          </cell>
          <cell r="J69">
            <v>11.154991772960294</v>
          </cell>
          <cell r="K69">
            <v>0</v>
          </cell>
          <cell r="L69">
            <v>0</v>
          </cell>
          <cell r="M69">
            <v>0</v>
          </cell>
          <cell r="N69">
            <v>0</v>
          </cell>
          <cell r="O69">
            <v>0</v>
          </cell>
          <cell r="P69">
            <v>0</v>
          </cell>
        </row>
        <row r="70">
          <cell r="B70" t="str">
            <v/>
          </cell>
          <cell r="C70" t="str">
            <v/>
          </cell>
          <cell r="D70" t="str">
            <v/>
          </cell>
        </row>
        <row r="71">
          <cell r="B71" t="str">
            <v/>
          </cell>
          <cell r="C71" t="str">
            <v/>
          </cell>
          <cell r="D71" t="str">
            <v/>
          </cell>
        </row>
        <row r="72">
          <cell r="B72" t="str">
            <v>Tariff Class E; unmetered</v>
          </cell>
        </row>
        <row r="73">
          <cell r="B73" t="str">
            <v>BLNP1AO</v>
          </cell>
          <cell r="C73" t="str">
            <v>LV Public Lighting NUOS</v>
          </cell>
          <cell r="D73" t="str">
            <v>t-2</v>
          </cell>
          <cell r="E73">
            <v>380.55768216313493</v>
          </cell>
          <cell r="F73">
            <v>18.251843125253131</v>
          </cell>
          <cell r="G73">
            <v>0</v>
          </cell>
          <cell r="H73">
            <v>0</v>
          </cell>
          <cell r="I73">
            <v>0</v>
          </cell>
          <cell r="J73">
            <v>0</v>
          </cell>
          <cell r="K73">
            <v>0</v>
          </cell>
          <cell r="L73">
            <v>0</v>
          </cell>
          <cell r="M73">
            <v>0</v>
          </cell>
          <cell r="N73">
            <v>0</v>
          </cell>
          <cell r="O73">
            <v>0</v>
          </cell>
        </row>
        <row r="74">
          <cell r="B74" t="str">
            <v>BLNP3AO</v>
          </cell>
          <cell r="C74" t="str">
            <v>LV Public Lighting ToU NUOS</v>
          </cell>
          <cell r="D74" t="str">
            <v>t-2</v>
          </cell>
          <cell r="E74">
            <v>0</v>
          </cell>
          <cell r="F74">
            <v>0</v>
          </cell>
          <cell r="G74">
            <v>20.609650966998995</v>
          </cell>
          <cell r="H74">
            <v>15.591662283363007</v>
          </cell>
          <cell r="I74">
            <v>7.7583945552996703</v>
          </cell>
          <cell r="J74">
            <v>0</v>
          </cell>
          <cell r="K74">
            <v>0</v>
          </cell>
          <cell r="L74">
            <v>0</v>
          </cell>
          <cell r="M74">
            <v>0</v>
          </cell>
          <cell r="N74">
            <v>0</v>
          </cell>
          <cell r="O74">
            <v>0</v>
          </cell>
        </row>
      </sheetData>
      <sheetData sheetId="8" refreshError="1"/>
      <sheetData sheetId="9" refreshError="1"/>
      <sheetData sheetId="10">
        <row r="10">
          <cell r="B10" t="str">
            <v>BLNN2AU</v>
          </cell>
          <cell r="C10" t="str">
            <v>LV Residential Anytime</v>
          </cell>
          <cell r="D10" t="str">
            <v>t-2</v>
          </cell>
          <cell r="E10">
            <v>373.07094223896001</v>
          </cell>
          <cell r="F10">
            <v>9.4451285042828896</v>
          </cell>
        </row>
        <row r="11">
          <cell r="B11" t="str">
            <v>BLNT3AU</v>
          </cell>
          <cell r="C11" t="str">
            <v>LV Residential ToU</v>
          </cell>
          <cell r="D11" t="str">
            <v>t-2</v>
          </cell>
          <cell r="E11">
            <v>373.07094223896001</v>
          </cell>
          <cell r="G11">
            <v>12.860953453778942</v>
          </cell>
          <cell r="H11">
            <v>9.9154193947094775</v>
          </cell>
          <cell r="I11">
            <v>3.0403425984242074</v>
          </cell>
        </row>
        <row r="12">
          <cell r="B12" t="str">
            <v>BLNT3AL</v>
          </cell>
          <cell r="C12" t="str">
            <v>LV Residential ToU_Interval meter</v>
          </cell>
          <cell r="D12" t="str">
            <v>t-2</v>
          </cell>
          <cell r="E12">
            <v>373.07094223896001</v>
          </cell>
          <cell r="G12">
            <v>13.504001126467884</v>
          </cell>
          <cell r="H12">
            <v>9.4196484249739996</v>
          </cell>
          <cell r="I12">
            <v>3.0403425984242074</v>
          </cell>
        </row>
        <row r="13">
          <cell r="B13" t="str">
            <v>BLND1AR</v>
          </cell>
          <cell r="C13" t="str">
            <v>Small Residential-Opt in Demand</v>
          </cell>
          <cell r="D13" t="str">
            <v>t-2</v>
          </cell>
          <cell r="E13">
            <v>373.07094223896001</v>
          </cell>
          <cell r="G13">
            <v>1.0486121695436659</v>
          </cell>
          <cell r="H13">
            <v>0.55846830009166537</v>
          </cell>
          <cell r="I13">
            <v>0.30273611140895484</v>
          </cell>
          <cell r="K13">
            <v>4.635919865707625</v>
          </cell>
        </row>
        <row r="14">
          <cell r="B14" t="str">
            <v>BLNC1AU</v>
          </cell>
          <cell r="C14" t="str">
            <v>Energy Saver 1</v>
          </cell>
          <cell r="D14" t="str">
            <v>t-2</v>
          </cell>
          <cell r="E14">
            <v>38.498008547685579</v>
          </cell>
          <cell r="F14">
            <v>0.42838370708812734</v>
          </cell>
        </row>
        <row r="15">
          <cell r="B15" t="str">
            <v>BLNC2AU</v>
          </cell>
          <cell r="C15" t="str">
            <v>Energy Saver 2</v>
          </cell>
          <cell r="D15" t="str">
            <v>t-2</v>
          </cell>
          <cell r="E15">
            <v>38.498008547685579</v>
          </cell>
          <cell r="F15">
            <v>2.8582325984532204</v>
          </cell>
        </row>
        <row r="16">
          <cell r="B16" t="str">
            <v>BLNN1AU</v>
          </cell>
          <cell r="C16" t="str">
            <v>LV Small business Anytime</v>
          </cell>
          <cell r="D16" t="str">
            <v>t-2</v>
          </cell>
          <cell r="E16">
            <v>373.07094223896001</v>
          </cell>
          <cell r="F16">
            <v>13.609010181316087</v>
          </cell>
          <cell r="G16">
            <v>0</v>
          </cell>
          <cell r="H16">
            <v>0</v>
          </cell>
          <cell r="I16">
            <v>0</v>
          </cell>
        </row>
        <row r="17">
          <cell r="B17" t="str">
            <v>BLNT2AU</v>
          </cell>
          <cell r="C17" t="str">
            <v>LV ToU &lt; 100MWh</v>
          </cell>
          <cell r="D17" t="str">
            <v>t-2</v>
          </cell>
          <cell r="E17">
            <v>1356.3051566920997</v>
          </cell>
          <cell r="G17">
            <v>13.432944363316228</v>
          </cell>
          <cell r="H17">
            <v>10.356407675897687</v>
          </cell>
          <cell r="I17">
            <v>4.9518764862506304</v>
          </cell>
        </row>
        <row r="18">
          <cell r="B18" t="str">
            <v>BLNT2AL</v>
          </cell>
          <cell r="C18" t="str">
            <v>LV Business ToU_Interval meter</v>
          </cell>
          <cell r="D18" t="str">
            <v>t-2</v>
          </cell>
          <cell r="E18">
            <v>634.27261449810885</v>
          </cell>
          <cell r="G18">
            <v>14.104591581482042</v>
          </cell>
          <cell r="H18">
            <v>9.8385872921028046</v>
          </cell>
          <cell r="I18">
            <v>4.7042826619380991</v>
          </cell>
        </row>
        <row r="19">
          <cell r="B19" t="str">
            <v>BLNT1AO</v>
          </cell>
          <cell r="C19" t="str">
            <v>LV ToU &gt; 100 MWh/yr</v>
          </cell>
          <cell r="D19" t="str">
            <v>t-2</v>
          </cell>
          <cell r="E19">
            <v>1356.3051566920997</v>
          </cell>
          <cell r="G19">
            <v>13.432944363316228</v>
          </cell>
          <cell r="H19">
            <v>10.356407675897687</v>
          </cell>
          <cell r="I19">
            <v>4.9518764862506304</v>
          </cell>
        </row>
        <row r="20">
          <cell r="B20" t="str">
            <v>BLND1AB</v>
          </cell>
          <cell r="C20" t="str">
            <v>Small business-Opt in Demand</v>
          </cell>
          <cell r="D20" t="str">
            <v>t-2</v>
          </cell>
          <cell r="E20">
            <v>634.27261449810885</v>
          </cell>
          <cell r="G20">
            <v>3.9813119999999991</v>
          </cell>
          <cell r="H20">
            <v>2.4883199999999999</v>
          </cell>
          <cell r="I20">
            <v>0.93311999999999973</v>
          </cell>
          <cell r="K20">
            <v>7.5333697817748915</v>
          </cell>
        </row>
        <row r="21">
          <cell r="B21" t="str">
            <v>BLNT1SU</v>
          </cell>
          <cell r="C21" t="str">
            <v>LV ToU &gt; 100 MWh/yr Sth U</v>
          </cell>
          <cell r="D21" t="str">
            <v>t-2</v>
          </cell>
          <cell r="E21">
            <v>3311.7326573047931</v>
          </cell>
          <cell r="G21">
            <v>16.591880352598626</v>
          </cell>
          <cell r="H21">
            <v>12.039184928304179</v>
          </cell>
          <cell r="I21">
            <v>5.8739693422212458</v>
          </cell>
        </row>
        <row r="22">
          <cell r="B22" t="str">
            <v>BLTTSS2</v>
          </cell>
          <cell r="C22" t="str">
            <v>Tariff Trial - Sun soaker Residential</v>
          </cell>
          <cell r="D22" t="str">
            <v>t-1</v>
          </cell>
          <cell r="E22">
            <v>373.07094223896001</v>
          </cell>
          <cell r="G22">
            <v>11.461824775720942</v>
          </cell>
          <cell r="H22">
            <v>0</v>
          </cell>
          <cell r="I22">
            <v>3.0403425984242074</v>
          </cell>
        </row>
        <row r="23">
          <cell r="B23" t="str">
            <v>BLTTSS1</v>
          </cell>
          <cell r="C23" t="str">
            <v>Tariff Trial - Sun soaker Small Business</v>
          </cell>
          <cell r="D23" t="str">
            <v>t-1</v>
          </cell>
          <cell r="E23">
            <v>634.27261449810885</v>
          </cell>
          <cell r="G23">
            <v>11.971589436792424</v>
          </cell>
          <cell r="H23">
            <v>0</v>
          </cell>
          <cell r="I23">
            <v>4.7042826619380991</v>
          </cell>
        </row>
        <row r="24">
          <cell r="B24" t="str">
            <v>BLTTEX1</v>
          </cell>
          <cell r="C24" t="str">
            <v>Tariff Trial - Export charge</v>
          </cell>
          <cell r="D24" t="str">
            <v>t-1</v>
          </cell>
        </row>
        <row r="25">
          <cell r="B25" t="str">
            <v>BLTTEX1</v>
          </cell>
          <cell r="C25" t="str">
            <v>Tariff Trial - Export charge sml business</v>
          </cell>
          <cell r="D25" t="str">
            <v>t-1</v>
          </cell>
        </row>
        <row r="26">
          <cell r="B26" t="str">
            <v>TTPTR</v>
          </cell>
          <cell r="C26" t="str">
            <v>Tariff Trial - Critical Peak Rebate</v>
          </cell>
          <cell r="D26" t="str">
            <v>t-1</v>
          </cell>
          <cell r="G26">
            <v>-200</v>
          </cell>
        </row>
        <row r="27">
          <cell r="B27" t="str">
            <v>TTCPP</v>
          </cell>
          <cell r="C27" t="str">
            <v>Tariff Trial  - Critical Peak Charge</v>
          </cell>
          <cell r="D27" t="str">
            <v>t-1</v>
          </cell>
          <cell r="G27">
            <v>200</v>
          </cell>
        </row>
        <row r="29">
          <cell r="B29" t="str">
            <v>Tariff Class B; Low voltage - Large Business</v>
          </cell>
        </row>
        <row r="30">
          <cell r="B30" t="str">
            <v>BLND3AO</v>
          </cell>
          <cell r="C30" t="str">
            <v>LV ToU Demand 3 Rate</v>
          </cell>
          <cell r="D30" t="str">
            <v>t-2</v>
          </cell>
          <cell r="E30">
            <v>6375.1094639346647</v>
          </cell>
          <cell r="G30">
            <v>0.95697325875313333</v>
          </cell>
          <cell r="H30">
            <v>0.70886515401876238</v>
          </cell>
          <cell r="I30">
            <v>0.20624684731893558</v>
          </cell>
          <cell r="K30">
            <v>10.748463531932524</v>
          </cell>
          <cell r="L30">
            <v>9.7248003384151378</v>
          </cell>
          <cell r="M30">
            <v>2.5481867646940897</v>
          </cell>
        </row>
        <row r="31">
          <cell r="B31" t="str">
            <v>BLND3TO</v>
          </cell>
          <cell r="C31" t="str">
            <v>LV ToU Demand-alternate tariff</v>
          </cell>
          <cell r="D31" t="str">
            <v>t-2</v>
          </cell>
          <cell r="E31">
            <v>6375.1094639346647</v>
          </cell>
          <cell r="G31">
            <v>11.899766534609816</v>
          </cell>
          <cell r="H31">
            <v>8.8145930517788216</v>
          </cell>
          <cell r="I31">
            <v>2.939684749629083</v>
          </cell>
          <cell r="K31">
            <v>13.825378036889706</v>
          </cell>
        </row>
        <row r="32">
          <cell r="B32" t="str">
            <v>BLNDTRS</v>
          </cell>
          <cell r="C32" t="str">
            <v>Transitional Demand</v>
          </cell>
          <cell r="D32" t="str">
            <v>t-2</v>
          </cell>
          <cell r="E32">
            <v>6375.1094639346647</v>
          </cell>
          <cell r="G32">
            <v>0.95697325875313333</v>
          </cell>
          <cell r="H32">
            <v>0.70886515401876238</v>
          </cell>
          <cell r="I32">
            <v>0.20624684731893558</v>
          </cell>
          <cell r="K32">
            <v>10.748463531932524</v>
          </cell>
          <cell r="L32">
            <v>9.7248003384151378</v>
          </cell>
          <cell r="M32">
            <v>2.5481867646940897</v>
          </cell>
        </row>
        <row r="33">
          <cell r="B33" t="str">
            <v>BLNS1AO</v>
          </cell>
          <cell r="C33" t="str">
            <v>LV ToU avg daily Demand</v>
          </cell>
          <cell r="D33" t="str">
            <v>t-2</v>
          </cell>
          <cell r="E33">
            <v>7562.2236637833221</v>
          </cell>
          <cell r="G33">
            <v>0.61190760518794485</v>
          </cell>
          <cell r="H33">
            <v>0.45326238202513874</v>
          </cell>
          <cell r="I33">
            <v>7.427975966493261E-2</v>
          </cell>
          <cell r="K33">
            <v>14.912688310831726</v>
          </cell>
          <cell r="L33">
            <v>13.492432281228702</v>
          </cell>
          <cell r="M33">
            <v>3.4483764530181262</v>
          </cell>
        </row>
        <row r="34">
          <cell r="B34" t="str">
            <v>BLND1CO</v>
          </cell>
          <cell r="C34" t="str">
            <v>LV 1 Rate Dmd Cent</v>
          </cell>
          <cell r="D34" t="str">
            <v>t-2</v>
          </cell>
          <cell r="E34">
            <v>9750.3582658186624</v>
          </cell>
          <cell r="G34">
            <v>2.7478147595760367</v>
          </cell>
          <cell r="H34">
            <v>2.0354070659192476</v>
          </cell>
          <cell r="I34">
            <v>0.43334811788521682</v>
          </cell>
          <cell r="J34">
            <v>22.172062581424392</v>
          </cell>
        </row>
        <row r="35">
          <cell r="B35" t="str">
            <v>BLND1SR</v>
          </cell>
          <cell r="C35" t="str">
            <v>LV 1 Rate Dmd Sth Rural</v>
          </cell>
          <cell r="D35" t="str">
            <v>t-2</v>
          </cell>
          <cell r="E35">
            <v>7562.2236637833221</v>
          </cell>
          <cell r="G35">
            <v>10.898603172390519</v>
          </cell>
          <cell r="H35">
            <v>8.0729946691007104</v>
          </cell>
          <cell r="I35">
            <v>2.4947600081064265</v>
          </cell>
          <cell r="J35">
            <v>14.726408032130882</v>
          </cell>
          <cell r="N35">
            <v>5.3536626481093315</v>
          </cell>
        </row>
        <row r="36">
          <cell r="B36" t="str">
            <v>BLND1SU</v>
          </cell>
          <cell r="C36" t="str">
            <v>LV 1 Rate Dmd Sth Urburn</v>
          </cell>
          <cell r="D36" t="str">
            <v>t-2</v>
          </cell>
          <cell r="E36">
            <v>2034.6818402322924</v>
          </cell>
          <cell r="G36">
            <v>13.179005255220121</v>
          </cell>
          <cell r="H36">
            <v>9.7621720404474246</v>
          </cell>
          <cell r="I36">
            <v>4.3692840230106649</v>
          </cell>
          <cell r="J36">
            <v>14.443847826365475</v>
          </cell>
          <cell r="N36">
            <v>5.3604445345262768</v>
          </cell>
        </row>
        <row r="37">
          <cell r="B37" t="str">
            <v>BLTTBD1</v>
          </cell>
          <cell r="C37" t="str">
            <v>Tariff Trial - Grid Scale Battery</v>
          </cell>
          <cell r="D37" t="str">
            <v>t-1</v>
          </cell>
          <cell r="E37">
            <v>6375.1094639346647</v>
          </cell>
          <cell r="G37">
            <v>0.95697325875313333</v>
          </cell>
          <cell r="H37">
            <v>0.70886515401876238</v>
          </cell>
          <cell r="I37">
            <v>0.20624684731893558</v>
          </cell>
          <cell r="K37">
            <v>10.748463531932524</v>
          </cell>
          <cell r="L37">
            <v>9.7248003384151378</v>
          </cell>
          <cell r="M37">
            <v>2.5481867646940897</v>
          </cell>
        </row>
        <row r="38">
          <cell r="B38" t="str">
            <v>BLTD3SS</v>
          </cell>
          <cell r="C38" t="str">
            <v>Tariff Trial - Large Business Sun Soaker</v>
          </cell>
          <cell r="D38" t="str">
            <v>t-1</v>
          </cell>
          <cell r="E38">
            <v>6375.1094639346647</v>
          </cell>
          <cell r="G38">
            <v>0.95697325875313333</v>
          </cell>
          <cell r="H38">
            <v>0.70886515401876238</v>
          </cell>
          <cell r="I38">
            <v>0.20624684731893558</v>
          </cell>
          <cell r="K38">
            <v>10.748463531932524</v>
          </cell>
          <cell r="L38">
            <v>9.7248003384151378</v>
          </cell>
          <cell r="M38">
            <v>2.5481867646940897</v>
          </cell>
        </row>
        <row r="39">
          <cell r="B39" t="str">
            <v>BLTD3WD</v>
          </cell>
          <cell r="C39" t="str">
            <v>Tariff Trial - Large Business Weekly Demand</v>
          </cell>
          <cell r="D39" t="str">
            <v>t-1</v>
          </cell>
          <cell r="E39">
            <v>6375.1094639346647</v>
          </cell>
          <cell r="G39">
            <v>0.95697325875313333</v>
          </cell>
          <cell r="H39">
            <v>0.70886515401876238</v>
          </cell>
          <cell r="I39">
            <v>0.20624684731893558</v>
          </cell>
          <cell r="K39">
            <v>13.435579414915654</v>
          </cell>
          <cell r="L39">
            <v>12.156000423018922</v>
          </cell>
          <cell r="M39">
            <v>3.1852334558676123</v>
          </cell>
        </row>
        <row r="41">
          <cell r="B41" t="str">
            <v>Tariff Class C; High voltage - demand</v>
          </cell>
        </row>
        <row r="42">
          <cell r="B42" t="str">
            <v>BHND3AO</v>
          </cell>
          <cell r="C42" t="str">
            <v>HV ToU mthly Demand</v>
          </cell>
          <cell r="D42" t="str">
            <v>t-2</v>
          </cell>
          <cell r="E42">
            <v>7891.3625569335854</v>
          </cell>
          <cell r="G42">
            <v>0.73399849441519538</v>
          </cell>
          <cell r="H42">
            <v>0.54369957680017922</v>
          </cell>
          <cell r="I42">
            <v>0.30955279025515425</v>
          </cell>
          <cell r="K42">
            <v>10.269592477195143</v>
          </cell>
          <cell r="L42">
            <v>9.2915360507956049</v>
          </cell>
          <cell r="M42">
            <v>2.7804585781646636</v>
          </cell>
        </row>
        <row r="43">
          <cell r="B43" t="str">
            <v>BHNS1AO</v>
          </cell>
          <cell r="C43" t="str">
            <v>HV ToU avg daily Demand</v>
          </cell>
          <cell r="D43" t="str">
            <v>t-2</v>
          </cell>
          <cell r="E43">
            <v>7670.1657669282304</v>
          </cell>
          <cell r="G43">
            <v>0.64617040533066972</v>
          </cell>
          <cell r="H43">
            <v>0.58463036672774871</v>
          </cell>
          <cell r="I43">
            <v>0.30087595111012233</v>
          </cell>
          <cell r="K43">
            <v>10.874600080840189</v>
          </cell>
          <cell r="L43">
            <v>9.8389238826649308</v>
          </cell>
          <cell r="M43">
            <v>2.9441729359338007</v>
          </cell>
        </row>
        <row r="44">
          <cell r="B44" t="str">
            <v>BHND1CO</v>
          </cell>
          <cell r="C44" t="str">
            <v>HV 1 Rate Dmd Cent U</v>
          </cell>
          <cell r="D44" t="str">
            <v>t-2</v>
          </cell>
          <cell r="E44">
            <v>12511.368067473992</v>
          </cell>
          <cell r="G44">
            <v>3.4879958005779654</v>
          </cell>
          <cell r="H44">
            <v>2.855653258489232</v>
          </cell>
          <cell r="I44">
            <v>0.65872976348530976</v>
          </cell>
          <cell r="J44">
            <v>16.163259207796319</v>
          </cell>
        </row>
        <row r="45">
          <cell r="B45" t="str">
            <v>BHND1SO</v>
          </cell>
          <cell r="C45" t="str">
            <v>HV 1 Rate Dmd Sth U</v>
          </cell>
          <cell r="D45" t="str">
            <v>t-2</v>
          </cell>
          <cell r="E45">
            <v>9325.8942659482254</v>
          </cell>
          <cell r="G45">
            <v>2.6246151756174716</v>
          </cell>
          <cell r="H45">
            <v>2.1487958435300838</v>
          </cell>
          <cell r="I45">
            <v>2.4065499580106589</v>
          </cell>
          <cell r="J45">
            <v>11.672524449803047</v>
          </cell>
          <cell r="N45">
            <v>4.2987754649329117</v>
          </cell>
        </row>
        <row r="46">
          <cell r="B46" t="str">
            <v>BHTTBD1</v>
          </cell>
          <cell r="C46" t="str">
            <v>Tariff Trial - Grid Scale Battery</v>
          </cell>
          <cell r="D46" t="str">
            <v>t-1</v>
          </cell>
          <cell r="E46">
            <v>7891.3625569335854</v>
          </cell>
          <cell r="G46">
            <v>0.73399849441519538</v>
          </cell>
          <cell r="H46">
            <v>0.54369957680017922</v>
          </cell>
          <cell r="I46">
            <v>0.30955279025515425</v>
          </cell>
          <cell r="J46">
            <v>0</v>
          </cell>
          <cell r="K46">
            <v>10.269592477195143</v>
          </cell>
          <cell r="L46">
            <v>9.2915360507956049</v>
          </cell>
          <cell r="M46">
            <v>2.7804585781646636</v>
          </cell>
        </row>
        <row r="48">
          <cell r="B48" t="str">
            <v>Tariff Class D; Subtransmission</v>
          </cell>
        </row>
        <row r="49">
          <cell r="B49" t="str">
            <v>BSSD3AO</v>
          </cell>
          <cell r="C49" t="str">
            <v>SUB TRANS 3 RATE DEMAND</v>
          </cell>
          <cell r="D49" t="str">
            <v>t-2</v>
          </cell>
          <cell r="E49">
            <v>7833.3386220882185</v>
          </cell>
          <cell r="G49">
            <v>0.26150508054480465</v>
          </cell>
          <cell r="H49">
            <v>0.12341376516501477</v>
          </cell>
          <cell r="I49">
            <v>0.11235026533460413</v>
          </cell>
          <cell r="K49">
            <v>3.9630130017254732</v>
          </cell>
          <cell r="L49">
            <v>2.8252495531106909</v>
          </cell>
          <cell r="M49">
            <v>1.1262308054844092</v>
          </cell>
        </row>
        <row r="51">
          <cell r="B51" t="str">
            <v>BSS04CU</v>
          </cell>
          <cell r="C51" t="str">
            <v>Peak Gold Mines</v>
          </cell>
          <cell r="D51" t="str">
            <v>t-2</v>
          </cell>
          <cell r="E51">
            <v>425816.7472335184</v>
          </cell>
          <cell r="G51">
            <v>8.9905013650759355E-2</v>
          </cell>
          <cell r="H51">
            <v>5.158687679822882E-2</v>
          </cell>
          <cell r="I51">
            <v>4.3030399636984136E-2</v>
          </cell>
          <cell r="J51">
            <v>4.1140534246587492</v>
          </cell>
        </row>
        <row r="52">
          <cell r="B52" t="str">
            <v>BSS05CU</v>
          </cell>
          <cell r="C52" t="str">
            <v>Oberon Timber Complex</v>
          </cell>
          <cell r="D52" t="str">
            <v>t-2</v>
          </cell>
          <cell r="E52">
            <v>273099.32434451825</v>
          </cell>
          <cell r="G52">
            <v>7.6388259874300382E-2</v>
          </cell>
          <cell r="H52">
            <v>4.427046879078772E-2</v>
          </cell>
          <cell r="I52">
            <v>3.6458033121825169E-2</v>
          </cell>
          <cell r="J52">
            <v>1.8438588247905394</v>
          </cell>
        </row>
        <row r="53">
          <cell r="B53" t="str">
            <v>BSS05NO</v>
          </cell>
          <cell r="C53" t="str">
            <v>Harwood Sugar</v>
          </cell>
          <cell r="D53" t="str">
            <v>t-2</v>
          </cell>
          <cell r="E53">
            <v>290.33503484863934</v>
          </cell>
          <cell r="G53">
            <v>1.8835410377122537</v>
          </cell>
          <cell r="H53">
            <v>1.0518266562561942</v>
          </cell>
          <cell r="I53">
            <v>0.94790886116745465</v>
          </cell>
          <cell r="J53">
            <v>3.8466945150986978</v>
          </cell>
        </row>
        <row r="54">
          <cell r="B54" t="str">
            <v>BSS06CU</v>
          </cell>
          <cell r="C54" t="str">
            <v>Fletcher International Exports</v>
          </cell>
          <cell r="D54" t="str">
            <v>t-2</v>
          </cell>
          <cell r="E54">
            <v>244805.48838001708</v>
          </cell>
          <cell r="G54">
            <v>9.0773062058421894E-2</v>
          </cell>
          <cell r="H54">
            <v>5.2082904459750258E-2</v>
          </cell>
          <cell r="I54">
            <v>4.2782385806223434E-2</v>
          </cell>
          <cell r="J54">
            <v>3.4331314523052043</v>
          </cell>
        </row>
        <row r="55">
          <cell r="B55" t="str">
            <v>BSS08CU</v>
          </cell>
          <cell r="C55" t="str">
            <v>Cadia Mine</v>
          </cell>
          <cell r="D55" t="str">
            <v>t-2</v>
          </cell>
          <cell r="E55">
            <v>245215.91353720697</v>
          </cell>
          <cell r="G55">
            <v>0</v>
          </cell>
          <cell r="H55">
            <v>0</v>
          </cell>
          <cell r="I55">
            <v>0</v>
          </cell>
          <cell r="J55">
            <v>0</v>
          </cell>
        </row>
        <row r="56">
          <cell r="B56" t="str">
            <v>BSS10CU</v>
          </cell>
          <cell r="C56" t="str">
            <v>Ulan Coal Mine Cassilis Road</v>
          </cell>
          <cell r="D56" t="str">
            <v>t-2</v>
          </cell>
          <cell r="E56">
            <v>271782.23127139208</v>
          </cell>
          <cell r="G56">
            <v>7.5520211466637857E-2</v>
          </cell>
          <cell r="H56">
            <v>4.2782385806223434E-2</v>
          </cell>
          <cell r="I56">
            <v>3.5962005460303752E-2</v>
          </cell>
          <cell r="J56">
            <v>0.21899621256171178</v>
          </cell>
        </row>
        <row r="57">
          <cell r="B57" t="str">
            <v>BSS11CU</v>
          </cell>
          <cell r="C57" t="str">
            <v>Cobar Mine</v>
          </cell>
          <cell r="D57" t="str">
            <v>t-2</v>
          </cell>
          <cell r="E57">
            <v>3404.8353063398831</v>
          </cell>
          <cell r="G57">
            <v>0.55617101548090453</v>
          </cell>
          <cell r="H57">
            <v>0.45287325496906661</v>
          </cell>
          <cell r="I57">
            <v>0.23759724986876543</v>
          </cell>
          <cell r="J57">
            <v>5.4476237926591153</v>
          </cell>
        </row>
        <row r="58">
          <cell r="B58" t="str">
            <v>BSS12CU</v>
          </cell>
          <cell r="C58" t="str">
            <v>Endeavor Operations Pty Ltd</v>
          </cell>
          <cell r="D58" t="str">
            <v>t-2</v>
          </cell>
          <cell r="E58">
            <v>866461.35699089954</v>
          </cell>
          <cell r="G58">
            <v>0.31844975869675862</v>
          </cell>
          <cell r="H58">
            <v>0.18154612411684379</v>
          </cell>
          <cell r="I58">
            <v>0.14880829845642929</v>
          </cell>
          <cell r="J58">
            <v>4.6021446435958371</v>
          </cell>
        </row>
        <row r="59">
          <cell r="B59" t="str">
            <v>BSS13CU</v>
          </cell>
          <cell r="C59" t="str">
            <v>Uncle Bens-Bathurst</v>
          </cell>
          <cell r="D59" t="str">
            <v>t-2</v>
          </cell>
          <cell r="E59">
            <v>304546.78315022308</v>
          </cell>
          <cell r="G59">
            <v>0.19270674650107594</v>
          </cell>
          <cell r="H59">
            <v>0.11036615468851839</v>
          </cell>
          <cell r="I59">
            <v>9.0525048227661151E-2</v>
          </cell>
          <cell r="J59">
            <v>1.0256611971109388</v>
          </cell>
        </row>
        <row r="60">
          <cell r="B60" t="str">
            <v>BSS20CU</v>
          </cell>
          <cell r="C60" t="str">
            <v>Nth Parkes Mine</v>
          </cell>
          <cell r="D60" t="str">
            <v>t-2</v>
          </cell>
          <cell r="E60">
            <v>298609.55810641829</v>
          </cell>
          <cell r="G60">
            <v>0</v>
          </cell>
          <cell r="H60">
            <v>0</v>
          </cell>
          <cell r="I60">
            <v>0</v>
          </cell>
          <cell r="J60">
            <v>1.026405238603221</v>
          </cell>
        </row>
        <row r="61">
          <cell r="B61" t="str">
            <v>BSS25AO</v>
          </cell>
          <cell r="C61" t="str">
            <v>Tritton Mine</v>
          </cell>
          <cell r="D61" t="str">
            <v>t-2</v>
          </cell>
          <cell r="E61">
            <v>4033.9676505885518</v>
          </cell>
          <cell r="G61">
            <v>0</v>
          </cell>
          <cell r="H61">
            <v>0</v>
          </cell>
          <cell r="I61">
            <v>0</v>
          </cell>
          <cell r="J61">
            <v>0</v>
          </cell>
          <cell r="K61">
            <v>3.2390606297349436</v>
          </cell>
          <cell r="L61">
            <v>3.0955846286398705</v>
          </cell>
          <cell r="M61">
            <v>2.6613124109778576</v>
          </cell>
        </row>
        <row r="62">
          <cell r="B62" t="str">
            <v>BSS26AO</v>
          </cell>
          <cell r="C62" t="str">
            <v>Lake Cowal Mine</v>
          </cell>
          <cell r="D62" t="str">
            <v>t-2</v>
          </cell>
          <cell r="E62">
            <v>127580.87379803169</v>
          </cell>
          <cell r="G62">
            <v>1.3392746861078639E-2</v>
          </cell>
          <cell r="H62">
            <v>9.3005186535268305E-3</v>
          </cell>
          <cell r="I62">
            <v>7.4404149228214636E-3</v>
          </cell>
          <cell r="J62">
            <v>0</v>
          </cell>
          <cell r="K62">
            <v>0.21527600510030109</v>
          </cell>
          <cell r="L62">
            <v>0.15240449900245967</v>
          </cell>
          <cell r="M62">
            <v>0.12041071483432739</v>
          </cell>
        </row>
        <row r="63">
          <cell r="B63" t="str">
            <v>BSS27AO</v>
          </cell>
          <cell r="C63" t="str">
            <v>Manildra Flour Mill</v>
          </cell>
          <cell r="D63" t="str">
            <v>t-1</v>
          </cell>
          <cell r="E63">
            <v>158038.99104802994</v>
          </cell>
          <cell r="G63">
            <v>0.28075165642112992</v>
          </cell>
          <cell r="H63">
            <v>0.28075165642112992</v>
          </cell>
          <cell r="I63">
            <v>0.28075165642112992</v>
          </cell>
          <cell r="J63">
            <v>3.5257646180943323</v>
          </cell>
        </row>
        <row r="64">
          <cell r="B64" t="str">
            <v>CRNP1</v>
          </cell>
          <cell r="C64" t="str">
            <v>Perilya Mine, Broken Hill          </v>
          </cell>
          <cell r="D64" t="str">
            <v>t-2</v>
          </cell>
          <cell r="E64">
            <v>136893.96352859831</v>
          </cell>
          <cell r="G64">
            <v>0</v>
          </cell>
          <cell r="H64">
            <v>0</v>
          </cell>
          <cell r="I64">
            <v>0</v>
          </cell>
        </row>
        <row r="65">
          <cell r="B65" t="str">
            <v>CRNP2</v>
          </cell>
          <cell r="C65" t="str">
            <v>Bemax and Snapper      </v>
          </cell>
          <cell r="D65" t="str">
            <v>t-2</v>
          </cell>
          <cell r="E65">
            <v>373406.4263230341</v>
          </cell>
          <cell r="G65">
            <v>0</v>
          </cell>
          <cell r="H65">
            <v>0</v>
          </cell>
          <cell r="I65">
            <v>0</v>
          </cell>
        </row>
        <row r="66">
          <cell r="B66" t="str">
            <v>BSS21SU</v>
          </cell>
          <cell r="C66" t="str">
            <v>IDT Blowering Dam</v>
          </cell>
          <cell r="D66" t="str">
            <v>t-2</v>
          </cell>
          <cell r="E66">
            <v>0</v>
          </cell>
          <cell r="G66">
            <v>0</v>
          </cell>
          <cell r="H66">
            <v>0</v>
          </cell>
          <cell r="I66">
            <v>0</v>
          </cell>
        </row>
        <row r="67">
          <cell r="B67" t="str">
            <v>BSS22SU</v>
          </cell>
          <cell r="C67" t="str">
            <v>IDT Cabramurra Aux</v>
          </cell>
          <cell r="D67" t="str">
            <v>t-2</v>
          </cell>
          <cell r="E67">
            <v>56984.822000000015</v>
          </cell>
          <cell r="G67">
            <v>0.56130000000000002</v>
          </cell>
          <cell r="H67">
            <v>0.3236</v>
          </cell>
          <cell r="I67">
            <v>0.26629999999999998</v>
          </cell>
          <cell r="J67">
            <v>2.1278677277892739</v>
          </cell>
        </row>
        <row r="68">
          <cell r="B68" t="str">
            <v>BSS24NU</v>
          </cell>
          <cell r="C68" t="str">
            <v>Kirra - IDC</v>
          </cell>
          <cell r="D68" t="str">
            <v>t-2</v>
          </cell>
          <cell r="E68">
            <v>9235.8308891727138</v>
          </cell>
          <cell r="G68">
            <v>0.28459587079792098</v>
          </cell>
          <cell r="H68">
            <v>0.16406114904821328</v>
          </cell>
          <cell r="I68">
            <v>0.13504353084920959</v>
          </cell>
          <cell r="K68">
            <v>4.7582693500597069</v>
          </cell>
          <cell r="L68">
            <v>3.392333177145066</v>
          </cell>
          <cell r="M68">
            <v>1.3522954122228013</v>
          </cell>
        </row>
        <row r="69">
          <cell r="B69" t="str">
            <v>BSS30AO</v>
          </cell>
          <cell r="C69" t="str">
            <v>Tomingley Gold Operations</v>
          </cell>
          <cell r="D69" t="str">
            <v>t-1</v>
          </cell>
          <cell r="E69">
            <v>158235.59327163367</v>
          </cell>
          <cell r="G69">
            <v>0.25637752994588692</v>
          </cell>
          <cell r="H69">
            <v>0.12593241343368855</v>
          </cell>
          <cell r="I69">
            <v>0.11235026533460413</v>
          </cell>
          <cell r="J69">
            <v>6.3478028983058508</v>
          </cell>
          <cell r="K69">
            <v>0</v>
          </cell>
          <cell r="L69">
            <v>0</v>
          </cell>
          <cell r="M69">
            <v>0</v>
          </cell>
        </row>
        <row r="72">
          <cell r="B72" t="str">
            <v>Tariff Class E; unmetered</v>
          </cell>
        </row>
        <row r="73">
          <cell r="B73" t="str">
            <v>BLNP1AO</v>
          </cell>
          <cell r="C73" t="str">
            <v>LV Public Lighting NUOS</v>
          </cell>
          <cell r="D73" t="str">
            <v>t-2</v>
          </cell>
          <cell r="E73">
            <v>373.07094223896001</v>
          </cell>
          <cell r="F73">
            <v>15.013832104657734</v>
          </cell>
          <cell r="G73">
            <v>0</v>
          </cell>
          <cell r="H73">
            <v>0</v>
          </cell>
          <cell r="I73">
            <v>0</v>
          </cell>
        </row>
        <row r="74">
          <cell r="B74" t="str">
            <v>BLNP3AO</v>
          </cell>
          <cell r="C74" t="str">
            <v>LV Public Lighting ToU NUOS</v>
          </cell>
          <cell r="D74" t="str">
            <v>t-2</v>
          </cell>
          <cell r="E74">
            <v>0</v>
          </cell>
          <cell r="F74">
            <v>0</v>
          </cell>
          <cell r="G74">
            <v>16.016589567906824</v>
          </cell>
          <cell r="H74">
            <v>11.86407470330205</v>
          </cell>
          <cell r="I74">
            <v>5.2962056219367488</v>
          </cell>
        </row>
        <row r="75">
          <cell r="B75" t="str">
            <v>TOTAL EXPECTED REVENUE FROM DUOS TARIFFS</v>
          </cell>
        </row>
      </sheetData>
      <sheetData sheetId="11" refreshError="1"/>
      <sheetData sheetId="12" refreshError="1"/>
      <sheetData sheetId="13" refreshError="1"/>
      <sheetData sheetId="14">
        <row r="10">
          <cell r="B10" t="str">
            <v>BLNN2AU</v>
          </cell>
          <cell r="C10" t="str">
            <v>LV Residential Anytime</v>
          </cell>
          <cell r="D10" t="str">
            <v>t-2</v>
          </cell>
          <cell r="F10">
            <v>2.1793313671999108</v>
          </cell>
        </row>
        <row r="11">
          <cell r="B11" t="str">
            <v>BLNT3AU</v>
          </cell>
          <cell r="C11" t="str">
            <v>LV Residential ToU</v>
          </cell>
          <cell r="D11" t="str">
            <v>t-2</v>
          </cell>
          <cell r="G11">
            <v>3.4879964150131189</v>
          </cell>
          <cell r="H11">
            <v>2.721241865038023</v>
          </cell>
          <cell r="I11">
            <v>1.6099476839313631</v>
          </cell>
        </row>
        <row r="12">
          <cell r="B12" t="str">
            <v>BLNT3AL</v>
          </cell>
          <cell r="C12" t="str">
            <v>LV Residential ToU_Interval meter</v>
          </cell>
          <cell r="D12" t="str">
            <v>t-2</v>
          </cell>
          <cell r="G12">
            <v>3.4879964150131189</v>
          </cell>
          <cell r="H12">
            <v>2.721241865038023</v>
          </cell>
          <cell r="I12">
            <v>1.6099476839313631</v>
          </cell>
        </row>
        <row r="13">
          <cell r="B13" t="str">
            <v>BLND1AR</v>
          </cell>
          <cell r="C13" t="str">
            <v>Small Residential-Opt in Demand</v>
          </cell>
          <cell r="D13" t="str">
            <v>t-2</v>
          </cell>
          <cell r="G13">
            <v>3.4879964150131189</v>
          </cell>
          <cell r="H13">
            <v>2.721241865038023</v>
          </cell>
          <cell r="I13">
            <v>1.6099476839313631</v>
          </cell>
        </row>
        <row r="14">
          <cell r="B14" t="str">
            <v>BLNC1AU</v>
          </cell>
          <cell r="C14" t="str">
            <v>Energy Saver 1</v>
          </cell>
          <cell r="D14" t="str">
            <v>t-2</v>
          </cell>
          <cell r="F14">
            <v>1.6099476839313631</v>
          </cell>
        </row>
        <row r="15">
          <cell r="B15" t="str">
            <v>BLNC2AU</v>
          </cell>
          <cell r="C15" t="str">
            <v>Energy Saver 2</v>
          </cell>
          <cell r="D15" t="str">
            <v>t-2</v>
          </cell>
          <cell r="F15">
            <v>2.0766288249723894</v>
          </cell>
        </row>
        <row r="16">
          <cell r="B16" t="str">
            <v>BLNN1AU</v>
          </cell>
          <cell r="C16" t="str">
            <v>LV Small business Anytime</v>
          </cell>
          <cell r="D16" t="str">
            <v>t-2</v>
          </cell>
          <cell r="F16">
            <v>2.1793313676493109</v>
          </cell>
        </row>
        <row r="17">
          <cell r="B17" t="str">
            <v>BLNT2AU</v>
          </cell>
          <cell r="C17" t="str">
            <v>LV ToU &lt; 100MWh</v>
          </cell>
          <cell r="D17" t="str">
            <v>t-2</v>
          </cell>
          <cell r="G17">
            <v>3.4879964150131189</v>
          </cell>
          <cell r="H17">
            <v>2.721241865038023</v>
          </cell>
          <cell r="I17">
            <v>1.6099476839313631</v>
          </cell>
        </row>
        <row r="18">
          <cell r="B18" t="str">
            <v>BLNT2AL</v>
          </cell>
          <cell r="C18" t="str">
            <v>LV Business ToU_Interval meter</v>
          </cell>
          <cell r="D18" t="str">
            <v>t-2</v>
          </cell>
          <cell r="G18">
            <v>3.4879964150131189</v>
          </cell>
          <cell r="H18">
            <v>2.721241865038023</v>
          </cell>
          <cell r="I18">
            <v>1.6099476839313631</v>
          </cell>
        </row>
        <row r="19">
          <cell r="B19" t="str">
            <v>BLNT1AO</v>
          </cell>
          <cell r="C19" t="str">
            <v>LV ToU &gt; 100 MWh/yr</v>
          </cell>
          <cell r="D19" t="str">
            <v>t-2</v>
          </cell>
          <cell r="G19">
            <v>3.4879964150131189</v>
          </cell>
          <cell r="H19">
            <v>2.721241865038023</v>
          </cell>
          <cell r="I19">
            <v>1.6099476839313631</v>
          </cell>
        </row>
        <row r="20">
          <cell r="B20" t="str">
            <v>BLND1AB</v>
          </cell>
          <cell r="C20" t="str">
            <v>Small business-Opt in Demand</v>
          </cell>
          <cell r="D20" t="str">
            <v>t-2</v>
          </cell>
          <cell r="G20">
            <v>3.4879964150131189</v>
          </cell>
          <cell r="H20">
            <v>2.721241865038023</v>
          </cell>
          <cell r="I20">
            <v>1.6099476839313631</v>
          </cell>
        </row>
        <row r="21">
          <cell r="B21" t="str">
            <v>BLNT1SU</v>
          </cell>
          <cell r="C21" t="str">
            <v>LV ToU &gt; 100 MWh/yr Sth U</v>
          </cell>
          <cell r="D21" t="str">
            <v>t-2</v>
          </cell>
          <cell r="G21">
            <v>3.4879964150131189</v>
          </cell>
          <cell r="H21">
            <v>2.721241865038023</v>
          </cell>
          <cell r="I21">
            <v>1.6099476839313631</v>
          </cell>
        </row>
        <row r="22">
          <cell r="B22" t="str">
            <v>BLTTSS2</v>
          </cell>
          <cell r="C22" t="str">
            <v>Tariff Trial - Sun soaker Residential</v>
          </cell>
          <cell r="D22" t="str">
            <v>t-1</v>
          </cell>
          <cell r="G22">
            <v>3.1046191400255712</v>
          </cell>
          <cell r="H22">
            <v>0</v>
          </cell>
          <cell r="I22">
            <v>1.6099476839313631</v>
          </cell>
        </row>
        <row r="23">
          <cell r="B23" t="str">
            <v>BLTTSS1</v>
          </cell>
          <cell r="C23" t="str">
            <v>Tariff Trial - Sun soaker Small Business</v>
          </cell>
          <cell r="D23" t="str">
            <v>t-1</v>
          </cell>
          <cell r="G23">
            <v>3.1046191400255712</v>
          </cell>
          <cell r="H23">
            <v>0</v>
          </cell>
          <cell r="I23">
            <v>1.6099476839313631</v>
          </cell>
        </row>
        <row r="24">
          <cell r="B24" t="str">
            <v>BLTTEX1</v>
          </cell>
          <cell r="C24" t="str">
            <v>Tariff Trial - Export charge</v>
          </cell>
          <cell r="D24" t="str">
            <v>t-1</v>
          </cell>
        </row>
        <row r="25">
          <cell r="B25" t="str">
            <v>BLTTEX1</v>
          </cell>
          <cell r="C25" t="str">
            <v>Tariff Trial - Export charge sml business</v>
          </cell>
          <cell r="D25" t="str">
            <v>t-1</v>
          </cell>
        </row>
        <row r="26">
          <cell r="B26" t="str">
            <v>TTPTR</v>
          </cell>
          <cell r="C26" t="str">
            <v>Tariff Trial - Critical Peak Rebate</v>
          </cell>
          <cell r="D26" t="str">
            <v>t-1</v>
          </cell>
        </row>
        <row r="27">
          <cell r="B27" t="str">
            <v>TTCPP</v>
          </cell>
          <cell r="C27" t="str">
            <v>Tariff Trial  - Critical Peak Charge</v>
          </cell>
          <cell r="D27" t="str">
            <v>t-1</v>
          </cell>
        </row>
        <row r="29">
          <cell r="B29" t="str">
            <v>Tariff Class B; Low voltage - Large Business</v>
          </cell>
        </row>
        <row r="30">
          <cell r="B30" t="str">
            <v>BLND3AO</v>
          </cell>
          <cell r="C30" t="str">
            <v>LV ToU Demand 3 Rate</v>
          </cell>
          <cell r="D30" t="str">
            <v>t-2</v>
          </cell>
          <cell r="G30">
            <v>3.0919523865100436</v>
          </cell>
          <cell r="H30">
            <v>2.4122588666260749</v>
          </cell>
          <cell r="I30">
            <v>1.5650383155822796</v>
          </cell>
        </row>
        <row r="31">
          <cell r="B31" t="str">
            <v>BLND3TO</v>
          </cell>
          <cell r="C31" t="str">
            <v>LV ToU Demand-alternate tariff</v>
          </cell>
          <cell r="D31" t="str">
            <v>t-2</v>
          </cell>
          <cell r="G31">
            <v>3.0919523865100436</v>
          </cell>
          <cell r="H31">
            <v>2.4122588666260749</v>
          </cell>
          <cell r="I31">
            <v>1.5650383155822796</v>
          </cell>
        </row>
        <row r="32">
          <cell r="B32" t="str">
            <v>BLNDTRS</v>
          </cell>
          <cell r="C32" t="str">
            <v>Transitional Demand</v>
          </cell>
          <cell r="D32" t="str">
            <v>t-2</v>
          </cell>
          <cell r="G32">
            <v>3.0919523865100436</v>
          </cell>
          <cell r="H32">
            <v>2.4122588666260749</v>
          </cell>
          <cell r="I32">
            <v>1.5650383155822796</v>
          </cell>
        </row>
        <row r="33">
          <cell r="B33" t="str">
            <v>BLNS1AO</v>
          </cell>
          <cell r="C33" t="str">
            <v>LV ToU avg daily Demand</v>
          </cell>
          <cell r="D33" t="str">
            <v>t-2</v>
          </cell>
          <cell r="G33">
            <v>3.0919523865100436</v>
          </cell>
          <cell r="H33">
            <v>2.4122588666260749</v>
          </cell>
          <cell r="I33">
            <v>1.5650462293606324</v>
          </cell>
        </row>
        <row r="34">
          <cell r="B34" t="str">
            <v>BLND1CO</v>
          </cell>
          <cell r="C34" t="str">
            <v>LV 1 Rate Dmd Cent</v>
          </cell>
          <cell r="D34" t="str">
            <v>t-2</v>
          </cell>
          <cell r="G34">
            <v>3.8169042072961057</v>
          </cell>
          <cell r="H34">
            <v>2.9778469608016671</v>
          </cell>
          <cell r="I34">
            <v>1.8375212044179776</v>
          </cell>
        </row>
        <row r="35">
          <cell r="B35" t="str">
            <v>BLND1SR</v>
          </cell>
          <cell r="C35" t="str">
            <v>LV 1 Rate Dmd Sth Rural</v>
          </cell>
          <cell r="D35" t="str">
            <v>t-2</v>
          </cell>
          <cell r="G35">
            <v>4.7076048367917007</v>
          </cell>
          <cell r="H35">
            <v>3.6727478591416158</v>
          </cell>
          <cell r="I35">
            <v>1.8902017749404001</v>
          </cell>
        </row>
        <row r="36">
          <cell r="B36" t="str">
            <v>BLND1SU</v>
          </cell>
          <cell r="C36" t="str">
            <v>LV 1 Rate Dmd Sth Urburn</v>
          </cell>
          <cell r="D36" t="str">
            <v>t-2</v>
          </cell>
          <cell r="G36">
            <v>4.7076048367917007</v>
          </cell>
          <cell r="H36">
            <v>3.6727478591416158</v>
          </cell>
          <cell r="I36">
            <v>1.8902017749404001</v>
          </cell>
        </row>
        <row r="37">
          <cell r="B37" t="str">
            <v>BLTTBD1</v>
          </cell>
          <cell r="C37" t="str">
            <v>Tariff Trial - Grid Scale Battery</v>
          </cell>
          <cell r="D37" t="str">
            <v>t-1</v>
          </cell>
          <cell r="G37">
            <v>3.0919523865100436</v>
          </cell>
          <cell r="H37">
            <v>2.4122588666260749</v>
          </cell>
          <cell r="I37">
            <v>1.5650383155822796</v>
          </cell>
        </row>
        <row r="38">
          <cell r="B38" t="str">
            <v>BLTD3SS</v>
          </cell>
          <cell r="C38" t="str">
            <v>Tariff Trial - Large Business Sun Soaker</v>
          </cell>
          <cell r="D38" t="str">
            <v>t-1</v>
          </cell>
          <cell r="G38">
            <v>3.0919523865100436</v>
          </cell>
          <cell r="H38">
            <v>2.4122588666260749</v>
          </cell>
          <cell r="I38">
            <v>1.5650383155822796</v>
          </cell>
        </row>
        <row r="39">
          <cell r="B39" t="str">
            <v>BLTD3WD</v>
          </cell>
          <cell r="C39" t="str">
            <v>Tariff Trial - Large Business Weekly Demand</v>
          </cell>
          <cell r="D39" t="str">
            <v>t-1</v>
          </cell>
          <cell r="G39">
            <v>3.0919523865100436</v>
          </cell>
          <cell r="H39">
            <v>2.4122588666260749</v>
          </cell>
          <cell r="I39">
            <v>1.5650383155822796</v>
          </cell>
        </row>
        <row r="41">
          <cell r="B41" t="str">
            <v>Tariff Class C; High voltage - demand</v>
          </cell>
        </row>
        <row r="42">
          <cell r="B42" t="str">
            <v>BHND3AO</v>
          </cell>
          <cell r="C42" t="str">
            <v>HV ToU mthly Demand</v>
          </cell>
          <cell r="D42" t="str">
            <v>t-2</v>
          </cell>
          <cell r="G42">
            <v>2.1688729662938213</v>
          </cell>
          <cell r="H42">
            <v>1.692096898501471</v>
          </cell>
          <cell r="I42">
            <v>1.3969349422537423</v>
          </cell>
        </row>
        <row r="43">
          <cell r="B43" t="str">
            <v>BHNS1AO</v>
          </cell>
          <cell r="C43" t="str">
            <v>HV ToU avg daily Demand</v>
          </cell>
          <cell r="D43" t="str">
            <v>t-2</v>
          </cell>
          <cell r="G43">
            <v>2.1688729662938213</v>
          </cell>
          <cell r="H43">
            <v>1.692096898501471</v>
          </cell>
          <cell r="I43">
            <v>1.3969349422537423</v>
          </cell>
        </row>
        <row r="44">
          <cell r="B44" t="str">
            <v>BHND1CO</v>
          </cell>
          <cell r="C44" t="str">
            <v>HV 1 Rate Dmd Cent U</v>
          </cell>
          <cell r="D44" t="str">
            <v>t-2</v>
          </cell>
          <cell r="G44">
            <v>3.8320785904203896</v>
          </cell>
          <cell r="H44">
            <v>3.8320785904203896</v>
          </cell>
          <cell r="I44">
            <v>1.7910575956342261</v>
          </cell>
        </row>
        <row r="45">
          <cell r="B45" t="str">
            <v>BHND1SO</v>
          </cell>
          <cell r="C45" t="str">
            <v>HV 1 Rate Dmd Sth U</v>
          </cell>
          <cell r="D45" t="str">
            <v>t-2</v>
          </cell>
          <cell r="G45">
            <v>3.8320785904203896</v>
          </cell>
          <cell r="H45">
            <v>3.8320785904203896</v>
          </cell>
          <cell r="I45">
            <v>1.7910575956342261</v>
          </cell>
        </row>
        <row r="46">
          <cell r="B46" t="str">
            <v>BHTTBD1</v>
          </cell>
          <cell r="C46" t="str">
            <v>Tariff Trial - Grid Scale Battery</v>
          </cell>
          <cell r="D46" t="str">
            <v>t-1</v>
          </cell>
          <cell r="G46">
            <v>2.1688729662938213</v>
          </cell>
          <cell r="H46">
            <v>1.692096898501471</v>
          </cell>
          <cell r="I46">
            <v>1.3969349422537423</v>
          </cell>
        </row>
        <row r="48">
          <cell r="B48" t="str">
            <v>Tariff Class D; Subtransmission</v>
          </cell>
        </row>
        <row r="49">
          <cell r="B49" t="str">
            <v>BSSD3AO</v>
          </cell>
          <cell r="C49" t="str">
            <v>SUB TRANS 3 RATE DEMAND</v>
          </cell>
          <cell r="D49" t="str">
            <v>t-2</v>
          </cell>
          <cell r="G49">
            <v>3.7553720986698358</v>
          </cell>
          <cell r="H49">
            <v>2.1843941305632808</v>
          </cell>
          <cell r="I49">
            <v>1.7804233189759726</v>
          </cell>
        </row>
        <row r="50">
          <cell r="B50" t="str">
            <v/>
          </cell>
          <cell r="C50" t="str">
            <v/>
          </cell>
          <cell r="D50" t="str">
            <v/>
          </cell>
        </row>
        <row r="51">
          <cell r="B51" t="str">
            <v>BSS04CU</v>
          </cell>
          <cell r="C51" t="str">
            <v>Peak Gold Mines</v>
          </cell>
          <cell r="D51" t="str">
            <v>t-2</v>
          </cell>
          <cell r="E51">
            <v>99241.090390069367</v>
          </cell>
          <cell r="J51">
            <v>2.7561330445026693</v>
          </cell>
        </row>
        <row r="52">
          <cell r="B52" t="str">
            <v>BSS05CU</v>
          </cell>
          <cell r="C52" t="str">
            <v>Oberon Timber Complex</v>
          </cell>
          <cell r="D52" t="str">
            <v>t-2</v>
          </cell>
          <cell r="E52">
            <v>237737.51647707808</v>
          </cell>
          <cell r="J52">
            <v>1.6112091203273966</v>
          </cell>
        </row>
        <row r="53">
          <cell r="B53" t="str">
            <v>BSS05NO</v>
          </cell>
          <cell r="C53" t="str">
            <v>Harwood Sugar</v>
          </cell>
          <cell r="D53" t="str">
            <v>t-2</v>
          </cell>
          <cell r="E53">
            <v>23771.083338907301</v>
          </cell>
          <cell r="J53">
            <v>5.9569847224590466</v>
          </cell>
        </row>
        <row r="54">
          <cell r="B54" t="str">
            <v>BSS06CU</v>
          </cell>
          <cell r="C54" t="str">
            <v>Fletcher International Exports</v>
          </cell>
          <cell r="D54" t="str">
            <v>t-2</v>
          </cell>
          <cell r="E54">
            <v>59385.221056308816</v>
          </cell>
          <cell r="J54">
            <v>2.9892575627222331</v>
          </cell>
        </row>
        <row r="55">
          <cell r="B55" t="str">
            <v>BSS08CU</v>
          </cell>
          <cell r="C55" t="str">
            <v>Cadia Mine</v>
          </cell>
          <cell r="D55" t="str">
            <v>t-2</v>
          </cell>
          <cell r="E55">
            <v>5243789.1959994556</v>
          </cell>
        </row>
        <row r="56">
          <cell r="B56" t="str">
            <v>BSS10CU</v>
          </cell>
          <cell r="C56" t="str">
            <v>Ulan Coal Mine Cassilis Road</v>
          </cell>
          <cell r="D56" t="str">
            <v>t-2</v>
          </cell>
          <cell r="E56">
            <v>478533.43321229488</v>
          </cell>
          <cell r="J56">
            <v>3.3682773688186094</v>
          </cell>
        </row>
        <row r="57">
          <cell r="B57" t="str">
            <v>BSS11CU</v>
          </cell>
          <cell r="C57" t="str">
            <v>Cobar Mine</v>
          </cell>
          <cell r="D57" t="str">
            <v>t-2</v>
          </cell>
          <cell r="E57">
            <v>418614.37632987951</v>
          </cell>
          <cell r="J57">
            <v>3.2791124147100876</v>
          </cell>
        </row>
        <row r="58">
          <cell r="B58" t="str">
            <v>BSS12CU</v>
          </cell>
          <cell r="C58" t="str">
            <v>Endeavor Operations Pty Ltd</v>
          </cell>
          <cell r="D58" t="str">
            <v>t-2</v>
          </cell>
          <cell r="E58">
            <v>0</v>
          </cell>
          <cell r="J58">
            <v>0</v>
          </cell>
        </row>
        <row r="59">
          <cell r="B59" t="str">
            <v>BSS13CU</v>
          </cell>
          <cell r="C59" t="str">
            <v>Uncle Bens-Bathurst</v>
          </cell>
          <cell r="D59" t="str">
            <v>t-2</v>
          </cell>
          <cell r="E59">
            <v>45822.057279028726</v>
          </cell>
          <cell r="J59">
            <v>3.1696749156588164</v>
          </cell>
        </row>
        <row r="60">
          <cell r="B60" t="str">
            <v>BSS20CU</v>
          </cell>
          <cell r="C60" t="str">
            <v>Nth Parkes Mine</v>
          </cell>
          <cell r="D60" t="str">
            <v>t-2</v>
          </cell>
          <cell r="E60">
            <v>594248.61416638119</v>
          </cell>
          <cell r="J60">
            <v>5.0557977397812071</v>
          </cell>
        </row>
        <row r="61">
          <cell r="B61" t="str">
            <v>BSS25AO</v>
          </cell>
          <cell r="C61" t="str">
            <v>Tritton Mine</v>
          </cell>
          <cell r="D61" t="str">
            <v>t-2</v>
          </cell>
          <cell r="E61">
            <v>163935.64183326074</v>
          </cell>
          <cell r="K61">
            <v>1.0848894749753688</v>
          </cell>
          <cell r="L61">
            <v>1.0848894749753688</v>
          </cell>
          <cell r="M61">
            <v>0.8136671062315266</v>
          </cell>
          <cell r="N61">
            <v>0</v>
          </cell>
        </row>
        <row r="62">
          <cell r="B62" t="str">
            <v>BSS26AO</v>
          </cell>
          <cell r="C62" t="str">
            <v>Lake Cowal Mine</v>
          </cell>
          <cell r="D62" t="str">
            <v>t-2</v>
          </cell>
          <cell r="E62">
            <v>635611.84548513254</v>
          </cell>
          <cell r="K62">
            <v>1.3192149148909611</v>
          </cell>
          <cell r="L62">
            <v>1.3192149148909611</v>
          </cell>
          <cell r="M62">
            <v>0.98941118616822077</v>
          </cell>
          <cell r="N62">
            <v>0</v>
          </cell>
        </row>
        <row r="63">
          <cell r="B63" t="str">
            <v>BSS27AO</v>
          </cell>
          <cell r="C63" t="str">
            <v>Manildra Flour Mill</v>
          </cell>
          <cell r="D63" t="str">
            <v>t-1</v>
          </cell>
          <cell r="E63">
            <v>98072.797090909109</v>
          </cell>
          <cell r="J63">
            <v>3.9825259842519687</v>
          </cell>
        </row>
        <row r="64">
          <cell r="B64" t="str">
            <v>CRNP1</v>
          </cell>
          <cell r="C64" t="str">
            <v>Perilya Mine, Broken Hill          </v>
          </cell>
          <cell r="D64" t="str">
            <v>t-2</v>
          </cell>
          <cell r="E64">
            <v>442019.05838836345</v>
          </cell>
          <cell r="N64">
            <v>0</v>
          </cell>
          <cell r="O64">
            <v>9.9418065302449712</v>
          </cell>
        </row>
        <row r="65">
          <cell r="B65" t="str">
            <v>CRNP2</v>
          </cell>
          <cell r="C65" t="str">
            <v>Bemax and Snapper      </v>
          </cell>
          <cell r="D65" t="str">
            <v>t-2</v>
          </cell>
          <cell r="E65">
            <v>0</v>
          </cell>
          <cell r="G65">
            <v>2.3582229233567484</v>
          </cell>
          <cell r="H65">
            <v>2.3582229233567484</v>
          </cell>
          <cell r="I65">
            <v>0.49426305254567354</v>
          </cell>
          <cell r="N65">
            <v>0</v>
          </cell>
          <cell r="O65">
            <v>5.2066607913070238</v>
          </cell>
        </row>
        <row r="66">
          <cell r="B66" t="str">
            <v>BSS21SU</v>
          </cell>
          <cell r="C66" t="str">
            <v>IDT Blowering Dam</v>
          </cell>
          <cell r="D66" t="str">
            <v>t-2</v>
          </cell>
          <cell r="G66">
            <v>79.137790702511708</v>
          </cell>
          <cell r="H66">
            <v>79.137790702511708</v>
          </cell>
          <cell r="I66">
            <v>39.240646596456592</v>
          </cell>
          <cell r="N66">
            <v>0</v>
          </cell>
        </row>
        <row r="67">
          <cell r="B67" t="str">
            <v>BSS22SU</v>
          </cell>
          <cell r="C67" t="str">
            <v>IDT Cabramurra Aux</v>
          </cell>
          <cell r="D67" t="str">
            <v>t-2</v>
          </cell>
          <cell r="E67">
            <v>55893.060321350757</v>
          </cell>
          <cell r="G67">
            <v>0.23880745302433279</v>
          </cell>
          <cell r="H67">
            <v>0.23880745302433279</v>
          </cell>
          <cell r="I67">
            <v>0.23880745302433279</v>
          </cell>
          <cell r="J67">
            <v>2.540020912410399</v>
          </cell>
          <cell r="N67">
            <v>0</v>
          </cell>
        </row>
        <row r="68">
          <cell r="B68" t="str">
            <v>BSS24NU</v>
          </cell>
          <cell r="C68" t="str">
            <v>Kirra - IDC</v>
          </cell>
          <cell r="D68" t="str">
            <v>t-2</v>
          </cell>
          <cell r="E68">
            <v>50008.100328038003</v>
          </cell>
          <cell r="G68">
            <v>9.3274866292101452E-2</v>
          </cell>
          <cell r="H68">
            <v>5.3718179617863342E-2</v>
          </cell>
          <cell r="I68">
            <v>4.4221649055667597E-2</v>
          </cell>
          <cell r="K68">
            <v>1.5291178155715659</v>
          </cell>
          <cell r="L68">
            <v>1.1468383616786746</v>
          </cell>
          <cell r="M68">
            <v>0.38227945389289147</v>
          </cell>
          <cell r="N68">
            <v>0</v>
          </cell>
        </row>
        <row r="69">
          <cell r="B69" t="str">
            <v>BSS30AO</v>
          </cell>
          <cell r="C69" t="str">
            <v>Tomingley Gold Operations</v>
          </cell>
          <cell r="D69" t="str">
            <v>t-1</v>
          </cell>
          <cell r="E69">
            <v>44550.481025308116</v>
          </cell>
          <cell r="G69">
            <v>0.11360472860217644</v>
          </cell>
          <cell r="H69">
            <v>0.11360472860217644</v>
          </cell>
          <cell r="I69">
            <v>0.11360472860217644</v>
          </cell>
          <cell r="J69">
            <v>4.5877358819155809</v>
          </cell>
        </row>
        <row r="70">
          <cell r="B70" t="str">
            <v/>
          </cell>
          <cell r="C70" t="str">
            <v/>
          </cell>
          <cell r="D70" t="str">
            <v/>
          </cell>
        </row>
        <row r="71">
          <cell r="B71" t="str">
            <v/>
          </cell>
          <cell r="C71" t="str">
            <v/>
          </cell>
          <cell r="D71" t="str">
            <v/>
          </cell>
        </row>
        <row r="72">
          <cell r="B72" t="str">
            <v>Tariff Class E; unmetered</v>
          </cell>
        </row>
        <row r="73">
          <cell r="B73" t="str">
            <v>BLNP1AO</v>
          </cell>
          <cell r="C73" t="str">
            <v>LV Public Lighting NUOS</v>
          </cell>
          <cell r="D73" t="str">
            <v>t-2</v>
          </cell>
          <cell r="F73">
            <v>2.1793313676493109</v>
          </cell>
          <cell r="N73">
            <v>0</v>
          </cell>
        </row>
        <row r="74">
          <cell r="B74" t="str">
            <v>BLNP3AO</v>
          </cell>
          <cell r="C74" t="str">
            <v>LV Public Lighting ToU NUOS</v>
          </cell>
          <cell r="D74" t="str">
            <v>t-2</v>
          </cell>
          <cell r="G74">
            <v>3.4879964150131189</v>
          </cell>
          <cell r="H74">
            <v>2.721241865038023</v>
          </cell>
          <cell r="I74">
            <v>1.6099476839313631</v>
          </cell>
          <cell r="N74">
            <v>0</v>
          </cell>
        </row>
        <row r="75">
          <cell r="B75" t="str">
            <v>TOTAL EXPECTED REVENUE FROM TCR TARIFFS</v>
          </cell>
        </row>
      </sheetData>
      <sheetData sheetId="15" refreshError="1"/>
      <sheetData sheetId="16" refreshError="1"/>
      <sheetData sheetId="17" refreshError="1"/>
      <sheetData sheetId="18" refreshError="1"/>
      <sheetData sheetId="19">
        <row r="10">
          <cell r="B10" t="str">
            <v>BLNN2AU</v>
          </cell>
          <cell r="C10" t="str">
            <v>LV Residential Anytime</v>
          </cell>
          <cell r="D10" t="str">
            <v>t-2</v>
          </cell>
          <cell r="F10">
            <v>0.29376084650382406</v>
          </cell>
        </row>
        <row r="11">
          <cell r="B11" t="str">
            <v>BLNT3AU</v>
          </cell>
          <cell r="C11" t="str">
            <v>LV Residential ToU</v>
          </cell>
          <cell r="D11" t="str">
            <v>t-2</v>
          </cell>
          <cell r="G11">
            <v>0.29376090209384792</v>
          </cell>
          <cell r="H11">
            <v>0.29376090209384792</v>
          </cell>
          <cell r="I11">
            <v>0.29376090209384792</v>
          </cell>
        </row>
        <row r="12">
          <cell r="B12" t="str">
            <v>BLNT3AL</v>
          </cell>
          <cell r="C12" t="str">
            <v>LV Residential ToU_Interval meter</v>
          </cell>
          <cell r="D12" t="str">
            <v>t-2</v>
          </cell>
          <cell r="G12">
            <v>0.29376090209384792</v>
          </cell>
          <cell r="H12">
            <v>0.29376090209384792</v>
          </cell>
          <cell r="I12">
            <v>0.29376090209384792</v>
          </cell>
        </row>
        <row r="13">
          <cell r="B13" t="str">
            <v>BLND1AR</v>
          </cell>
          <cell r="C13" t="str">
            <v>Small Residential-Opt in Demand</v>
          </cell>
          <cell r="D13" t="str">
            <v>t-2</v>
          </cell>
          <cell r="G13">
            <v>0.29376090209384792</v>
          </cell>
          <cell r="H13">
            <v>0.29376090209384792</v>
          </cell>
          <cell r="I13">
            <v>0.29376090209384792</v>
          </cell>
        </row>
        <row r="14">
          <cell r="B14" t="str">
            <v>BLNC1AU</v>
          </cell>
          <cell r="C14" t="str">
            <v>Energy Saver 1</v>
          </cell>
          <cell r="D14" t="str">
            <v>t-2</v>
          </cell>
          <cell r="F14">
            <v>0.29376090209384792</v>
          </cell>
        </row>
        <row r="15">
          <cell r="B15" t="str">
            <v>BLNC2AU</v>
          </cell>
          <cell r="C15" t="str">
            <v>Energy Saver 2</v>
          </cell>
          <cell r="D15" t="str">
            <v>t-2</v>
          </cell>
          <cell r="F15">
            <v>0.29376090209384792</v>
          </cell>
        </row>
        <row r="16">
          <cell r="B16" t="str">
            <v>BLNN1AU</v>
          </cell>
          <cell r="C16" t="str">
            <v>LV Small business Anytime</v>
          </cell>
          <cell r="D16" t="str">
            <v>t-2</v>
          </cell>
          <cell r="F16">
            <v>0.69960976940335118</v>
          </cell>
        </row>
        <row r="17">
          <cell r="B17" t="str">
            <v>BLNT2AU</v>
          </cell>
          <cell r="C17" t="str">
            <v>LV ToU &lt; 100MWh</v>
          </cell>
          <cell r="D17" t="str">
            <v>t-2</v>
          </cell>
          <cell r="G17">
            <v>0.69960976940335118</v>
          </cell>
          <cell r="H17">
            <v>0.69960976940335118</v>
          </cell>
          <cell r="I17">
            <v>0.69960976940335118</v>
          </cell>
        </row>
        <row r="18">
          <cell r="B18" t="str">
            <v>BLNT2AL</v>
          </cell>
          <cell r="C18" t="str">
            <v>LV Business ToU_Interval meter</v>
          </cell>
          <cell r="D18" t="str">
            <v>t-2</v>
          </cell>
          <cell r="G18">
            <v>0.69960976940335118</v>
          </cell>
          <cell r="H18">
            <v>0.69960976940335118</v>
          </cell>
          <cell r="I18">
            <v>0.69960976940335118</v>
          </cell>
        </row>
        <row r="19">
          <cell r="B19" t="str">
            <v>BLNT1AO</v>
          </cell>
          <cell r="C19" t="str">
            <v>LV ToU &gt; 100 MWh/yr</v>
          </cell>
          <cell r="D19" t="str">
            <v>t-2</v>
          </cell>
          <cell r="G19">
            <v>0.69960976940335118</v>
          </cell>
          <cell r="H19">
            <v>0.69960976940335118</v>
          </cell>
          <cell r="I19">
            <v>0.69960976940335118</v>
          </cell>
        </row>
        <row r="20">
          <cell r="B20" t="str">
            <v>BLND1AB</v>
          </cell>
          <cell r="C20" t="str">
            <v>Small business-Opt in Demand</v>
          </cell>
          <cell r="D20" t="str">
            <v>t-2</v>
          </cell>
          <cell r="G20">
            <v>0.69960976940335118</v>
          </cell>
          <cell r="H20">
            <v>0.69960976940335118</v>
          </cell>
          <cell r="I20">
            <v>0.69960976940335118</v>
          </cell>
        </row>
        <row r="21">
          <cell r="B21" t="str">
            <v>BLNT1SU</v>
          </cell>
          <cell r="C21" t="str">
            <v>LV ToU &gt; 100 MWh/yr Sth U</v>
          </cell>
          <cell r="D21" t="str">
            <v>t-2</v>
          </cell>
          <cell r="G21">
            <v>0.69960976940335118</v>
          </cell>
          <cell r="H21">
            <v>0.69960976940335118</v>
          </cell>
          <cell r="I21">
            <v>0.69960976940335118</v>
          </cell>
        </row>
        <row r="22">
          <cell r="C22" t="str">
            <v>Tariff Trial - Sun soaker Residential</v>
          </cell>
          <cell r="D22" t="str">
            <v>t-1</v>
          </cell>
          <cell r="G22">
            <v>0.29376090209384792</v>
          </cell>
          <cell r="H22">
            <v>0</v>
          </cell>
          <cell r="I22">
            <v>0.29376090209384792</v>
          </cell>
        </row>
        <row r="23">
          <cell r="C23" t="str">
            <v>Tariff Trial - Sun soaker Small Business</v>
          </cell>
          <cell r="D23" t="str">
            <v>t-1</v>
          </cell>
          <cell r="G23">
            <v>0.69960976940335118</v>
          </cell>
          <cell r="H23">
            <v>0</v>
          </cell>
          <cell r="I23">
            <v>0.69960976940335118</v>
          </cell>
        </row>
        <row r="24">
          <cell r="C24" t="str">
            <v>Tariff Trial - Export charge</v>
          </cell>
          <cell r="D24" t="str">
            <v>t-1</v>
          </cell>
        </row>
        <row r="25">
          <cell r="C25" t="str">
            <v>Tariff Trial - Export charge sml business</v>
          </cell>
          <cell r="D25" t="str">
            <v>t-1</v>
          </cell>
        </row>
        <row r="26">
          <cell r="C26" t="str">
            <v>Tariff Trial - Critical Peak Rebate</v>
          </cell>
          <cell r="D26" t="str">
            <v>t-1</v>
          </cell>
        </row>
        <row r="27">
          <cell r="C27" t="str">
            <v>Tariff Trial  - Critical Peak Charge</v>
          </cell>
          <cell r="D27" t="str">
            <v>t-1</v>
          </cell>
        </row>
        <row r="29">
          <cell r="B29" t="str">
            <v>Tariff Class B; Low voltage - Large Business</v>
          </cell>
        </row>
        <row r="30">
          <cell r="B30" t="str">
            <v>BLND3AO</v>
          </cell>
          <cell r="C30" t="str">
            <v>LV ToU Demand 3 Rate</v>
          </cell>
          <cell r="D30" t="str">
            <v>t-2</v>
          </cell>
          <cell r="G30">
            <v>0.69960976940335118</v>
          </cell>
          <cell r="H30">
            <v>0.69960976940335118</v>
          </cell>
          <cell r="I30">
            <v>0.69960976940335118</v>
          </cell>
        </row>
        <row r="31">
          <cell r="B31" t="str">
            <v>BLND3TO</v>
          </cell>
          <cell r="C31" t="str">
            <v>LV ToU Demand-alternate tariff</v>
          </cell>
          <cell r="D31" t="str">
            <v>t-2</v>
          </cell>
          <cell r="G31">
            <v>0.69960976940335118</v>
          </cell>
          <cell r="H31">
            <v>0.69960976940335118</v>
          </cell>
          <cell r="I31">
            <v>0.69960976940335118</v>
          </cell>
        </row>
        <row r="32">
          <cell r="B32" t="str">
            <v>BLNDTRS</v>
          </cell>
          <cell r="C32" t="str">
            <v>Transitional Demand</v>
          </cell>
          <cell r="D32" t="str">
            <v>t-2</v>
          </cell>
          <cell r="G32">
            <v>0.69960976940335118</v>
          </cell>
          <cell r="H32">
            <v>0.69960976940335118</v>
          </cell>
          <cell r="I32">
            <v>0.69960976940335118</v>
          </cell>
        </row>
        <row r="33">
          <cell r="B33" t="str">
            <v>BLNS1AO</v>
          </cell>
          <cell r="C33" t="str">
            <v>LV ToU avg daily Demand</v>
          </cell>
          <cell r="D33" t="str">
            <v>t-2</v>
          </cell>
          <cell r="G33">
            <v>0.69960976940335118</v>
          </cell>
          <cell r="H33">
            <v>0.69960976940335118</v>
          </cell>
          <cell r="I33">
            <v>0.69960976940335118</v>
          </cell>
        </row>
        <row r="34">
          <cell r="B34" t="str">
            <v>BLND1CO</v>
          </cell>
          <cell r="C34" t="str">
            <v>LV 1 Rate Dmd Cent</v>
          </cell>
          <cell r="D34" t="str">
            <v>t-2</v>
          </cell>
          <cell r="G34">
            <v>0.69960976940335118</v>
          </cell>
          <cell r="H34">
            <v>0.69960976940335118</v>
          </cell>
          <cell r="I34">
            <v>0.69960976940335118</v>
          </cell>
        </row>
        <row r="35">
          <cell r="B35" t="str">
            <v>BLND1SR</v>
          </cell>
          <cell r="C35" t="str">
            <v>LV 1 Rate Dmd Sth Rural</v>
          </cell>
          <cell r="D35" t="str">
            <v>t-2</v>
          </cell>
          <cell r="G35">
            <v>0.69960976940335118</v>
          </cell>
          <cell r="H35">
            <v>0.69960976940335118</v>
          </cell>
          <cell r="I35">
            <v>0.69960976940335118</v>
          </cell>
        </row>
        <row r="36">
          <cell r="B36" t="str">
            <v>BLND1SU</v>
          </cell>
          <cell r="C36" t="str">
            <v>LV 1 Rate Dmd Sth Urburn</v>
          </cell>
          <cell r="D36" t="str">
            <v>t-2</v>
          </cell>
          <cell r="G36">
            <v>0.69960976940335118</v>
          </cell>
          <cell r="H36">
            <v>0.69960976940335118</v>
          </cell>
          <cell r="I36">
            <v>0.69960976940335118</v>
          </cell>
        </row>
        <row r="37">
          <cell r="B37" t="str">
            <v>BLTTBD1</v>
          </cell>
          <cell r="C37" t="str">
            <v>Tariff Trial - Grid Scale Battery</v>
          </cell>
          <cell r="D37" t="str">
            <v>t-1</v>
          </cell>
          <cell r="G37">
            <v>0.69960976940335118</v>
          </cell>
          <cell r="H37">
            <v>0.69960976940335118</v>
          </cell>
          <cell r="I37">
            <v>0.69960976940335118</v>
          </cell>
        </row>
        <row r="38">
          <cell r="B38" t="str">
            <v>BLTD3SS</v>
          </cell>
          <cell r="C38" t="str">
            <v>Tariff Trial - Large Business Sun Soaker</v>
          </cell>
          <cell r="D38" t="str">
            <v>t-1</v>
          </cell>
          <cell r="G38">
            <v>0.69960976940335118</v>
          </cell>
          <cell r="H38">
            <v>0.69960976940335118</v>
          </cell>
          <cell r="I38">
            <v>0.69960976940335118</v>
          </cell>
        </row>
        <row r="39">
          <cell r="B39" t="str">
            <v>BLTD3WD</v>
          </cell>
          <cell r="C39" t="str">
            <v>Tariff Trial - Large Business Weekly Demand</v>
          </cell>
          <cell r="D39" t="str">
            <v>t-1</v>
          </cell>
          <cell r="G39">
            <v>0.69960976940335118</v>
          </cell>
          <cell r="H39">
            <v>0.69960976940335118</v>
          </cell>
          <cell r="I39">
            <v>0.69960976940335118</v>
          </cell>
        </row>
        <row r="41">
          <cell r="B41" t="str">
            <v>Tariff Class C; High voltage - demand</v>
          </cell>
        </row>
        <row r="42">
          <cell r="B42" t="str">
            <v>BHND3AO</v>
          </cell>
          <cell r="C42" t="str">
            <v>HV ToU mthly Demand</v>
          </cell>
          <cell r="D42" t="str">
            <v>t-2</v>
          </cell>
          <cell r="G42">
            <v>0.69960976940335118</v>
          </cell>
          <cell r="H42">
            <v>0.69960976940335118</v>
          </cell>
          <cell r="I42">
            <v>0.69960976940335118</v>
          </cell>
        </row>
        <row r="43">
          <cell r="B43" t="str">
            <v>BHNS1AO</v>
          </cell>
          <cell r="C43" t="str">
            <v>HV ToU avg daily Demand</v>
          </cell>
          <cell r="D43" t="str">
            <v>t-2</v>
          </cell>
          <cell r="G43">
            <v>0.69960976940335118</v>
          </cell>
          <cell r="H43">
            <v>0.69960976940335118</v>
          </cell>
          <cell r="I43">
            <v>0.69960976940335118</v>
          </cell>
        </row>
        <row r="44">
          <cell r="B44" t="str">
            <v>BHND1CO</v>
          </cell>
          <cell r="C44" t="str">
            <v>HV 1 Rate Dmd Cent U</v>
          </cell>
          <cell r="D44" t="str">
            <v>t-2</v>
          </cell>
          <cell r="G44">
            <v>0.69960976940335118</v>
          </cell>
          <cell r="H44">
            <v>0.69960976940335118</v>
          </cell>
          <cell r="I44">
            <v>0.69960976940335118</v>
          </cell>
        </row>
        <row r="45">
          <cell r="B45" t="str">
            <v>BHND1SO</v>
          </cell>
          <cell r="C45" t="str">
            <v>HV 1 Rate Dmd Sth U</v>
          </cell>
          <cell r="D45" t="str">
            <v>t-2</v>
          </cell>
          <cell r="G45">
            <v>0.69960976940335118</v>
          </cell>
          <cell r="H45">
            <v>0.69960976940335118</v>
          </cell>
          <cell r="I45">
            <v>0.69960976940335118</v>
          </cell>
        </row>
        <row r="46">
          <cell r="B46" t="str">
            <v>BHTTBD1</v>
          </cell>
          <cell r="C46" t="str">
            <v>Tariff Trial - Grid Scale Battery</v>
          </cell>
          <cell r="D46" t="str">
            <v>t-1</v>
          </cell>
          <cell r="G46">
            <v>0.69960976940335118</v>
          </cell>
          <cell r="H46">
            <v>0.69960976940335118</v>
          </cell>
          <cell r="I46">
            <v>0.69960976940335118</v>
          </cell>
        </row>
        <row r="48">
          <cell r="B48" t="str">
            <v>Tariff Class D; Subtransmission</v>
          </cell>
        </row>
        <row r="49">
          <cell r="B49" t="str">
            <v>BSSD3AO</v>
          </cell>
          <cell r="C49" t="str">
            <v>SUB TRANS 3 RATE DEMAND</v>
          </cell>
          <cell r="D49" t="str">
            <v>t-2</v>
          </cell>
          <cell r="G49">
            <v>0.18650234593482964</v>
          </cell>
          <cell r="H49">
            <v>0.18650234593482964</v>
          </cell>
          <cell r="I49">
            <v>0.18650234593482964</v>
          </cell>
        </row>
        <row r="50">
          <cell r="B50" t="str">
            <v/>
          </cell>
          <cell r="C50" t="str">
            <v/>
          </cell>
          <cell r="D50" t="str">
            <v/>
          </cell>
        </row>
        <row r="51">
          <cell r="B51" t="str">
            <v>BSS04CU</v>
          </cell>
          <cell r="C51" t="str">
            <v>Peak Gold Mines</v>
          </cell>
          <cell r="D51" t="str">
            <v>t-2</v>
          </cell>
          <cell r="G51">
            <v>0.18650234593482964</v>
          </cell>
          <cell r="H51">
            <v>0.18650234593482964</v>
          </cell>
          <cell r="I51">
            <v>0.18650234593482964</v>
          </cell>
        </row>
        <row r="52">
          <cell r="B52" t="str">
            <v>BSS05CU</v>
          </cell>
          <cell r="C52" t="str">
            <v>Oberon Timber Complex</v>
          </cell>
          <cell r="D52" t="str">
            <v>t-2</v>
          </cell>
          <cell r="G52">
            <v>0.18650234593482964</v>
          </cell>
          <cell r="H52">
            <v>0.18650234593482964</v>
          </cell>
          <cell r="I52">
            <v>0.18650234593482964</v>
          </cell>
        </row>
        <row r="53">
          <cell r="B53" t="str">
            <v>BSS05NO</v>
          </cell>
          <cell r="C53" t="str">
            <v>Harwood Sugar</v>
          </cell>
          <cell r="D53" t="str">
            <v>t-2</v>
          </cell>
          <cell r="G53">
            <v>0.18650234593482964</v>
          </cell>
          <cell r="H53">
            <v>0.18650234593482964</v>
          </cell>
          <cell r="I53">
            <v>0.18650234593482964</v>
          </cell>
        </row>
        <row r="54">
          <cell r="B54" t="str">
            <v>BSS06CU</v>
          </cell>
          <cell r="C54" t="str">
            <v>Fletcher International Exports</v>
          </cell>
          <cell r="D54" t="str">
            <v>t-2</v>
          </cell>
          <cell r="G54">
            <v>0.18650234593482964</v>
          </cell>
          <cell r="H54">
            <v>0.18650234593482964</v>
          </cell>
          <cell r="I54">
            <v>0.18650234593482964</v>
          </cell>
        </row>
        <row r="55">
          <cell r="B55" t="str">
            <v>BSS08CU</v>
          </cell>
          <cell r="C55" t="str">
            <v>Cadia Mine</v>
          </cell>
          <cell r="D55" t="str">
            <v>t-2</v>
          </cell>
          <cell r="E55">
            <v>1102448.1182937261</v>
          </cell>
        </row>
        <row r="56">
          <cell r="B56" t="str">
            <v>BSS10CU</v>
          </cell>
          <cell r="C56" t="str">
            <v>Ulan Coal Mine Cassilis Road</v>
          </cell>
          <cell r="D56" t="str">
            <v>t-2</v>
          </cell>
          <cell r="G56">
            <v>0.18650234593482964</v>
          </cell>
          <cell r="H56">
            <v>0.18650234593482964</v>
          </cell>
          <cell r="I56">
            <v>0.18650234593482964</v>
          </cell>
        </row>
        <row r="57">
          <cell r="B57" t="str">
            <v>BSS11CU</v>
          </cell>
          <cell r="C57" t="str">
            <v>Cobar Mine</v>
          </cell>
          <cell r="D57" t="str">
            <v>t-2</v>
          </cell>
          <cell r="G57">
            <v>0.18650234593482964</v>
          </cell>
          <cell r="H57">
            <v>0.18650234593482964</v>
          </cell>
          <cell r="I57">
            <v>0.18650234593482964</v>
          </cell>
        </row>
        <row r="58">
          <cell r="B58" t="str">
            <v>BSS12CU</v>
          </cell>
          <cell r="C58" t="str">
            <v>Endeavor Operations Pty Ltd</v>
          </cell>
          <cell r="D58" t="str">
            <v>t-2</v>
          </cell>
          <cell r="G58">
            <v>0.18650234593482964</v>
          </cell>
          <cell r="H58">
            <v>0.18650234593482964</v>
          </cell>
          <cell r="I58">
            <v>0.18650234593482964</v>
          </cell>
        </row>
        <row r="59">
          <cell r="B59" t="str">
            <v>BSS13CU</v>
          </cell>
          <cell r="C59" t="str">
            <v>Uncle Bens-Bathurst</v>
          </cell>
          <cell r="D59" t="str">
            <v>t-2</v>
          </cell>
          <cell r="G59">
            <v>0.18650234593482964</v>
          </cell>
          <cell r="H59">
            <v>0.18650234593482964</v>
          </cell>
          <cell r="I59">
            <v>0.18650234593482964</v>
          </cell>
        </row>
        <row r="60">
          <cell r="B60" t="str">
            <v>BSS20CU</v>
          </cell>
          <cell r="C60" t="str">
            <v>Nth Parkes Mine</v>
          </cell>
          <cell r="D60" t="str">
            <v>t-2</v>
          </cell>
          <cell r="G60">
            <v>0.18650234593482964</v>
          </cell>
          <cell r="H60">
            <v>0.18650234593482964</v>
          </cell>
          <cell r="I60">
            <v>0.18650234593482964</v>
          </cell>
        </row>
        <row r="61">
          <cell r="B61" t="str">
            <v>BSS25AO</v>
          </cell>
          <cell r="C61" t="str">
            <v>Tritton Mine</v>
          </cell>
          <cell r="D61" t="str">
            <v>t-2</v>
          </cell>
          <cell r="G61">
            <v>0.18650234593482964</v>
          </cell>
          <cell r="H61">
            <v>0.18650234593482964</v>
          </cell>
          <cell r="I61">
            <v>0.18650234593482964</v>
          </cell>
        </row>
        <row r="62">
          <cell r="B62" t="str">
            <v>BSS26AO</v>
          </cell>
          <cell r="C62" t="str">
            <v>Lake Cowal Mine</v>
          </cell>
          <cell r="D62" t="str">
            <v>t-2</v>
          </cell>
          <cell r="G62">
            <v>0.18650234593482964</v>
          </cell>
          <cell r="H62">
            <v>0.18650234593482964</v>
          </cell>
          <cell r="I62">
            <v>0.18650234593482964</v>
          </cell>
        </row>
        <row r="63">
          <cell r="B63" t="str">
            <v>BSS27AO</v>
          </cell>
          <cell r="C63" t="str">
            <v>Manildra Flour Mill</v>
          </cell>
          <cell r="D63" t="str">
            <v>t-1</v>
          </cell>
          <cell r="G63">
            <v>0.18650234593482964</v>
          </cell>
          <cell r="H63">
            <v>0.18650234593482964</v>
          </cell>
          <cell r="I63">
            <v>0.18650234593482964</v>
          </cell>
        </row>
        <row r="64">
          <cell r="B64" t="str">
            <v>CRNP1</v>
          </cell>
          <cell r="C64" t="str">
            <v>Perilya Mine, Broken Hill          </v>
          </cell>
          <cell r="D64" t="str">
            <v>t-2</v>
          </cell>
          <cell r="G64">
            <v>0.13980143540187551</v>
          </cell>
          <cell r="H64">
            <v>0.13980143540187551</v>
          </cell>
          <cell r="I64">
            <v>0.13980143540187551</v>
          </cell>
        </row>
        <row r="65">
          <cell r="B65" t="str">
            <v>CRNP2</v>
          </cell>
          <cell r="C65" t="str">
            <v>Bemax and Snapper      </v>
          </cell>
          <cell r="D65" t="str">
            <v>t-2</v>
          </cell>
          <cell r="G65">
            <v>0.18650234593482964</v>
          </cell>
          <cell r="H65">
            <v>0.18650234593482964</v>
          </cell>
          <cell r="I65">
            <v>0.18650234593482964</v>
          </cell>
        </row>
        <row r="66">
          <cell r="B66" t="str">
            <v>BSS21SU</v>
          </cell>
          <cell r="C66" t="str">
            <v>IDT Blowering Dam</v>
          </cell>
          <cell r="D66" t="str">
            <v>t-2</v>
          </cell>
          <cell r="F66">
            <v>0</v>
          </cell>
          <cell r="G66">
            <v>0.18650234593482964</v>
          </cell>
          <cell r="H66">
            <v>0.18650234593482964</v>
          </cell>
          <cell r="I66">
            <v>0.18650234593482964</v>
          </cell>
        </row>
        <row r="67">
          <cell r="B67" t="str">
            <v>BSS22SU</v>
          </cell>
          <cell r="C67" t="str">
            <v>IDT Cabramurra Aux</v>
          </cell>
          <cell r="D67" t="str">
            <v>t-2</v>
          </cell>
          <cell r="F67">
            <v>0</v>
          </cell>
          <cell r="G67">
            <v>0.18650234593482964</v>
          </cell>
          <cell r="H67">
            <v>0.18650234593482964</v>
          </cell>
          <cell r="I67">
            <v>0.18650234593482964</v>
          </cell>
        </row>
        <row r="68">
          <cell r="B68" t="str">
            <v>BSS24NU</v>
          </cell>
          <cell r="C68" t="str">
            <v>Kirra - IDC</v>
          </cell>
          <cell r="D68" t="str">
            <v>t-2</v>
          </cell>
          <cell r="F68">
            <v>0</v>
          </cell>
          <cell r="G68">
            <v>0</v>
          </cell>
          <cell r="H68">
            <v>0</v>
          </cell>
          <cell r="I68">
            <v>0</v>
          </cell>
        </row>
        <row r="69">
          <cell r="B69" t="str">
            <v>BSS30AO</v>
          </cell>
          <cell r="C69" t="str">
            <v>Tomingley Gold Operations</v>
          </cell>
          <cell r="D69" t="str">
            <v>t-1</v>
          </cell>
          <cell r="F69">
            <v>0</v>
          </cell>
          <cell r="G69">
            <v>0.18650234593482964</v>
          </cell>
          <cell r="H69">
            <v>0.18650234593482964</v>
          </cell>
          <cell r="I69">
            <v>0.18650234593482964</v>
          </cell>
        </row>
        <row r="70">
          <cell r="B70" t="str">
            <v/>
          </cell>
          <cell r="C70" t="str">
            <v/>
          </cell>
          <cell r="D70" t="str">
            <v/>
          </cell>
        </row>
        <row r="71">
          <cell r="B71" t="str">
            <v/>
          </cell>
          <cell r="C71" t="str">
            <v/>
          </cell>
          <cell r="D71" t="str">
            <v/>
          </cell>
        </row>
        <row r="72">
          <cell r="B72" t="str">
            <v>Tariff Class E; unmetered</v>
          </cell>
        </row>
        <row r="73">
          <cell r="B73" t="str">
            <v>BLNP1AO</v>
          </cell>
          <cell r="C73" t="str">
            <v>LV Public Lighting NUOS</v>
          </cell>
          <cell r="D73" t="str">
            <v>t-2</v>
          </cell>
          <cell r="F73">
            <v>0.69960976940335118</v>
          </cell>
        </row>
        <row r="74">
          <cell r="B74" t="str">
            <v>BLNP3AO</v>
          </cell>
          <cell r="C74" t="str">
            <v>LV Public Lighting ToU NUOS</v>
          </cell>
          <cell r="D74" t="str">
            <v>t-2</v>
          </cell>
          <cell r="G74">
            <v>0.69960976940335118</v>
          </cell>
          <cell r="H74">
            <v>0.69960976940335118</v>
          </cell>
          <cell r="I74">
            <v>0.69960976940335118</v>
          </cell>
        </row>
        <row r="75">
          <cell r="B75" t="str">
            <v>TOTAL EXPECTED REVENUE FROM CCF TARIFFS</v>
          </cell>
        </row>
      </sheetData>
      <sheetData sheetId="20" refreshError="1"/>
      <sheetData sheetId="21" refreshError="1"/>
      <sheetData sheetId="22">
        <row r="10">
          <cell r="B10" t="str">
            <v>BLNN2AU</v>
          </cell>
          <cell r="C10" t="str">
            <v>LV Residential Anytime</v>
          </cell>
          <cell r="D10" t="str">
            <v>t-2</v>
          </cell>
          <cell r="F10">
            <v>1.1398762496719381E-2</v>
          </cell>
        </row>
        <row r="11">
          <cell r="B11" t="str">
            <v>BLNT3AU</v>
          </cell>
          <cell r="C11" t="str">
            <v>LV Residential ToU</v>
          </cell>
          <cell r="D11" t="str">
            <v>t-2</v>
          </cell>
          <cell r="G11">
            <v>1.1398762496719872E-2</v>
          </cell>
          <cell r="H11">
            <v>1.1398762496719872E-2</v>
          </cell>
          <cell r="I11">
            <v>1.1398762496719872E-2</v>
          </cell>
        </row>
        <row r="12">
          <cell r="B12" t="str">
            <v>BLNT3AL</v>
          </cell>
          <cell r="C12" t="str">
            <v>LV Residential ToU_Interval meter</v>
          </cell>
          <cell r="D12" t="str">
            <v>t-2</v>
          </cell>
          <cell r="G12">
            <v>1.1398762496719872E-2</v>
          </cell>
          <cell r="H12">
            <v>1.1398762496719872E-2</v>
          </cell>
          <cell r="I12">
            <v>1.1398762496719872E-2</v>
          </cell>
        </row>
        <row r="13">
          <cell r="B13" t="str">
            <v>BLND1AR</v>
          </cell>
          <cell r="C13" t="str">
            <v>Small Residential-Opt in Demand</v>
          </cell>
          <cell r="D13" t="str">
            <v>t-2</v>
          </cell>
          <cell r="G13">
            <v>1.1398762496719872E-2</v>
          </cell>
          <cell r="H13">
            <v>1.1398762496719872E-2</v>
          </cell>
          <cell r="I13">
            <v>1.1398762496719872E-2</v>
          </cell>
        </row>
        <row r="14">
          <cell r="B14" t="str">
            <v>BLNC1AU</v>
          </cell>
          <cell r="C14" t="str">
            <v>Energy Saver 1</v>
          </cell>
          <cell r="D14" t="str">
            <v>t-2</v>
          </cell>
          <cell r="F14">
            <v>1.1398762496719872E-2</v>
          </cell>
        </row>
        <row r="15">
          <cell r="B15" t="str">
            <v>BLNC2AU</v>
          </cell>
          <cell r="C15" t="str">
            <v>Energy Saver 2</v>
          </cell>
          <cell r="D15" t="str">
            <v>t-2</v>
          </cell>
          <cell r="F15">
            <v>1.1398762496719872E-2</v>
          </cell>
        </row>
        <row r="16">
          <cell r="B16" t="str">
            <v>BLNN1AU</v>
          </cell>
          <cell r="C16" t="str">
            <v>LV Small business Anytime</v>
          </cell>
          <cell r="D16" t="str">
            <v>t-2</v>
          </cell>
          <cell r="F16">
            <v>1.1398762496719872E-2</v>
          </cell>
        </row>
        <row r="17">
          <cell r="B17" t="str">
            <v>BLNT2AU</v>
          </cell>
          <cell r="C17" t="str">
            <v>LV ToU &lt; 100MWh</v>
          </cell>
          <cell r="D17" t="str">
            <v>t-2</v>
          </cell>
          <cell r="G17">
            <v>1.1398762496719872E-2</v>
          </cell>
          <cell r="H17">
            <v>1.1398762496719872E-2</v>
          </cell>
          <cell r="I17">
            <v>1.1398762496719872E-2</v>
          </cell>
        </row>
        <row r="18">
          <cell r="B18" t="str">
            <v>BLNT2AL</v>
          </cell>
          <cell r="C18" t="str">
            <v>LV Business ToU_Interval meter</v>
          </cell>
          <cell r="D18" t="str">
            <v>t-2</v>
          </cell>
          <cell r="G18">
            <v>1.1398762496719872E-2</v>
          </cell>
          <cell r="H18">
            <v>1.1398762496719872E-2</v>
          </cell>
          <cell r="I18">
            <v>1.1398762496719872E-2</v>
          </cell>
        </row>
        <row r="19">
          <cell r="B19" t="str">
            <v>BLNT1AO</v>
          </cell>
          <cell r="C19" t="str">
            <v>LV ToU &gt; 100 MWh/yr</v>
          </cell>
          <cell r="D19" t="str">
            <v>t-2</v>
          </cell>
          <cell r="G19">
            <v>1.1398762496719872E-2</v>
          </cell>
          <cell r="H19">
            <v>1.1398762496719872E-2</v>
          </cell>
          <cell r="I19">
            <v>1.1398762496719872E-2</v>
          </cell>
        </row>
        <row r="20">
          <cell r="B20" t="str">
            <v>BLND1AB</v>
          </cell>
          <cell r="C20" t="str">
            <v>Small business-Opt in Demand</v>
          </cell>
          <cell r="D20" t="str">
            <v>t-2</v>
          </cell>
          <cell r="G20">
            <v>1.1398762496719872E-2</v>
          </cell>
          <cell r="H20">
            <v>1.1398762496719872E-2</v>
          </cell>
          <cell r="I20">
            <v>1.1398762496719872E-2</v>
          </cell>
        </row>
        <row r="21">
          <cell r="B21" t="str">
            <v>BLNT1SU</v>
          </cell>
          <cell r="C21" t="str">
            <v>LV ToU &gt; 100 MWh/yr Sth U</v>
          </cell>
          <cell r="D21" t="str">
            <v>t-2</v>
          </cell>
          <cell r="G21">
            <v>1.1398762496719872E-2</v>
          </cell>
          <cell r="H21">
            <v>1.1398762496719872E-2</v>
          </cell>
          <cell r="I21">
            <v>1.1398762496719872E-2</v>
          </cell>
        </row>
        <row r="22">
          <cell r="B22" t="str">
            <v>BLTTSS2</v>
          </cell>
          <cell r="C22" t="str">
            <v>Tariff Trial - Sun soaker Residential</v>
          </cell>
          <cell r="D22" t="str">
            <v>t-1</v>
          </cell>
          <cell r="G22">
            <v>1.1398762496719872E-2</v>
          </cell>
          <cell r="H22">
            <v>0</v>
          </cell>
          <cell r="I22">
            <v>1.1398762496719872E-2</v>
          </cell>
        </row>
        <row r="23">
          <cell r="B23" t="str">
            <v>BLTTSS1</v>
          </cell>
          <cell r="C23" t="str">
            <v>Tariff Trial - Sun soaker Small Business</v>
          </cell>
          <cell r="D23" t="str">
            <v>t-1</v>
          </cell>
          <cell r="G23">
            <v>1.1398762496719872E-2</v>
          </cell>
          <cell r="H23">
            <v>0</v>
          </cell>
          <cell r="I23">
            <v>1.1398762496719872E-2</v>
          </cell>
        </row>
        <row r="24">
          <cell r="B24" t="str">
            <v>BLTTEX1</v>
          </cell>
          <cell r="C24" t="str">
            <v>Tariff Trial - Export charge</v>
          </cell>
          <cell r="D24" t="str">
            <v>t-1</v>
          </cell>
        </row>
        <row r="25">
          <cell r="B25" t="str">
            <v>BLTTEX1</v>
          </cell>
          <cell r="C25" t="str">
            <v>Tariff Trial - Export charge sml business</v>
          </cell>
          <cell r="D25" t="str">
            <v>t-1</v>
          </cell>
        </row>
        <row r="26">
          <cell r="B26" t="str">
            <v>TTPTR</v>
          </cell>
          <cell r="C26" t="str">
            <v>Tariff Trial - Critical Peak Rebate</v>
          </cell>
          <cell r="D26" t="str">
            <v>t-1</v>
          </cell>
        </row>
        <row r="27">
          <cell r="B27" t="str">
            <v>TTCPP</v>
          </cell>
          <cell r="C27" t="str">
            <v>Tariff Trial  - Critical Peak Charge</v>
          </cell>
          <cell r="D27" t="str">
            <v>t-1</v>
          </cell>
        </row>
        <row r="29">
          <cell r="B29" t="str">
            <v>Tariff Class B; Low voltage - Large Business</v>
          </cell>
        </row>
        <row r="30">
          <cell r="B30" t="str">
            <v>BLND3AO</v>
          </cell>
          <cell r="C30" t="str">
            <v>LV ToU Demand 3 Rate</v>
          </cell>
          <cell r="D30" t="str">
            <v>t-2</v>
          </cell>
          <cell r="G30">
            <v>1.1398762496719872E-2</v>
          </cell>
          <cell r="H30">
            <v>1.1398762496719872E-2</v>
          </cell>
          <cell r="I30">
            <v>1.1398762496719872E-2</v>
          </cell>
        </row>
        <row r="31">
          <cell r="B31" t="str">
            <v>BLND3TO</v>
          </cell>
          <cell r="C31" t="str">
            <v>LV ToU Demand-alternate tariff</v>
          </cell>
          <cell r="D31" t="str">
            <v>t-2</v>
          </cell>
          <cell r="G31">
            <v>1.1398762496719872E-2</v>
          </cell>
          <cell r="H31">
            <v>1.1398762496719872E-2</v>
          </cell>
          <cell r="I31">
            <v>1.1398762496719872E-2</v>
          </cell>
        </row>
        <row r="32">
          <cell r="B32" t="str">
            <v>BLNDTRS</v>
          </cell>
          <cell r="C32" t="str">
            <v>Transitional Demand</v>
          </cell>
          <cell r="D32" t="str">
            <v>t-2</v>
          </cell>
          <cell r="G32">
            <v>1.1398762496719872E-2</v>
          </cell>
          <cell r="H32">
            <v>1.1398762496719872E-2</v>
          </cell>
          <cell r="I32">
            <v>1.1398762496719872E-2</v>
          </cell>
        </row>
        <row r="33">
          <cell r="B33" t="str">
            <v>BLNS1AO</v>
          </cell>
          <cell r="C33" t="str">
            <v>LV ToU avg daily Demand</v>
          </cell>
          <cell r="D33" t="str">
            <v>t-2</v>
          </cell>
          <cell r="G33">
            <v>1.1398762496719872E-2</v>
          </cell>
          <cell r="H33">
            <v>1.1398762496719872E-2</v>
          </cell>
          <cell r="I33">
            <v>1.1398762496719872E-2</v>
          </cell>
        </row>
        <row r="34">
          <cell r="B34" t="str">
            <v>BLND1CO</v>
          </cell>
          <cell r="C34" t="str">
            <v>LV 1 Rate Dmd Cent</v>
          </cell>
          <cell r="D34" t="str">
            <v>t-2</v>
          </cell>
          <cell r="G34">
            <v>1.1398762496719872E-2</v>
          </cell>
          <cell r="H34">
            <v>1.1398762496719872E-2</v>
          </cell>
          <cell r="I34">
            <v>1.1398762496719872E-2</v>
          </cell>
        </row>
        <row r="35">
          <cell r="B35" t="str">
            <v>BLND1SR</v>
          </cell>
          <cell r="C35" t="str">
            <v>LV 1 Rate Dmd Sth Rural</v>
          </cell>
          <cell r="D35" t="str">
            <v>t-2</v>
          </cell>
          <cell r="G35">
            <v>1.1398762496719872E-2</v>
          </cell>
          <cell r="H35">
            <v>1.1398762496719872E-2</v>
          </cell>
          <cell r="I35">
            <v>1.1398762496719872E-2</v>
          </cell>
        </row>
        <row r="36">
          <cell r="B36" t="str">
            <v>BLND1SU</v>
          </cell>
          <cell r="C36" t="str">
            <v>LV 1 Rate Dmd Sth Urburn</v>
          </cell>
          <cell r="D36" t="str">
            <v>t-2</v>
          </cell>
          <cell r="G36">
            <v>1.1398762496719872E-2</v>
          </cell>
          <cell r="H36">
            <v>1.1398762496719872E-2</v>
          </cell>
          <cell r="I36">
            <v>1.1398762496719872E-2</v>
          </cell>
        </row>
        <row r="37">
          <cell r="B37" t="str">
            <v>BLTTBD1</v>
          </cell>
          <cell r="C37" t="str">
            <v>Tariff Trial - Grid Scale Battery</v>
          </cell>
          <cell r="D37" t="str">
            <v>t-1</v>
          </cell>
          <cell r="G37">
            <v>1.1398762496719872E-2</v>
          </cell>
          <cell r="H37">
            <v>1.1398762496719872E-2</v>
          </cell>
          <cell r="I37">
            <v>1.1398762496719872E-2</v>
          </cell>
        </row>
        <row r="38">
          <cell r="B38" t="str">
            <v>BLTD3SS</v>
          </cell>
          <cell r="C38" t="str">
            <v>Tariff Trial - Large Business Sun Soaker</v>
          </cell>
          <cell r="D38" t="str">
            <v>t-1</v>
          </cell>
          <cell r="G38">
            <v>1.1398762496719872E-2</v>
          </cell>
          <cell r="H38">
            <v>1.1398762496719872E-2</v>
          </cell>
          <cell r="I38">
            <v>1.1398762496719872E-2</v>
          </cell>
        </row>
        <row r="39">
          <cell r="B39" t="str">
            <v>BLTD3WD</v>
          </cell>
          <cell r="C39" t="str">
            <v>Tariff Trial - Large Business Weekly Demand</v>
          </cell>
          <cell r="D39" t="str">
            <v>t-1</v>
          </cell>
          <cell r="G39">
            <v>1.1398762496719872E-2</v>
          </cell>
          <cell r="H39">
            <v>1.1398762496719872E-2</v>
          </cell>
          <cell r="I39">
            <v>1.1398762496719872E-2</v>
          </cell>
        </row>
        <row r="41">
          <cell r="B41" t="str">
            <v>Tariff Class C; High voltage - demand</v>
          </cell>
        </row>
        <row r="42">
          <cell r="B42" t="str">
            <v>BHND3AO</v>
          </cell>
          <cell r="C42" t="str">
            <v>HV ToU mthly Demand</v>
          </cell>
          <cell r="D42" t="str">
            <v>t-2</v>
          </cell>
        </row>
        <row r="43">
          <cell r="B43" t="str">
            <v>BHNS1AO</v>
          </cell>
          <cell r="C43" t="str">
            <v>HV ToU avg daily Demand</v>
          </cell>
          <cell r="D43" t="str">
            <v>t-2</v>
          </cell>
        </row>
        <row r="44">
          <cell r="B44" t="str">
            <v>BHND1CO</v>
          </cell>
          <cell r="C44" t="str">
            <v>HV 1 Rate Dmd Cent U</v>
          </cell>
          <cell r="D44" t="str">
            <v>t-2</v>
          </cell>
        </row>
        <row r="45">
          <cell r="B45" t="str">
            <v>BHND1SO</v>
          </cell>
          <cell r="C45" t="str">
            <v>HV 1 Rate Dmd Sth U</v>
          </cell>
          <cell r="D45" t="str">
            <v>t-2</v>
          </cell>
        </row>
        <row r="46">
          <cell r="B46" t="str">
            <v>BHTTBD1</v>
          </cell>
          <cell r="C46" t="str">
            <v>Tariff Trial - Grid Scale Battery</v>
          </cell>
          <cell r="D46" t="str">
            <v>t-1</v>
          </cell>
        </row>
        <row r="48">
          <cell r="B48" t="str">
            <v>Tariff Class D; Subtransmission</v>
          </cell>
        </row>
        <row r="49">
          <cell r="B49" t="str">
            <v>BSSD3AO</v>
          </cell>
          <cell r="C49" t="str">
            <v>SUB TRANS 3 RATE DEMAND</v>
          </cell>
          <cell r="D49" t="str">
            <v>t-2</v>
          </cell>
        </row>
        <row r="50">
          <cell r="B50" t="str">
            <v/>
          </cell>
          <cell r="C50" t="str">
            <v/>
          </cell>
          <cell r="D50" t="str">
            <v/>
          </cell>
        </row>
        <row r="51">
          <cell r="B51" t="str">
            <v>BSS04CU</v>
          </cell>
          <cell r="C51" t="str">
            <v>Peak Gold Mines</v>
          </cell>
          <cell r="D51" t="str">
            <v>t-2</v>
          </cell>
        </row>
        <row r="52">
          <cell r="B52" t="str">
            <v>BSS05CU</v>
          </cell>
          <cell r="C52" t="str">
            <v>Oberon Timber Complex</v>
          </cell>
          <cell r="D52" t="str">
            <v>t-2</v>
          </cell>
        </row>
        <row r="53">
          <cell r="B53" t="str">
            <v>BSS05NO</v>
          </cell>
          <cell r="C53" t="str">
            <v>Harwood Sugar</v>
          </cell>
          <cell r="D53" t="str">
            <v>t-2</v>
          </cell>
        </row>
        <row r="54">
          <cell r="B54" t="str">
            <v>BSS06CU</v>
          </cell>
          <cell r="C54" t="str">
            <v>Fletcher International Exports</v>
          </cell>
          <cell r="D54" t="str">
            <v>t-2</v>
          </cell>
        </row>
        <row r="55">
          <cell r="B55" t="str">
            <v>BSS08CU</v>
          </cell>
          <cell r="C55" t="str">
            <v>Cadia Mine</v>
          </cell>
          <cell r="D55" t="str">
            <v>t-2</v>
          </cell>
        </row>
        <row r="56">
          <cell r="B56" t="str">
            <v>BSS10CU</v>
          </cell>
          <cell r="C56" t="str">
            <v>Ulan Coal Mine Cassilis Road</v>
          </cell>
          <cell r="D56" t="str">
            <v>t-2</v>
          </cell>
        </row>
        <row r="57">
          <cell r="B57" t="str">
            <v>BSS11CU</v>
          </cell>
          <cell r="C57" t="str">
            <v>Cobar Mine</v>
          </cell>
          <cell r="D57" t="str">
            <v>t-2</v>
          </cell>
        </row>
        <row r="58">
          <cell r="B58" t="str">
            <v>BSS12CU</v>
          </cell>
          <cell r="C58" t="str">
            <v>Endeavor Operations Pty Ltd</v>
          </cell>
          <cell r="D58" t="str">
            <v>t-2</v>
          </cell>
        </row>
        <row r="59">
          <cell r="B59" t="str">
            <v>BSS13CU</v>
          </cell>
          <cell r="C59" t="str">
            <v>Uncle Bens-Bathurst</v>
          </cell>
          <cell r="D59" t="str">
            <v>t-2</v>
          </cell>
        </row>
        <row r="60">
          <cell r="B60" t="str">
            <v>BSS20CU</v>
          </cell>
          <cell r="C60" t="str">
            <v>Nth Parkes Mine</v>
          </cell>
          <cell r="D60" t="str">
            <v>t-2</v>
          </cell>
        </row>
        <row r="61">
          <cell r="B61" t="str">
            <v>BSS25AO</v>
          </cell>
          <cell r="C61" t="str">
            <v>Tritton Mine</v>
          </cell>
          <cell r="D61" t="str">
            <v>t-2</v>
          </cell>
        </row>
        <row r="62">
          <cell r="B62" t="str">
            <v>BSS26AO</v>
          </cell>
          <cell r="C62" t="str">
            <v>Lake Cowal Mine</v>
          </cell>
          <cell r="D62" t="str">
            <v>t-2</v>
          </cell>
        </row>
        <row r="63">
          <cell r="B63" t="str">
            <v>BSS27AO</v>
          </cell>
          <cell r="C63" t="str">
            <v>Manildra Flour Mill</v>
          </cell>
          <cell r="D63" t="str">
            <v>t-1</v>
          </cell>
        </row>
        <row r="64">
          <cell r="B64" t="str">
            <v>CRNP1</v>
          </cell>
          <cell r="C64" t="str">
            <v>Perilya Mine, Broken Hill          </v>
          </cell>
          <cell r="D64" t="str">
            <v>t-2</v>
          </cell>
        </row>
        <row r="65">
          <cell r="B65" t="str">
            <v>CRNP2</v>
          </cell>
          <cell r="C65" t="str">
            <v>Bemax and Snapper      </v>
          </cell>
          <cell r="D65" t="str">
            <v>t-2</v>
          </cell>
        </row>
        <row r="66">
          <cell r="B66" t="str">
            <v>BSS21SU</v>
          </cell>
          <cell r="C66" t="str">
            <v>IDT Blowering Dam</v>
          </cell>
          <cell r="D66" t="str">
            <v>t-2</v>
          </cell>
        </row>
        <row r="67">
          <cell r="B67" t="str">
            <v>BSS22SU</v>
          </cell>
          <cell r="C67" t="str">
            <v>IDT Cabramurra Aux</v>
          </cell>
          <cell r="D67" t="str">
            <v>t-2</v>
          </cell>
        </row>
        <row r="68">
          <cell r="B68" t="str">
            <v>BSS24NU</v>
          </cell>
          <cell r="C68" t="str">
            <v>Kirra - IDC</v>
          </cell>
          <cell r="D68" t="str">
            <v>t-2</v>
          </cell>
        </row>
        <row r="69">
          <cell r="B69" t="str">
            <v>BSS30AO</v>
          </cell>
          <cell r="C69" t="str">
            <v>Tomingley Gold Operations</v>
          </cell>
          <cell r="D69" t="str">
            <v>t-1</v>
          </cell>
        </row>
        <row r="70">
          <cell r="B70" t="str">
            <v/>
          </cell>
          <cell r="C70" t="str">
            <v/>
          </cell>
          <cell r="D70" t="str">
            <v/>
          </cell>
        </row>
        <row r="71">
          <cell r="B71" t="str">
            <v/>
          </cell>
          <cell r="C71" t="str">
            <v/>
          </cell>
          <cell r="D71" t="str">
            <v/>
          </cell>
        </row>
        <row r="72">
          <cell r="B72" t="str">
            <v>Tariff Class E; unmetered</v>
          </cell>
        </row>
        <row r="73">
          <cell r="B73" t="str">
            <v>BLNP1AO</v>
          </cell>
          <cell r="C73" t="str">
            <v>LV Public Lighting NUOS</v>
          </cell>
          <cell r="D73" t="str">
            <v>t-2</v>
          </cell>
        </row>
        <row r="74">
          <cell r="B74" t="str">
            <v>BLNP3AO</v>
          </cell>
          <cell r="C74" t="str">
            <v>LV Public Lighting ToU NUOS</v>
          </cell>
          <cell r="D74" t="str">
            <v>t-2</v>
          </cell>
        </row>
        <row r="75">
          <cell r="B75" t="str">
            <v>TOTAL EXPECTED REVENUE FROM CCF TARIFFS</v>
          </cell>
        </row>
      </sheetData>
      <sheetData sheetId="23" refreshError="1"/>
      <sheetData sheetId="24" refreshError="1"/>
      <sheetData sheetId="25">
        <row r="10">
          <cell r="B10" t="str">
            <v>BLNN2AU</v>
          </cell>
          <cell r="C10" t="str">
            <v>LV Residential Anytime</v>
          </cell>
          <cell r="D10" t="str">
            <v>t-2</v>
          </cell>
          <cell r="E10">
            <v>7.486739924174926</v>
          </cell>
          <cell r="F10">
            <v>0.23940207701178204</v>
          </cell>
          <cell r="G10">
            <v>0</v>
          </cell>
          <cell r="H10">
            <v>0</v>
          </cell>
          <cell r="I10">
            <v>0</v>
          </cell>
          <cell r="J10">
            <v>0</v>
          </cell>
          <cell r="K10">
            <v>0</v>
          </cell>
          <cell r="L10">
            <v>0</v>
          </cell>
          <cell r="M10">
            <v>0</v>
          </cell>
          <cell r="N10">
            <v>0</v>
          </cell>
          <cell r="O10">
            <v>0</v>
          </cell>
        </row>
        <row r="11">
          <cell r="B11" t="str">
            <v>BLNT3AU</v>
          </cell>
          <cell r="C11" t="str">
            <v>LV Residential ToU</v>
          </cell>
          <cell r="D11" t="str">
            <v>t-2</v>
          </cell>
          <cell r="E11">
            <v>7.486739924174926</v>
          </cell>
          <cell r="F11">
            <v>0</v>
          </cell>
          <cell r="G11">
            <v>0.33421253876506563</v>
          </cell>
          <cell r="H11">
            <v>0.25971480604807545</v>
          </cell>
          <cell r="I11">
            <v>9.9445335349352168E-2</v>
          </cell>
          <cell r="J11">
            <v>0</v>
          </cell>
          <cell r="K11">
            <v>0</v>
          </cell>
          <cell r="L11">
            <v>0</v>
          </cell>
          <cell r="M11">
            <v>0</v>
          </cell>
          <cell r="N11">
            <v>0</v>
          </cell>
          <cell r="O11">
            <v>0</v>
          </cell>
        </row>
        <row r="12">
          <cell r="B12" t="str">
            <v>BLNT3AL</v>
          </cell>
          <cell r="C12" t="str">
            <v>LV Residential ToU_Interval meter</v>
          </cell>
          <cell r="D12" t="str">
            <v>t-2</v>
          </cell>
          <cell r="E12">
            <v>7.486739924174926</v>
          </cell>
          <cell r="F12">
            <v>0</v>
          </cell>
          <cell r="G12">
            <v>0.34711713716497095</v>
          </cell>
          <cell r="H12">
            <v>0.24976573767493987</v>
          </cell>
          <cell r="I12">
            <v>9.9445335349352168E-2</v>
          </cell>
          <cell r="J12">
            <v>0</v>
          </cell>
          <cell r="K12">
            <v>0</v>
          </cell>
          <cell r="L12">
            <v>0</v>
          </cell>
          <cell r="M12">
            <v>0</v>
          </cell>
          <cell r="N12">
            <v>0</v>
          </cell>
          <cell r="O12">
            <v>0</v>
          </cell>
        </row>
        <row r="13">
          <cell r="B13" t="str">
            <v>BLND1AR</v>
          </cell>
          <cell r="C13" t="str">
            <v>Small Residential-Opt in Demand</v>
          </cell>
          <cell r="D13" t="str">
            <v>t-2</v>
          </cell>
          <cell r="E13">
            <v>7.486739924174926</v>
          </cell>
          <cell r="F13">
            <v>0</v>
          </cell>
          <cell r="G13">
            <v>9.7163985586622578E-2</v>
          </cell>
          <cell r="H13">
            <v>7.1940708960243432E-2</v>
          </cell>
          <cell r="I13">
            <v>4.4507398719890991E-2</v>
          </cell>
          <cell r="J13">
            <v>0</v>
          </cell>
          <cell r="K13">
            <v>9.3033046571710104E-2</v>
          </cell>
          <cell r="L13">
            <v>0</v>
          </cell>
          <cell r="M13">
            <v>0</v>
          </cell>
          <cell r="N13">
            <v>0</v>
          </cell>
          <cell r="O13">
            <v>0</v>
          </cell>
        </row>
        <row r="14">
          <cell r="B14" t="str">
            <v>BLNC1AU</v>
          </cell>
          <cell r="C14" t="str">
            <v>Energy Saver 1</v>
          </cell>
          <cell r="D14" t="str">
            <v>t-2</v>
          </cell>
          <cell r="E14">
            <v>0.77257310865709583</v>
          </cell>
          <cell r="F14">
            <v>4.7028878589918811E-2</v>
          </cell>
          <cell r="G14">
            <v>0</v>
          </cell>
          <cell r="H14">
            <v>0</v>
          </cell>
          <cell r="I14">
            <v>0</v>
          </cell>
          <cell r="J14">
            <v>0</v>
          </cell>
          <cell r="K14">
            <v>0</v>
          </cell>
          <cell r="L14">
            <v>0</v>
          </cell>
          <cell r="M14">
            <v>0</v>
          </cell>
          <cell r="N14">
            <v>0</v>
          </cell>
          <cell r="O14">
            <v>0</v>
          </cell>
        </row>
        <row r="15">
          <cell r="B15" t="str">
            <v>BLNC2AU</v>
          </cell>
          <cell r="C15" t="str">
            <v>Energy Saver 2</v>
          </cell>
          <cell r="D15" t="str">
            <v>t-2</v>
          </cell>
          <cell r="E15">
            <v>0.77257310865709583</v>
          </cell>
          <cell r="F15">
            <v>0.10515607258965014</v>
          </cell>
          <cell r="G15">
            <v>0</v>
          </cell>
          <cell r="H15">
            <v>0</v>
          </cell>
          <cell r="I15">
            <v>0</v>
          </cell>
          <cell r="J15">
            <v>0</v>
          </cell>
          <cell r="K15">
            <v>0</v>
          </cell>
          <cell r="L15">
            <v>0</v>
          </cell>
          <cell r="M15">
            <v>0</v>
          </cell>
          <cell r="N15">
            <v>0</v>
          </cell>
          <cell r="O15">
            <v>0</v>
          </cell>
        </row>
        <row r="16">
          <cell r="B16" t="str">
            <v>BLNN1AU</v>
          </cell>
          <cell r="C16" t="str">
            <v>LV Small business Anytime</v>
          </cell>
          <cell r="D16" t="str">
            <v>t-2</v>
          </cell>
          <cell r="E16">
            <v>7.486739924174926</v>
          </cell>
          <cell r="F16">
            <v>0.33110684587767497</v>
          </cell>
          <cell r="G16">
            <v>0</v>
          </cell>
          <cell r="H16">
            <v>0</v>
          </cell>
          <cell r="I16">
            <v>0</v>
          </cell>
          <cell r="J16">
            <v>0</v>
          </cell>
          <cell r="K16">
            <v>0</v>
          </cell>
          <cell r="L16">
            <v>0</v>
          </cell>
          <cell r="M16">
            <v>0</v>
          </cell>
          <cell r="N16">
            <v>0</v>
          </cell>
          <cell r="O16">
            <v>0</v>
          </cell>
        </row>
        <row r="17">
          <cell r="B17" t="str">
            <v>BLNT2AU</v>
          </cell>
          <cell r="C17" t="str">
            <v>LV ToU &lt; 100MWh</v>
          </cell>
          <cell r="D17" t="str">
            <v>t-2</v>
          </cell>
          <cell r="E17">
            <v>27.218158307990173</v>
          </cell>
          <cell r="F17">
            <v>0</v>
          </cell>
          <cell r="G17">
            <v>0.35383570226536315</v>
          </cell>
          <cell r="H17">
            <v>0.27670902556804905</v>
          </cell>
          <cell r="I17">
            <v>0.14595027590663043</v>
          </cell>
          <cell r="J17">
            <v>0</v>
          </cell>
          <cell r="K17">
            <v>0</v>
          </cell>
          <cell r="L17">
            <v>0</v>
          </cell>
          <cell r="M17">
            <v>0</v>
          </cell>
          <cell r="N17">
            <v>0</v>
          </cell>
          <cell r="O17">
            <v>0</v>
          </cell>
        </row>
        <row r="18">
          <cell r="B18" t="str">
            <v>BLNT2AL</v>
          </cell>
          <cell r="C18" t="str">
            <v>LV Business ToU_Interval meter</v>
          </cell>
          <cell r="D18" t="str">
            <v>t-2</v>
          </cell>
          <cell r="E18">
            <v>12.728501655141505</v>
          </cell>
          <cell r="F18">
            <v>0</v>
          </cell>
          <cell r="G18">
            <v>0.36731423268380087</v>
          </cell>
          <cell r="H18">
            <v>0.26631747237539766</v>
          </cell>
          <cell r="I18">
            <v>0.14098159472675859</v>
          </cell>
          <cell r="J18">
            <v>0</v>
          </cell>
          <cell r="K18">
            <v>0</v>
          </cell>
          <cell r="L18">
            <v>0</v>
          </cell>
          <cell r="M18">
            <v>0</v>
          </cell>
          <cell r="N18">
            <v>0</v>
          </cell>
          <cell r="O18">
            <v>0</v>
          </cell>
        </row>
        <row r="19">
          <cell r="B19" t="str">
            <v>BLNT1AO</v>
          </cell>
          <cell r="C19" t="str">
            <v>LV ToU &gt; 100 MWh/yr</v>
          </cell>
          <cell r="D19" t="str">
            <v>t-2</v>
          </cell>
          <cell r="E19">
            <v>27.218158307990173</v>
          </cell>
          <cell r="F19">
            <v>0</v>
          </cell>
          <cell r="G19">
            <v>0.35383570226536315</v>
          </cell>
          <cell r="H19">
            <v>0.27670902556804905</v>
          </cell>
          <cell r="I19">
            <v>0.14595027590663043</v>
          </cell>
          <cell r="J19">
            <v>0</v>
          </cell>
          <cell r="K19">
            <v>0</v>
          </cell>
          <cell r="L19">
            <v>0</v>
          </cell>
          <cell r="M19">
            <v>0</v>
          </cell>
          <cell r="N19">
            <v>0</v>
          </cell>
          <cell r="O19">
            <v>0</v>
          </cell>
        </row>
        <row r="20">
          <cell r="B20" t="str">
            <v>BLND1AB</v>
          </cell>
          <cell r="C20" t="str">
            <v>Small business-Opt in Demand</v>
          </cell>
          <cell r="D20" t="str">
            <v>t-2</v>
          </cell>
          <cell r="E20">
            <v>12.728501655141505</v>
          </cell>
          <cell r="F20">
            <v>0</v>
          </cell>
          <cell r="G20">
            <v>0.1641615535943608</v>
          </cell>
          <cell r="H20">
            <v>0.11881324902611418</v>
          </cell>
          <cell r="I20">
            <v>6.5302385050853409E-2</v>
          </cell>
          <cell r="J20">
            <v>0</v>
          </cell>
          <cell r="K20">
            <v>0.15117870067902894</v>
          </cell>
          <cell r="L20">
            <v>0</v>
          </cell>
          <cell r="M20">
            <v>0</v>
          </cell>
          <cell r="N20">
            <v>0</v>
          </cell>
          <cell r="O20">
            <v>0</v>
          </cell>
        </row>
        <row r="21">
          <cell r="B21" t="str">
            <v>BLNT1SU</v>
          </cell>
          <cell r="C21" t="str">
            <v>LV ToU &gt; 100 MWh/yr Sth U</v>
          </cell>
          <cell r="D21" t="str">
            <v>t-2</v>
          </cell>
          <cell r="E21">
            <v>66.459427139615087</v>
          </cell>
          <cell r="F21">
            <v>0</v>
          </cell>
          <cell r="G21">
            <v>0.41722882542563627</v>
          </cell>
          <cell r="H21">
            <v>0.31047878411176172</v>
          </cell>
          <cell r="I21">
            <v>0.16445471733313494</v>
          </cell>
          <cell r="J21">
            <v>0</v>
          </cell>
          <cell r="K21">
            <v>0</v>
          </cell>
          <cell r="L21">
            <v>0</v>
          </cell>
          <cell r="M21">
            <v>0</v>
          </cell>
          <cell r="N21">
            <v>0</v>
          </cell>
          <cell r="O21">
            <v>0</v>
          </cell>
        </row>
        <row r="22">
          <cell r="B22" t="str">
            <v>BLTTSS2</v>
          </cell>
          <cell r="C22" t="str">
            <v>Tariff Trial - Sun soaker Residential</v>
          </cell>
          <cell r="D22" t="str">
            <v>t-1</v>
          </cell>
          <cell r="E22">
            <v>7.486739924174926</v>
          </cell>
          <cell r="F22">
            <v>0</v>
          </cell>
          <cell r="G22">
            <v>0.29844143741995544</v>
          </cell>
          <cell r="H22">
            <v>0</v>
          </cell>
          <cell r="I22">
            <v>9.9445335349352168E-2</v>
          </cell>
          <cell r="J22">
            <v>0</v>
          </cell>
          <cell r="K22">
            <v>0</v>
          </cell>
          <cell r="L22">
            <v>0</v>
          </cell>
          <cell r="M22">
            <v>0</v>
          </cell>
          <cell r="N22">
            <v>0</v>
          </cell>
          <cell r="O22">
            <v>0</v>
          </cell>
        </row>
        <row r="23">
          <cell r="B23" t="str">
            <v>BLTTSS1</v>
          </cell>
          <cell r="C23" t="str">
            <v>Tariff Trial - Sun soaker Small Business</v>
          </cell>
          <cell r="D23" t="str">
            <v>t-1</v>
          </cell>
          <cell r="E23">
            <v>12.728501655141505</v>
          </cell>
          <cell r="F23">
            <v>0</v>
          </cell>
          <cell r="G23">
            <v>0.31681585252959921</v>
          </cell>
          <cell r="H23">
            <v>0</v>
          </cell>
          <cell r="I23">
            <v>0.14098159472675859</v>
          </cell>
          <cell r="J23">
            <v>0</v>
          </cell>
          <cell r="K23">
            <v>0</v>
          </cell>
          <cell r="L23">
            <v>0</v>
          </cell>
          <cell r="M23">
            <v>0</v>
          </cell>
          <cell r="N23">
            <v>0</v>
          </cell>
          <cell r="O23">
            <v>0</v>
          </cell>
        </row>
        <row r="24">
          <cell r="B24" t="str">
            <v>BLTTEX1</v>
          </cell>
          <cell r="C24" t="str">
            <v>Tariff Trial - Export charge</v>
          </cell>
          <cell r="D24" t="str">
            <v>t-1</v>
          </cell>
          <cell r="E24">
            <v>0</v>
          </cell>
          <cell r="F24">
            <v>0</v>
          </cell>
          <cell r="G24">
            <v>0</v>
          </cell>
          <cell r="H24">
            <v>0</v>
          </cell>
          <cell r="I24">
            <v>0</v>
          </cell>
          <cell r="J24">
            <v>0</v>
          </cell>
          <cell r="K24">
            <v>0</v>
          </cell>
          <cell r="L24">
            <v>0</v>
          </cell>
          <cell r="M24">
            <v>0</v>
          </cell>
          <cell r="N24">
            <v>0</v>
          </cell>
          <cell r="O24">
            <v>0</v>
          </cell>
        </row>
        <row r="25">
          <cell r="B25" t="str">
            <v>BLTTEX1</v>
          </cell>
          <cell r="C25" t="str">
            <v>Tariff Trial - Export charge sml business</v>
          </cell>
          <cell r="D25" t="str">
            <v>t-1</v>
          </cell>
          <cell r="E25">
            <v>0</v>
          </cell>
          <cell r="F25">
            <v>0</v>
          </cell>
          <cell r="G25">
            <v>0</v>
          </cell>
          <cell r="H25">
            <v>0</v>
          </cell>
          <cell r="I25">
            <v>0</v>
          </cell>
          <cell r="J25">
            <v>0</v>
          </cell>
          <cell r="K25">
            <v>0</v>
          </cell>
          <cell r="L25">
            <v>0</v>
          </cell>
          <cell r="M25">
            <v>0</v>
          </cell>
          <cell r="N25">
            <v>0</v>
          </cell>
          <cell r="O25">
            <v>0</v>
          </cell>
        </row>
        <row r="26">
          <cell r="B26" t="str">
            <v>TTPTR</v>
          </cell>
          <cell r="C26" t="str">
            <v>Tariff Trial - Critical Peak Rebate</v>
          </cell>
          <cell r="D26" t="str">
            <v>t-1</v>
          </cell>
          <cell r="E26">
            <v>0</v>
          </cell>
          <cell r="F26">
            <v>0</v>
          </cell>
          <cell r="G26">
            <v>-4.0135744045053539</v>
          </cell>
          <cell r="H26">
            <v>0</v>
          </cell>
          <cell r="I26">
            <v>0</v>
          </cell>
          <cell r="J26">
            <v>0</v>
          </cell>
          <cell r="K26">
            <v>0</v>
          </cell>
          <cell r="L26">
            <v>0</v>
          </cell>
          <cell r="M26">
            <v>0</v>
          </cell>
          <cell r="N26">
            <v>0</v>
          </cell>
          <cell r="O26">
            <v>0</v>
          </cell>
        </row>
        <row r="27">
          <cell r="B27" t="str">
            <v>TTCPP</v>
          </cell>
          <cell r="C27" t="str">
            <v>Tariff Trial  - Critical Peak Charge</v>
          </cell>
          <cell r="D27" t="str">
            <v>t-1</v>
          </cell>
          <cell r="E27">
            <v>0</v>
          </cell>
          <cell r="F27">
            <v>0</v>
          </cell>
          <cell r="G27">
            <v>4.0135744045053539</v>
          </cell>
          <cell r="H27">
            <v>0</v>
          </cell>
          <cell r="I27">
            <v>0</v>
          </cell>
          <cell r="J27">
            <v>0</v>
          </cell>
          <cell r="K27">
            <v>0</v>
          </cell>
          <cell r="L27">
            <v>0</v>
          </cell>
          <cell r="M27">
            <v>0</v>
          </cell>
          <cell r="N27">
            <v>0</v>
          </cell>
          <cell r="O27">
            <v>0</v>
          </cell>
        </row>
        <row r="29">
          <cell r="B29" t="str">
            <v>Tariff Class B; Low voltage - Large Business</v>
          </cell>
        </row>
        <row r="30">
          <cell r="B30" t="str">
            <v>BLND3AO</v>
          </cell>
          <cell r="C30" t="str">
            <v>LV ToU Demand 3 Rate</v>
          </cell>
          <cell r="D30" t="str">
            <v>t-2</v>
          </cell>
          <cell r="E30">
            <v>127.93488085184009</v>
          </cell>
          <cell r="F30">
            <v>0</v>
          </cell>
          <cell r="G30">
            <v>9.5521749902963318E-2</v>
          </cell>
          <cell r="H30">
            <v>7.6902745637830061E-2</v>
          </cell>
          <cell r="I30">
            <v>4.981435218959733E-2</v>
          </cell>
          <cell r="J30">
            <v>0</v>
          </cell>
          <cell r="K30">
            <v>0.21569879059761796</v>
          </cell>
          <cell r="L30">
            <v>0.19515604863593999</v>
          </cell>
          <cell r="M30">
            <v>5.1136685883377525E-2</v>
          </cell>
          <cell r="N30">
            <v>0</v>
          </cell>
          <cell r="O30">
            <v>0</v>
          </cell>
        </row>
        <row r="31">
          <cell r="B31" t="str">
            <v>BLND3TO</v>
          </cell>
          <cell r="C31" t="str">
            <v>LV ToU Demand-alternate tariff</v>
          </cell>
          <cell r="D31" t="str">
            <v>t-2</v>
          </cell>
          <cell r="E31">
            <v>127.93488085184009</v>
          </cell>
          <cell r="F31">
            <v>0</v>
          </cell>
          <cell r="G31">
            <v>0.31512032493182168</v>
          </cell>
          <cell r="H31">
            <v>0.23956745573950386</v>
          </cell>
          <cell r="I31">
            <v>0.10466863419468141</v>
          </cell>
          <cell r="J31">
            <v>0</v>
          </cell>
          <cell r="K31">
            <v>0.277445917107355</v>
          </cell>
          <cell r="L31">
            <v>0</v>
          </cell>
          <cell r="M31">
            <v>0</v>
          </cell>
          <cell r="N31">
            <v>0</v>
          </cell>
          <cell r="O31">
            <v>0</v>
          </cell>
        </row>
        <row r="32">
          <cell r="B32" t="str">
            <v>BLNDTRS</v>
          </cell>
          <cell r="C32" t="str">
            <v>Transitional Demand</v>
          </cell>
          <cell r="D32" t="str">
            <v>t-2</v>
          </cell>
          <cell r="E32">
            <v>127.93488085184009</v>
          </cell>
          <cell r="F32">
            <v>0</v>
          </cell>
          <cell r="G32">
            <v>9.5521749902963318E-2</v>
          </cell>
          <cell r="H32">
            <v>7.6902745637830061E-2</v>
          </cell>
          <cell r="I32">
            <v>4.981435218959733E-2</v>
          </cell>
          <cell r="J32">
            <v>0</v>
          </cell>
          <cell r="K32">
            <v>0.21569879059761796</v>
          </cell>
          <cell r="L32">
            <v>0.19515604863593999</v>
          </cell>
          <cell r="M32">
            <v>5.1136685883377525E-2</v>
          </cell>
          <cell r="N32">
            <v>0</v>
          </cell>
          <cell r="O32">
            <v>0</v>
          </cell>
        </row>
        <row r="33">
          <cell r="B33" t="str">
            <v>BLNS1AO</v>
          </cell>
          <cell r="C33" t="str">
            <v>LV ToU avg daily Demand</v>
          </cell>
          <cell r="D33" t="str">
            <v>t-2</v>
          </cell>
          <cell r="E33">
            <v>151.7577366905272</v>
          </cell>
          <cell r="F33">
            <v>0</v>
          </cell>
          <cell r="G33">
            <v>8.8597016527847558E-2</v>
          </cell>
          <cell r="H33">
            <v>7.1773341920858935E-2</v>
          </cell>
          <cell r="I33">
            <v>4.716621237606243E-2</v>
          </cell>
          <cell r="J33">
            <v>0</v>
          </cell>
          <cell r="K33">
            <v>0.29926592053360196</v>
          </cell>
          <cell r="L33">
            <v>0.27076440429230647</v>
          </cell>
          <cell r="M33">
            <v>6.9201577344662549E-2</v>
          </cell>
          <cell r="N33">
            <v>0</v>
          </cell>
          <cell r="O33">
            <v>0</v>
          </cell>
        </row>
        <row r="34">
          <cell r="B34" t="str">
            <v>BLND1CO</v>
          </cell>
          <cell r="C34" t="str">
            <v>LV 1 Rate Dmd Cent</v>
          </cell>
          <cell r="D34" t="str">
            <v>t-2</v>
          </cell>
          <cell r="E34">
            <v>195.66894185223495</v>
          </cell>
          <cell r="F34">
            <v>0</v>
          </cell>
          <cell r="G34">
            <v>0.14600836831613959</v>
          </cell>
          <cell r="H34">
            <v>0.11487376844974759</v>
          </cell>
          <cell r="I34">
            <v>5.9839943164957866E-2</v>
          </cell>
          <cell r="J34">
            <v>0.44494611435947923</v>
          </cell>
          <cell r="K34">
            <v>0</v>
          </cell>
          <cell r="L34">
            <v>0</v>
          </cell>
          <cell r="M34">
            <v>0</v>
          </cell>
          <cell r="N34">
            <v>0</v>
          </cell>
          <cell r="O34">
            <v>0</v>
          </cell>
        </row>
        <row r="35">
          <cell r="B35" t="str">
            <v>BLND1SR</v>
          </cell>
          <cell r="C35" t="str">
            <v>LV 1 Rate Dmd Sth Rural</v>
          </cell>
          <cell r="D35" t="str">
            <v>t-2</v>
          </cell>
          <cell r="E35">
            <v>151.7577366905272</v>
          </cell>
          <cell r="F35">
            <v>0</v>
          </cell>
          <cell r="G35">
            <v>0.32745181331029632</v>
          </cell>
          <cell r="H35">
            <v>0.24998048609141227</v>
          </cell>
          <cell r="I35">
            <v>0.10226528011094976</v>
          </cell>
          <cell r="J35">
            <v>0.2955276717403128</v>
          </cell>
          <cell r="K35">
            <v>0</v>
          </cell>
          <cell r="L35">
            <v>0</v>
          </cell>
          <cell r="M35">
            <v>0</v>
          </cell>
          <cell r="N35">
            <v>0.10743661687403983</v>
          </cell>
          <cell r="O35">
            <v>0</v>
          </cell>
        </row>
        <row r="36">
          <cell r="B36" t="str">
            <v>BLND1SU</v>
          </cell>
          <cell r="C36" t="str">
            <v>LV 1 Rate Dmd Sth Urburn</v>
          </cell>
          <cell r="D36" t="str">
            <v>t-2</v>
          </cell>
          <cell r="E36">
            <v>40.831734776340902</v>
          </cell>
          <cell r="F36">
            <v>0</v>
          </cell>
          <cell r="G36">
            <v>0.37321463046842429</v>
          </cell>
          <cell r="H36">
            <v>0.28387868140294631</v>
          </cell>
          <cell r="I36">
            <v>0.13988298814520109</v>
          </cell>
          <cell r="J36">
            <v>0.2898572896923538</v>
          </cell>
          <cell r="K36">
            <v>0</v>
          </cell>
          <cell r="L36">
            <v>0</v>
          </cell>
          <cell r="M36">
            <v>0</v>
          </cell>
          <cell r="N36">
            <v>0.10757271490272639</v>
          </cell>
          <cell r="O36">
            <v>0</v>
          </cell>
        </row>
        <row r="37">
          <cell r="B37" t="str">
            <v>BLTTBD1</v>
          </cell>
          <cell r="C37" t="str">
            <v>Tariff Trial - Grid Scale Battery</v>
          </cell>
          <cell r="D37" t="str">
            <v>t-1</v>
          </cell>
          <cell r="E37">
            <v>127.93488085184009</v>
          </cell>
          <cell r="F37">
            <v>0</v>
          </cell>
          <cell r="G37">
            <v>9.5521749902963318E-2</v>
          </cell>
          <cell r="H37">
            <v>7.6902745637830061E-2</v>
          </cell>
          <cell r="I37">
            <v>4.981435218959733E-2</v>
          </cell>
          <cell r="J37">
            <v>0</v>
          </cell>
          <cell r="K37">
            <v>0.21569879059761796</v>
          </cell>
          <cell r="L37">
            <v>0.19515604863593999</v>
          </cell>
          <cell r="M37">
            <v>5.1136685883377525E-2</v>
          </cell>
          <cell r="N37">
            <v>0</v>
          </cell>
          <cell r="O37">
            <v>0</v>
          </cell>
        </row>
        <row r="38">
          <cell r="B38" t="str">
            <v>BLTD3SS</v>
          </cell>
          <cell r="C38" t="str">
            <v>Tariff Trial - Large Business Sun Soaker</v>
          </cell>
          <cell r="D38" t="str">
            <v>t-1</v>
          </cell>
          <cell r="E38">
            <v>127.93488085184009</v>
          </cell>
          <cell r="F38">
            <v>0</v>
          </cell>
          <cell r="G38">
            <v>9.5521749902963318E-2</v>
          </cell>
          <cell r="H38">
            <v>7.6902745637830061E-2</v>
          </cell>
          <cell r="I38">
            <v>4.981435218959733E-2</v>
          </cell>
          <cell r="J38">
            <v>0</v>
          </cell>
          <cell r="K38">
            <v>0.21569879059761796</v>
          </cell>
          <cell r="L38">
            <v>0.19515604863593999</v>
          </cell>
          <cell r="M38">
            <v>5.1136685883377525E-2</v>
          </cell>
          <cell r="N38">
            <v>0</v>
          </cell>
          <cell r="O38">
            <v>0</v>
          </cell>
        </row>
        <row r="39">
          <cell r="B39" t="str">
            <v>BLTD3WD</v>
          </cell>
          <cell r="C39" t="str">
            <v>Tariff Trial - Large Business Weekly Demand</v>
          </cell>
          <cell r="D39" t="str">
            <v>t-1</v>
          </cell>
          <cell r="E39">
            <v>127.93488085184009</v>
          </cell>
          <cell r="F39">
            <v>0</v>
          </cell>
          <cell r="G39">
            <v>9.5521749902963318E-2</v>
          </cell>
          <cell r="H39">
            <v>7.6902745637830061E-2</v>
          </cell>
          <cell r="I39">
            <v>4.981435218959733E-2</v>
          </cell>
          <cell r="J39">
            <v>0</v>
          </cell>
          <cell r="K39">
            <v>0.26962348824702242</v>
          </cell>
          <cell r="L39">
            <v>0.24394506079492498</v>
          </cell>
          <cell r="M39">
            <v>6.3920857354221913E-2</v>
          </cell>
          <cell r="N39">
            <v>0</v>
          </cell>
          <cell r="O39">
            <v>0</v>
          </cell>
        </row>
        <row r="41">
          <cell r="B41" t="str">
            <v>Tariff Class C; High voltage - demand</v>
          </cell>
        </row>
        <row r="42">
          <cell r="B42" t="str">
            <v>BHND3AO</v>
          </cell>
          <cell r="C42" t="str">
            <v>HV ToU mthly Demand</v>
          </cell>
          <cell r="D42" t="str">
            <v>t-2</v>
          </cell>
          <cell r="E42">
            <v>158.3628538759028</v>
          </cell>
          <cell r="F42">
            <v>0</v>
          </cell>
          <cell r="G42">
            <v>7.2294132289449822E-2</v>
          </cell>
          <cell r="H42">
            <v>5.8907356852865869E-2</v>
          </cell>
          <cell r="I42">
            <v>4.8285256742096348E-2</v>
          </cell>
          <cell r="J42">
            <v>0</v>
          </cell>
          <cell r="K42">
            <v>0.20608886755585579</v>
          </cell>
          <cell r="L42">
            <v>0.18646135636005998</v>
          </cell>
          <cell r="M42">
            <v>5.5797886910545214E-2</v>
          </cell>
          <cell r="N42">
            <v>0</v>
          </cell>
          <cell r="O42">
            <v>0</v>
          </cell>
        </row>
        <row r="43">
          <cell r="B43" t="str">
            <v>BHNS1AO</v>
          </cell>
          <cell r="C43" t="str">
            <v>HV ToU avg daily Demand</v>
          </cell>
          <cell r="D43" t="str">
            <v>t-2</v>
          </cell>
          <cell r="E43">
            <v>153.9239050022816</v>
          </cell>
          <cell r="F43">
            <v>0</v>
          </cell>
          <cell r="G43">
            <v>7.0531609437718454E-2</v>
          </cell>
          <cell r="H43">
            <v>5.9728750706913254E-2</v>
          </cell>
          <cell r="I43">
            <v>4.8111131044573791E-2</v>
          </cell>
          <cell r="J43">
            <v>0</v>
          </cell>
          <cell r="K43">
            <v>0.21823008271846017</v>
          </cell>
          <cell r="L43">
            <v>0.19744626531670201</v>
          </cell>
          <cell r="M43">
            <v>5.9083285690506415E-2</v>
          </cell>
          <cell r="N43">
            <v>0</v>
          </cell>
          <cell r="O43">
            <v>0</v>
          </cell>
        </row>
        <row r="44">
          <cell r="B44" t="str">
            <v>BHND1CO</v>
          </cell>
          <cell r="C44" t="str">
            <v>HV 1 Rate Dmd Cent U</v>
          </cell>
          <cell r="D44" t="str">
            <v>t-2</v>
          </cell>
          <cell r="E44">
            <v>251.07653320479614</v>
          </cell>
          <cell r="F44">
            <v>0</v>
          </cell>
          <cell r="G44">
            <v>0.16093799539202647</v>
          </cell>
          <cell r="H44">
            <v>0.14824822618299052</v>
          </cell>
          <cell r="I44">
            <v>6.320169852331059E-2</v>
          </cell>
          <cell r="J44">
            <v>0.32436221724898395</v>
          </cell>
          <cell r="K44">
            <v>0</v>
          </cell>
          <cell r="L44">
            <v>0</v>
          </cell>
          <cell r="M44">
            <v>0</v>
          </cell>
          <cell r="N44">
            <v>0</v>
          </cell>
          <cell r="O44">
            <v>0</v>
          </cell>
        </row>
        <row r="45">
          <cell r="B45" t="str">
            <v>BHND1SO</v>
          </cell>
          <cell r="C45" t="str">
            <v>HV 1 Rate Dmd Sth U</v>
          </cell>
          <cell r="D45" t="str">
            <v>t-2</v>
          </cell>
          <cell r="E45">
            <v>187.15085262466522</v>
          </cell>
          <cell r="F45">
            <v>0</v>
          </cell>
          <cell r="G45">
            <v>0.14361178350359011</v>
          </cell>
          <cell r="H45">
            <v>0.13406310204141625</v>
          </cell>
          <cell r="I45">
            <v>9.8276730505433146E-2</v>
          </cell>
          <cell r="J45">
            <v>0.23424272683846226</v>
          </cell>
          <cell r="K45">
            <v>0</v>
          </cell>
          <cell r="L45">
            <v>0</v>
          </cell>
          <cell r="M45">
            <v>0</v>
          </cell>
          <cell r="N45">
            <v>8.6267275883851691E-2</v>
          </cell>
          <cell r="O45">
            <v>0</v>
          </cell>
        </row>
        <row r="46">
          <cell r="B46" t="str">
            <v>BHTTBD1</v>
          </cell>
          <cell r="C46" t="str">
            <v>Tariff Trial - Grid Scale Battery</v>
          </cell>
          <cell r="D46" t="str">
            <v>t-1</v>
          </cell>
          <cell r="E46">
            <v>158.3628538759028</v>
          </cell>
          <cell r="F46">
            <v>0</v>
          </cell>
          <cell r="G46">
            <v>7.2294132289449822E-2</v>
          </cell>
          <cell r="H46">
            <v>5.8907356852865869E-2</v>
          </cell>
          <cell r="I46">
            <v>4.8285256742096348E-2</v>
          </cell>
          <cell r="J46">
            <v>0</v>
          </cell>
          <cell r="K46">
            <v>0.20608886755585579</v>
          </cell>
          <cell r="L46">
            <v>0.18646135636005998</v>
          </cell>
          <cell r="M46">
            <v>5.5797886910545214E-2</v>
          </cell>
          <cell r="N46">
            <v>0</v>
          </cell>
          <cell r="O46">
            <v>0</v>
          </cell>
        </row>
        <row r="48">
          <cell r="B48" t="str">
            <v>Tariff Class D; Subtransmission</v>
          </cell>
        </row>
        <row r="49">
          <cell r="B49" t="str">
            <v>BSSD3AO</v>
          </cell>
          <cell r="C49" t="str">
            <v>SUB TRANS 3 RATE DEMAND</v>
          </cell>
          <cell r="D49" t="str">
            <v>t-2</v>
          </cell>
          <cell r="E49">
            <v>157.19843697718255</v>
          </cell>
          <cell r="F49">
            <v>0</v>
          </cell>
          <cell r="G49">
            <v>8.4352882372808913E-2</v>
          </cell>
          <cell r="H49">
            <v>5.0055498714173412E-2</v>
          </cell>
          <cell r="I49">
            <v>4.1726643267685118E-2</v>
          </cell>
          <cell r="J49">
            <v>0</v>
          </cell>
          <cell r="K49">
            <v>7.9529237742236455E-2</v>
          </cell>
          <cell r="L49">
            <v>5.6696746463526293E-2</v>
          </cell>
          <cell r="M49">
            <v>2.2601055672288362E-2</v>
          </cell>
          <cell r="N49">
            <v>0</v>
          </cell>
          <cell r="O49">
            <v>0</v>
          </cell>
        </row>
        <row r="50">
          <cell r="B50" t="str">
            <v/>
          </cell>
          <cell r="C50" t="str">
            <v/>
          </cell>
          <cell r="D50" t="str">
            <v/>
          </cell>
        </row>
        <row r="51">
          <cell r="B51" t="str">
            <v>BSS04CU</v>
          </cell>
          <cell r="C51" t="str">
            <v>Peak Gold Mines</v>
          </cell>
          <cell r="D51" t="str">
            <v>t-2</v>
          </cell>
          <cell r="E51">
            <v>10536.793489854801</v>
          </cell>
          <cell r="F51">
            <v>0</v>
          </cell>
          <cell r="G51">
            <v>5.5469075182481373E-3</v>
          </cell>
          <cell r="H51">
            <v>4.7779440517498883E-3</v>
          </cell>
          <cell r="I51">
            <v>4.6062337631143568E-3</v>
          </cell>
          <cell r="J51">
            <v>0.13787002283402641</v>
          </cell>
          <cell r="K51">
            <v>0</v>
          </cell>
          <cell r="L51">
            <v>0</v>
          </cell>
          <cell r="M51">
            <v>0</v>
          </cell>
          <cell r="N51">
            <v>0</v>
          </cell>
          <cell r="O51">
            <v>0</v>
          </cell>
        </row>
        <row r="52">
          <cell r="B52" t="str">
            <v>BSS05CU</v>
          </cell>
          <cell r="C52" t="str">
            <v>Oberon Timber Complex</v>
          </cell>
          <cell r="D52" t="str">
            <v>t-2</v>
          </cell>
          <cell r="E52">
            <v>10251.408345999673</v>
          </cell>
          <cell r="F52">
            <v>0</v>
          </cell>
          <cell r="G52">
            <v>5.2756550333021542E-3</v>
          </cell>
          <cell r="H52">
            <v>4.6311193121919706E-3</v>
          </cell>
          <cell r="I52">
            <v>4.4743403530030064E-3</v>
          </cell>
          <cell r="J52">
            <v>6.9335861351761285E-2</v>
          </cell>
          <cell r="K52">
            <v>0</v>
          </cell>
          <cell r="L52">
            <v>0</v>
          </cell>
          <cell r="M52">
            <v>0</v>
          </cell>
          <cell r="N52">
            <v>0</v>
          </cell>
          <cell r="O52">
            <v>0</v>
          </cell>
        </row>
        <row r="53">
          <cell r="B53" t="str">
            <v>BSS05NO</v>
          </cell>
          <cell r="C53" t="str">
            <v>Harwood Sugar</v>
          </cell>
          <cell r="D53" t="str">
            <v>t-2</v>
          </cell>
          <cell r="E53">
            <v>482.86146460500839</v>
          </cell>
          <cell r="F53">
            <v>0</v>
          </cell>
          <cell r="G53">
            <v>4.1541365704107956E-2</v>
          </cell>
          <cell r="H53">
            <v>2.4850627937752737E-2</v>
          </cell>
          <cell r="I53">
            <v>2.276521892504875E-2</v>
          </cell>
          <cell r="J53">
            <v>0.19673898028921163</v>
          </cell>
          <cell r="K53">
            <v>0</v>
          </cell>
          <cell r="L53">
            <v>0</v>
          </cell>
          <cell r="M53">
            <v>0</v>
          </cell>
          <cell r="N53">
            <v>0</v>
          </cell>
          <cell r="O53">
            <v>0</v>
          </cell>
        </row>
        <row r="54">
          <cell r="B54" t="str">
            <v>BSS06CU</v>
          </cell>
          <cell r="C54" t="str">
            <v>Fletcher International Exports</v>
          </cell>
          <cell r="D54" t="str">
            <v>t-2</v>
          </cell>
          <cell r="E54">
            <v>6104.4602274098143</v>
          </cell>
          <cell r="F54">
            <v>0</v>
          </cell>
          <cell r="G54">
            <v>5.5643274026024687E-3</v>
          </cell>
          <cell r="H54">
            <v>4.7878982713809339E-3</v>
          </cell>
          <cell r="I54">
            <v>4.601256653298834E-3</v>
          </cell>
          <cell r="J54">
            <v>0.12888368083245239</v>
          </cell>
          <cell r="K54">
            <v>0</v>
          </cell>
          <cell r="L54">
            <v>0</v>
          </cell>
          <cell r="M54">
            <v>0</v>
          </cell>
          <cell r="N54">
            <v>0</v>
          </cell>
          <cell r="O54">
            <v>0</v>
          </cell>
        </row>
        <row r="55">
          <cell r="B55" t="str">
            <v>BSS08CU</v>
          </cell>
          <cell r="C55" t="str">
            <v>Cadia Mine</v>
          </cell>
          <cell r="D55" t="str">
            <v>t-2</v>
          </cell>
          <cell r="E55">
            <v>132276.43981857123</v>
          </cell>
          <cell r="F55">
            <v>0</v>
          </cell>
          <cell r="G55">
            <v>0</v>
          </cell>
          <cell r="H55">
            <v>0</v>
          </cell>
          <cell r="I55">
            <v>0</v>
          </cell>
          <cell r="J55">
            <v>0</v>
          </cell>
          <cell r="K55">
            <v>0</v>
          </cell>
          <cell r="L55">
            <v>0</v>
          </cell>
          <cell r="M55">
            <v>0</v>
          </cell>
          <cell r="N55">
            <v>0</v>
          </cell>
          <cell r="O55">
            <v>0</v>
          </cell>
        </row>
        <row r="56">
          <cell r="B56" t="str">
            <v>BSS10CU</v>
          </cell>
          <cell r="C56" t="str">
            <v>Ulan Coal Mine Cassilis Road</v>
          </cell>
          <cell r="D56" t="str">
            <v>t-2</v>
          </cell>
          <cell r="E56">
            <v>15057.238731355763</v>
          </cell>
          <cell r="F56">
            <v>0</v>
          </cell>
          <cell r="G56">
            <v>5.2582351489478246E-3</v>
          </cell>
          <cell r="H56">
            <v>4.601256653298834E-3</v>
          </cell>
          <cell r="I56">
            <v>4.4643861333719618E-3</v>
          </cell>
          <cell r="J56">
            <v>7.1988947140931556E-2</v>
          </cell>
          <cell r="K56">
            <v>0</v>
          </cell>
          <cell r="L56">
            <v>0</v>
          </cell>
          <cell r="M56">
            <v>0</v>
          </cell>
          <cell r="N56">
            <v>0</v>
          </cell>
          <cell r="O56">
            <v>0</v>
          </cell>
        </row>
        <row r="57">
          <cell r="B57" t="str">
            <v>BSS11CU</v>
          </cell>
          <cell r="C57" t="str">
            <v>Cobar Mine</v>
          </cell>
          <cell r="D57" t="str">
            <v>t-2</v>
          </cell>
          <cell r="E57">
            <v>8469.0275301632901</v>
          </cell>
          <cell r="F57">
            <v>0</v>
          </cell>
          <cell r="G57">
            <v>1.4903873971430724E-2</v>
          </cell>
          <cell r="H57">
            <v>1.2830907733265541E-2</v>
          </cell>
          <cell r="I57">
            <v>8.5107764133918774E-3</v>
          </cell>
          <cell r="J57">
            <v>0.17512702538383582</v>
          </cell>
          <cell r="K57">
            <v>0</v>
          </cell>
          <cell r="L57">
            <v>0</v>
          </cell>
          <cell r="M57">
            <v>0</v>
          </cell>
          <cell r="N57">
            <v>0</v>
          </cell>
          <cell r="O57">
            <v>0</v>
          </cell>
        </row>
        <row r="58">
          <cell r="B58" t="str">
            <v>BSS12CU</v>
          </cell>
          <cell r="C58" t="str">
            <v>Endeavor Operations Pty Ltd</v>
          </cell>
          <cell r="D58" t="str">
            <v>t-2</v>
          </cell>
          <cell r="E58">
            <v>17388.035624558252</v>
          </cell>
          <cell r="F58">
            <v>0</v>
          </cell>
          <cell r="G58">
            <v>1.0133314213252259E-2</v>
          </cell>
          <cell r="H58">
            <v>7.3859495950837585E-3</v>
          </cell>
          <cell r="I58">
            <v>6.7289710994347671E-3</v>
          </cell>
          <cell r="J58">
            <v>9.2355249736838327E-2</v>
          </cell>
          <cell r="K58">
            <v>0</v>
          </cell>
          <cell r="L58">
            <v>0</v>
          </cell>
          <cell r="M58">
            <v>0</v>
          </cell>
          <cell r="N58">
            <v>0</v>
          </cell>
          <cell r="O58">
            <v>0</v>
          </cell>
        </row>
        <row r="59">
          <cell r="B59" t="str">
            <v>BSS13CU</v>
          </cell>
          <cell r="C59" t="str">
            <v>Uncle Bens-Bathurst</v>
          </cell>
          <cell r="D59" t="str">
            <v>t-2</v>
          </cell>
          <cell r="E59">
            <v>7031.1570504153278</v>
          </cell>
          <cell r="F59">
            <v>0</v>
          </cell>
          <cell r="G59">
            <v>7.6099195367822781E-3</v>
          </cell>
          <cell r="H59">
            <v>5.9575190780287567E-3</v>
          </cell>
          <cell r="I59">
            <v>5.5593502927869442E-3</v>
          </cell>
          <cell r="J59">
            <v>8.4191468202548386E-2</v>
          </cell>
          <cell r="K59">
            <v>0</v>
          </cell>
          <cell r="L59">
            <v>0</v>
          </cell>
          <cell r="M59">
            <v>0</v>
          </cell>
          <cell r="N59">
            <v>0</v>
          </cell>
          <cell r="O59">
            <v>0</v>
          </cell>
        </row>
        <row r="60">
          <cell r="B60" t="str">
            <v>BSS20CU</v>
          </cell>
          <cell r="C60" t="str">
            <v>Nth Parkes Mine</v>
          </cell>
          <cell r="D60" t="str">
            <v>t-2</v>
          </cell>
          <cell r="E60">
            <v>17917.763535437702</v>
          </cell>
          <cell r="F60">
            <v>0</v>
          </cell>
          <cell r="G60">
            <v>3.7427052101211768E-3</v>
          </cell>
          <cell r="H60">
            <v>3.7427052101211768E-3</v>
          </cell>
          <cell r="I60">
            <v>3.7427052101211768E-3</v>
          </cell>
          <cell r="J60">
            <v>0.12205687098524985</v>
          </cell>
          <cell r="K60">
            <v>0</v>
          </cell>
          <cell r="L60">
            <v>0</v>
          </cell>
          <cell r="M60">
            <v>0</v>
          </cell>
          <cell r="N60">
            <v>0</v>
          </cell>
          <cell r="O60">
            <v>0</v>
          </cell>
        </row>
        <row r="61">
          <cell r="B61" t="str">
            <v>BSS25AO</v>
          </cell>
          <cell r="C61" t="str">
            <v>Tritton Mine</v>
          </cell>
          <cell r="D61" t="str">
            <v>t-2</v>
          </cell>
          <cell r="E61">
            <v>3370.7926267956864</v>
          </cell>
          <cell r="F61">
            <v>0</v>
          </cell>
          <cell r="G61">
            <v>3.7427052101211768E-3</v>
          </cell>
          <cell r="H61">
            <v>3.7427052101211768E-3</v>
          </cell>
          <cell r="I61">
            <v>3.7427052101211768E-3</v>
          </cell>
          <cell r="J61">
            <v>0</v>
          </cell>
          <cell r="K61">
            <v>8.677247733311777E-2</v>
          </cell>
          <cell r="L61">
            <v>8.3893219304837938E-2</v>
          </cell>
          <cell r="M61">
            <v>6.9735444232259775E-2</v>
          </cell>
          <cell r="N61">
            <v>0</v>
          </cell>
          <cell r="O61">
            <v>0</v>
          </cell>
        </row>
        <row r="62">
          <cell r="B62" t="str">
            <v>BSS26AO</v>
          </cell>
          <cell r="C62" t="str">
            <v>Lake Cowal Mine</v>
          </cell>
          <cell r="D62" t="str">
            <v>t-2</v>
          </cell>
          <cell r="E62">
            <v>15315.653819098738</v>
          </cell>
          <cell r="F62">
            <v>0</v>
          </cell>
          <cell r="G62">
            <v>4.0114691401593999E-3</v>
          </cell>
          <cell r="H62">
            <v>3.9293468282032762E-3</v>
          </cell>
          <cell r="I62">
            <v>3.8920185045868564E-3</v>
          </cell>
          <cell r="J62">
            <v>0</v>
          </cell>
          <cell r="K62">
            <v>3.0793967402114014E-2</v>
          </cell>
          <cell r="L62">
            <v>2.9532270063879023E-2</v>
          </cell>
          <cell r="M62">
            <v>2.2271763877116508E-2</v>
          </cell>
          <cell r="N62">
            <v>0</v>
          </cell>
          <cell r="O62">
            <v>0</v>
          </cell>
        </row>
        <row r="63">
          <cell r="B63" t="str">
            <v>BSS27AO</v>
          </cell>
          <cell r="C63" t="str">
            <v>Manildra Flour Mill</v>
          </cell>
          <cell r="D63" t="str">
            <v>t-1</v>
          </cell>
          <cell r="E63">
            <v>5139.6185878327187</v>
          </cell>
          <cell r="F63">
            <v>0</v>
          </cell>
          <cell r="G63">
            <v>9.3767935212928193E-3</v>
          </cell>
          <cell r="H63">
            <v>9.3767935212928193E-3</v>
          </cell>
          <cell r="I63">
            <v>9.3767935212928193E-3</v>
          </cell>
          <cell r="J63">
            <v>0.15067541491582601</v>
          </cell>
          <cell r="K63">
            <v>0</v>
          </cell>
          <cell r="L63">
            <v>0</v>
          </cell>
          <cell r="M63">
            <v>0</v>
          </cell>
          <cell r="N63">
            <v>0</v>
          </cell>
          <cell r="O63">
            <v>0</v>
          </cell>
        </row>
        <row r="64">
          <cell r="B64" t="str">
            <v>CRNP1</v>
          </cell>
          <cell r="C64" t="str">
            <v>Perilya Mine, Broken Hill          </v>
          </cell>
          <cell r="D64" t="str">
            <v>t-2</v>
          </cell>
          <cell r="E64">
            <v>11617.552436003823</v>
          </cell>
          <cell r="F64">
            <v>0</v>
          </cell>
          <cell r="G64">
            <v>2.8055173142103808E-3</v>
          </cell>
          <cell r="H64">
            <v>2.8055173142103808E-3</v>
          </cell>
          <cell r="I64">
            <v>2.8055173142103808E-3</v>
          </cell>
          <cell r="J64">
            <v>0</v>
          </cell>
          <cell r="K64">
            <v>0</v>
          </cell>
          <cell r="L64">
            <v>0</v>
          </cell>
          <cell r="M64">
            <v>0</v>
          </cell>
          <cell r="N64">
            <v>0</v>
          </cell>
          <cell r="O64">
            <v>0.19951090112167699</v>
          </cell>
        </row>
        <row r="65">
          <cell r="B65" t="str">
            <v>CRNP2</v>
          </cell>
          <cell r="C65" t="str">
            <v>Bemax and Snapper      </v>
          </cell>
          <cell r="D65" t="str">
            <v>t-2</v>
          </cell>
          <cell r="E65">
            <v>7493.4723758397195</v>
          </cell>
          <cell r="F65">
            <v>0</v>
          </cell>
          <cell r="G65">
            <v>5.1067221036633359E-2</v>
          </cell>
          <cell r="H65">
            <v>5.1067221036633359E-2</v>
          </cell>
          <cell r="I65">
            <v>1.3661512894071177E-2</v>
          </cell>
          <cell r="J65">
            <v>0</v>
          </cell>
          <cell r="K65">
            <v>0</v>
          </cell>
          <cell r="L65">
            <v>0</v>
          </cell>
          <cell r="M65">
            <v>0</v>
          </cell>
          <cell r="N65">
            <v>0</v>
          </cell>
          <cell r="O65">
            <v>0.10448660242465731</v>
          </cell>
        </row>
        <row r="66">
          <cell r="B66" t="str">
            <v>BSS21SU</v>
          </cell>
          <cell r="C66" t="str">
            <v>IDT Blowering Dam</v>
          </cell>
          <cell r="D66" t="str">
            <v>t-2</v>
          </cell>
          <cell r="E66">
            <v>0</v>
          </cell>
          <cell r="F66">
            <v>0</v>
          </cell>
          <cell r="G66">
            <v>1.591869761173635</v>
          </cell>
          <cell r="H66">
            <v>1.591869761173635</v>
          </cell>
          <cell r="I66">
            <v>0.79121897918901263</v>
          </cell>
          <cell r="J66">
            <v>0</v>
          </cell>
          <cell r="K66">
            <v>0</v>
          </cell>
          <cell r="L66">
            <v>0</v>
          </cell>
          <cell r="M66">
            <v>0</v>
          </cell>
          <cell r="N66">
            <v>0</v>
          </cell>
          <cell r="O66">
            <v>0</v>
          </cell>
        </row>
        <row r="67">
          <cell r="B67" t="str">
            <v>BSS22SU</v>
          </cell>
          <cell r="C67" t="str">
            <v>IDT Cabramurra Aux</v>
          </cell>
          <cell r="D67" t="str">
            <v>t-2</v>
          </cell>
          <cell r="E67">
            <v>2265.2188965987043</v>
          </cell>
          <cell r="F67">
            <v>0</v>
          </cell>
          <cell r="G67">
            <v>1.9799159181683335E-2</v>
          </cell>
          <cell r="H67">
            <v>1.5029026001928724E-2</v>
          </cell>
          <cell r="I67">
            <v>1.387913693503794E-2</v>
          </cell>
          <cell r="J67">
            <v>9.3674591846933525E-2</v>
          </cell>
          <cell r="K67">
            <v>0</v>
          </cell>
          <cell r="L67">
            <v>0</v>
          </cell>
          <cell r="M67">
            <v>0</v>
          </cell>
          <cell r="N67">
            <v>0</v>
          </cell>
          <cell r="O67">
            <v>0</v>
          </cell>
        </row>
        <row r="68">
          <cell r="B68" t="str">
            <v>BSS24NU</v>
          </cell>
          <cell r="C68" t="str">
            <v>Kirra - IDC</v>
          </cell>
          <cell r="D68" t="str">
            <v>t-2</v>
          </cell>
          <cell r="E68">
            <v>1188.8996297783633</v>
          </cell>
          <cell r="F68">
            <v>0</v>
          </cell>
          <cell r="G68">
            <v>7.5830615929804298E-3</v>
          </cell>
          <cell r="H68">
            <v>4.3703676968226213E-3</v>
          </cell>
          <cell r="I68">
            <v>3.5974706884263127E-3</v>
          </cell>
          <cell r="J68">
            <v>0</v>
          </cell>
          <cell r="K68">
            <v>0.1261744809959657</v>
          </cell>
          <cell r="L68">
            <v>9.1091513529410736E-2</v>
          </cell>
          <cell r="M68">
            <v>3.4809226426701229E-2</v>
          </cell>
          <cell r="N68">
            <v>0</v>
          </cell>
          <cell r="O68">
            <v>0</v>
          </cell>
        </row>
        <row r="69">
          <cell r="B69" t="str">
            <v>BSS30AO</v>
          </cell>
          <cell r="C69" t="str">
            <v>Tomingley Gold Operations</v>
          </cell>
          <cell r="D69" t="str">
            <v>t-3</v>
          </cell>
          <cell r="E69">
            <v>4069.4849869416325</v>
          </cell>
          <cell r="F69">
            <v>0</v>
          </cell>
          <cell r="G69">
            <v>1.1167461825269122E-2</v>
          </cell>
          <cell r="H69">
            <v>8.5497059211387325E-3</v>
          </cell>
          <cell r="I69">
            <v>8.2771411112953011E-3</v>
          </cell>
          <cell r="J69">
            <v>0.21945299273886218</v>
          </cell>
          <cell r="K69">
            <v>0</v>
          </cell>
          <cell r="L69">
            <v>0</v>
          </cell>
          <cell r="M69">
            <v>0</v>
          </cell>
          <cell r="N69">
            <v>0</v>
          </cell>
          <cell r="O69">
            <v>0</v>
          </cell>
        </row>
        <row r="70">
          <cell r="B70" t="str">
            <v/>
          </cell>
          <cell r="C70" t="str">
            <v/>
          </cell>
          <cell r="D70" t="str">
            <v/>
          </cell>
        </row>
        <row r="71">
          <cell r="B71" t="str">
            <v/>
          </cell>
          <cell r="C71" t="str">
            <v/>
          </cell>
          <cell r="D71" t="str">
            <v/>
          </cell>
        </row>
        <row r="72">
          <cell r="B72" t="str">
            <v>Tariff Class E; unmetered</v>
          </cell>
        </row>
        <row r="73">
          <cell r="B73" t="str">
            <v>BLNP1AO</v>
          </cell>
          <cell r="C73" t="str">
            <v>LV Public Lighting NUOS</v>
          </cell>
          <cell r="D73" t="str">
            <v>t-2</v>
          </cell>
          <cell r="E73">
            <v>7.486739924174926</v>
          </cell>
          <cell r="F73">
            <v>0.35906988354273567</v>
          </cell>
          <cell r="G73">
            <v>0</v>
          </cell>
          <cell r="H73">
            <v>0</v>
          </cell>
          <cell r="I73">
            <v>0</v>
          </cell>
          <cell r="J73">
            <v>0</v>
          </cell>
          <cell r="K73">
            <v>0</v>
          </cell>
          <cell r="L73">
            <v>0</v>
          </cell>
          <cell r="M73">
            <v>0</v>
          </cell>
          <cell r="N73">
            <v>0</v>
          </cell>
          <cell r="O73">
            <v>0</v>
          </cell>
        </row>
        <row r="74">
          <cell r="B74" t="str">
            <v>BLNP3AO</v>
          </cell>
          <cell r="C74" t="str">
            <v>LV Public Lighting ToU NUOS</v>
          </cell>
          <cell r="D74" t="str">
            <v>t-2</v>
          </cell>
          <cell r="E74">
            <v>0</v>
          </cell>
          <cell r="F74">
            <v>0</v>
          </cell>
          <cell r="G74">
            <v>0.40545521467570284</v>
          </cell>
          <cell r="H74">
            <v>0.30673594561958378</v>
          </cell>
          <cell r="I74">
            <v>0.15263148002820737</v>
          </cell>
          <cell r="J74">
            <v>0</v>
          </cell>
          <cell r="K74">
            <v>0</v>
          </cell>
          <cell r="L74">
            <v>0</v>
          </cell>
          <cell r="M74">
            <v>0</v>
          </cell>
          <cell r="N74">
            <v>0</v>
          </cell>
          <cell r="O74">
            <v>0</v>
          </cell>
        </row>
        <row r="75">
          <cell r="B75" t="str">
            <v>TOTAL EXPECTED REVENUE FROM CCF TARIFFS</v>
          </cell>
        </row>
      </sheetData>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Q83"/>
  <sheetViews>
    <sheetView showGridLines="0" tabSelected="1" zoomScale="70" zoomScaleNormal="70" workbookViewId="0">
      <selection activeCell="N1" sqref="N1"/>
    </sheetView>
  </sheetViews>
  <sheetFormatPr defaultColWidth="8.875" defaultRowHeight="14.25" x14ac:dyDescent="0.2"/>
  <cols>
    <col min="1" max="1" width="1.875" style="14" customWidth="1"/>
    <col min="2" max="2" width="12.25" style="7" customWidth="1"/>
    <col min="3" max="3" width="26.5" style="7" customWidth="1"/>
    <col min="4" max="4" width="11.25" style="7" customWidth="1"/>
    <col min="5" max="5" width="25.25" style="7" customWidth="1"/>
    <col min="6" max="13" width="10.5" style="7" customWidth="1"/>
    <col min="14" max="15" width="12.5" style="7" customWidth="1"/>
    <col min="16" max="16" width="21.375" style="7" customWidth="1"/>
    <col min="17" max="17" width="2.625" style="7" customWidth="1"/>
    <col min="18" max="16384" width="8.875" style="7"/>
  </cols>
  <sheetData>
    <row r="2" spans="1:15" ht="33" x14ac:dyDescent="0.45">
      <c r="A2" s="1"/>
      <c r="B2" s="2" t="s">
        <v>194</v>
      </c>
      <c r="C2" s="3"/>
      <c r="D2" s="3"/>
      <c r="E2" s="3"/>
      <c r="F2" s="3"/>
      <c r="G2" s="4"/>
      <c r="H2" s="5"/>
      <c r="I2" s="5"/>
      <c r="J2" s="5"/>
      <c r="K2" s="4"/>
      <c r="L2" s="4"/>
      <c r="M2" s="6"/>
    </row>
    <row r="3" spans="1:15" ht="15.75" x14ac:dyDescent="0.25">
      <c r="A3" s="1"/>
      <c r="B3" s="132" t="s">
        <v>201</v>
      </c>
      <c r="C3" s="133"/>
      <c r="D3" s="133"/>
      <c r="E3" s="133"/>
      <c r="F3" s="133"/>
      <c r="G3" s="8"/>
      <c r="H3" s="136"/>
      <c r="I3" s="128"/>
      <c r="J3" s="96"/>
      <c r="K3" s="8"/>
      <c r="L3" s="8"/>
      <c r="M3" s="9"/>
    </row>
    <row r="4" spans="1:15" ht="15" x14ac:dyDescent="0.25">
      <c r="A4" s="1"/>
      <c r="B4" s="10"/>
      <c r="C4" s="11"/>
      <c r="D4" s="12"/>
      <c r="E4" s="12"/>
      <c r="F4" s="12"/>
      <c r="G4" s="12"/>
      <c r="H4" s="12"/>
      <c r="I4" s="12"/>
      <c r="J4" s="12"/>
      <c r="K4" s="12"/>
      <c r="L4" s="12"/>
      <c r="M4" s="13"/>
    </row>
    <row r="5" spans="1:15" ht="26.25" customHeight="1" x14ac:dyDescent="0.25">
      <c r="B5" s="123" t="s">
        <v>105</v>
      </c>
      <c r="C5" s="122" t="s">
        <v>24</v>
      </c>
      <c r="D5" s="137" t="s">
        <v>9</v>
      </c>
      <c r="E5" s="138"/>
      <c r="F5" s="52" t="s">
        <v>1</v>
      </c>
      <c r="G5" s="52" t="s">
        <v>2</v>
      </c>
      <c r="H5" s="37" t="s">
        <v>2</v>
      </c>
      <c r="I5" s="37" t="s">
        <v>2</v>
      </c>
      <c r="J5" s="37" t="s">
        <v>2</v>
      </c>
      <c r="K5" s="37" t="s">
        <v>4</v>
      </c>
      <c r="L5" s="37" t="s">
        <v>5</v>
      </c>
      <c r="M5" s="37" t="s">
        <v>6</v>
      </c>
    </row>
    <row r="6" spans="1:15" ht="15" x14ac:dyDescent="0.2">
      <c r="B6" s="123"/>
      <c r="C6" s="123"/>
      <c r="D6" s="137"/>
      <c r="E6" s="138"/>
      <c r="F6" s="77" t="s">
        <v>10</v>
      </c>
      <c r="G6" s="77" t="s">
        <v>171</v>
      </c>
      <c r="H6" s="77" t="s">
        <v>4</v>
      </c>
      <c r="I6" s="77" t="s">
        <v>5</v>
      </c>
      <c r="J6" s="77" t="s">
        <v>6</v>
      </c>
      <c r="K6" s="77" t="s">
        <v>3</v>
      </c>
      <c r="L6" s="77" t="s">
        <v>3</v>
      </c>
      <c r="M6" s="77" t="s">
        <v>3</v>
      </c>
      <c r="N6" s="118"/>
      <c r="O6" s="118"/>
    </row>
    <row r="7" spans="1:15" ht="22.5" customHeight="1" x14ac:dyDescent="0.2">
      <c r="B7" s="123"/>
      <c r="C7" s="124"/>
      <c r="D7" s="137"/>
      <c r="E7" s="138"/>
      <c r="F7" s="77" t="s">
        <v>13</v>
      </c>
      <c r="G7" s="77" t="s">
        <v>14</v>
      </c>
      <c r="H7" s="77" t="s">
        <v>14</v>
      </c>
      <c r="I7" s="77" t="s">
        <v>14</v>
      </c>
      <c r="J7" s="77" t="s">
        <v>14</v>
      </c>
      <c r="K7" s="77" t="s">
        <v>15</v>
      </c>
      <c r="L7" s="77" t="s">
        <v>15</v>
      </c>
      <c r="M7" s="77" t="s">
        <v>15</v>
      </c>
      <c r="N7" s="118"/>
      <c r="O7" s="118"/>
    </row>
    <row r="8" spans="1:15" s="60" customFormat="1" ht="18" x14ac:dyDescent="0.25">
      <c r="A8" s="54"/>
      <c r="B8" s="55" t="s">
        <v>16</v>
      </c>
      <c r="C8" s="56"/>
      <c r="D8" s="57"/>
      <c r="E8" s="58"/>
      <c r="F8" s="59"/>
      <c r="G8" s="59"/>
      <c r="H8" s="59"/>
      <c r="I8" s="59"/>
      <c r="J8" s="59"/>
      <c r="K8" s="59"/>
      <c r="L8" s="59"/>
      <c r="M8" s="59"/>
    </row>
    <row r="9" spans="1:15" ht="18" customHeight="1" x14ac:dyDescent="0.2">
      <c r="B9" s="18" t="s">
        <v>25</v>
      </c>
      <c r="C9" s="19"/>
      <c r="D9" s="125" t="s">
        <v>178</v>
      </c>
      <c r="E9" s="126"/>
      <c r="F9" s="20">
        <f>ROUND(VLOOKUP($B9,'[2]NUOS (t)'!$B$10:$P$66,4,FALSE)/366,4)</f>
        <v>1.0398000000000001</v>
      </c>
      <c r="G9" s="20">
        <f>ROUND(VLOOKUP($B9,'[2]NUOS (t)'!$B$10:$P$66,5,FALSE),4)</f>
        <v>12.169</v>
      </c>
      <c r="H9" s="20"/>
      <c r="I9" s="20"/>
      <c r="J9" s="20"/>
      <c r="K9" s="20"/>
      <c r="L9" s="20"/>
      <c r="M9" s="20"/>
    </row>
    <row r="10" spans="1:15" ht="18" customHeight="1" x14ac:dyDescent="0.2">
      <c r="B10" s="18" t="s">
        <v>26</v>
      </c>
      <c r="C10" s="19"/>
      <c r="D10" s="125" t="s">
        <v>42</v>
      </c>
      <c r="E10" s="126"/>
      <c r="F10" s="20">
        <f>ROUND(VLOOKUP($B10,'[2]NUOS (t)'!$B$10:$P$66,4,FALSE)/366,4)</f>
        <v>1.0398000000000001</v>
      </c>
      <c r="G10" s="20"/>
      <c r="H10" s="20">
        <f>ROUND(VLOOKUP($B10,'[2]NUOS (t)'!$B$10:$P$66,6,FALSE),4)</f>
        <v>16.988299999999999</v>
      </c>
      <c r="I10" s="20">
        <f>ROUND(VLOOKUP($B10,'[2]NUOS (t)'!$B$10:$P$66,7,FALSE),4)</f>
        <v>13.201499999999999</v>
      </c>
      <c r="J10" s="20">
        <f>ROUND(VLOOKUP($B10,'[2]NUOS (t)'!$B$10:$P$66,8,FALSE),4)</f>
        <v>5.0548999999999999</v>
      </c>
      <c r="K10" s="20"/>
      <c r="L10" s="20"/>
      <c r="M10" s="20"/>
    </row>
    <row r="11" spans="1:15" ht="18" customHeight="1" x14ac:dyDescent="0.2">
      <c r="B11" s="18" t="s">
        <v>164</v>
      </c>
      <c r="C11" s="19"/>
      <c r="D11" s="125" t="s">
        <v>165</v>
      </c>
      <c r="E11" s="126"/>
      <c r="F11" s="20">
        <f>ROUND(VLOOKUP($B11,'[2]NUOS (t)'!$B$10:$P$66,4,FALSE)/366,4)</f>
        <v>1.0398000000000001</v>
      </c>
      <c r="G11" s="20"/>
      <c r="H11" s="20">
        <f>ROUND(VLOOKUP($B11,'[2]NUOS (t)'!$B$10:$P$66,6,FALSE),4)</f>
        <v>17.644300000000001</v>
      </c>
      <c r="I11" s="20">
        <f>ROUND(VLOOKUP($B11,'[2]NUOS (t)'!$B$10:$P$66,7,FALSE),4)</f>
        <v>12.6958</v>
      </c>
      <c r="J11" s="20">
        <f>ROUND(VLOOKUP($B11,'[2]NUOS (t)'!$B$10:$P$66,8,FALSE),4)</f>
        <v>5.0548999999999999</v>
      </c>
      <c r="K11" s="20"/>
      <c r="L11" s="20"/>
      <c r="M11" s="20"/>
    </row>
    <row r="12" spans="1:15" ht="18" customHeight="1" x14ac:dyDescent="0.2">
      <c r="B12" s="18" t="s">
        <v>166</v>
      </c>
      <c r="C12" s="19"/>
      <c r="D12" s="125" t="s">
        <v>180</v>
      </c>
      <c r="E12" s="126"/>
      <c r="F12" s="20">
        <f>ROUND(VLOOKUP($B12,'[2]NUOS (t)'!$B$10:$P$66,4,FALSE)/366,4)</f>
        <v>1.0398000000000001</v>
      </c>
      <c r="G12" s="20"/>
      <c r="H12" s="20">
        <f>ROUND(VLOOKUP($B12,'[2]NUOS (t)'!$B$10:$P$66,6,FALSE),4)</f>
        <v>4.9389000000000003</v>
      </c>
      <c r="I12" s="20">
        <f>ROUND(VLOOKUP($B12,'[2]NUOS (t)'!$B$10:$P$66,7,FALSE),4)</f>
        <v>3.6568000000000001</v>
      </c>
      <c r="J12" s="20">
        <f>ROUND(VLOOKUP($B12,'[2]NUOS (t)'!$B$10:$P$66,8,FALSE),4)</f>
        <v>2.2624</v>
      </c>
      <c r="K12" s="20">
        <f>ROUND(VLOOKUP($B12,'[2]NUOS (t)'!$B$10:$P$66,10,FALSE),4)</f>
        <v>4.7290000000000001</v>
      </c>
      <c r="L12" s="117"/>
      <c r="M12" s="20"/>
    </row>
    <row r="13" spans="1:15" s="60" customFormat="1" ht="18" x14ac:dyDescent="0.25">
      <c r="A13" s="54"/>
      <c r="B13" s="56" t="s">
        <v>19</v>
      </c>
      <c r="C13" s="56"/>
      <c r="D13" s="61"/>
      <c r="E13" s="62"/>
      <c r="F13" s="63"/>
      <c r="G13" s="64"/>
      <c r="H13" s="64"/>
      <c r="I13" s="64"/>
      <c r="J13" s="64"/>
      <c r="K13" s="64"/>
      <c r="L13" s="64"/>
      <c r="M13" s="64"/>
    </row>
    <row r="14" spans="1:15" ht="18" customHeight="1" x14ac:dyDescent="0.2">
      <c r="B14" s="18" t="s">
        <v>27</v>
      </c>
      <c r="C14" s="19"/>
      <c r="D14" s="125" t="s">
        <v>39</v>
      </c>
      <c r="E14" s="126"/>
      <c r="F14" s="20">
        <f>ROUND(VLOOKUP($B14,'[2]NUOS (t)'!$B$10:$P$66,4,FALSE)/366,4)</f>
        <v>0.10730000000000001</v>
      </c>
      <c r="G14" s="20">
        <f>ROUND(VLOOKUP($B14,'[2]NUOS (t)'!$B$10:$P$66,5,FALSE),4)</f>
        <v>2.3904999999999998</v>
      </c>
      <c r="H14" s="20"/>
      <c r="I14" s="20"/>
      <c r="J14" s="20"/>
      <c r="K14" s="20"/>
      <c r="L14" s="20"/>
      <c r="M14" s="20"/>
    </row>
    <row r="15" spans="1:15" ht="18" customHeight="1" x14ac:dyDescent="0.2">
      <c r="B15" s="18" t="s">
        <v>28</v>
      </c>
      <c r="C15" s="19"/>
      <c r="D15" s="125" t="s">
        <v>40</v>
      </c>
      <c r="E15" s="126"/>
      <c r="F15" s="20">
        <f>ROUND(VLOOKUP($B15,'[2]NUOS (t)'!$B$10:$P$66,4,FALSE)/366,4)</f>
        <v>0.10730000000000001</v>
      </c>
      <c r="G15" s="20">
        <f>ROUND(VLOOKUP($B15,'[2]NUOS (t)'!$B$10:$P$66,5,FALSE),4)</f>
        <v>5.3452000000000002</v>
      </c>
      <c r="H15" s="20"/>
      <c r="I15" s="20"/>
      <c r="J15" s="20"/>
      <c r="K15" s="20"/>
      <c r="L15" s="20"/>
      <c r="M15" s="20"/>
    </row>
    <row r="16" spans="1:15" s="60" customFormat="1" ht="18" x14ac:dyDescent="0.25">
      <c r="A16" s="54"/>
      <c r="B16" s="65" t="s">
        <v>85</v>
      </c>
      <c r="C16" s="65"/>
      <c r="D16" s="66"/>
      <c r="E16" s="67"/>
      <c r="F16" s="68"/>
      <c r="G16" s="68"/>
      <c r="H16" s="68"/>
      <c r="I16" s="68"/>
      <c r="J16" s="68"/>
      <c r="K16" s="68"/>
      <c r="L16" s="68"/>
      <c r="M16" s="68"/>
    </row>
    <row r="17" spans="1:17" ht="18" customHeight="1" x14ac:dyDescent="0.2">
      <c r="A17" s="131"/>
      <c r="B17" s="24" t="s">
        <v>82</v>
      </c>
      <c r="C17" s="19"/>
      <c r="D17" s="125" t="s">
        <v>111</v>
      </c>
      <c r="E17" s="126"/>
      <c r="F17" s="25"/>
      <c r="G17" s="29">
        <v>0</v>
      </c>
      <c r="H17" s="25"/>
      <c r="I17" s="25"/>
      <c r="J17" s="25"/>
      <c r="K17" s="25"/>
      <c r="L17" s="25"/>
      <c r="M17" s="25"/>
    </row>
    <row r="18" spans="1:17" ht="18" customHeight="1" x14ac:dyDescent="0.2">
      <c r="A18" s="131"/>
      <c r="B18" s="24" t="s">
        <v>83</v>
      </c>
      <c r="C18" s="19"/>
      <c r="D18" s="125" t="s">
        <v>112</v>
      </c>
      <c r="E18" s="126"/>
      <c r="F18" s="25"/>
      <c r="G18" s="29">
        <v>0</v>
      </c>
      <c r="H18" s="25"/>
      <c r="I18" s="25"/>
      <c r="J18" s="25"/>
      <c r="K18" s="25"/>
      <c r="L18" s="25"/>
      <c r="M18" s="25"/>
    </row>
    <row r="19" spans="1:17" ht="18" customHeight="1" x14ac:dyDescent="0.2">
      <c r="A19" s="26"/>
      <c r="B19" s="24" t="s">
        <v>80</v>
      </c>
      <c r="C19" s="19"/>
      <c r="D19" s="125" t="s">
        <v>109</v>
      </c>
      <c r="E19" s="126"/>
      <c r="F19" s="25"/>
      <c r="G19" s="29">
        <v>0</v>
      </c>
      <c r="H19" s="25"/>
      <c r="I19" s="25"/>
      <c r="J19" s="25"/>
      <c r="K19" s="25"/>
      <c r="L19" s="25"/>
      <c r="M19" s="25"/>
    </row>
    <row r="20" spans="1:17" ht="18" customHeight="1" x14ac:dyDescent="0.2">
      <c r="A20" s="26"/>
      <c r="B20" s="24" t="s">
        <v>81</v>
      </c>
      <c r="C20" s="19"/>
      <c r="D20" s="125" t="s">
        <v>110</v>
      </c>
      <c r="E20" s="126"/>
      <c r="F20" s="25"/>
      <c r="G20" s="29">
        <v>0</v>
      </c>
      <c r="H20" s="25"/>
      <c r="I20" s="25"/>
      <c r="J20" s="25"/>
      <c r="K20" s="25"/>
      <c r="L20" s="25"/>
      <c r="M20" s="25"/>
    </row>
    <row r="21" spans="1:17" ht="18" customHeight="1" x14ac:dyDescent="0.2">
      <c r="A21" s="26"/>
      <c r="B21" s="24" t="s">
        <v>86</v>
      </c>
      <c r="C21" s="19"/>
      <c r="D21" s="125" t="s">
        <v>87</v>
      </c>
      <c r="E21" s="126"/>
      <c r="F21" s="25"/>
      <c r="G21" s="29">
        <v>0</v>
      </c>
      <c r="H21" s="25"/>
      <c r="I21" s="25"/>
      <c r="J21" s="25"/>
      <c r="K21" s="25"/>
      <c r="L21" s="25"/>
      <c r="M21" s="25"/>
    </row>
    <row r="22" spans="1:17" ht="18" customHeight="1" x14ac:dyDescent="0.2">
      <c r="A22" s="27"/>
      <c r="B22" s="28" t="s">
        <v>96</v>
      </c>
      <c r="C22" s="19"/>
      <c r="D22" s="125" t="s">
        <v>98</v>
      </c>
      <c r="E22" s="126"/>
      <c r="F22" s="20"/>
      <c r="G22" s="29">
        <v>0</v>
      </c>
      <c r="H22" s="20"/>
      <c r="I22" s="20"/>
      <c r="J22" s="20"/>
      <c r="K22" s="20"/>
      <c r="L22" s="20"/>
      <c r="M22" s="20"/>
    </row>
    <row r="23" spans="1:17" ht="18" customHeight="1" x14ac:dyDescent="0.2">
      <c r="A23" s="7"/>
      <c r="B23" s="18" t="s">
        <v>97</v>
      </c>
      <c r="C23" s="30"/>
      <c r="D23" s="125" t="s">
        <v>98</v>
      </c>
      <c r="E23" s="126"/>
      <c r="F23" s="25"/>
      <c r="G23" s="29">
        <v>0</v>
      </c>
      <c r="H23" s="25"/>
      <c r="I23" s="25"/>
      <c r="J23" s="25"/>
      <c r="K23" s="25"/>
      <c r="L23" s="25"/>
      <c r="M23" s="25"/>
    </row>
    <row r="24" spans="1:17" s="60" customFormat="1" ht="18" x14ac:dyDescent="0.25">
      <c r="A24" s="54"/>
      <c r="B24" s="65" t="s">
        <v>18</v>
      </c>
      <c r="C24" s="65"/>
      <c r="D24" s="66"/>
      <c r="E24" s="67"/>
      <c r="F24" s="68"/>
      <c r="G24" s="68"/>
      <c r="H24" s="68"/>
      <c r="I24" s="68"/>
      <c r="J24" s="68"/>
      <c r="K24" s="68"/>
      <c r="L24" s="68"/>
      <c r="M24" s="68"/>
    </row>
    <row r="25" spans="1:17" ht="18" customHeight="1" x14ac:dyDescent="0.2">
      <c r="B25" s="18" t="s">
        <v>29</v>
      </c>
      <c r="C25" s="19"/>
      <c r="D25" s="125" t="s">
        <v>179</v>
      </c>
      <c r="E25" s="126"/>
      <c r="F25" s="20">
        <f>ROUND(VLOOKUP($B25,'[2]NUOS (t)'!$B$10:$P$66,4,FALSE)/366,4)</f>
        <v>1.0398000000000001</v>
      </c>
      <c r="G25" s="20">
        <f>ROUND(VLOOKUP($B25,'[2]NUOS (t)'!$B$10:$P$66,5,FALSE),4)</f>
        <v>16.830500000000001</v>
      </c>
      <c r="H25" s="20"/>
      <c r="I25" s="20"/>
      <c r="J25" s="20"/>
      <c r="K25" s="20"/>
      <c r="L25" s="20"/>
      <c r="M25" s="20"/>
    </row>
    <row r="26" spans="1:17" ht="18" customHeight="1" x14ac:dyDescent="0.2">
      <c r="B26" s="18" t="s">
        <v>30</v>
      </c>
      <c r="C26" s="19"/>
      <c r="D26" s="125" t="s">
        <v>43</v>
      </c>
      <c r="E26" s="126"/>
      <c r="F26" s="20">
        <f>ROUND(VLOOKUP($B26,'[2]NUOS (t)'!$B$10:$P$66,4,FALSE)/366,4)</f>
        <v>3.7801</v>
      </c>
      <c r="G26" s="20"/>
      <c r="H26" s="20">
        <f>ROUND(VLOOKUP($B26,'[2]NUOS (t)'!$B$10:$P$66,6,FALSE),4)</f>
        <v>17.985800000000001</v>
      </c>
      <c r="I26" s="20">
        <f>ROUND(VLOOKUP($B26,'[2]NUOS (t)'!$B$10:$P$66,7,FALSE),4)</f>
        <v>14.0654</v>
      </c>
      <c r="J26" s="20">
        <f>ROUND(VLOOKUP($B26,'[2]NUOS (t)'!$B$10:$P$66,8,FALSE),4)</f>
        <v>7.4188000000000001</v>
      </c>
      <c r="K26" s="20"/>
      <c r="L26" s="20"/>
      <c r="M26" s="20"/>
    </row>
    <row r="27" spans="1:17" ht="18" customHeight="1" x14ac:dyDescent="0.2">
      <c r="B27" s="18" t="s">
        <v>168</v>
      </c>
      <c r="C27" s="19"/>
      <c r="D27" s="125" t="s">
        <v>169</v>
      </c>
      <c r="E27" s="126"/>
      <c r="F27" s="20">
        <f>ROUND(VLOOKUP($B27,'[2]NUOS (t)'!$B$10:$P$66,4,FALSE)/366,4)</f>
        <v>1.7678</v>
      </c>
      <c r="G27" s="20"/>
      <c r="H27" s="20">
        <f>ROUND(VLOOKUP($B27,'[2]NUOS (t)'!$B$10:$P$66,6,FALSE),4)</f>
        <v>18.6709</v>
      </c>
      <c r="I27" s="20">
        <f>ROUND(VLOOKUP($B27,'[2]NUOS (t)'!$B$10:$P$66,7,FALSE),4)</f>
        <v>13.5372</v>
      </c>
      <c r="J27" s="20">
        <f>ROUND(VLOOKUP($B27,'[2]NUOS (t)'!$B$10:$P$66,8,FALSE),4)</f>
        <v>7.1661999999999999</v>
      </c>
      <c r="K27" s="20"/>
      <c r="L27" s="20"/>
      <c r="M27" s="20"/>
    </row>
    <row r="28" spans="1:17" ht="18" customHeight="1" x14ac:dyDescent="0.2">
      <c r="B28" s="18" t="s">
        <v>170</v>
      </c>
      <c r="C28" s="19"/>
      <c r="D28" s="125" t="s">
        <v>181</v>
      </c>
      <c r="E28" s="126"/>
      <c r="F28" s="20">
        <f>ROUND(VLOOKUP($B28,'[2]NUOS (t)'!$B$10:$P$66,4,FALSE)/366,4)</f>
        <v>1.7678</v>
      </c>
      <c r="G28" s="20"/>
      <c r="H28" s="20">
        <f>ROUND(VLOOKUP($B28,'[2]NUOS (t)'!$B$10:$P$66,6,FALSE),4)</f>
        <v>8.3445</v>
      </c>
      <c r="I28" s="20">
        <f>ROUND(VLOOKUP($B28,'[2]NUOS (t)'!$B$10:$P$66,7,FALSE),4)</f>
        <v>6.0393999999999997</v>
      </c>
      <c r="J28" s="20">
        <f>ROUND(VLOOKUP($B28,'[2]NUOS (t)'!$B$10:$P$66,8,FALSE),4)</f>
        <v>3.3193999999999999</v>
      </c>
      <c r="K28" s="20">
        <f>ROUND(VLOOKUP($B28,'[2]NUOS (t)'!$B$10:$P$66,10,FALSE),4)</f>
        <v>7.6844999999999999</v>
      </c>
      <c r="L28" s="117"/>
      <c r="M28" s="20"/>
    </row>
    <row r="29" spans="1:17" ht="18" customHeight="1" x14ac:dyDescent="0.2">
      <c r="B29" s="18" t="s">
        <v>31</v>
      </c>
      <c r="C29" s="19"/>
      <c r="D29" s="125" t="s">
        <v>114</v>
      </c>
      <c r="E29" s="126"/>
      <c r="F29" s="20">
        <f>ROUND(VLOOKUP($B29,'[2]NUOS (t)'!$B$10:$P$66,4,FALSE)/366,4)</f>
        <v>3.7801</v>
      </c>
      <c r="G29" s="20"/>
      <c r="H29" s="20">
        <f>ROUND(VLOOKUP($B29,'[2]NUOS (t)'!$B$10:$P$66,6,FALSE),4)</f>
        <v>17.985800000000001</v>
      </c>
      <c r="I29" s="20">
        <f>ROUND(VLOOKUP($B29,'[2]NUOS (t)'!$B$10:$P$66,7,FALSE),4)</f>
        <v>14.0654</v>
      </c>
      <c r="J29" s="20">
        <f>ROUND(VLOOKUP($B29,'[2]NUOS (t)'!$B$10:$P$66,8,FALSE),4)</f>
        <v>7.4188000000000001</v>
      </c>
      <c r="K29" s="20"/>
      <c r="L29" s="20"/>
      <c r="M29" s="20"/>
    </row>
    <row r="30" spans="1:17" ht="18" customHeight="1" x14ac:dyDescent="0.2">
      <c r="B30" s="18" t="s">
        <v>172</v>
      </c>
      <c r="C30" s="19"/>
      <c r="D30" s="125" t="s">
        <v>173</v>
      </c>
      <c r="E30" s="126"/>
      <c r="F30" s="20">
        <f>ROUND(VLOOKUP($B30,'[2]NUOS (t)'!$B$10:$P$66,4,FALSE)/366,4)</f>
        <v>17.767900000000001</v>
      </c>
      <c r="G30" s="20"/>
      <c r="H30" s="20">
        <f>ROUND(VLOOKUP($B30,'[2]NUOS (t)'!$B$10:$P$66,6,FALSE),4)</f>
        <v>4.8555000000000001</v>
      </c>
      <c r="I30" s="20">
        <f>ROUND(VLOOKUP($B30,'[2]NUOS (t)'!$B$10:$P$66,7,FALSE),4)</f>
        <v>3.9089999999999998</v>
      </c>
      <c r="J30" s="20">
        <f>ROUND(VLOOKUP($B30,'[2]NUOS (t)'!$B$10:$P$66,8,FALSE),4)</f>
        <v>2.5320999999999998</v>
      </c>
      <c r="K30" s="20">
        <f>ROUND(VLOOKUP($B30,'[2]NUOS (t)'!$B$10:$P$66,10,FALSE),4)</f>
        <v>10.9642</v>
      </c>
      <c r="L30" s="20">
        <f>ROUND(VLOOKUP($B30,'[2]NUOS (t)'!$B$10:$P$66,11,FALSE),4)</f>
        <v>9.92</v>
      </c>
      <c r="M30" s="20">
        <f>ROUND(VLOOKUP($B30,'[2]NUOS (t)'!$B$10:$P$66,12,FALSE),4)</f>
        <v>2.5992999999999999</v>
      </c>
    </row>
    <row r="31" spans="1:17" ht="18" customHeight="1" x14ac:dyDescent="0.2">
      <c r="B31" s="18" t="s">
        <v>32</v>
      </c>
      <c r="C31" s="19"/>
      <c r="D31" s="125" t="s">
        <v>47</v>
      </c>
      <c r="E31" s="126"/>
      <c r="F31" s="20">
        <f>ROUND(VLOOKUP($B31,'[2]NUOS (t)'!$B$10:$P$66,4,FALSE)/366,4)</f>
        <v>17.767900000000001</v>
      </c>
      <c r="G31" s="20"/>
      <c r="H31" s="20">
        <f>ROUND(VLOOKUP($B31,'[2]NUOS (t)'!$B$10:$P$66,6,FALSE),4)</f>
        <v>4.8555000000000001</v>
      </c>
      <c r="I31" s="20">
        <f>ROUND(VLOOKUP($B31,'[2]NUOS (t)'!$B$10:$P$66,7,FALSE),4)</f>
        <v>3.9089999999999998</v>
      </c>
      <c r="J31" s="20">
        <f>ROUND(VLOOKUP($B31,'[2]NUOS (t)'!$B$10:$P$66,8,FALSE),4)</f>
        <v>2.5320999999999998</v>
      </c>
      <c r="K31" s="20">
        <f>ROUND(VLOOKUP($B31,'[2]NUOS (t)'!$B$10:$P$66,10,FALSE),4)</f>
        <v>10.9642</v>
      </c>
      <c r="L31" s="20">
        <f>ROUND(VLOOKUP($B31,'[2]NUOS (t)'!$B$10:$P$66,11,FALSE),4)</f>
        <v>9.92</v>
      </c>
      <c r="M31" s="20">
        <f>ROUND(VLOOKUP($B31,'[2]NUOS (t)'!$B$10:$P$66,12,FALSE),4)</f>
        <v>2.5992999999999999</v>
      </c>
      <c r="O31" s="90"/>
      <c r="P31" s="90"/>
      <c r="Q31" s="90"/>
    </row>
    <row r="32" spans="1:17" ht="18" customHeight="1" x14ac:dyDescent="0.2">
      <c r="B32" s="18" t="s">
        <v>61</v>
      </c>
      <c r="C32" s="19"/>
      <c r="D32" s="125" t="s">
        <v>74</v>
      </c>
      <c r="E32" s="126"/>
      <c r="F32" s="20">
        <f>ROUND(VLOOKUP($B32,'[2]NUOS (t)'!$B$10:$P$66,4,FALSE)/366,4)</f>
        <v>17.767900000000001</v>
      </c>
      <c r="G32" s="20"/>
      <c r="H32" s="20">
        <f>ROUND(VLOOKUP($B32,'[2]NUOS (t)'!$B$10:$P$66,6,FALSE),4)</f>
        <v>16.017800000000001</v>
      </c>
      <c r="I32" s="20">
        <f>ROUND(VLOOKUP($B32,'[2]NUOS (t)'!$B$10:$P$66,7,FALSE),4)</f>
        <v>12.1774</v>
      </c>
      <c r="J32" s="20">
        <f>ROUND(VLOOKUP($B32,'[2]NUOS (t)'!$B$10:$P$66,8,FALSE),4)</f>
        <v>5.3204000000000002</v>
      </c>
      <c r="K32" s="120">
        <f>ROUND(VLOOKUP($B32,'[2]NUOS (t)'!$B$10:$P$66,10,FALSE),4)</f>
        <v>14.1028</v>
      </c>
      <c r="L32" s="121"/>
      <c r="M32" s="20"/>
    </row>
    <row r="33" spans="1:16" ht="18" customHeight="1" x14ac:dyDescent="0.2">
      <c r="B33" s="18" t="s">
        <v>34</v>
      </c>
      <c r="C33" s="19"/>
      <c r="D33" s="125" t="s">
        <v>41</v>
      </c>
      <c r="E33" s="126"/>
      <c r="F33" s="20">
        <f>ROUND(VLOOKUP($B33,'[2]NUOS (t)'!$B$10:$P$66,4,FALSE)/366,4)</f>
        <v>21.9938</v>
      </c>
      <c r="G33" s="20"/>
      <c r="H33" s="20">
        <f>ROUND(VLOOKUP($B33,'[2]NUOS (t)'!$B$10:$P$66,6,FALSE),4)</f>
        <v>3.6747999999999998</v>
      </c>
      <c r="I33" s="20">
        <f>ROUND(VLOOKUP($B33,'[2]NUOS (t)'!$B$10:$P$66,7,FALSE),4)</f>
        <v>2.9943</v>
      </c>
      <c r="J33" s="20">
        <f>ROUND(VLOOKUP($B33,'[2]NUOS (t)'!$B$10:$P$66,8,FALSE),4)</f>
        <v>2.4544000000000001</v>
      </c>
      <c r="K33" s="20">
        <f>ROUND(VLOOKUP($B33,'[2]NUOS (t)'!$B$10:$P$66,10,FALSE),4)</f>
        <v>10.4757</v>
      </c>
      <c r="L33" s="20">
        <f>ROUND(VLOOKUP($B33,'[2]NUOS (t)'!$B$10:$P$66,11,FALSE),4)</f>
        <v>9.4779999999999998</v>
      </c>
      <c r="M33" s="20">
        <f>ROUND(VLOOKUP($B33,'[2]NUOS (t)'!$B$10:$P$66,12,FALSE),4)</f>
        <v>2.8363</v>
      </c>
    </row>
    <row r="34" spans="1:16" ht="18" customHeight="1" x14ac:dyDescent="0.2">
      <c r="B34" s="18" t="s">
        <v>23</v>
      </c>
      <c r="C34" s="19"/>
      <c r="D34" s="134" t="s">
        <v>38</v>
      </c>
      <c r="E34" s="135"/>
      <c r="F34" s="20">
        <f>ROUND(VLOOKUP($B34,'[2]NUOS (t)'!$B$10:$P$66,4,FALSE)/366,4)</f>
        <v>21.832100000000001</v>
      </c>
      <c r="G34" s="20"/>
      <c r="H34" s="20">
        <f>ROUND(VLOOKUP($B34,'[2]NUOS (t)'!$B$10:$P$66,6,FALSE),4)</f>
        <v>4.2877000000000001</v>
      </c>
      <c r="I34" s="20">
        <f>ROUND(VLOOKUP($B34,'[2]NUOS (t)'!$B$10:$P$66,7,FALSE),4)</f>
        <v>2.5444</v>
      </c>
      <c r="J34" s="20">
        <f>ROUND(VLOOKUP($B34,'[2]NUOS (t)'!$B$10:$P$66,8,FALSE),4)</f>
        <v>2.121</v>
      </c>
      <c r="K34" s="20">
        <f>ROUND(VLOOKUP($B34,'[2]NUOS (t)'!$B$10:$P$66,10,FALSE),4)</f>
        <v>4.0425000000000004</v>
      </c>
      <c r="L34" s="20">
        <f>ROUND(VLOOKUP($B34,'[2]NUOS (t)'!$B$10:$P$66,11,FALSE),4)</f>
        <v>2.8818999999999999</v>
      </c>
      <c r="M34" s="20">
        <f>ROUND(VLOOKUP($B34,'[2]NUOS (t)'!$B$10:$P$66,12,FALSE),4)</f>
        <v>1.1488</v>
      </c>
    </row>
    <row r="35" spans="1:16" s="60" customFormat="1" ht="18" x14ac:dyDescent="0.25">
      <c r="A35" s="54"/>
      <c r="B35" s="65" t="s">
        <v>45</v>
      </c>
      <c r="C35" s="65"/>
      <c r="D35" s="66"/>
      <c r="E35" s="67"/>
      <c r="F35" s="69"/>
      <c r="G35" s="69"/>
      <c r="H35" s="69"/>
      <c r="I35" s="69"/>
      <c r="J35" s="69"/>
      <c r="K35" s="69"/>
      <c r="L35" s="69"/>
      <c r="M35" s="69"/>
    </row>
    <row r="36" spans="1:16" ht="18" customHeight="1" x14ac:dyDescent="0.2">
      <c r="B36" s="18" t="s">
        <v>36</v>
      </c>
      <c r="C36" s="19" t="s">
        <v>44</v>
      </c>
      <c r="D36" s="125" t="s">
        <v>107</v>
      </c>
      <c r="E36" s="126"/>
      <c r="F36" s="20">
        <f>ROUND(VLOOKUP($B36,'[2]NUOS (t)'!$B$10:$P$80,4,FALSE)/366,4)</f>
        <v>1.0398000000000001</v>
      </c>
      <c r="G36" s="20">
        <f>ROUND(VLOOKUP($B36,'[2]NUOS (t)'!$B$10:$P$80,5,FALSE),4)</f>
        <v>18.251799999999999</v>
      </c>
      <c r="H36" s="20"/>
      <c r="I36" s="20"/>
      <c r="J36" s="20"/>
      <c r="K36" s="20"/>
      <c r="L36" s="20"/>
      <c r="M36" s="20"/>
    </row>
    <row r="37" spans="1:16" ht="18" customHeight="1" x14ac:dyDescent="0.2">
      <c r="B37" s="18" t="s">
        <v>37</v>
      </c>
      <c r="C37" s="19"/>
      <c r="D37" s="125" t="s">
        <v>108</v>
      </c>
      <c r="E37" s="126"/>
      <c r="F37" s="20">
        <f>ROUND(VLOOKUP($B37,'[2]NUOS (t)'!$B$10:$P$80,4,FALSE)/366,4)</f>
        <v>0</v>
      </c>
      <c r="G37" s="20"/>
      <c r="H37" s="20">
        <f>ROUND(VLOOKUP($B37,'[2]NUOS (t)'!$B$10:$P$80,6,FALSE),4)</f>
        <v>20.6097</v>
      </c>
      <c r="I37" s="20">
        <f>ROUND(VLOOKUP($B37,'[2]NUOS (t)'!$B$10:$P$80,7,FALSE),4)</f>
        <v>15.591699999999999</v>
      </c>
      <c r="J37" s="20">
        <f>ROUND(VLOOKUP($B37,'[2]NUOS (t)'!$B$10:$P$80,8,FALSE),4)</f>
        <v>7.7584</v>
      </c>
      <c r="K37" s="20"/>
      <c r="L37" s="20"/>
      <c r="M37" s="20"/>
    </row>
    <row r="38" spans="1:16" s="60" customFormat="1" ht="18" x14ac:dyDescent="0.25">
      <c r="A38" s="54"/>
      <c r="B38" s="65" t="s">
        <v>69</v>
      </c>
      <c r="C38" s="65"/>
      <c r="D38" s="66"/>
      <c r="E38" s="67"/>
      <c r="F38" s="69"/>
      <c r="G38" s="69"/>
      <c r="H38" s="69"/>
      <c r="I38" s="69"/>
      <c r="J38" s="69"/>
      <c r="K38" s="69"/>
      <c r="L38" s="69"/>
      <c r="M38" s="69"/>
    </row>
    <row r="39" spans="1:16" ht="42.75" x14ac:dyDescent="0.2">
      <c r="B39" s="19" t="s">
        <v>50</v>
      </c>
      <c r="C39" s="19"/>
      <c r="D39" s="125" t="s">
        <v>51</v>
      </c>
      <c r="E39" s="126"/>
      <c r="F39" s="25" t="s">
        <v>52</v>
      </c>
      <c r="G39" s="25" t="s">
        <v>52</v>
      </c>
      <c r="H39" s="25" t="s">
        <v>52</v>
      </c>
      <c r="I39" s="25" t="s">
        <v>52</v>
      </c>
      <c r="J39" s="25" t="s">
        <v>52</v>
      </c>
      <c r="K39" s="25" t="s">
        <v>52</v>
      </c>
      <c r="L39" s="25" t="s">
        <v>52</v>
      </c>
      <c r="M39" s="25" t="s">
        <v>52</v>
      </c>
    </row>
    <row r="40" spans="1:16" x14ac:dyDescent="0.2">
      <c r="B40" s="31"/>
      <c r="C40" s="31"/>
      <c r="D40" s="32"/>
      <c r="E40" s="32"/>
      <c r="F40" s="33"/>
      <c r="G40" s="33"/>
      <c r="H40" s="33"/>
      <c r="I40" s="33"/>
      <c r="J40" s="33"/>
      <c r="K40" s="33"/>
      <c r="L40" s="33"/>
      <c r="M40" s="33"/>
      <c r="N40" s="33"/>
      <c r="O40" s="33"/>
      <c r="P40" s="33"/>
    </row>
    <row r="41" spans="1:16" ht="33" x14ac:dyDescent="0.45">
      <c r="A41" s="1"/>
      <c r="B41" s="2" t="s">
        <v>195</v>
      </c>
      <c r="C41" s="3"/>
      <c r="D41" s="3"/>
      <c r="E41" s="3"/>
      <c r="F41" s="3"/>
      <c r="G41" s="4"/>
      <c r="H41" s="4"/>
      <c r="I41" s="4"/>
      <c r="J41" s="4"/>
      <c r="K41" s="5"/>
      <c r="L41" s="5"/>
      <c r="M41" s="5"/>
      <c r="N41" s="4"/>
      <c r="O41" s="4"/>
      <c r="P41" s="6"/>
    </row>
    <row r="42" spans="1:16" ht="22.5" customHeight="1" x14ac:dyDescent="0.25">
      <c r="A42" s="1"/>
      <c r="B42" s="132" t="str">
        <f>B3</f>
        <v>Effective 1 July 2023</v>
      </c>
      <c r="C42" s="133"/>
      <c r="D42" s="133"/>
      <c r="E42" s="133"/>
      <c r="F42" s="133"/>
      <c r="G42" s="8"/>
      <c r="H42" s="8"/>
      <c r="I42" s="8"/>
      <c r="J42" s="8"/>
      <c r="K42" s="8"/>
      <c r="L42" s="128"/>
      <c r="M42" s="128"/>
      <c r="N42" s="8"/>
      <c r="O42" s="8"/>
      <c r="P42" s="9"/>
    </row>
    <row r="43" spans="1:16" ht="11.25" customHeight="1" x14ac:dyDescent="0.25">
      <c r="A43" s="1"/>
      <c r="B43" s="71"/>
      <c r="C43" s="72"/>
      <c r="D43" s="72"/>
      <c r="E43" s="72"/>
      <c r="F43" s="72"/>
      <c r="G43" s="12"/>
      <c r="H43" s="12"/>
      <c r="I43" s="12"/>
      <c r="J43" s="12"/>
      <c r="K43" s="12"/>
      <c r="L43" s="73"/>
      <c r="M43" s="73"/>
      <c r="N43" s="12"/>
      <c r="O43" s="12"/>
      <c r="P43" s="13"/>
    </row>
    <row r="44" spans="1:16" ht="24" customHeight="1" x14ac:dyDescent="0.25">
      <c r="B44" s="122" t="s">
        <v>106</v>
      </c>
      <c r="C44" s="122" t="s">
        <v>9</v>
      </c>
      <c r="D44" s="34" t="s">
        <v>1</v>
      </c>
      <c r="E44" s="35" t="s">
        <v>2</v>
      </c>
      <c r="F44" s="35" t="s">
        <v>2</v>
      </c>
      <c r="G44" s="35" t="s">
        <v>2</v>
      </c>
      <c r="H44" s="34" t="s">
        <v>3</v>
      </c>
      <c r="I44" s="35" t="s">
        <v>4</v>
      </c>
      <c r="J44" s="35" t="s">
        <v>5</v>
      </c>
      <c r="K44" s="35" t="s">
        <v>6</v>
      </c>
      <c r="L44" s="34" t="s">
        <v>7</v>
      </c>
      <c r="M44" s="129" t="s">
        <v>49</v>
      </c>
      <c r="N44" s="129"/>
      <c r="O44" s="129"/>
      <c r="P44" s="129"/>
    </row>
    <row r="45" spans="1:16" ht="15" x14ac:dyDescent="0.25">
      <c r="B45" s="123"/>
      <c r="C45" s="123"/>
      <c r="D45" s="37" t="s">
        <v>10</v>
      </c>
      <c r="E45" s="37" t="s">
        <v>4</v>
      </c>
      <c r="F45" s="37" t="s">
        <v>5</v>
      </c>
      <c r="G45" s="37" t="s">
        <v>6</v>
      </c>
      <c r="H45" s="37" t="s">
        <v>12</v>
      </c>
      <c r="I45" s="37" t="s">
        <v>3</v>
      </c>
      <c r="J45" s="37" t="s">
        <v>3</v>
      </c>
      <c r="K45" s="37" t="s">
        <v>3</v>
      </c>
      <c r="L45" s="37" t="s">
        <v>12</v>
      </c>
      <c r="M45" s="129"/>
      <c r="N45" s="129"/>
      <c r="O45" s="129"/>
      <c r="P45" s="129"/>
    </row>
    <row r="46" spans="1:16" ht="24" customHeight="1" x14ac:dyDescent="0.2">
      <c r="B46" s="123"/>
      <c r="C46" s="123"/>
      <c r="D46" s="77" t="s">
        <v>13</v>
      </c>
      <c r="E46" s="77" t="s">
        <v>14</v>
      </c>
      <c r="F46" s="77" t="s">
        <v>14</v>
      </c>
      <c r="G46" s="77" t="s">
        <v>14</v>
      </c>
      <c r="H46" s="77" t="s">
        <v>15</v>
      </c>
      <c r="I46" s="77" t="s">
        <v>15</v>
      </c>
      <c r="J46" s="77" t="s">
        <v>15</v>
      </c>
      <c r="K46" s="77" t="s">
        <v>15</v>
      </c>
      <c r="L46" s="77" t="s">
        <v>15</v>
      </c>
      <c r="M46" s="129"/>
      <c r="N46" s="129"/>
      <c r="O46" s="129"/>
      <c r="P46" s="129"/>
    </row>
    <row r="47" spans="1:16" s="60" customFormat="1" ht="18" x14ac:dyDescent="0.25">
      <c r="A47" s="54"/>
      <c r="B47" s="65" t="s">
        <v>46</v>
      </c>
      <c r="C47" s="66"/>
      <c r="D47" s="70"/>
      <c r="E47" s="68"/>
      <c r="F47" s="68"/>
      <c r="G47" s="68"/>
      <c r="H47" s="68"/>
      <c r="I47" s="68"/>
      <c r="J47" s="68"/>
      <c r="K47" s="68"/>
      <c r="L47" s="68"/>
      <c r="M47" s="130"/>
      <c r="N47" s="130"/>
      <c r="O47" s="130"/>
      <c r="P47" s="130"/>
    </row>
    <row r="48" spans="1:16" s="60" customFormat="1" ht="18" x14ac:dyDescent="0.25">
      <c r="A48" s="54"/>
      <c r="B48" s="74" t="s">
        <v>33</v>
      </c>
      <c r="C48" s="30" t="s">
        <v>58</v>
      </c>
      <c r="D48" s="20">
        <f>ROUND(VLOOKUP($B48,'[2]NUOS (t)'!$B$10:$P$66,4,FALSE)/366,4)</f>
        <v>21.076499999999999</v>
      </c>
      <c r="E48" s="20">
        <f>ROUND(VLOOKUP($B48,'[2]NUOS (t)'!$B$10:$P$66,6,FALSE),4)</f>
        <v>4.5034999999999998</v>
      </c>
      <c r="F48" s="20">
        <f>ROUND(VLOOKUP($B48,'[2]NUOS (t)'!$B$10:$P$66,7,FALSE),4)</f>
        <v>3.6482999999999999</v>
      </c>
      <c r="G48" s="20">
        <f>ROUND(VLOOKUP($B48,'[2]NUOS (t)'!$B$10:$P$66,8,FALSE),4)</f>
        <v>2.3975</v>
      </c>
      <c r="H48" s="20"/>
      <c r="I48" s="20">
        <f>ROUND(VLOOKUP($B48,'[2]NUOS (t)'!$B$10:$P$66,10,FALSE),4)</f>
        <v>15.212</v>
      </c>
      <c r="J48" s="20">
        <f>ROUND(VLOOKUP($B48,'[2]NUOS (t)'!$B$10:$P$66,11,FALSE),4)</f>
        <v>13.763199999999999</v>
      </c>
      <c r="K48" s="20">
        <f>ROUND(VLOOKUP($B48,'[2]NUOS (t)'!$B$10:$P$66,12,FALSE),4)</f>
        <v>3.5175999999999998</v>
      </c>
      <c r="L48" s="20"/>
      <c r="M48" s="119"/>
      <c r="N48" s="119"/>
      <c r="O48" s="119"/>
      <c r="P48" s="119"/>
    </row>
    <row r="49" spans="1:16" s="60" customFormat="1" ht="18" x14ac:dyDescent="0.25">
      <c r="A49" s="54"/>
      <c r="B49" s="74" t="s">
        <v>35</v>
      </c>
      <c r="C49" s="30" t="s">
        <v>59</v>
      </c>
      <c r="D49" s="20">
        <f>ROUND(VLOOKUP($B49,'[2]NUOS (t)'!$B$10:$P$66,4,FALSE)/366,4)</f>
        <v>21.377300000000002</v>
      </c>
      <c r="E49" s="20">
        <f>ROUND(VLOOKUP($B49,'[2]NUOS (t)'!$B$10:$P$66,6,FALSE),4)</f>
        <v>3.5851999999999999</v>
      </c>
      <c r="F49" s="20">
        <f>ROUND(VLOOKUP($B49,'[2]NUOS (t)'!$B$10:$P$66,7,FALSE),4)</f>
        <v>3.0360999999999998</v>
      </c>
      <c r="G49" s="20">
        <f>ROUND(VLOOKUP($B49,'[2]NUOS (t)'!$B$10:$P$66,8,FALSE),4)</f>
        <v>2.4455</v>
      </c>
      <c r="H49" s="20"/>
      <c r="I49" s="20">
        <f>ROUND(VLOOKUP($B49,'[2]NUOS (t)'!$B$10:$P$66,10,FALSE),4)</f>
        <v>11.0928</v>
      </c>
      <c r="J49" s="20">
        <f>ROUND(VLOOKUP($B49,'[2]NUOS (t)'!$B$10:$P$66,11,FALSE),4)</f>
        <v>10.0364</v>
      </c>
      <c r="K49" s="20">
        <f>ROUND(VLOOKUP($B49,'[2]NUOS (t)'!$B$10:$P$66,12,FALSE),4)</f>
        <v>3.0032999999999999</v>
      </c>
      <c r="L49" s="20"/>
      <c r="M49" s="119"/>
      <c r="N49" s="119"/>
      <c r="O49" s="119"/>
      <c r="P49" s="119"/>
    </row>
    <row r="50" spans="1:16" s="60" customFormat="1" ht="31.5" customHeight="1" x14ac:dyDescent="0.25">
      <c r="A50" s="54"/>
      <c r="B50" s="74" t="s">
        <v>167</v>
      </c>
      <c r="C50" s="30" t="s">
        <v>197</v>
      </c>
      <c r="D50" s="20">
        <f>ROUND(VLOOKUP($B50,'[2]NUOS (t)'!$B$10:$P$66,4,FALSE)/366,4)</f>
        <v>9.23</v>
      </c>
      <c r="E50" s="20">
        <f>ROUND(VLOOKUP($B50,'[2]NUOS (t)'!$B$10:$P$66,6,FALSE),4)</f>
        <v>21.208100000000002</v>
      </c>
      <c r="F50" s="20">
        <f>ROUND(VLOOKUP($B50,'[2]NUOS (t)'!$B$10:$P$66,7,FALSE),4)</f>
        <v>15.7819</v>
      </c>
      <c r="G50" s="20">
        <f>ROUND(VLOOKUP($B50,'[2]NUOS (t)'!$B$10:$P$66,8,FALSE),4)</f>
        <v>8.3594000000000008</v>
      </c>
      <c r="H50" s="20">
        <f>ROUND(VLOOKUP($B50,'[2]NUOS (t)'!$B$10:$P$66,9,FALSE),4)</f>
        <v>0</v>
      </c>
      <c r="I50" s="20"/>
      <c r="J50" s="20"/>
      <c r="K50" s="20"/>
      <c r="L50" s="20">
        <f>ROUND(VLOOKUP($B50,'[2]NUOS (t)'!$B$10:$P$66,13,FALSE),4)</f>
        <v>0</v>
      </c>
      <c r="M50" s="119" t="s">
        <v>198</v>
      </c>
      <c r="N50" s="119"/>
      <c r="O50" s="119"/>
      <c r="P50" s="119"/>
    </row>
    <row r="51" spans="1:16" ht="74.25" customHeight="1" x14ac:dyDescent="0.2">
      <c r="B51" s="75" t="s">
        <v>103</v>
      </c>
      <c r="C51" s="30" t="s">
        <v>48</v>
      </c>
      <c r="D51" s="20">
        <f>ROUND(VLOOKUP("BLND1CO",'[2]NUOS (t)'!$B$10:$P$66,4,FALSE)/366,4)</f>
        <v>27.174900000000001</v>
      </c>
      <c r="E51" s="20">
        <f>ROUND(VLOOKUP("BLND1CO",'[2]NUOS (t)'!$B$10:$P$66,6,FALSE),4)</f>
        <v>7.4217000000000004</v>
      </c>
      <c r="F51" s="20">
        <f>ROUND(VLOOKUP("BLND1CO",'[2]NUOS (t)'!$B$10:$P$66,7,FALSE),4)</f>
        <v>5.8391000000000002</v>
      </c>
      <c r="G51" s="20">
        <f>ROUND(VLOOKUP("BLND1CO",'[2]NUOS (t)'!$B$10:$P$66,8,FALSE),4)</f>
        <v>3.0417000000000001</v>
      </c>
      <c r="H51" s="20">
        <f>ROUND(VLOOKUP("BLND1CO",'[2]NUOS (t)'!$B$10:$P$66,9,FALSE),4)</f>
        <v>22.617000000000001</v>
      </c>
      <c r="I51" s="20"/>
      <c r="J51" s="20"/>
      <c r="K51" s="20"/>
      <c r="L51" s="20"/>
      <c r="M51" s="119" t="s">
        <v>88</v>
      </c>
      <c r="N51" s="119"/>
      <c r="O51" s="119"/>
      <c r="P51" s="119"/>
    </row>
    <row r="52" spans="1:16" ht="30.75" customHeight="1" x14ac:dyDescent="0.2">
      <c r="B52" s="74" t="s">
        <v>20</v>
      </c>
      <c r="C52" s="30" t="s">
        <v>55</v>
      </c>
      <c r="D52" s="20">
        <f>ROUND(VLOOKUP($B52,'[2]NUOS (t)'!$B$10:$P$66,4,FALSE)/366,4)</f>
        <v>21.076499999999999</v>
      </c>
      <c r="E52" s="20">
        <f>ROUND(VLOOKUP($B52,'[2]NUOS (t)'!$B$10:$P$66,6,FALSE),4)</f>
        <v>16.6447</v>
      </c>
      <c r="F52" s="20">
        <f>ROUND(VLOOKUP($B52,'[2]NUOS (t)'!$B$10:$P$66,7,FALSE),4)</f>
        <v>12.7067</v>
      </c>
      <c r="G52" s="20">
        <f>ROUND(VLOOKUP($B52,'[2]NUOS (t)'!$B$10:$P$66,8,FALSE),4)</f>
        <v>5.1981999999999999</v>
      </c>
      <c r="H52" s="20">
        <f>ROUND(VLOOKUP($B52,'[2]NUOS (t)'!$B$10:$P$66,9,FALSE),4)</f>
        <v>15.0219</v>
      </c>
      <c r="I52" s="20"/>
      <c r="J52" s="20"/>
      <c r="K52" s="20"/>
      <c r="L52" s="20">
        <f>ROUND(VLOOKUP($B52,'[2]NUOS (t)'!$B$10:$P$66,13,FALSE),4)</f>
        <v>5.4611000000000001</v>
      </c>
      <c r="M52" s="119" t="s">
        <v>89</v>
      </c>
      <c r="N52" s="119"/>
      <c r="O52" s="119"/>
      <c r="P52" s="119"/>
    </row>
    <row r="53" spans="1:16" ht="31.5" customHeight="1" x14ac:dyDescent="0.2">
      <c r="B53" s="74" t="s">
        <v>21</v>
      </c>
      <c r="C53" s="30" t="s">
        <v>54</v>
      </c>
      <c r="D53" s="20">
        <f>ROUND(VLOOKUP($B53,'[2]NUOS (t)'!$B$10:$P$66,4,FALSE)/366,4)</f>
        <v>5.6707999999999998</v>
      </c>
      <c r="E53" s="20">
        <f>ROUND(VLOOKUP($B53,'[2]NUOS (t)'!$B$10:$P$66,6,FALSE),4)</f>
        <v>18.970800000000001</v>
      </c>
      <c r="F53" s="20">
        <f>ROUND(VLOOKUP($B53,'[2]NUOS (t)'!$B$10:$P$66,7,FALSE),4)</f>
        <v>14.4298</v>
      </c>
      <c r="G53" s="20">
        <f>ROUND(VLOOKUP($B53,'[2]NUOS (t)'!$B$10:$P$66,8,FALSE),4)</f>
        <v>7.1104000000000003</v>
      </c>
      <c r="H53" s="20">
        <f>ROUND(VLOOKUP($B53,'[2]NUOS (t)'!$B$10:$P$66,9,FALSE),4)</f>
        <v>14.733700000000001</v>
      </c>
      <c r="I53" s="20"/>
      <c r="J53" s="20"/>
      <c r="K53" s="20"/>
      <c r="L53" s="20">
        <f>ROUND(VLOOKUP($B53,'[2]NUOS (t)'!$B$10:$P$66,13,FALSE),4)</f>
        <v>5.468</v>
      </c>
      <c r="M53" s="119" t="s">
        <v>89</v>
      </c>
      <c r="N53" s="119"/>
      <c r="O53" s="119"/>
      <c r="P53" s="119"/>
    </row>
    <row r="54" spans="1:16" ht="60" customHeight="1" x14ac:dyDescent="0.2">
      <c r="B54" s="74" t="s">
        <v>22</v>
      </c>
      <c r="C54" s="30" t="s">
        <v>56</v>
      </c>
      <c r="D54" s="20">
        <f>ROUND(VLOOKUP($B54,'[2]NUOS (t)'!$B$10:$P$66,4,FALSE)/366,4)</f>
        <v>34.870100000000001</v>
      </c>
      <c r="E54" s="20">
        <f>ROUND(VLOOKUP($B54,'[2]NUOS (t)'!$B$10:$P$66,6,FALSE),4)</f>
        <v>8.1806000000000001</v>
      </c>
      <c r="F54" s="20">
        <f>ROUND(VLOOKUP($B54,'[2]NUOS (t)'!$B$10:$P$66,7,FALSE),4)</f>
        <v>7.5355999999999996</v>
      </c>
      <c r="G54" s="20">
        <f>ROUND(VLOOKUP($B54,'[2]NUOS (t)'!$B$10:$P$66,8,FALSE),4)</f>
        <v>3.2126000000000001</v>
      </c>
      <c r="H54" s="20">
        <f>ROUND(VLOOKUP($B54,'[2]NUOS (t)'!$B$10:$P$66,9,FALSE),4)</f>
        <v>16.4876</v>
      </c>
      <c r="I54" s="20"/>
      <c r="J54" s="20"/>
      <c r="K54" s="20"/>
      <c r="L54" s="20"/>
      <c r="M54" s="119" t="s">
        <v>90</v>
      </c>
      <c r="N54" s="119"/>
      <c r="O54" s="119"/>
      <c r="P54" s="119"/>
    </row>
    <row r="55" spans="1:16" ht="30.75" customHeight="1" x14ac:dyDescent="0.2">
      <c r="B55" s="75" t="s">
        <v>104</v>
      </c>
      <c r="C55" s="30" t="s">
        <v>57</v>
      </c>
      <c r="D55" s="20">
        <f>ROUND(VLOOKUP("BHND1SO",'[2]NUOS (t)'!$B$10:$P$66,4,FALSE)/366,4)</f>
        <v>25.991900000000001</v>
      </c>
      <c r="E55" s="20">
        <f>ROUND(VLOOKUP("BHND1SO",'[2]NUOS (t)'!$B$10:$P$66,6,FALSE),4)</f>
        <v>7.2999000000000001</v>
      </c>
      <c r="F55" s="20">
        <f>ROUND(VLOOKUP("BHND1SO",'[2]NUOS (t)'!$B$10:$P$66,7,FALSE),4)</f>
        <v>6.8144999999999998</v>
      </c>
      <c r="G55" s="20">
        <f>ROUND(VLOOKUP("BHND1SO",'[2]NUOS (t)'!$B$10:$P$66,8,FALSE),4)</f>
        <v>4.9954999999999998</v>
      </c>
      <c r="H55" s="20">
        <f>ROUND(VLOOKUP("BHND1SO",'[2]NUOS (t)'!$B$10:$P$66,9,FALSE),4)</f>
        <v>11.9068</v>
      </c>
      <c r="I55" s="20"/>
      <c r="J55" s="20"/>
      <c r="K55" s="20"/>
      <c r="L55" s="20">
        <f>ROUND(VLOOKUP("BHND1SO",'[2]NUOS (t)'!$B$10:$P$66,13,FALSE),4)</f>
        <v>4.3849999999999998</v>
      </c>
      <c r="M55" s="119" t="s">
        <v>91</v>
      </c>
      <c r="N55" s="119"/>
      <c r="O55" s="119"/>
      <c r="P55" s="119"/>
    </row>
    <row r="56" spans="1:16" ht="33" hidden="1" x14ac:dyDescent="0.45">
      <c r="A56" s="1"/>
      <c r="B56" s="2" t="s">
        <v>116</v>
      </c>
      <c r="C56" s="3"/>
      <c r="D56" s="3"/>
      <c r="E56" s="3"/>
      <c r="F56" s="3"/>
      <c r="G56" s="4"/>
      <c r="H56" s="4"/>
      <c r="I56" s="4"/>
      <c r="J56" s="4"/>
      <c r="K56" s="5"/>
      <c r="L56" s="5"/>
      <c r="M56" s="5"/>
      <c r="N56" s="4"/>
      <c r="O56" s="4"/>
      <c r="P56" s="6"/>
    </row>
    <row r="57" spans="1:16" ht="31.5" hidden="1" customHeight="1" x14ac:dyDescent="0.25">
      <c r="A57" s="1"/>
      <c r="B57" s="132" t="s">
        <v>113</v>
      </c>
      <c r="C57" s="133"/>
      <c r="D57" s="133"/>
      <c r="E57" s="133"/>
      <c r="F57" s="133"/>
      <c r="G57" s="8"/>
      <c r="H57" s="8"/>
      <c r="I57" s="8"/>
      <c r="J57" s="8"/>
      <c r="K57" s="8"/>
      <c r="L57" s="128"/>
      <c r="M57" s="128"/>
      <c r="N57" s="8"/>
      <c r="O57" s="8"/>
      <c r="P57" s="9"/>
    </row>
    <row r="58" spans="1:16" ht="14.25" hidden="1" customHeight="1" x14ac:dyDescent="0.25">
      <c r="A58" s="1"/>
      <c r="B58" s="71"/>
      <c r="C58" s="72"/>
      <c r="D58" s="72"/>
      <c r="E58" s="72"/>
      <c r="F58" s="72"/>
      <c r="G58" s="12"/>
      <c r="H58" s="12"/>
      <c r="I58" s="12"/>
      <c r="J58" s="12"/>
      <c r="K58" s="12"/>
      <c r="L58" s="73"/>
      <c r="M58" s="73"/>
      <c r="N58" s="12"/>
      <c r="O58" s="12"/>
      <c r="P58" s="13"/>
    </row>
    <row r="59" spans="1:16" ht="18" customHeight="1" x14ac:dyDescent="0.25">
      <c r="B59" s="122" t="s">
        <v>106</v>
      </c>
      <c r="C59" s="122" t="s">
        <v>9</v>
      </c>
      <c r="D59" s="34" t="s">
        <v>1</v>
      </c>
      <c r="E59" s="34" t="s">
        <v>2</v>
      </c>
      <c r="F59" s="129" t="s">
        <v>49</v>
      </c>
      <c r="G59" s="129"/>
      <c r="H59" s="129"/>
      <c r="I59" s="129"/>
      <c r="J59" s="129"/>
      <c r="K59" s="129"/>
      <c r="L59" s="129"/>
      <c r="M59" s="129"/>
      <c r="N59" s="129"/>
      <c r="O59" s="129"/>
      <c r="P59" s="129"/>
    </row>
    <row r="60" spans="1:16" ht="15" x14ac:dyDescent="0.25">
      <c r="B60" s="123"/>
      <c r="C60" s="123"/>
      <c r="D60" s="37" t="s">
        <v>10</v>
      </c>
      <c r="E60" s="37" t="s">
        <v>11</v>
      </c>
      <c r="F60" s="129"/>
      <c r="G60" s="129"/>
      <c r="H60" s="129"/>
      <c r="I60" s="129"/>
      <c r="J60" s="129"/>
      <c r="K60" s="129"/>
      <c r="L60" s="129"/>
      <c r="M60" s="129"/>
      <c r="N60" s="129"/>
      <c r="O60" s="129"/>
      <c r="P60" s="129"/>
    </row>
    <row r="61" spans="1:16" ht="12" customHeight="1" x14ac:dyDescent="0.25">
      <c r="B61" s="123"/>
      <c r="C61" s="123"/>
      <c r="D61" s="37" t="s">
        <v>13</v>
      </c>
      <c r="E61" s="37" t="s">
        <v>14</v>
      </c>
      <c r="F61" s="129"/>
      <c r="G61" s="129"/>
      <c r="H61" s="129"/>
      <c r="I61" s="129"/>
      <c r="J61" s="129"/>
      <c r="K61" s="129"/>
      <c r="L61" s="129"/>
      <c r="M61" s="129"/>
      <c r="N61" s="129"/>
      <c r="O61" s="129"/>
      <c r="P61" s="129"/>
    </row>
    <row r="62" spans="1:16" s="17" customFormat="1" ht="7.5" customHeight="1" x14ac:dyDescent="0.25">
      <c r="A62" s="15"/>
      <c r="B62" s="124"/>
      <c r="C62" s="124"/>
      <c r="D62" s="53"/>
      <c r="E62" s="53"/>
      <c r="F62" s="129"/>
      <c r="G62" s="129"/>
      <c r="H62" s="129"/>
      <c r="I62" s="129"/>
      <c r="J62" s="129"/>
      <c r="K62" s="129"/>
      <c r="L62" s="129"/>
      <c r="M62" s="129"/>
      <c r="N62" s="129"/>
      <c r="O62" s="129"/>
      <c r="P62" s="129"/>
    </row>
    <row r="63" spans="1:16" s="60" customFormat="1" ht="18" x14ac:dyDescent="0.25">
      <c r="A63" s="54"/>
      <c r="B63" s="65" t="s">
        <v>46</v>
      </c>
      <c r="C63" s="66"/>
      <c r="D63" s="70"/>
      <c r="E63" s="68"/>
      <c r="F63" s="130"/>
      <c r="G63" s="130"/>
      <c r="H63" s="130"/>
      <c r="I63" s="130"/>
      <c r="J63" s="130"/>
      <c r="K63" s="130"/>
      <c r="L63" s="130"/>
      <c r="M63" s="130"/>
      <c r="N63" s="130"/>
      <c r="O63" s="130"/>
      <c r="P63" s="130"/>
    </row>
    <row r="64" spans="1:16" ht="30.75" customHeight="1" x14ac:dyDescent="0.2">
      <c r="B64" s="74" t="s">
        <v>17</v>
      </c>
      <c r="C64" s="30" t="s">
        <v>67</v>
      </c>
      <c r="D64" s="25"/>
      <c r="E64" s="88">
        <v>0</v>
      </c>
      <c r="F64" s="119" t="s">
        <v>70</v>
      </c>
      <c r="G64" s="119"/>
      <c r="H64" s="119"/>
      <c r="I64" s="119"/>
      <c r="J64" s="119"/>
      <c r="K64" s="119"/>
      <c r="L64" s="119"/>
      <c r="M64" s="119"/>
      <c r="N64" s="119"/>
      <c r="O64" s="119"/>
      <c r="P64" s="119"/>
    </row>
    <row r="65" spans="2:16" ht="30.75" customHeight="1" x14ac:dyDescent="0.2">
      <c r="B65" s="74" t="s">
        <v>63</v>
      </c>
      <c r="C65" s="30" t="s">
        <v>68</v>
      </c>
      <c r="D65" s="25"/>
      <c r="E65" s="88">
        <v>0</v>
      </c>
      <c r="F65" s="119" t="s">
        <v>71</v>
      </c>
      <c r="G65" s="119"/>
      <c r="H65" s="119"/>
      <c r="I65" s="119"/>
      <c r="J65" s="119"/>
      <c r="K65" s="119"/>
      <c r="L65" s="119"/>
      <c r="M65" s="119"/>
      <c r="N65" s="119"/>
      <c r="O65" s="119"/>
      <c r="P65" s="119"/>
    </row>
    <row r="66" spans="2:16" ht="30.75" customHeight="1" x14ac:dyDescent="0.2">
      <c r="B66" s="74" t="s">
        <v>60</v>
      </c>
      <c r="C66" s="30" t="s">
        <v>67</v>
      </c>
      <c r="D66" s="25"/>
      <c r="E66" s="88">
        <v>0</v>
      </c>
      <c r="F66" s="119" t="s">
        <v>72</v>
      </c>
      <c r="G66" s="119"/>
      <c r="H66" s="119"/>
      <c r="I66" s="119"/>
      <c r="J66" s="119"/>
      <c r="K66" s="119"/>
      <c r="L66" s="119"/>
      <c r="M66" s="119"/>
      <c r="N66" s="119"/>
      <c r="O66" s="119"/>
      <c r="P66" s="119"/>
    </row>
    <row r="67" spans="2:16" ht="30.75" customHeight="1" x14ac:dyDescent="0.2">
      <c r="B67" s="74" t="s">
        <v>62</v>
      </c>
      <c r="C67" s="30" t="s">
        <v>68</v>
      </c>
      <c r="D67" s="25"/>
      <c r="E67" s="88">
        <v>0</v>
      </c>
      <c r="F67" s="119" t="s">
        <v>73</v>
      </c>
      <c r="G67" s="119"/>
      <c r="H67" s="119"/>
      <c r="I67" s="119"/>
      <c r="J67" s="119"/>
      <c r="K67" s="119"/>
      <c r="L67" s="119"/>
      <c r="M67" s="119"/>
      <c r="N67" s="119"/>
      <c r="O67" s="119"/>
      <c r="P67" s="119"/>
    </row>
    <row r="68" spans="2:16" ht="30.75" customHeight="1" x14ac:dyDescent="0.2">
      <c r="B68" s="76" t="s">
        <v>66</v>
      </c>
      <c r="C68" s="30" t="s">
        <v>67</v>
      </c>
      <c r="D68" s="19"/>
      <c r="E68" s="88">
        <v>0</v>
      </c>
      <c r="F68" s="119" t="s">
        <v>78</v>
      </c>
      <c r="G68" s="119"/>
      <c r="H68" s="119"/>
      <c r="I68" s="119"/>
      <c r="J68" s="119"/>
      <c r="K68" s="119"/>
      <c r="L68" s="119"/>
      <c r="M68" s="119"/>
      <c r="N68" s="119"/>
      <c r="O68" s="119"/>
      <c r="P68" s="119"/>
    </row>
    <row r="69" spans="2:16" ht="30.75" customHeight="1" x14ac:dyDescent="0.2">
      <c r="B69" s="75" t="s">
        <v>75</v>
      </c>
      <c r="C69" s="30" t="s">
        <v>68</v>
      </c>
      <c r="D69" s="19"/>
      <c r="E69" s="88">
        <v>0</v>
      </c>
      <c r="F69" s="119" t="s">
        <v>79</v>
      </c>
      <c r="G69" s="119"/>
      <c r="H69" s="119"/>
      <c r="I69" s="119"/>
      <c r="J69" s="119"/>
      <c r="K69" s="119"/>
      <c r="L69" s="119"/>
      <c r="M69" s="119"/>
      <c r="N69" s="119"/>
      <c r="O69" s="119"/>
      <c r="P69" s="119"/>
    </row>
    <row r="70" spans="2:16" ht="30.75" customHeight="1" x14ac:dyDescent="0.2">
      <c r="B70" s="74" t="s">
        <v>64</v>
      </c>
      <c r="C70" s="30" t="s">
        <v>67</v>
      </c>
      <c r="D70" s="19"/>
      <c r="E70" s="88">
        <v>0</v>
      </c>
      <c r="F70" s="119" t="s">
        <v>76</v>
      </c>
      <c r="G70" s="119"/>
      <c r="H70" s="119"/>
      <c r="I70" s="119"/>
      <c r="J70" s="119"/>
      <c r="K70" s="119"/>
      <c r="L70" s="119"/>
      <c r="M70" s="119"/>
      <c r="N70" s="119"/>
      <c r="O70" s="119"/>
      <c r="P70" s="119"/>
    </row>
    <row r="71" spans="2:16" ht="30.75" customHeight="1" x14ac:dyDescent="0.2">
      <c r="B71" s="74" t="s">
        <v>65</v>
      </c>
      <c r="C71" s="30" t="s">
        <v>68</v>
      </c>
      <c r="D71" s="19"/>
      <c r="E71" s="88">
        <v>0</v>
      </c>
      <c r="F71" s="119" t="s">
        <v>77</v>
      </c>
      <c r="G71" s="119"/>
      <c r="H71" s="119"/>
      <c r="I71" s="119"/>
      <c r="J71" s="119"/>
      <c r="K71" s="119"/>
      <c r="L71" s="119"/>
      <c r="M71" s="119"/>
      <c r="N71" s="119"/>
      <c r="O71" s="119"/>
      <c r="P71" s="119"/>
    </row>
    <row r="72" spans="2:16" ht="28.5" customHeight="1" x14ac:dyDescent="0.2">
      <c r="B72" s="74" t="s">
        <v>92</v>
      </c>
      <c r="C72" s="30" t="s">
        <v>102</v>
      </c>
      <c r="D72" s="19"/>
      <c r="E72" s="88">
        <v>0</v>
      </c>
      <c r="F72" s="119" t="s">
        <v>115</v>
      </c>
      <c r="G72" s="119"/>
      <c r="H72" s="119"/>
      <c r="I72" s="119"/>
      <c r="J72" s="119"/>
      <c r="K72" s="119"/>
      <c r="L72" s="119"/>
      <c r="M72" s="119"/>
      <c r="N72" s="119"/>
      <c r="O72" s="119"/>
      <c r="P72" s="119"/>
    </row>
    <row r="73" spans="2:16" s="7" customFormat="1" ht="28.5" customHeight="1" x14ac:dyDescent="0.2">
      <c r="B73" s="74" t="s">
        <v>93</v>
      </c>
      <c r="C73" s="30" t="s">
        <v>95</v>
      </c>
      <c r="D73" s="19"/>
      <c r="E73" s="87">
        <v>-44</v>
      </c>
      <c r="F73" s="119" t="s">
        <v>99</v>
      </c>
      <c r="G73" s="119"/>
      <c r="H73" s="119"/>
      <c r="I73" s="119"/>
      <c r="J73" s="119"/>
      <c r="K73" s="119"/>
      <c r="L73" s="119"/>
      <c r="M73" s="119"/>
      <c r="N73" s="119"/>
      <c r="O73" s="119"/>
      <c r="P73" s="119"/>
    </row>
    <row r="74" spans="2:16" s="7" customFormat="1" ht="28.5" customHeight="1" x14ac:dyDescent="0.2">
      <c r="B74" s="74" t="s">
        <v>94</v>
      </c>
      <c r="C74" s="30" t="s">
        <v>95</v>
      </c>
      <c r="D74" s="19"/>
      <c r="E74" s="87">
        <v>-40</v>
      </c>
      <c r="F74" s="119" t="s">
        <v>100</v>
      </c>
      <c r="G74" s="119"/>
      <c r="H74" s="119"/>
      <c r="I74" s="119"/>
      <c r="J74" s="119"/>
      <c r="K74" s="119"/>
      <c r="L74" s="119"/>
      <c r="M74" s="119"/>
      <c r="N74" s="119"/>
      <c r="O74" s="119"/>
      <c r="P74" s="119"/>
    </row>
    <row r="78" spans="2:16" x14ac:dyDescent="0.2">
      <c r="B78" s="127"/>
      <c r="C78" s="127"/>
      <c r="D78" s="127"/>
      <c r="E78" s="127"/>
      <c r="F78" s="127"/>
      <c r="G78" s="127"/>
      <c r="H78" s="127"/>
      <c r="I78" s="127"/>
      <c r="J78" s="127"/>
      <c r="K78" s="127"/>
      <c r="L78" s="127"/>
      <c r="M78" s="127"/>
      <c r="N78" s="127"/>
      <c r="O78" s="127"/>
      <c r="P78" s="127"/>
    </row>
    <row r="83" spans="1:1" s="41" customFormat="1" x14ac:dyDescent="0.2">
      <c r="A83" s="40"/>
    </row>
  </sheetData>
  <mergeCells count="65">
    <mergeCell ref="F72:P72"/>
    <mergeCell ref="F73:P73"/>
    <mergeCell ref="F74:P74"/>
    <mergeCell ref="F63:P63"/>
    <mergeCell ref="F64:P64"/>
    <mergeCell ref="F65:P65"/>
    <mergeCell ref="F66:P66"/>
    <mergeCell ref="F67:P67"/>
    <mergeCell ref="F68:P68"/>
    <mergeCell ref="F69:P69"/>
    <mergeCell ref="F70:P70"/>
    <mergeCell ref="F71:P71"/>
    <mergeCell ref="B3:F3"/>
    <mergeCell ref="H3:I3"/>
    <mergeCell ref="D9:E9"/>
    <mergeCell ref="D10:E10"/>
    <mergeCell ref="D22:E22"/>
    <mergeCell ref="B5:B7"/>
    <mergeCell ref="C5:C7"/>
    <mergeCell ref="D5:E7"/>
    <mergeCell ref="D14:E14"/>
    <mergeCell ref="D15:E15"/>
    <mergeCell ref="D17:E17"/>
    <mergeCell ref="D18:E18"/>
    <mergeCell ref="D20:E20"/>
    <mergeCell ref="D11:E11"/>
    <mergeCell ref="D12:E12"/>
    <mergeCell ref="A17:A18"/>
    <mergeCell ref="D21:E21"/>
    <mergeCell ref="D37:E37"/>
    <mergeCell ref="D39:E39"/>
    <mergeCell ref="B57:F57"/>
    <mergeCell ref="D34:E34"/>
    <mergeCell ref="D36:E36"/>
    <mergeCell ref="D19:E19"/>
    <mergeCell ref="B42:F42"/>
    <mergeCell ref="B44:B46"/>
    <mergeCell ref="D23:E23"/>
    <mergeCell ref="D33:E33"/>
    <mergeCell ref="D26:E26"/>
    <mergeCell ref="D29:E29"/>
    <mergeCell ref="C44:C46"/>
    <mergeCell ref="D28:E28"/>
    <mergeCell ref="D25:E25"/>
    <mergeCell ref="B78:P78"/>
    <mergeCell ref="L57:M57"/>
    <mergeCell ref="L42:M42"/>
    <mergeCell ref="M44:P46"/>
    <mergeCell ref="M47:P47"/>
    <mergeCell ref="M51:P51"/>
    <mergeCell ref="M52:P52"/>
    <mergeCell ref="D31:E31"/>
    <mergeCell ref="D32:E32"/>
    <mergeCell ref="M53:P53"/>
    <mergeCell ref="M54:P54"/>
    <mergeCell ref="D30:E30"/>
    <mergeCell ref="D27:E27"/>
    <mergeCell ref="M55:P55"/>
    <mergeCell ref="F59:P62"/>
    <mergeCell ref="M50:P50"/>
    <mergeCell ref="K32:L32"/>
    <mergeCell ref="M49:P49"/>
    <mergeCell ref="M48:P48"/>
    <mergeCell ref="B59:B62"/>
    <mergeCell ref="C59:C62"/>
  </mergeCells>
  <pageMargins left="0.39370078740157483" right="0.39370078740157483" top="0.39370078740157483" bottom="0.39370078740157483" header="0.51181102362204722" footer="0.51181102362204722"/>
  <pageSetup paperSize="9" scale="59" fitToHeight="0" orientation="landscape" r:id="rId1"/>
  <headerFooter alignWithMargins="0"/>
  <rowBreaks count="1" manualBreakCount="1">
    <brk id="40" min="1" max="15" man="1"/>
  </rowBreaks>
  <ignoredErrors>
    <ignoredError sqref="I55:K55 I51:L51 I52:K52 I54:L54 H23:M23 H22:M22 H24:M24 H13:M13 H16:M16 H14:M14 H15:M15 H35:M35 H36:M36 H17:M21 H38:M38 F17:F21 F35 F16 F13 F24 F22 F23 G17:G21 G24 G13 H9:M9 G10 K10:M10 G16 G35 H25:M25 G26 K26:M26 G29 K29:M29 G31 G32 M32 G33 G34 G37 K37:M37 G23 G22 F38:G38 G30 G28 G11 K11:M11 M12 G27 K27:M27 M28"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P65"/>
  <sheetViews>
    <sheetView showGridLines="0" zoomScale="70" zoomScaleNormal="70" workbookViewId="0">
      <pane xSplit="2" ySplit="4" topLeftCell="C5" activePane="bottomRight" state="frozen"/>
      <selection activeCell="F30" sqref="F30"/>
      <selection pane="topRight" activeCell="F30" sqref="F30"/>
      <selection pane="bottomLeft" activeCell="F30" sqref="F30"/>
      <selection pane="bottomRight" activeCell="C5" sqref="C5:C7"/>
    </sheetView>
  </sheetViews>
  <sheetFormatPr defaultColWidth="8.875" defaultRowHeight="14.25" x14ac:dyDescent="0.2"/>
  <cols>
    <col min="1" max="1" width="1.875" style="14" customWidth="1"/>
    <col min="2" max="2" width="12.25" style="7" customWidth="1"/>
    <col min="3" max="3" width="25.375" style="7" customWidth="1"/>
    <col min="4" max="4" width="15.375" style="7" customWidth="1"/>
    <col min="5" max="5" width="21.25" style="7" customWidth="1"/>
    <col min="6" max="13" width="10.5" style="7" customWidth="1"/>
    <col min="14" max="16" width="12.5" style="7" customWidth="1"/>
    <col min="17" max="17" width="8.75" style="7" customWidth="1"/>
    <col min="18" max="16384" width="8.875" style="7"/>
  </cols>
  <sheetData>
    <row r="2" spans="1:13" ht="33" x14ac:dyDescent="0.45">
      <c r="A2" s="1"/>
      <c r="B2" s="2" t="s">
        <v>196</v>
      </c>
      <c r="C2" s="3"/>
      <c r="D2" s="3"/>
      <c r="E2" s="3"/>
      <c r="F2" s="3"/>
      <c r="G2" s="4"/>
      <c r="H2" s="5"/>
      <c r="I2" s="5"/>
      <c r="J2" s="5"/>
      <c r="K2" s="4"/>
      <c r="L2" s="4"/>
      <c r="M2" s="6"/>
    </row>
    <row r="3" spans="1:13" ht="15.75" x14ac:dyDescent="0.25">
      <c r="A3" s="1"/>
      <c r="B3" s="132" t="str">
        <f>'Price List_Excl GST'!$B$3:$F$3</f>
        <v>Effective 1 July 2023</v>
      </c>
      <c r="C3" s="133"/>
      <c r="D3" s="133"/>
      <c r="E3" s="133"/>
      <c r="F3" s="133"/>
      <c r="G3" s="8"/>
      <c r="H3" s="8"/>
      <c r="I3" s="128"/>
      <c r="J3" s="128"/>
      <c r="K3" s="8"/>
      <c r="L3" s="8"/>
      <c r="M3" s="9"/>
    </row>
    <row r="4" spans="1:13" ht="15" x14ac:dyDescent="0.25">
      <c r="A4" s="1"/>
      <c r="B4" s="10"/>
      <c r="C4" s="11"/>
      <c r="D4" s="12"/>
      <c r="E4" s="12"/>
      <c r="F4" s="12"/>
      <c r="G4" s="12"/>
      <c r="H4" s="12"/>
      <c r="I4" s="12"/>
      <c r="J4" s="12"/>
      <c r="K4" s="12"/>
      <c r="L4" s="12"/>
      <c r="M4" s="13"/>
    </row>
    <row r="5" spans="1:13" ht="24" customHeight="1" x14ac:dyDescent="0.25">
      <c r="B5" s="123" t="s">
        <v>105</v>
      </c>
      <c r="C5" s="122" t="s">
        <v>24</v>
      </c>
      <c r="D5" s="137" t="s">
        <v>9</v>
      </c>
      <c r="E5" s="138"/>
      <c r="F5" s="52" t="s">
        <v>1</v>
      </c>
      <c r="G5" s="52" t="s">
        <v>2</v>
      </c>
      <c r="H5" s="37" t="s">
        <v>2</v>
      </c>
      <c r="I5" s="37" t="s">
        <v>2</v>
      </c>
      <c r="J5" s="37" t="s">
        <v>2</v>
      </c>
      <c r="K5" s="37" t="s">
        <v>4</v>
      </c>
      <c r="L5" s="37" t="s">
        <v>5</v>
      </c>
      <c r="M5" s="37" t="s">
        <v>6</v>
      </c>
    </row>
    <row r="6" spans="1:13" ht="15" x14ac:dyDescent="0.2">
      <c r="B6" s="123"/>
      <c r="C6" s="123"/>
      <c r="D6" s="137"/>
      <c r="E6" s="138"/>
      <c r="F6" s="77" t="s">
        <v>10</v>
      </c>
      <c r="G6" s="77" t="s">
        <v>171</v>
      </c>
      <c r="H6" s="77" t="s">
        <v>4</v>
      </c>
      <c r="I6" s="77" t="s">
        <v>5</v>
      </c>
      <c r="J6" s="77" t="s">
        <v>6</v>
      </c>
      <c r="K6" s="77" t="s">
        <v>3</v>
      </c>
      <c r="L6" s="77" t="s">
        <v>3</v>
      </c>
      <c r="M6" s="77" t="s">
        <v>3</v>
      </c>
    </row>
    <row r="7" spans="1:13" ht="15" x14ac:dyDescent="0.2">
      <c r="B7" s="123"/>
      <c r="C7" s="124"/>
      <c r="D7" s="137"/>
      <c r="E7" s="138"/>
      <c r="F7" s="77" t="s">
        <v>13</v>
      </c>
      <c r="G7" s="77" t="s">
        <v>14</v>
      </c>
      <c r="H7" s="77" t="s">
        <v>14</v>
      </c>
      <c r="I7" s="77" t="s">
        <v>14</v>
      </c>
      <c r="J7" s="77" t="s">
        <v>14</v>
      </c>
      <c r="K7" s="77" t="s">
        <v>15</v>
      </c>
      <c r="L7" s="77" t="s">
        <v>15</v>
      </c>
      <c r="M7" s="77" t="s">
        <v>15</v>
      </c>
    </row>
    <row r="8" spans="1:13" s="60" customFormat="1" ht="18" x14ac:dyDescent="0.25">
      <c r="A8" s="54"/>
      <c r="B8" s="55" t="s">
        <v>16</v>
      </c>
      <c r="C8" s="56"/>
      <c r="D8" s="57"/>
      <c r="E8" s="58"/>
      <c r="F8" s="59"/>
      <c r="G8" s="59"/>
      <c r="H8" s="59"/>
      <c r="I8" s="59"/>
      <c r="J8" s="59"/>
      <c r="K8" s="59"/>
      <c r="L8" s="59"/>
      <c r="M8" s="59"/>
    </row>
    <row r="9" spans="1:13" ht="18" customHeight="1" x14ac:dyDescent="0.2">
      <c r="B9" s="18" t="str">
        <f>'Price List_Excl GST'!B9</f>
        <v>BLNN2AU</v>
      </c>
      <c r="C9" s="19"/>
      <c r="D9" s="125" t="str">
        <f>'Price List_Excl GST'!D9</f>
        <v>LV Residential Anytime</v>
      </c>
      <c r="E9" s="126">
        <f>'Price List_Excl GST'!E9</f>
        <v>0</v>
      </c>
      <c r="F9" s="20">
        <f>ROUND(VLOOKUP($B9,'[2]NUOS (t)'!$B$10:$P$66,4,FALSE)/366,4)*1.1</f>
        <v>1.1437800000000002</v>
      </c>
      <c r="G9" s="20">
        <f>ROUND(VLOOKUP($B9,'[2]NUOS (t)'!$B$10:$P$66,5,FALSE),4)*1.1</f>
        <v>13.385900000000001</v>
      </c>
      <c r="H9" s="20"/>
      <c r="I9" s="20"/>
      <c r="J9" s="20"/>
      <c r="K9" s="20"/>
      <c r="L9" s="20"/>
      <c r="M9" s="20"/>
    </row>
    <row r="10" spans="1:13" ht="18" customHeight="1" x14ac:dyDescent="0.2">
      <c r="B10" s="18" t="str">
        <f>'Price List_Excl GST'!B10</f>
        <v>BLNT3AU</v>
      </c>
      <c r="C10" s="19"/>
      <c r="D10" s="125" t="str">
        <f>'Price List_Excl GST'!D10</f>
        <v>LV Residential TOU</v>
      </c>
      <c r="E10" s="126">
        <f>'Price List_Excl GST'!E10</f>
        <v>0</v>
      </c>
      <c r="F10" s="20">
        <f>ROUND(VLOOKUP($B10,'[2]NUOS (t)'!$B$10:$P$66,4,FALSE)/366,4)*1.1</f>
        <v>1.1437800000000002</v>
      </c>
      <c r="G10" s="20"/>
      <c r="H10" s="20">
        <f>ROUND(VLOOKUP($B10,'[2]NUOS (t)'!$B$10:$P$66,6,FALSE),4)*1.1</f>
        <v>18.68713</v>
      </c>
      <c r="I10" s="20">
        <f>ROUND(VLOOKUP($B10,'[2]NUOS (t)'!$B$10:$P$66,7,FALSE),4)*1.1</f>
        <v>14.521650000000001</v>
      </c>
      <c r="J10" s="20">
        <f>ROUND(VLOOKUP($B10,'[2]NUOS (t)'!$B$10:$P$66,8,FALSE),4)*1.1</f>
        <v>5.5603900000000008</v>
      </c>
      <c r="K10" s="20"/>
      <c r="L10" s="20"/>
      <c r="M10" s="20"/>
    </row>
    <row r="11" spans="1:13" ht="18" customHeight="1" x14ac:dyDescent="0.2">
      <c r="B11" s="18" t="str">
        <f>'Price List_Excl GST'!B11</f>
        <v>BLNT3AL</v>
      </c>
      <c r="C11" s="19"/>
      <c r="D11" s="125" t="str">
        <f>'Price List_Excl GST'!D11</f>
        <v>LV Residential TOU_Interval meter</v>
      </c>
      <c r="E11" s="126">
        <f>'Price List_Excl GST'!E11</f>
        <v>0</v>
      </c>
      <c r="F11" s="20">
        <f>ROUND(VLOOKUP($B11,'[2]NUOS (t)'!$B$10:$P$66,4,FALSE)/366,4)*1.1</f>
        <v>1.1437800000000002</v>
      </c>
      <c r="G11" s="20"/>
      <c r="H11" s="20">
        <f>ROUND(VLOOKUP($B11,'[2]NUOS (t)'!$B$10:$P$66,6,FALSE),4)*1.1</f>
        <v>19.408730000000002</v>
      </c>
      <c r="I11" s="20">
        <f>ROUND(VLOOKUP($B11,'[2]NUOS (t)'!$B$10:$P$66,7,FALSE),4)*1.1</f>
        <v>13.965380000000001</v>
      </c>
      <c r="J11" s="20">
        <f>ROUND(VLOOKUP($B11,'[2]NUOS (t)'!$B$10:$P$66,8,FALSE),4)*1.1</f>
        <v>5.5603900000000008</v>
      </c>
      <c r="K11" s="20"/>
      <c r="L11" s="20"/>
      <c r="M11" s="20"/>
    </row>
    <row r="12" spans="1:13" ht="18" customHeight="1" x14ac:dyDescent="0.2">
      <c r="B12" s="18" t="str">
        <f>'Price List_Excl GST'!B12</f>
        <v>BLND1AR</v>
      </c>
      <c r="C12" s="19"/>
      <c r="D12" s="125" t="str">
        <f>'Price List_Excl GST'!D12</f>
        <v>Small Residential - Opt in Demand</v>
      </c>
      <c r="E12" s="126">
        <f>'Price List_Excl GST'!E12</f>
        <v>0</v>
      </c>
      <c r="F12" s="20">
        <f>ROUND(VLOOKUP($B12,'[2]NUOS (t)'!$B$10:$P$66,4,FALSE)/366,4)*1.1</f>
        <v>1.1437800000000002</v>
      </c>
      <c r="G12" s="20"/>
      <c r="H12" s="20">
        <f>ROUND(VLOOKUP($B12,'[2]NUOS (t)'!$B$10:$P$66,6,FALSE),4)*1.1</f>
        <v>5.4327900000000007</v>
      </c>
      <c r="I12" s="20">
        <f>ROUND(VLOOKUP($B12,'[2]NUOS (t)'!$B$10:$P$66,7,FALSE),4)*1.1</f>
        <v>4.0224800000000007</v>
      </c>
      <c r="J12" s="20">
        <f>ROUND(VLOOKUP($B12,'[2]NUOS (t)'!$B$10:$P$66,8,FALSE),4)*1.1</f>
        <v>2.4886400000000002</v>
      </c>
      <c r="K12" s="20">
        <f>ROUND(VLOOKUP($B12,'[2]NUOS (t)'!$B$10:$P$66,10,FALSE),4)*1.1</f>
        <v>5.2019000000000002</v>
      </c>
      <c r="L12" s="117"/>
      <c r="M12" s="20"/>
    </row>
    <row r="13" spans="1:13" s="60" customFormat="1" ht="18" x14ac:dyDescent="0.25">
      <c r="A13" s="54"/>
      <c r="B13" s="56" t="s">
        <v>19</v>
      </c>
      <c r="C13" s="56"/>
      <c r="D13" s="61"/>
      <c r="E13" s="62"/>
      <c r="F13" s="63"/>
      <c r="G13" s="64"/>
      <c r="H13" s="64"/>
      <c r="I13" s="64"/>
      <c r="J13" s="64"/>
      <c r="K13" s="64"/>
      <c r="L13" s="64"/>
      <c r="M13" s="64"/>
    </row>
    <row r="14" spans="1:13" ht="18" customHeight="1" x14ac:dyDescent="0.2">
      <c r="B14" s="18" t="str">
        <f>'Price List_Excl GST'!B14</f>
        <v>BLNC1AU</v>
      </c>
      <c r="C14" s="19"/>
      <c r="D14" s="125" t="str">
        <f>'Price List_Excl GST'!D14</f>
        <v>Controlled Load 1</v>
      </c>
      <c r="E14" s="126">
        <f>'Price List_Excl GST'!E14</f>
        <v>0</v>
      </c>
      <c r="F14" s="20">
        <f>ROUND(VLOOKUP($B14,'[2]NUOS (t)'!$B$10:$P$66,4,FALSE)/366,4)*1.1</f>
        <v>0.11803000000000001</v>
      </c>
      <c r="G14" s="20">
        <f>ROUND(VLOOKUP($B14,'[2]NUOS (t)'!$B$10:$P$66,5,FALSE),4)*1.1</f>
        <v>2.6295500000000001</v>
      </c>
      <c r="H14" s="20"/>
      <c r="I14" s="20"/>
      <c r="J14" s="20"/>
      <c r="K14" s="20"/>
      <c r="L14" s="20"/>
      <c r="M14" s="20"/>
    </row>
    <row r="15" spans="1:13" ht="18" customHeight="1" x14ac:dyDescent="0.2">
      <c r="B15" s="18" t="str">
        <f>'Price List_Excl GST'!B15</f>
        <v>BLNC2AU</v>
      </c>
      <c r="C15" s="19"/>
      <c r="D15" s="125" t="str">
        <f>'Price List_Excl GST'!D15</f>
        <v>Controlled Load 2</v>
      </c>
      <c r="E15" s="126">
        <f>'Price List_Excl GST'!E15</f>
        <v>0</v>
      </c>
      <c r="F15" s="20">
        <f>ROUND(VLOOKUP($B15,'[2]NUOS (t)'!$B$10:$P$66,4,FALSE)/366,4)*1.1</f>
        <v>0.11803000000000001</v>
      </c>
      <c r="G15" s="20">
        <f>ROUND(VLOOKUP($B15,'[2]NUOS (t)'!$B$10:$P$66,5,FALSE),4)*1.1</f>
        <v>5.8797200000000007</v>
      </c>
      <c r="H15" s="20"/>
      <c r="I15" s="20"/>
      <c r="J15" s="20"/>
      <c r="K15" s="20"/>
      <c r="L15" s="20"/>
      <c r="M15" s="20"/>
    </row>
    <row r="16" spans="1:13" s="60" customFormat="1" ht="18" x14ac:dyDescent="0.25">
      <c r="A16" s="54"/>
      <c r="B16" s="65" t="s">
        <v>85</v>
      </c>
      <c r="C16" s="65"/>
      <c r="D16" s="66"/>
      <c r="E16" s="67"/>
      <c r="F16" s="68"/>
      <c r="G16" s="68"/>
      <c r="H16" s="68"/>
      <c r="I16" s="68"/>
      <c r="J16" s="68"/>
      <c r="K16" s="68"/>
      <c r="L16" s="68"/>
      <c r="M16" s="68"/>
    </row>
    <row r="17" spans="1:13" ht="18" customHeight="1" x14ac:dyDescent="0.2">
      <c r="A17" s="131"/>
      <c r="B17" s="24" t="str">
        <f>'Price List_Excl GST'!B17</f>
        <v>BLNE21AU</v>
      </c>
      <c r="C17" s="19"/>
      <c r="D17" s="125" t="str">
        <f>'Price List_Excl GST'!D17</f>
        <v>Residential Anytime Export gross metered</v>
      </c>
      <c r="E17" s="126">
        <f>'Price List_Excl GST'!E17</f>
        <v>0</v>
      </c>
      <c r="F17" s="25"/>
      <c r="G17" s="29">
        <v>0</v>
      </c>
      <c r="H17" s="25"/>
      <c r="I17" s="25"/>
      <c r="J17" s="25"/>
      <c r="K17" s="25"/>
      <c r="L17" s="25"/>
      <c r="M17" s="25"/>
    </row>
    <row r="18" spans="1:13" ht="18" customHeight="1" x14ac:dyDescent="0.2">
      <c r="A18" s="131"/>
      <c r="B18" s="24" t="str">
        <f>'Price List_Excl GST'!B18</f>
        <v>BLNE23AU</v>
      </c>
      <c r="C18" s="19"/>
      <c r="D18" s="125" t="str">
        <f>'Price List_Excl GST'!D18</f>
        <v>Residential Anytime Export net metered</v>
      </c>
      <c r="E18" s="126">
        <f>'Price List_Excl GST'!E18</f>
        <v>0</v>
      </c>
      <c r="F18" s="25"/>
      <c r="G18" s="29">
        <v>0</v>
      </c>
      <c r="H18" s="25"/>
      <c r="I18" s="25"/>
      <c r="J18" s="25"/>
      <c r="K18" s="25"/>
      <c r="L18" s="25"/>
      <c r="M18" s="25"/>
    </row>
    <row r="19" spans="1:13" ht="18" customHeight="1" x14ac:dyDescent="0.2">
      <c r="A19" s="26"/>
      <c r="B19" s="24" t="str">
        <f>'Price List_Excl GST'!B19</f>
        <v>BLNE20AU</v>
      </c>
      <c r="C19" s="19"/>
      <c r="D19" s="125" t="str">
        <f>'Price List_Excl GST'!D19</f>
        <v>Business Anytime Export gross metered</v>
      </c>
      <c r="E19" s="126">
        <f>'Price List_Excl GST'!E19</f>
        <v>0</v>
      </c>
      <c r="F19" s="25"/>
      <c r="G19" s="29">
        <v>0</v>
      </c>
      <c r="H19" s="25"/>
      <c r="I19" s="25"/>
      <c r="J19" s="25"/>
      <c r="K19" s="25"/>
      <c r="L19" s="25"/>
      <c r="M19" s="25"/>
    </row>
    <row r="20" spans="1:13" ht="18" customHeight="1" x14ac:dyDescent="0.2">
      <c r="A20" s="26"/>
      <c r="B20" s="24" t="str">
        <f>'Price List_Excl GST'!B20</f>
        <v>BLNE22AU</v>
      </c>
      <c r="C20" s="19"/>
      <c r="D20" s="125" t="str">
        <f>'Price List_Excl GST'!D20</f>
        <v>Business Anytime Export net metered</v>
      </c>
      <c r="E20" s="126">
        <f>'Price List_Excl GST'!E20</f>
        <v>0</v>
      </c>
      <c r="F20" s="25"/>
      <c r="G20" s="29">
        <v>0</v>
      </c>
      <c r="H20" s="25"/>
      <c r="I20" s="25"/>
      <c r="J20" s="25"/>
      <c r="K20" s="25"/>
      <c r="L20" s="25"/>
      <c r="M20" s="25"/>
    </row>
    <row r="21" spans="1:13" ht="18" customHeight="1" x14ac:dyDescent="0.2">
      <c r="A21" s="26"/>
      <c r="B21" s="24" t="str">
        <f>'Price List_Excl GST'!B21</f>
        <v>BLNE0AU</v>
      </c>
      <c r="C21" s="19"/>
      <c r="D21" s="125" t="str">
        <f>'Price List_Excl GST'!D21</f>
        <v>Ineligible Export</v>
      </c>
      <c r="E21" s="126">
        <f>'Price List_Excl GST'!E21</f>
        <v>0</v>
      </c>
      <c r="F21" s="25"/>
      <c r="G21" s="29">
        <v>0</v>
      </c>
      <c r="H21" s="25"/>
      <c r="I21" s="25"/>
      <c r="J21" s="25"/>
      <c r="K21" s="25"/>
      <c r="L21" s="25"/>
      <c r="M21" s="25"/>
    </row>
    <row r="22" spans="1:13" ht="18" customHeight="1" x14ac:dyDescent="0.2">
      <c r="A22" s="27"/>
      <c r="B22" s="28" t="str">
        <f>'Price List_Excl GST'!B22</f>
        <v>BLNE26AU</v>
      </c>
      <c r="C22" s="19"/>
      <c r="D22" s="125" t="str">
        <f>'Price List_Excl GST'!D22</f>
        <v xml:space="preserve">QLD Government Solar Bonus </v>
      </c>
      <c r="E22" s="126">
        <f>'Price List_Excl GST'!E22</f>
        <v>0</v>
      </c>
      <c r="F22" s="20"/>
      <c r="G22" s="29">
        <v>0</v>
      </c>
      <c r="H22" s="20"/>
      <c r="I22" s="20"/>
      <c r="J22" s="20"/>
      <c r="K22" s="20"/>
      <c r="L22" s="20"/>
      <c r="M22" s="20"/>
    </row>
    <row r="23" spans="1:13" ht="18" customHeight="1" x14ac:dyDescent="0.2">
      <c r="A23" s="7"/>
      <c r="B23" s="18" t="str">
        <f>'Price List_Excl GST'!B23</f>
        <v>BLNE27AU</v>
      </c>
      <c r="C23" s="30"/>
      <c r="D23" s="125" t="str">
        <f>'Price List_Excl GST'!D23</f>
        <v xml:space="preserve">QLD Government Solar Bonus </v>
      </c>
      <c r="E23" s="126">
        <f>'Price List_Excl GST'!E23</f>
        <v>0</v>
      </c>
      <c r="F23" s="25"/>
      <c r="G23" s="29">
        <v>0</v>
      </c>
      <c r="H23" s="25"/>
      <c r="I23" s="25"/>
      <c r="J23" s="25"/>
      <c r="K23" s="25"/>
      <c r="L23" s="25"/>
      <c r="M23" s="25"/>
    </row>
    <row r="24" spans="1:13" s="60" customFormat="1" ht="18" x14ac:dyDescent="0.25">
      <c r="A24" s="54"/>
      <c r="B24" s="65" t="s">
        <v>18</v>
      </c>
      <c r="C24" s="65"/>
      <c r="D24" s="66"/>
      <c r="E24" s="67"/>
      <c r="F24" s="68"/>
      <c r="G24" s="68"/>
      <c r="H24" s="68"/>
      <c r="I24" s="68"/>
      <c r="J24" s="68"/>
      <c r="K24" s="68"/>
      <c r="L24" s="68"/>
      <c r="M24" s="68"/>
    </row>
    <row r="25" spans="1:13" ht="18" customHeight="1" x14ac:dyDescent="0.2">
      <c r="B25" s="18" t="str">
        <f>'Price List_Excl GST'!B25</f>
        <v>BLNN1AU</v>
      </c>
      <c r="C25" s="19"/>
      <c r="D25" s="125" t="str">
        <f>'Price List_Excl GST'!D25</f>
        <v>LV Small Business Anytime</v>
      </c>
      <c r="E25" s="126">
        <f>'Price List_Excl GST'!E25</f>
        <v>0</v>
      </c>
      <c r="F25" s="20">
        <f>ROUND(VLOOKUP($B25,'[2]NUOS (t)'!$B$10:$P$66,4,FALSE)/366,4)*1.1</f>
        <v>1.1437800000000002</v>
      </c>
      <c r="G25" s="20">
        <f>ROUND(VLOOKUP($B25,'[2]NUOS (t)'!$B$10:$P$66,5,FALSE),4)*1.1</f>
        <v>18.513550000000002</v>
      </c>
      <c r="H25" s="20"/>
      <c r="I25" s="20"/>
      <c r="J25" s="20"/>
      <c r="K25" s="20"/>
      <c r="L25" s="20"/>
      <c r="M25" s="20"/>
    </row>
    <row r="26" spans="1:13" ht="18" customHeight="1" x14ac:dyDescent="0.2">
      <c r="B26" s="18" t="str">
        <f>'Price List_Excl GST'!B26</f>
        <v>BLNT2AU</v>
      </c>
      <c r="C26" s="19"/>
      <c r="D26" s="125" t="str">
        <f>'Price List_Excl GST'!D26</f>
        <v xml:space="preserve">LV TOU &lt;100MWh </v>
      </c>
      <c r="E26" s="126">
        <f>'Price List_Excl GST'!E26</f>
        <v>0</v>
      </c>
      <c r="F26" s="20">
        <f>ROUND(VLOOKUP($B26,'[2]NUOS (t)'!$B$10:$P$66,4,FALSE)/366,4)*1.1</f>
        <v>4.1581100000000006</v>
      </c>
      <c r="G26" s="20"/>
      <c r="H26" s="20">
        <f>ROUND(VLOOKUP($B26,'[2]NUOS (t)'!$B$10:$P$66,6,FALSE),4)*1.1</f>
        <v>19.784380000000002</v>
      </c>
      <c r="I26" s="20">
        <f>ROUND(VLOOKUP($B26,'[2]NUOS (t)'!$B$10:$P$66,7,FALSE),4)*1.1</f>
        <v>15.471940000000002</v>
      </c>
      <c r="J26" s="20">
        <f>ROUND(VLOOKUP($B26,'[2]NUOS (t)'!$B$10:$P$66,8,FALSE),4)*1.1</f>
        <v>8.160680000000001</v>
      </c>
      <c r="K26" s="20"/>
      <c r="L26" s="20"/>
      <c r="M26" s="20"/>
    </row>
    <row r="27" spans="1:13" ht="18" customHeight="1" x14ac:dyDescent="0.2">
      <c r="B27" s="18" t="str">
        <f>'Price List_Excl GST'!B27</f>
        <v>BLNT2AL</v>
      </c>
      <c r="C27" s="19"/>
      <c r="D27" s="125" t="str">
        <f>'Price List_Excl GST'!D27</f>
        <v>LV Business TOU_Interval meter</v>
      </c>
      <c r="E27" s="126">
        <f>'Price List_Excl GST'!E27</f>
        <v>0</v>
      </c>
      <c r="F27" s="20">
        <f>ROUND(VLOOKUP($B27,'[2]NUOS (t)'!$B$10:$P$66,4,FALSE)/366,4)*1.1</f>
        <v>1.9445800000000002</v>
      </c>
      <c r="G27" s="20"/>
      <c r="H27" s="20">
        <f>ROUND(VLOOKUP($B27,'[2]NUOS (t)'!$B$10:$P$66,6,FALSE),4)*1.1</f>
        <v>20.537990000000001</v>
      </c>
      <c r="I27" s="20">
        <f>ROUND(VLOOKUP($B27,'[2]NUOS (t)'!$B$10:$P$66,7,FALSE),4)*1.1</f>
        <v>14.890920000000001</v>
      </c>
      <c r="J27" s="20">
        <f>ROUND(VLOOKUP($B27,'[2]NUOS (t)'!$B$10:$P$66,8,FALSE),4)*1.1</f>
        <v>7.8828200000000006</v>
      </c>
      <c r="K27" s="20"/>
      <c r="L27" s="20"/>
      <c r="M27" s="20"/>
    </row>
    <row r="28" spans="1:13" ht="18" customHeight="1" x14ac:dyDescent="0.2">
      <c r="B28" s="18" t="str">
        <f>'Price List_Excl GST'!B28</f>
        <v>BLND1AB</v>
      </c>
      <c r="C28" s="19"/>
      <c r="D28" s="125" t="str">
        <f>'Price List_Excl GST'!D28</f>
        <v>Small Business - Opt in Demand</v>
      </c>
      <c r="E28" s="126">
        <f>'Price List_Excl GST'!E28</f>
        <v>0</v>
      </c>
      <c r="F28" s="20">
        <f>ROUND(VLOOKUP($B28,'[2]NUOS (t)'!$B$10:$P$66,4,FALSE)/366,4)*1.1</f>
        <v>1.9445800000000002</v>
      </c>
      <c r="G28" s="20"/>
      <c r="H28" s="20">
        <f>ROUND(VLOOKUP($B28,'[2]NUOS (t)'!$B$10:$P$66,6,FALSE),4)*1.1</f>
        <v>9.1789500000000004</v>
      </c>
      <c r="I28" s="20">
        <f>ROUND(VLOOKUP($B28,'[2]NUOS (t)'!$B$10:$P$66,7,FALSE),4)*1.1</f>
        <v>6.6433400000000002</v>
      </c>
      <c r="J28" s="20">
        <f>ROUND(VLOOKUP($B28,'[2]NUOS (t)'!$B$10:$P$66,8,FALSE),4)*1.1</f>
        <v>3.6513400000000003</v>
      </c>
      <c r="K28" s="20">
        <f>ROUND(VLOOKUP($B28,'[2]NUOS (t)'!$B$10:$P$66,10,FALSE),4)*1.1</f>
        <v>8.4529500000000013</v>
      </c>
      <c r="L28" s="117"/>
      <c r="M28" s="20"/>
    </row>
    <row r="29" spans="1:13" ht="18" customHeight="1" x14ac:dyDescent="0.2">
      <c r="B29" s="18" t="str">
        <f>'Price List_Excl GST'!B29</f>
        <v>BLNT1AO</v>
      </c>
      <c r="C29" s="19">
        <f>'Price List_Excl GST'!C29</f>
        <v>0</v>
      </c>
      <c r="D29" s="125" t="str">
        <f>'Price List_Excl GST'!D29</f>
        <v xml:space="preserve">LV TOU &lt;160MWh </v>
      </c>
      <c r="E29" s="126">
        <f>'Price List_Excl GST'!E29</f>
        <v>0</v>
      </c>
      <c r="F29" s="20">
        <f>ROUND(VLOOKUP($B29,'[2]NUOS (t)'!$B$10:$P$66,4,FALSE)/366,4)*1.1</f>
        <v>4.1581100000000006</v>
      </c>
      <c r="G29" s="20"/>
      <c r="H29" s="20">
        <f>ROUND(VLOOKUP($B29,'[2]NUOS (t)'!$B$10:$P$66,6,FALSE),4)*1.1</f>
        <v>19.784380000000002</v>
      </c>
      <c r="I29" s="20">
        <f>ROUND(VLOOKUP($B29,'[2]NUOS (t)'!$B$10:$P$66,7,FALSE),4)*1.1</f>
        <v>15.471940000000002</v>
      </c>
      <c r="J29" s="20">
        <f>ROUND(VLOOKUP($B29,'[2]NUOS (t)'!$B$10:$P$66,8,FALSE),4)*1.1</f>
        <v>8.160680000000001</v>
      </c>
      <c r="K29" s="20"/>
      <c r="L29" s="20"/>
      <c r="M29" s="20"/>
    </row>
    <row r="30" spans="1:13" ht="18" customHeight="1" x14ac:dyDescent="0.2">
      <c r="B30" s="18" t="str">
        <f>'Price List_Excl GST'!B30</f>
        <v>BLNDTRS</v>
      </c>
      <c r="C30" s="19"/>
      <c r="D30" s="125" t="str">
        <f>'Price List_Excl GST'!D30</f>
        <v>Transitional Demand</v>
      </c>
      <c r="E30" s="126">
        <f>'Price List_Excl GST'!E30</f>
        <v>0</v>
      </c>
      <c r="F30" s="20">
        <f>ROUND(VLOOKUP($B30,'[2]NUOS (t)'!$B$10:$P$66,4,FALSE)/366,4)*1.1</f>
        <v>19.544690000000003</v>
      </c>
      <c r="G30" s="20"/>
      <c r="H30" s="20">
        <f>ROUND(VLOOKUP($B30,'[2]NUOS (t)'!$B$10:$P$66,6,FALSE),4)*1.1</f>
        <v>5.341050000000001</v>
      </c>
      <c r="I30" s="20">
        <f>ROUND(VLOOKUP($B30,'[2]NUOS (t)'!$B$10:$P$66,7,FALSE),4)*1.1</f>
        <v>4.2999000000000001</v>
      </c>
      <c r="J30" s="20">
        <f>ROUND(VLOOKUP($B30,'[2]NUOS (t)'!$B$10:$P$66,8,FALSE),4)*1.1</f>
        <v>2.78531</v>
      </c>
      <c r="K30" s="20">
        <f>ROUND(VLOOKUP($B30,'[2]NUOS (t)'!$B$10:$P$66,10,FALSE),4)*1.1</f>
        <v>12.06062</v>
      </c>
      <c r="L30" s="20">
        <f>ROUND(VLOOKUP($B30,'[2]NUOS (t)'!$B$10:$P$66,11,FALSE),4)*1.1</f>
        <v>10.912000000000001</v>
      </c>
      <c r="M30" s="20">
        <f>ROUND(VLOOKUP($B30,'[2]NUOS (t)'!$B$10:$P$66,12,FALSE),4)*1.1</f>
        <v>2.8592300000000002</v>
      </c>
    </row>
    <row r="31" spans="1:13" ht="18" customHeight="1" x14ac:dyDescent="0.2">
      <c r="B31" s="18" t="str">
        <f>'Price List_Excl GST'!B31</f>
        <v>BLND3AO</v>
      </c>
      <c r="C31" s="19"/>
      <c r="D31" s="125" t="str">
        <f>'Price List_Excl GST'!D31</f>
        <v>LV TOU Demand 3 Rate</v>
      </c>
      <c r="E31" s="126">
        <f>'Price List_Excl GST'!E31</f>
        <v>0</v>
      </c>
      <c r="F31" s="20">
        <f>ROUND(VLOOKUP($B31,'[2]NUOS (t)'!$B$10:$P$66,4,FALSE)/366,4)*1.1</f>
        <v>19.544690000000003</v>
      </c>
      <c r="G31" s="20"/>
      <c r="H31" s="20">
        <f>ROUND(VLOOKUP($B31,'[2]NUOS (t)'!$B$10:$P$66,6,FALSE),4)*1.1</f>
        <v>5.341050000000001</v>
      </c>
      <c r="I31" s="20">
        <f>ROUND(VLOOKUP($B31,'[2]NUOS (t)'!$B$10:$P$66,7,FALSE),4)*1.1</f>
        <v>4.2999000000000001</v>
      </c>
      <c r="J31" s="20">
        <f>ROUND(VLOOKUP($B31,'[2]NUOS (t)'!$B$10:$P$66,8,FALSE),4)*1.1</f>
        <v>2.78531</v>
      </c>
      <c r="K31" s="20">
        <f>ROUND(VLOOKUP($B31,'[2]NUOS (t)'!$B$10:$P$66,10,FALSE),4)*1.1</f>
        <v>12.06062</v>
      </c>
      <c r="L31" s="20">
        <f>ROUND(VLOOKUP($B31,'[2]NUOS (t)'!$B$10:$P$66,11,FALSE),4)*1.1</f>
        <v>10.912000000000001</v>
      </c>
      <c r="M31" s="20">
        <f>ROUND(VLOOKUP($B31,'[2]NUOS (t)'!$B$10:$P$66,12,FALSE),4)*1.1</f>
        <v>2.8592300000000002</v>
      </c>
    </row>
    <row r="32" spans="1:13" ht="18" customHeight="1" x14ac:dyDescent="0.2">
      <c r="B32" s="18" t="str">
        <f>'Price List_Excl GST'!B32</f>
        <v>BLND3TO</v>
      </c>
      <c r="C32" s="19"/>
      <c r="D32" s="125" t="str">
        <f>'Price List_Excl GST'!D32</f>
        <v>LV TOU Demand Alternative tariff</v>
      </c>
      <c r="E32" s="126">
        <f>'Price List_Excl GST'!E32</f>
        <v>0</v>
      </c>
      <c r="F32" s="20">
        <f>ROUND(VLOOKUP($B32,'[2]NUOS (t)'!$B$10:$P$66,4,FALSE)/366,4)*1.1</f>
        <v>19.544690000000003</v>
      </c>
      <c r="G32" s="20"/>
      <c r="H32" s="20">
        <f>ROUND(VLOOKUP($B32,'[2]NUOS (t)'!$B$10:$P$66,6,FALSE),4)*1.1</f>
        <v>17.619580000000003</v>
      </c>
      <c r="I32" s="20">
        <f>ROUND(VLOOKUP($B32,'[2]NUOS (t)'!$B$10:$P$66,7,FALSE),4)*1.1</f>
        <v>13.395140000000001</v>
      </c>
      <c r="J32" s="20">
        <f>ROUND(VLOOKUP($B32,'[2]NUOS (t)'!$B$10:$P$66,8,FALSE),4)*1.1</f>
        <v>5.8524400000000005</v>
      </c>
      <c r="K32" s="120">
        <f>ROUND(VLOOKUP($B32,'[2]NUOS (t)'!$B$10:$P$66,10,FALSE),4)*1.1</f>
        <v>15.513080000000002</v>
      </c>
      <c r="L32" s="121"/>
      <c r="M32" s="20"/>
    </row>
    <row r="33" spans="1:16" ht="18" customHeight="1" x14ac:dyDescent="0.2">
      <c r="B33" s="18" t="str">
        <f>'Price List_Excl GST'!B33</f>
        <v>BHND3AO</v>
      </c>
      <c r="C33" s="19"/>
      <c r="D33" s="125" t="str">
        <f>'Price List_Excl GST'!D33</f>
        <v>HV TOU mthly Demand</v>
      </c>
      <c r="E33" s="126">
        <f>'Price List_Excl GST'!E33</f>
        <v>0</v>
      </c>
      <c r="F33" s="20">
        <f>ROUND(VLOOKUP($B33,'[2]NUOS (t)'!$B$10:$P$66,4,FALSE)/366,4)*1.1</f>
        <v>24.193180000000002</v>
      </c>
      <c r="G33" s="20"/>
      <c r="H33" s="20">
        <f>ROUND(VLOOKUP($B33,'[2]NUOS (t)'!$B$10:$P$66,6,FALSE),4)*1.1</f>
        <v>4.0422799999999999</v>
      </c>
      <c r="I33" s="20">
        <f>ROUND(VLOOKUP($B33,'[2]NUOS (t)'!$B$10:$P$66,7,FALSE),4)*1.1</f>
        <v>3.29373</v>
      </c>
      <c r="J33" s="20">
        <f>ROUND(VLOOKUP($B33,'[2]NUOS (t)'!$B$10:$P$66,8,FALSE),4)*1.1</f>
        <v>2.6998400000000005</v>
      </c>
      <c r="K33" s="20">
        <f>ROUND(VLOOKUP($B33,'[2]NUOS (t)'!$B$10:$P$66,10,FALSE),4)*1.1</f>
        <v>11.52327</v>
      </c>
      <c r="L33" s="20">
        <f>ROUND(VLOOKUP($B33,'[2]NUOS (t)'!$B$10:$P$66,11,FALSE),4)*1.1</f>
        <v>10.425800000000001</v>
      </c>
      <c r="M33" s="20">
        <f>ROUND(VLOOKUP($B33,'[2]NUOS (t)'!$B$10:$P$66,12,FALSE),4)*1.1</f>
        <v>3.1199300000000001</v>
      </c>
    </row>
    <row r="34" spans="1:16" ht="18" customHeight="1" x14ac:dyDescent="0.2">
      <c r="B34" s="18" t="str">
        <f>'Price List_Excl GST'!B34</f>
        <v>BSSD3AO</v>
      </c>
      <c r="C34" s="19"/>
      <c r="D34" s="134" t="str">
        <f>'Price List_Excl GST'!D34</f>
        <v>Sub Trans 3 Rate Demand</v>
      </c>
      <c r="E34" s="135">
        <f>'Price List_Excl GST'!E34</f>
        <v>0</v>
      </c>
      <c r="F34" s="20">
        <f>ROUND(VLOOKUP($B34,'[2]NUOS (t)'!$B$10:$P$66,4,FALSE)/366,4)*1.1</f>
        <v>24.015310000000003</v>
      </c>
      <c r="G34" s="20"/>
      <c r="H34" s="20">
        <f>ROUND(VLOOKUP($B34,'[2]NUOS (t)'!$B$10:$P$66,6,FALSE),4)*1.1</f>
        <v>4.7164700000000002</v>
      </c>
      <c r="I34" s="20">
        <f>ROUND(VLOOKUP($B34,'[2]NUOS (t)'!$B$10:$P$66,7,FALSE),4)*1.1</f>
        <v>2.7988400000000002</v>
      </c>
      <c r="J34" s="20">
        <f>ROUND(VLOOKUP($B34,'[2]NUOS (t)'!$B$10:$P$66,8,FALSE),4)*1.1</f>
        <v>2.3331000000000004</v>
      </c>
      <c r="K34" s="20">
        <f>ROUND(VLOOKUP($B34,'[2]NUOS (t)'!$B$10:$P$66,10,FALSE),4)*1.1</f>
        <v>4.4467500000000006</v>
      </c>
      <c r="L34" s="20">
        <f>ROUND(VLOOKUP($B34,'[2]NUOS (t)'!$B$10:$P$66,11,FALSE),4)*1.1</f>
        <v>3.1700900000000001</v>
      </c>
      <c r="M34" s="20">
        <f>ROUND(VLOOKUP($B34,'[2]NUOS (t)'!$B$10:$P$66,12,FALSE),4)*1.1</f>
        <v>1.2636800000000001</v>
      </c>
    </row>
    <row r="35" spans="1:16" s="60" customFormat="1" ht="18" x14ac:dyDescent="0.25">
      <c r="A35" s="54"/>
      <c r="B35" s="65" t="s">
        <v>45</v>
      </c>
      <c r="C35" s="65"/>
      <c r="D35" s="66"/>
      <c r="E35" s="67"/>
      <c r="F35" s="69"/>
      <c r="G35" s="69"/>
      <c r="H35" s="69"/>
      <c r="I35" s="69"/>
      <c r="J35" s="69"/>
      <c r="K35" s="69"/>
      <c r="L35" s="69"/>
      <c r="M35" s="69"/>
    </row>
    <row r="36" spans="1:16" ht="18" customHeight="1" x14ac:dyDescent="0.2">
      <c r="B36" s="18" t="s">
        <v>36</v>
      </c>
      <c r="C36" s="19" t="s">
        <v>44</v>
      </c>
      <c r="D36" s="125" t="s">
        <v>107</v>
      </c>
      <c r="E36" s="126"/>
      <c r="F36" s="20">
        <f>ROUND(VLOOKUP($B36,'[2]NUOS (t)'!$B$10:$P$80,4,FALSE)/366,4)*1.1</f>
        <v>1.1437800000000002</v>
      </c>
      <c r="G36" s="20">
        <f>ROUND(VLOOKUP($B36,'[2]NUOS (t)'!$B$10:$P$80,5,FALSE),4)*1.1</f>
        <v>20.076980000000002</v>
      </c>
      <c r="H36" s="20"/>
      <c r="I36" s="20"/>
      <c r="J36" s="20"/>
      <c r="K36" s="20"/>
      <c r="L36" s="20"/>
      <c r="M36" s="20"/>
    </row>
    <row r="37" spans="1:16" ht="18" customHeight="1" x14ac:dyDescent="0.2">
      <c r="B37" s="18" t="s">
        <v>37</v>
      </c>
      <c r="C37" s="19"/>
      <c r="D37" s="125" t="s">
        <v>108</v>
      </c>
      <c r="E37" s="126"/>
      <c r="F37" s="20">
        <f>ROUND(VLOOKUP($B37,'[2]NUOS (t)'!$B$10:$P$80,4,FALSE)/366,4)*1.1</f>
        <v>0</v>
      </c>
      <c r="G37" s="20"/>
      <c r="H37" s="20">
        <f>ROUND(VLOOKUP($B37,'[2]NUOS (t)'!$B$10:$P$80,6,FALSE),4)*1.1</f>
        <v>22.670670000000001</v>
      </c>
      <c r="I37" s="20">
        <f>ROUND(VLOOKUP($B37,'[2]NUOS (t)'!$B$10:$P$80,7,FALSE),4)*1.1</f>
        <v>17.150870000000001</v>
      </c>
      <c r="J37" s="20">
        <f>ROUND(VLOOKUP($B37,'[2]NUOS (t)'!$B$10:$P$80,8,FALSE),4)*1.1</f>
        <v>8.5342400000000005</v>
      </c>
      <c r="K37" s="20"/>
      <c r="L37" s="20"/>
      <c r="M37" s="20"/>
    </row>
    <row r="38" spans="1:16" s="60" customFormat="1" ht="18" x14ac:dyDescent="0.25">
      <c r="A38" s="54"/>
      <c r="B38" s="65" t="s">
        <v>69</v>
      </c>
      <c r="C38" s="65"/>
      <c r="D38" s="66"/>
      <c r="E38" s="67"/>
      <c r="F38" s="69"/>
      <c r="G38" s="69"/>
      <c r="H38" s="69"/>
      <c r="I38" s="69"/>
      <c r="J38" s="69"/>
      <c r="K38" s="69"/>
      <c r="L38" s="69"/>
      <c r="M38" s="69"/>
    </row>
    <row r="39" spans="1:16" ht="42.75" x14ac:dyDescent="0.2">
      <c r="B39" s="19" t="s">
        <v>50</v>
      </c>
      <c r="C39" s="19"/>
      <c r="D39" s="125" t="s">
        <v>51</v>
      </c>
      <c r="E39" s="126"/>
      <c r="F39" s="25" t="s">
        <v>52</v>
      </c>
      <c r="G39" s="25"/>
      <c r="H39" s="25" t="s">
        <v>52</v>
      </c>
      <c r="I39" s="25" t="s">
        <v>52</v>
      </c>
      <c r="J39" s="25" t="s">
        <v>52</v>
      </c>
      <c r="K39" s="25" t="s">
        <v>52</v>
      </c>
      <c r="L39" s="25" t="s">
        <v>52</v>
      </c>
      <c r="M39" s="25" t="s">
        <v>52</v>
      </c>
    </row>
    <row r="40" spans="1:16" x14ac:dyDescent="0.2">
      <c r="B40" s="31"/>
      <c r="C40" s="31"/>
      <c r="D40" s="32"/>
      <c r="E40" s="32"/>
      <c r="F40" s="33"/>
      <c r="G40" s="33"/>
      <c r="H40" s="33"/>
      <c r="I40" s="33"/>
      <c r="J40" s="33"/>
      <c r="K40" s="33"/>
      <c r="L40" s="33"/>
      <c r="M40" s="33"/>
      <c r="N40" s="33"/>
      <c r="O40" s="33"/>
      <c r="P40" s="33"/>
    </row>
    <row r="41" spans="1:16" ht="33" x14ac:dyDescent="0.45">
      <c r="A41" s="1"/>
      <c r="B41" s="97" t="s">
        <v>196</v>
      </c>
      <c r="C41" s="98"/>
      <c r="D41" s="98"/>
      <c r="E41" s="98"/>
      <c r="F41" s="98"/>
      <c r="G41" s="99"/>
      <c r="H41" s="99"/>
      <c r="I41" s="99"/>
      <c r="J41" s="99"/>
      <c r="K41" s="100"/>
      <c r="L41" s="100"/>
      <c r="M41" s="100"/>
      <c r="N41" s="99"/>
      <c r="O41" s="99"/>
      <c r="P41" s="101"/>
    </row>
    <row r="42" spans="1:16" ht="15.75" x14ac:dyDescent="0.25">
      <c r="A42" s="1"/>
      <c r="B42" s="139" t="str">
        <f>'Price List_Excl GST'!$B$3:$F$3</f>
        <v>Effective 1 July 2023</v>
      </c>
      <c r="C42" s="140"/>
      <c r="D42" s="140"/>
      <c r="E42" s="140"/>
      <c r="F42" s="140"/>
      <c r="G42" s="102"/>
      <c r="H42" s="102"/>
      <c r="I42" s="102"/>
      <c r="J42" s="102"/>
      <c r="K42" s="102"/>
      <c r="L42" s="141"/>
      <c r="M42" s="141"/>
      <c r="N42" s="102"/>
      <c r="O42" s="102"/>
      <c r="P42" s="103"/>
    </row>
    <row r="43" spans="1:16" ht="15.75" x14ac:dyDescent="0.25">
      <c r="A43" s="1"/>
      <c r="B43" s="104"/>
      <c r="C43" s="105"/>
      <c r="D43" s="105"/>
      <c r="E43" s="105"/>
      <c r="F43" s="105"/>
      <c r="G43" s="106"/>
      <c r="H43" s="106"/>
      <c r="I43" s="106"/>
      <c r="J43" s="106"/>
      <c r="K43" s="106"/>
      <c r="L43" s="107"/>
      <c r="M43" s="107"/>
      <c r="N43" s="106"/>
      <c r="O43" s="106"/>
      <c r="P43" s="108"/>
    </row>
    <row r="44" spans="1:16" ht="27.75" customHeight="1" x14ac:dyDescent="0.25">
      <c r="B44" s="149" t="s">
        <v>106</v>
      </c>
      <c r="C44" s="146" t="s">
        <v>9</v>
      </c>
      <c r="D44" s="109" t="s">
        <v>1</v>
      </c>
      <c r="E44" s="109" t="s">
        <v>2</v>
      </c>
      <c r="F44" s="110" t="s">
        <v>2</v>
      </c>
      <c r="G44" s="110" t="s">
        <v>2</v>
      </c>
      <c r="H44" s="110" t="s">
        <v>2</v>
      </c>
      <c r="I44" s="109" t="s">
        <v>3</v>
      </c>
      <c r="J44" s="110" t="s">
        <v>4</v>
      </c>
      <c r="K44" s="110" t="s">
        <v>5</v>
      </c>
      <c r="L44" s="110" t="s">
        <v>6</v>
      </c>
      <c r="M44" s="109" t="s">
        <v>7</v>
      </c>
      <c r="N44" s="142" t="s">
        <v>49</v>
      </c>
      <c r="O44" s="142"/>
      <c r="P44" s="142"/>
    </row>
    <row r="45" spans="1:16" ht="15" x14ac:dyDescent="0.25">
      <c r="B45" s="150"/>
      <c r="C45" s="147"/>
      <c r="D45" s="111" t="s">
        <v>10</v>
      </c>
      <c r="E45" s="111" t="s">
        <v>11</v>
      </c>
      <c r="F45" s="111" t="s">
        <v>4</v>
      </c>
      <c r="G45" s="111" t="s">
        <v>5</v>
      </c>
      <c r="H45" s="111" t="s">
        <v>6</v>
      </c>
      <c r="I45" s="111" t="s">
        <v>12</v>
      </c>
      <c r="J45" s="111" t="s">
        <v>3</v>
      </c>
      <c r="K45" s="111" t="s">
        <v>3</v>
      </c>
      <c r="L45" s="111" t="s">
        <v>3</v>
      </c>
      <c r="M45" s="111" t="s">
        <v>12</v>
      </c>
      <c r="N45" s="142"/>
      <c r="O45" s="142"/>
      <c r="P45" s="142"/>
    </row>
    <row r="46" spans="1:16" ht="15" x14ac:dyDescent="0.25">
      <c r="B46" s="150"/>
      <c r="C46" s="147"/>
      <c r="D46" s="111" t="s">
        <v>13</v>
      </c>
      <c r="E46" s="111" t="s">
        <v>14</v>
      </c>
      <c r="F46" s="111" t="s">
        <v>14</v>
      </c>
      <c r="G46" s="111" t="s">
        <v>14</v>
      </c>
      <c r="H46" s="111" t="s">
        <v>14</v>
      </c>
      <c r="I46" s="111" t="s">
        <v>15</v>
      </c>
      <c r="J46" s="111" t="s">
        <v>15</v>
      </c>
      <c r="K46" s="111" t="s">
        <v>15</v>
      </c>
      <c r="L46" s="111" t="s">
        <v>15</v>
      </c>
      <c r="M46" s="111" t="s">
        <v>15</v>
      </c>
      <c r="N46" s="142"/>
      <c r="O46" s="142"/>
      <c r="P46" s="142"/>
    </row>
    <row r="47" spans="1:16" s="17" customFormat="1" ht="15" x14ac:dyDescent="0.25">
      <c r="A47" s="15"/>
      <c r="B47" s="151"/>
      <c r="C47" s="148"/>
      <c r="D47" s="112"/>
      <c r="E47" s="112"/>
      <c r="F47" s="112"/>
      <c r="G47" s="112"/>
      <c r="H47" s="112"/>
      <c r="I47" s="112"/>
      <c r="J47" s="112"/>
      <c r="K47" s="112"/>
      <c r="L47" s="112"/>
      <c r="M47" s="112"/>
      <c r="N47" s="142"/>
      <c r="O47" s="142"/>
      <c r="P47" s="142"/>
    </row>
    <row r="48" spans="1:16" s="60" customFormat="1" ht="18" x14ac:dyDescent="0.25">
      <c r="A48" s="54"/>
      <c r="B48" s="65" t="s">
        <v>46</v>
      </c>
      <c r="C48" s="66"/>
      <c r="D48" s="70"/>
      <c r="E48" s="68"/>
      <c r="F48" s="68"/>
      <c r="G48" s="68"/>
      <c r="H48" s="68"/>
      <c r="I48" s="68"/>
      <c r="J48" s="68"/>
      <c r="K48" s="68"/>
      <c r="L48" s="68"/>
      <c r="M48" s="68"/>
      <c r="N48" s="143"/>
      <c r="O48" s="144"/>
      <c r="P48" s="145"/>
    </row>
    <row r="49" spans="1:16" s="60" customFormat="1" ht="18" x14ac:dyDescent="0.25">
      <c r="A49" s="54"/>
      <c r="B49" s="74" t="s">
        <v>33</v>
      </c>
      <c r="C49" s="30" t="s">
        <v>58</v>
      </c>
      <c r="D49" s="20">
        <f>ROUND(VLOOKUP($B49,'[2]NUOS (t)'!$B$10:$P$66,4,FALSE)/366,4)*1.1</f>
        <v>23.184150000000002</v>
      </c>
      <c r="E49" s="20"/>
      <c r="F49" s="20">
        <f>ROUND(VLOOKUP($B49,'[2]NUOS (t)'!$B$10:$P$66,6,FALSE),4)*1.1</f>
        <v>4.9538500000000001</v>
      </c>
      <c r="G49" s="20">
        <f>ROUND(VLOOKUP($B49,'[2]NUOS (t)'!$B$10:$P$66,7,FALSE),4)*1.1</f>
        <v>4.0131300000000003</v>
      </c>
      <c r="H49" s="20">
        <f>ROUND(VLOOKUP($B49,'[2]NUOS (t)'!$B$10:$P$66,8,FALSE),4)*1.1</f>
        <v>2.6372500000000003</v>
      </c>
      <c r="I49" s="20"/>
      <c r="J49" s="20">
        <f>ROUND(VLOOKUP($B49,'[2]NUOS (t)'!$B$10:$P$66,10,FALSE),4)*1.1</f>
        <v>16.7332</v>
      </c>
      <c r="K49" s="20">
        <f>ROUND(VLOOKUP($B49,'[2]NUOS (t)'!$B$10:$P$66,11,FALSE),4)*1.1</f>
        <v>15.139520000000001</v>
      </c>
      <c r="L49" s="20">
        <f>ROUND(VLOOKUP($B49,'[2]NUOS (t)'!$B$10:$P$66,12,FALSE),4)*1.1</f>
        <v>3.8693600000000004</v>
      </c>
      <c r="M49" s="113"/>
      <c r="N49" s="114"/>
      <c r="O49" s="115"/>
      <c r="P49" s="116"/>
    </row>
    <row r="50" spans="1:16" s="60" customFormat="1" ht="18" x14ac:dyDescent="0.25">
      <c r="A50" s="54"/>
      <c r="B50" s="74" t="s">
        <v>35</v>
      </c>
      <c r="C50" s="30" t="s">
        <v>59</v>
      </c>
      <c r="D50" s="20">
        <f>ROUND(VLOOKUP($B50,'[2]NUOS (t)'!$B$10:$P$66,4,FALSE)/366,4)*1.1</f>
        <v>23.515030000000003</v>
      </c>
      <c r="E50" s="20"/>
      <c r="F50" s="20">
        <f>ROUND(VLOOKUP($B50,'[2]NUOS (t)'!$B$10:$P$66,6,FALSE),4)*1.1</f>
        <v>3.9437200000000003</v>
      </c>
      <c r="G50" s="20">
        <f>ROUND(VLOOKUP($B50,'[2]NUOS (t)'!$B$10:$P$66,7,FALSE),4)*1.1</f>
        <v>3.3397100000000002</v>
      </c>
      <c r="H50" s="20">
        <f>ROUND(VLOOKUP($B50,'[2]NUOS (t)'!$B$10:$P$66,8,FALSE),4)*1.1</f>
        <v>2.6900500000000003</v>
      </c>
      <c r="I50" s="20"/>
      <c r="J50" s="20">
        <f>ROUND(VLOOKUP($B50,'[2]NUOS (t)'!$B$10:$P$66,10,FALSE),4)*1.1</f>
        <v>12.202080000000002</v>
      </c>
      <c r="K50" s="20">
        <f>ROUND(VLOOKUP($B50,'[2]NUOS (t)'!$B$10:$P$66,11,FALSE),4)*1.1</f>
        <v>11.040040000000001</v>
      </c>
      <c r="L50" s="20">
        <f>ROUND(VLOOKUP($B50,'[2]NUOS (t)'!$B$10:$P$66,12,FALSE),4)*1.1</f>
        <v>3.3036300000000001</v>
      </c>
      <c r="M50" s="113"/>
      <c r="N50" s="114"/>
      <c r="O50" s="115"/>
      <c r="P50" s="116"/>
    </row>
    <row r="51" spans="1:16" s="60" customFormat="1" ht="44.25" customHeight="1" x14ac:dyDescent="0.25">
      <c r="A51" s="54"/>
      <c r="B51" s="74" t="s">
        <v>167</v>
      </c>
      <c r="C51" s="30" t="s">
        <v>197</v>
      </c>
      <c r="D51" s="20">
        <f>ROUND(VLOOKUP($B51,'[2]NUOS (t)'!$B$10:$P$66,4,FALSE)/366,4)*1.1</f>
        <v>10.153</v>
      </c>
      <c r="E51" s="20"/>
      <c r="F51" s="20">
        <f>ROUND(VLOOKUP($B51,'[2]NUOS (t)'!$B$10:$P$66,6,FALSE),4)*1.1</f>
        <v>23.328910000000004</v>
      </c>
      <c r="G51" s="20">
        <f>ROUND(VLOOKUP($B51,'[2]NUOS (t)'!$B$10:$P$66,7,FALSE),4)*1.1</f>
        <v>17.360090000000003</v>
      </c>
      <c r="H51" s="20">
        <f>ROUND(VLOOKUP($B51,'[2]NUOS (t)'!$B$10:$P$66,8,FALSE),4)*1.1</f>
        <v>9.1953400000000016</v>
      </c>
      <c r="I51" s="20"/>
      <c r="J51" s="20"/>
      <c r="K51" s="20"/>
      <c r="L51" s="20"/>
      <c r="M51" s="20">
        <f>ROUND(VLOOKUP($B51,'[2]NUOS (t)'!$B$10:$P$66,13,FALSE),4)</f>
        <v>0</v>
      </c>
      <c r="N51" s="152" t="s">
        <v>198</v>
      </c>
      <c r="O51" s="153"/>
      <c r="P51" s="154"/>
    </row>
    <row r="52" spans="1:16" ht="107.25" customHeight="1" x14ac:dyDescent="0.2">
      <c r="B52" s="75" t="s">
        <v>103</v>
      </c>
      <c r="C52" s="30" t="s">
        <v>48</v>
      </c>
      <c r="D52" s="20">
        <f>ROUND(VLOOKUP("BLND1CO",'[2]NUOS (t)'!$B$10:$P$66,4,FALSE)/366,4)*1.1</f>
        <v>29.892390000000002</v>
      </c>
      <c r="E52" s="20"/>
      <c r="F52" s="20">
        <f>ROUND(VLOOKUP("BLND1CO",'[2]NUOS (t)'!$B$10:$P$66,6,FALSE),4)*1.1</f>
        <v>8.1638700000000011</v>
      </c>
      <c r="G52" s="20">
        <f>ROUND(VLOOKUP("BLND1CO",'[2]NUOS (t)'!$B$10:$P$66,7,FALSE),4)*1.1</f>
        <v>6.4230100000000006</v>
      </c>
      <c r="H52" s="20">
        <f>ROUND(VLOOKUP("BLND1CO",'[2]NUOS (t)'!$B$10:$P$66,8,FALSE),4)*1.1</f>
        <v>3.3458700000000006</v>
      </c>
      <c r="I52" s="20">
        <f>ROUND(VLOOKUP("BLND1CO",'[2]NUOS (t)'!$B$10:$P$66,9,FALSE),4)*1.1</f>
        <v>24.878700000000002</v>
      </c>
      <c r="J52" s="20"/>
      <c r="K52" s="20"/>
      <c r="L52" s="20"/>
      <c r="M52" s="20"/>
      <c r="N52" s="119" t="s">
        <v>88</v>
      </c>
      <c r="O52" s="119"/>
      <c r="P52" s="119"/>
    </row>
    <row r="53" spans="1:16" ht="51" customHeight="1" x14ac:dyDescent="0.2">
      <c r="B53" s="74" t="s">
        <v>20</v>
      </c>
      <c r="C53" s="30" t="s">
        <v>55</v>
      </c>
      <c r="D53" s="20">
        <f>ROUND(VLOOKUP($B53,'[2]NUOS (t)'!$B$10:$P$66,4,FALSE)/366,4)*1.1</f>
        <v>23.184150000000002</v>
      </c>
      <c r="E53" s="20"/>
      <c r="F53" s="20">
        <f>ROUND(VLOOKUP($B53,'[2]NUOS (t)'!$B$10:$P$66,6,FALSE),4)*1.1</f>
        <v>18.309170000000002</v>
      </c>
      <c r="G53" s="20">
        <f>ROUND(VLOOKUP($B53,'[2]NUOS (t)'!$B$10:$P$66,7,FALSE),4)*1.1</f>
        <v>13.977370000000001</v>
      </c>
      <c r="H53" s="20">
        <f>ROUND(VLOOKUP($B53,'[2]NUOS (t)'!$B$10:$P$66,8,FALSE),4)*1.1</f>
        <v>5.7180200000000001</v>
      </c>
      <c r="I53" s="20">
        <f>ROUND(VLOOKUP($B53,'[2]NUOS (t)'!$B$10:$P$66,9,FALSE),4)*1.1</f>
        <v>16.524090000000001</v>
      </c>
      <c r="J53" s="20"/>
      <c r="K53" s="20"/>
      <c r="L53" s="20"/>
      <c r="M53" s="20">
        <f>ROUND(VLOOKUP($B53,'[2]NUOS (t)'!$B$10:$P$66,13,FALSE),4)*1.1</f>
        <v>6.0072100000000006</v>
      </c>
      <c r="N53" s="119" t="s">
        <v>89</v>
      </c>
      <c r="O53" s="119"/>
      <c r="P53" s="119"/>
    </row>
    <row r="54" spans="1:16" ht="48.75" customHeight="1" x14ac:dyDescent="0.2">
      <c r="B54" s="74" t="s">
        <v>21</v>
      </c>
      <c r="C54" s="30" t="s">
        <v>54</v>
      </c>
      <c r="D54" s="20">
        <f>ROUND(VLOOKUP($B54,'[2]NUOS (t)'!$B$10:$P$66,4,FALSE)/366,4)*1.1</f>
        <v>6.2378800000000005</v>
      </c>
      <c r="E54" s="20"/>
      <c r="F54" s="20">
        <f>ROUND(VLOOKUP($B54,'[2]NUOS (t)'!$B$10:$P$66,6,FALSE),4)*1.1</f>
        <v>20.867880000000003</v>
      </c>
      <c r="G54" s="20">
        <f>ROUND(VLOOKUP($B54,'[2]NUOS (t)'!$B$10:$P$66,7,FALSE),4)*1.1</f>
        <v>15.872780000000002</v>
      </c>
      <c r="H54" s="20">
        <f>ROUND(VLOOKUP($B54,'[2]NUOS (t)'!$B$10:$P$66,8,FALSE),4)*1.1</f>
        <v>7.8214400000000008</v>
      </c>
      <c r="I54" s="20">
        <f>ROUND(VLOOKUP($B54,'[2]NUOS (t)'!$B$10:$P$66,9,FALSE),4)*1.1</f>
        <v>16.207070000000002</v>
      </c>
      <c r="J54" s="20"/>
      <c r="K54" s="20"/>
      <c r="L54" s="20"/>
      <c r="M54" s="20">
        <f>ROUND(VLOOKUP($B54,'[2]NUOS (t)'!$B$10:$P$66,13,FALSE),4)*1.1</f>
        <v>6.0148000000000001</v>
      </c>
      <c r="N54" s="119" t="s">
        <v>89</v>
      </c>
      <c r="O54" s="119"/>
      <c r="P54" s="119"/>
    </row>
    <row r="55" spans="1:16" ht="90" customHeight="1" x14ac:dyDescent="0.2">
      <c r="B55" s="74" t="s">
        <v>22</v>
      </c>
      <c r="C55" s="30" t="s">
        <v>56</v>
      </c>
      <c r="D55" s="20">
        <f>ROUND(VLOOKUP($B55,'[2]NUOS (t)'!$B$10:$P$66,4,FALSE)/366,4)*1.1</f>
        <v>38.357110000000006</v>
      </c>
      <c r="E55" s="20"/>
      <c r="F55" s="20">
        <f>ROUND(VLOOKUP($B55,'[2]NUOS (t)'!$B$10:$P$66,6,FALSE),4)*1.1</f>
        <v>8.998660000000001</v>
      </c>
      <c r="G55" s="20">
        <f>ROUND(VLOOKUP($B55,'[2]NUOS (t)'!$B$10:$P$66,7,FALSE),4)*1.1</f>
        <v>8.2891600000000007</v>
      </c>
      <c r="H55" s="20">
        <f>ROUND(VLOOKUP($B55,'[2]NUOS (t)'!$B$10:$P$66,8,FALSE),4)*1.1</f>
        <v>3.5338600000000002</v>
      </c>
      <c r="I55" s="20">
        <f>ROUND(VLOOKUP($B55,'[2]NUOS (t)'!$B$10:$P$66,9,FALSE),4)*1.1</f>
        <v>18.136360000000003</v>
      </c>
      <c r="J55" s="20"/>
      <c r="K55" s="20"/>
      <c r="L55" s="20"/>
      <c r="M55" s="20"/>
      <c r="N55" s="119" t="s">
        <v>90</v>
      </c>
      <c r="O55" s="119"/>
      <c r="P55" s="119"/>
    </row>
    <row r="56" spans="1:16" ht="49.5" customHeight="1" x14ac:dyDescent="0.2">
      <c r="A56" s="7"/>
      <c r="B56" s="75" t="s">
        <v>104</v>
      </c>
      <c r="C56" s="30" t="s">
        <v>57</v>
      </c>
      <c r="D56" s="20">
        <f>ROUND(VLOOKUP("BHND1SO",'[2]NUOS (t)'!$B$10:$P$66,4,FALSE)/366,4)*1.1</f>
        <v>28.591090000000005</v>
      </c>
      <c r="E56" s="20"/>
      <c r="F56" s="20">
        <f>ROUND(VLOOKUP("BHND1SO",'[2]NUOS (t)'!$B$10:$P$66,6,FALSE),4)*1.1</f>
        <v>8.02989</v>
      </c>
      <c r="G56" s="20">
        <f>ROUND(VLOOKUP("BHND1SO",'[2]NUOS (t)'!$B$10:$P$66,7,FALSE),4)*1.1</f>
        <v>7.4959500000000006</v>
      </c>
      <c r="H56" s="20">
        <f>ROUND(VLOOKUP("BHND1SO",'[2]NUOS (t)'!$B$10:$P$66,8,FALSE),4)*1.1</f>
        <v>5.49505</v>
      </c>
      <c r="I56" s="20">
        <f>ROUND(VLOOKUP("BHND1SO",'[2]NUOS (t)'!$B$10:$P$66,9,FALSE),4)*1.1</f>
        <v>13.097480000000001</v>
      </c>
      <c r="J56" s="20"/>
      <c r="K56" s="20"/>
      <c r="L56" s="20"/>
      <c r="M56" s="20">
        <f>ROUND(VLOOKUP("BHND1SO",'[2]NUOS (t)'!$B$10:$P$66,13,FALSE),4)*1.1</f>
        <v>4.8235000000000001</v>
      </c>
      <c r="N56" s="119" t="s">
        <v>91</v>
      </c>
      <c r="O56" s="119"/>
      <c r="P56" s="119"/>
    </row>
    <row r="57" spans="1:16" ht="90.75" customHeight="1" x14ac:dyDescent="0.2">
      <c r="B57" s="74" t="s">
        <v>94</v>
      </c>
      <c r="C57" s="30" t="s">
        <v>95</v>
      </c>
      <c r="D57" s="29"/>
      <c r="E57" s="29">
        <f>'Price List_Excl GST'!E74*1.1</f>
        <v>-44</v>
      </c>
      <c r="F57" s="29"/>
      <c r="G57" s="29"/>
      <c r="H57" s="29"/>
      <c r="I57" s="29"/>
      <c r="J57" s="29"/>
      <c r="K57" s="29"/>
      <c r="L57" s="29"/>
      <c r="M57" s="29"/>
      <c r="N57" s="119" t="s">
        <v>101</v>
      </c>
      <c r="O57" s="119"/>
      <c r="P57" s="119"/>
    </row>
    <row r="60" spans="1:16" x14ac:dyDescent="0.2">
      <c r="B60" s="127"/>
      <c r="C60" s="127"/>
      <c r="D60" s="127"/>
      <c r="E60" s="127"/>
      <c r="F60" s="127"/>
      <c r="G60" s="127"/>
      <c r="H60" s="127"/>
      <c r="I60" s="127"/>
      <c r="J60" s="127"/>
      <c r="K60" s="127"/>
      <c r="L60" s="127"/>
      <c r="M60" s="127"/>
      <c r="N60" s="127"/>
      <c r="O60" s="127"/>
      <c r="P60" s="127"/>
    </row>
    <row r="65" spans="1:1" s="41" customFormat="1" x14ac:dyDescent="0.2">
      <c r="A65" s="40"/>
    </row>
  </sheetData>
  <mergeCells count="47">
    <mergeCell ref="N56:P56"/>
    <mergeCell ref="B60:P60"/>
    <mergeCell ref="N54:P54"/>
    <mergeCell ref="N55:P55"/>
    <mergeCell ref="N57:P57"/>
    <mergeCell ref="N53:P53"/>
    <mergeCell ref="D34:E34"/>
    <mergeCell ref="D36:E36"/>
    <mergeCell ref="D37:E37"/>
    <mergeCell ref="D39:E39"/>
    <mergeCell ref="B42:F42"/>
    <mergeCell ref="L42:M42"/>
    <mergeCell ref="N44:P47"/>
    <mergeCell ref="N48:P48"/>
    <mergeCell ref="N52:P52"/>
    <mergeCell ref="C44:C47"/>
    <mergeCell ref="B44:B47"/>
    <mergeCell ref="N51:P51"/>
    <mergeCell ref="A17:A18"/>
    <mergeCell ref="D17:E17"/>
    <mergeCell ref="D18:E18"/>
    <mergeCell ref="D19:E19"/>
    <mergeCell ref="D20:E20"/>
    <mergeCell ref="D33:E33"/>
    <mergeCell ref="B3:F3"/>
    <mergeCell ref="I3:J3"/>
    <mergeCell ref="D9:E9"/>
    <mergeCell ref="D26:E26"/>
    <mergeCell ref="D14:E14"/>
    <mergeCell ref="D15:E15"/>
    <mergeCell ref="D21:E21"/>
    <mergeCell ref="D22:E22"/>
    <mergeCell ref="D23:E23"/>
    <mergeCell ref="D25:E25"/>
    <mergeCell ref="D10:E10"/>
    <mergeCell ref="D11:E11"/>
    <mergeCell ref="K32:L32"/>
    <mergeCell ref="B5:B7"/>
    <mergeCell ref="C5:C7"/>
    <mergeCell ref="D5:E7"/>
    <mergeCell ref="D27:E27"/>
    <mergeCell ref="D28:E28"/>
    <mergeCell ref="D30:E30"/>
    <mergeCell ref="D29:E29"/>
    <mergeCell ref="D31:E31"/>
    <mergeCell ref="D32:E32"/>
    <mergeCell ref="D12:E12"/>
  </mergeCells>
  <pageMargins left="0.39370078740157483" right="0.39370078740157483" top="0.39370078740157483" bottom="0.39370078740157483" header="0.51181102362204722" footer="0.51181102362204722"/>
  <pageSetup paperSize="9" scale="61" fitToHeight="0" orientation="landscape" r:id="rId1"/>
  <headerFooter alignWithMargins="0"/>
  <rowBreaks count="1" manualBreakCount="1">
    <brk id="40" max="15" man="1"/>
  </rowBreaks>
  <ignoredErrors>
    <ignoredError sqref="E57 E52:E56 H38:M38 F38 B11:E12 B27:E28 B13:E21 B39:F39 B31:E31 B22:E23 B9:E10 B24:E25 B26:E26 B30:E30 B29:E29 G38 G39:M39 B34:E38 B32:E3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P44"/>
  <sheetViews>
    <sheetView showGridLines="0" zoomScale="70" zoomScaleNormal="70" zoomScaleSheetLayoutView="58" workbookViewId="0"/>
  </sheetViews>
  <sheetFormatPr defaultColWidth="8.875" defaultRowHeight="14.25" x14ac:dyDescent="0.2"/>
  <cols>
    <col min="1" max="1" width="1.875" style="14" customWidth="1"/>
    <col min="2" max="2" width="26" style="7" customWidth="1"/>
    <col min="3" max="3" width="29.75" style="7" customWidth="1"/>
    <col min="4" max="4" width="11.25" style="7" customWidth="1"/>
    <col min="5" max="5" width="17.875" style="7" customWidth="1"/>
    <col min="6" max="16" width="10.5" style="7" customWidth="1"/>
    <col min="17" max="17" width="8.5" style="7" customWidth="1"/>
    <col min="18" max="18" width="63.75" style="7" customWidth="1"/>
    <col min="19" max="16384" width="8.875" style="7"/>
  </cols>
  <sheetData>
    <row r="2" spans="1:16" ht="33" x14ac:dyDescent="0.45">
      <c r="A2" s="1"/>
      <c r="B2" s="2" t="s">
        <v>174</v>
      </c>
      <c r="C2" s="3"/>
      <c r="D2" s="3"/>
      <c r="E2" s="3"/>
      <c r="F2" s="3"/>
      <c r="G2" s="4"/>
      <c r="H2" s="5"/>
      <c r="I2" s="5"/>
      <c r="J2" s="5"/>
      <c r="K2" s="4"/>
      <c r="L2" s="4"/>
      <c r="M2" s="6"/>
    </row>
    <row r="3" spans="1:16" ht="15.75" x14ac:dyDescent="0.25">
      <c r="A3" s="1"/>
      <c r="B3" s="132" t="str">
        <f>'Price List_Excl GST'!B3:F3</f>
        <v>Effective 1 July 2023</v>
      </c>
      <c r="C3" s="133"/>
      <c r="D3" s="133"/>
      <c r="E3" s="133"/>
      <c r="F3" s="133"/>
      <c r="G3" s="8"/>
      <c r="H3" s="8"/>
      <c r="I3" s="128"/>
      <c r="J3" s="128"/>
      <c r="K3" s="8"/>
      <c r="L3" s="8"/>
      <c r="M3" s="9"/>
    </row>
    <row r="4" spans="1:16" ht="15" x14ac:dyDescent="0.25">
      <c r="A4" s="1"/>
      <c r="B4" s="10"/>
      <c r="C4" s="11"/>
      <c r="D4" s="12"/>
      <c r="E4" s="12"/>
      <c r="F4" s="12"/>
      <c r="G4" s="12"/>
      <c r="H4" s="12"/>
      <c r="I4" s="12"/>
      <c r="J4" s="12"/>
      <c r="K4" s="12"/>
      <c r="L4" s="12"/>
      <c r="M4" s="13"/>
    </row>
    <row r="5" spans="1:16" ht="15" x14ac:dyDescent="0.25">
      <c r="B5" s="123" t="s">
        <v>105</v>
      </c>
      <c r="C5" s="122" t="s">
        <v>24</v>
      </c>
      <c r="D5" s="137" t="s">
        <v>9</v>
      </c>
      <c r="E5" s="138"/>
      <c r="F5" s="52" t="s">
        <v>1</v>
      </c>
      <c r="G5" s="52" t="s">
        <v>2</v>
      </c>
      <c r="H5" s="37" t="s">
        <v>2</v>
      </c>
      <c r="I5" s="37" t="s">
        <v>2</v>
      </c>
      <c r="J5" s="37" t="s">
        <v>2</v>
      </c>
      <c r="K5" s="37" t="s">
        <v>4</v>
      </c>
      <c r="L5" s="37" t="s">
        <v>5</v>
      </c>
      <c r="M5" s="37" t="s">
        <v>6</v>
      </c>
    </row>
    <row r="6" spans="1:16" ht="15" x14ac:dyDescent="0.2">
      <c r="B6" s="123"/>
      <c r="C6" s="123"/>
      <c r="D6" s="137"/>
      <c r="E6" s="138"/>
      <c r="F6" s="77" t="s">
        <v>10</v>
      </c>
      <c r="G6" s="77" t="s">
        <v>171</v>
      </c>
      <c r="H6" s="77" t="s">
        <v>4</v>
      </c>
      <c r="I6" s="77" t="s">
        <v>5</v>
      </c>
      <c r="J6" s="77" t="s">
        <v>6</v>
      </c>
      <c r="K6" s="77" t="s">
        <v>3</v>
      </c>
      <c r="L6" s="77" t="s">
        <v>3</v>
      </c>
      <c r="M6" s="77" t="s">
        <v>3</v>
      </c>
    </row>
    <row r="7" spans="1:16" ht="15" x14ac:dyDescent="0.2">
      <c r="B7" s="123"/>
      <c r="C7" s="124"/>
      <c r="D7" s="137"/>
      <c r="E7" s="138"/>
      <c r="F7" s="77" t="s">
        <v>13</v>
      </c>
      <c r="G7" s="77" t="s">
        <v>14</v>
      </c>
      <c r="H7" s="77" t="s">
        <v>14</v>
      </c>
      <c r="I7" s="77" t="s">
        <v>14</v>
      </c>
      <c r="J7" s="77" t="s">
        <v>14</v>
      </c>
      <c r="K7" s="77" t="s">
        <v>15</v>
      </c>
      <c r="L7" s="77" t="s">
        <v>15</v>
      </c>
      <c r="M7" s="77" t="s">
        <v>15</v>
      </c>
    </row>
    <row r="8" spans="1:16" s="17" customFormat="1" ht="18" x14ac:dyDescent="0.25">
      <c r="A8" s="15"/>
      <c r="B8" s="55" t="s">
        <v>16</v>
      </c>
      <c r="C8" s="56"/>
      <c r="D8" s="57"/>
      <c r="E8" s="58"/>
      <c r="F8" s="59"/>
      <c r="G8" s="59"/>
      <c r="H8" s="59"/>
      <c r="I8" s="59"/>
      <c r="J8" s="59"/>
      <c r="K8" s="59"/>
      <c r="L8" s="59"/>
      <c r="M8" s="59"/>
      <c r="N8" s="60"/>
      <c r="O8" s="60"/>
    </row>
    <row r="9" spans="1:16" ht="14.25" customHeight="1" x14ac:dyDescent="0.2">
      <c r="B9" s="18" t="s">
        <v>25</v>
      </c>
      <c r="C9" s="19"/>
      <c r="D9" s="125" t="s">
        <v>178</v>
      </c>
      <c r="E9" s="126"/>
      <c r="F9" s="20">
        <f>ROUND(VLOOKUP($B9,'[2]DUOS (t)'!$B$10:$O$66,4,FALSE)/366,4)</f>
        <v>1.0193000000000001</v>
      </c>
      <c r="G9" s="20">
        <f>ROUND(VLOOKUP($B9,'[2]DUOS (t)'!$B$10:$O$66,5,FALSE),4)</f>
        <v>9.4451000000000001</v>
      </c>
      <c r="H9" s="20"/>
      <c r="I9" s="20"/>
      <c r="J9" s="20"/>
      <c r="K9" s="20"/>
      <c r="L9" s="20"/>
      <c r="M9" s="20"/>
    </row>
    <row r="10" spans="1:16" ht="14.25" customHeight="1" x14ac:dyDescent="0.2">
      <c r="B10" s="18" t="s">
        <v>26</v>
      </c>
      <c r="C10" s="19"/>
      <c r="D10" s="125" t="s">
        <v>42</v>
      </c>
      <c r="E10" s="126"/>
      <c r="F10" s="20">
        <f>ROUND(VLOOKUP($B10,'[2]DUOS (t)'!$B$10:$O$66,4,FALSE)/366,4)</f>
        <v>1.0193000000000001</v>
      </c>
      <c r="G10" s="20"/>
      <c r="H10" s="20">
        <f>ROUND(VLOOKUP($B10,'[2]DUOS (t)'!$B$10:$O$66,6,FALSE),4)</f>
        <v>12.861000000000001</v>
      </c>
      <c r="I10" s="20">
        <f>ROUND(VLOOKUP($B10,'[2]DUOS (t)'!$B$10:$O$66,7,FALSE),4)</f>
        <v>9.9154</v>
      </c>
      <c r="J10" s="20">
        <f>ROUND(VLOOKUP($B10,'[2]DUOS (t)'!$B$10:$O$66,8,FALSE),4)</f>
        <v>3.0402999999999998</v>
      </c>
      <c r="K10" s="20"/>
      <c r="L10" s="20"/>
      <c r="M10" s="20"/>
      <c r="P10" s="51"/>
    </row>
    <row r="11" spans="1:16" ht="14.25" customHeight="1" x14ac:dyDescent="0.2">
      <c r="B11" s="18" t="s">
        <v>164</v>
      </c>
      <c r="C11" s="19"/>
      <c r="D11" s="125" t="s">
        <v>165</v>
      </c>
      <c r="E11" s="126"/>
      <c r="F11" s="20">
        <f>ROUND(VLOOKUP($B11,'[2]DUOS (t)'!$B$10:$O$66,4,FALSE)/366,4)</f>
        <v>1.0193000000000001</v>
      </c>
      <c r="G11" s="20"/>
      <c r="H11" s="20">
        <f>ROUND(VLOOKUP($B11,'[2]DUOS (t)'!$B$10:$O$66,6,FALSE),4)</f>
        <v>13.504</v>
      </c>
      <c r="I11" s="20">
        <f>ROUND(VLOOKUP($B11,'[2]DUOS (t)'!$B$10:$O$66,7,FALSE),4)</f>
        <v>9.4196000000000009</v>
      </c>
      <c r="J11" s="20">
        <f>ROUND(VLOOKUP($B11,'[2]DUOS (t)'!$B$10:$O$66,8,FALSE),4)</f>
        <v>3.0402999999999998</v>
      </c>
      <c r="K11" s="20"/>
      <c r="L11" s="20"/>
      <c r="M11" s="20"/>
    </row>
    <row r="12" spans="1:16" ht="14.25" customHeight="1" x14ac:dyDescent="0.2">
      <c r="B12" s="18" t="s">
        <v>166</v>
      </c>
      <c r="C12" s="19"/>
      <c r="D12" s="125" t="s">
        <v>180</v>
      </c>
      <c r="E12" s="126"/>
      <c r="F12" s="20">
        <f>ROUND(VLOOKUP($B12,'[2]DUOS (t)'!$B$10:$O$66,4,FALSE)/366,4)</f>
        <v>1.0193000000000001</v>
      </c>
      <c r="G12" s="20"/>
      <c r="H12" s="20">
        <f>ROUND(VLOOKUP($B12,'[2]DUOS (t)'!$B$10:$O$66,6,FALSE),4)</f>
        <v>1.0486</v>
      </c>
      <c r="I12" s="20">
        <f>ROUND(VLOOKUP($B12,'[2]DUOS (t)'!$B$10:$O$66,7,FALSE),4)</f>
        <v>0.5585</v>
      </c>
      <c r="J12" s="20">
        <f>ROUND(VLOOKUP($B12,'[2]DUOS (t)'!$B$10:$O$66,8,FALSE),4)</f>
        <v>0.30270000000000002</v>
      </c>
      <c r="K12" s="20">
        <f>ROUND(VLOOKUP($B12,'[2]DUOS (t)'!$B$10:$O$66,10,FALSE),4)</f>
        <v>4.6359000000000004</v>
      </c>
      <c r="L12" s="117"/>
      <c r="M12" s="20"/>
    </row>
    <row r="13" spans="1:16" ht="18" x14ac:dyDescent="0.25">
      <c r="B13" s="56" t="s">
        <v>19</v>
      </c>
      <c r="C13" s="56"/>
      <c r="D13" s="61"/>
      <c r="E13" s="62"/>
      <c r="F13" s="63"/>
      <c r="G13" s="64"/>
      <c r="H13" s="64"/>
      <c r="I13" s="64"/>
      <c r="J13" s="64"/>
      <c r="K13" s="64"/>
      <c r="L13" s="64"/>
      <c r="M13" s="64"/>
      <c r="N13" s="60"/>
      <c r="O13" s="60"/>
    </row>
    <row r="14" spans="1:16" ht="14.25" customHeight="1" x14ac:dyDescent="0.2">
      <c r="B14" s="18" t="s">
        <v>27</v>
      </c>
      <c r="C14" s="19"/>
      <c r="D14" s="125" t="s">
        <v>39</v>
      </c>
      <c r="E14" s="126"/>
      <c r="F14" s="20">
        <f>ROUND(VLOOKUP($B14,'[2]DUOS (t)'!$B$10:$O$66,4,FALSE)/366,4)</f>
        <v>0.1052</v>
      </c>
      <c r="G14" s="20">
        <f>ROUND(VLOOKUP($B14,'[2]DUOS (t)'!$B$10:$O$66,5,FALSE),4)</f>
        <v>0.4284</v>
      </c>
      <c r="H14" s="20"/>
      <c r="I14" s="20"/>
      <c r="J14" s="20"/>
      <c r="K14" s="20"/>
      <c r="L14" s="20"/>
      <c r="M14" s="20"/>
    </row>
    <row r="15" spans="1:16" ht="14.25" customHeight="1" x14ac:dyDescent="0.2">
      <c r="B15" s="18" t="s">
        <v>28</v>
      </c>
      <c r="C15" s="19"/>
      <c r="D15" s="125" t="s">
        <v>40</v>
      </c>
      <c r="E15" s="126"/>
      <c r="F15" s="20">
        <f>ROUND(VLOOKUP($B15,'[2]DUOS (t)'!$B$10:$O$66,4,FALSE)/366,4)</f>
        <v>0.1052</v>
      </c>
      <c r="G15" s="20">
        <f>ROUND(VLOOKUP($B15,'[2]DUOS (t)'!$B$10:$O$66,5,FALSE),4)</f>
        <v>2.8582000000000001</v>
      </c>
      <c r="H15" s="20"/>
      <c r="I15" s="20"/>
      <c r="J15" s="20"/>
      <c r="K15" s="20"/>
      <c r="L15" s="20"/>
      <c r="M15" s="20"/>
    </row>
    <row r="16" spans="1:16" ht="18" x14ac:dyDescent="0.25">
      <c r="B16" s="65" t="s">
        <v>18</v>
      </c>
      <c r="C16" s="65"/>
      <c r="D16" s="66"/>
      <c r="E16" s="67"/>
      <c r="F16" s="68"/>
      <c r="G16" s="68"/>
      <c r="H16" s="68"/>
      <c r="I16" s="68"/>
      <c r="J16" s="68"/>
      <c r="K16" s="68"/>
      <c r="L16" s="68"/>
      <c r="M16" s="68"/>
      <c r="N16" s="60"/>
      <c r="O16" s="60"/>
    </row>
    <row r="17" spans="2:15" ht="14.25" customHeight="1" x14ac:dyDescent="0.2">
      <c r="B17" s="18" t="s">
        <v>29</v>
      </c>
      <c r="C17" s="19"/>
      <c r="D17" s="125" t="s">
        <v>179</v>
      </c>
      <c r="E17" s="126"/>
      <c r="F17" s="20">
        <f>ROUND(VLOOKUP($B17,'[2]DUOS (t)'!$B$10:$O$66,4,FALSE)/366,4)</f>
        <v>1.0193000000000001</v>
      </c>
      <c r="G17" s="20">
        <f>ROUND(VLOOKUP($B17,'[2]DUOS (t)'!$B$10:$O$66,5,FALSE),4)</f>
        <v>13.609</v>
      </c>
      <c r="H17" s="20"/>
      <c r="I17" s="20"/>
      <c r="J17" s="20"/>
      <c r="K17" s="20"/>
      <c r="L17" s="20"/>
      <c r="M17" s="20"/>
    </row>
    <row r="18" spans="2:15" ht="14.25" customHeight="1" x14ac:dyDescent="0.2">
      <c r="B18" s="18" t="s">
        <v>30</v>
      </c>
      <c r="C18" s="19"/>
      <c r="D18" s="125" t="s">
        <v>43</v>
      </c>
      <c r="E18" s="126"/>
      <c r="F18" s="20">
        <f>ROUND(VLOOKUP($B18,'[2]DUOS (t)'!$B$10:$O$66,4,FALSE)/366,4)</f>
        <v>3.7058</v>
      </c>
      <c r="G18" s="20"/>
      <c r="H18" s="20">
        <f>ROUND(VLOOKUP($B18,'[2]DUOS (t)'!$B$10:$O$66,6,FALSE),4)</f>
        <v>13.4329</v>
      </c>
      <c r="I18" s="20">
        <f>ROUND(VLOOKUP($B18,'[2]DUOS (t)'!$B$10:$O$66,7,FALSE),4)</f>
        <v>10.356400000000001</v>
      </c>
      <c r="J18" s="20">
        <f>ROUND(VLOOKUP($B18,'[2]DUOS (t)'!$B$10:$O$66,8,FALSE),4)</f>
        <v>4.9519000000000002</v>
      </c>
      <c r="K18" s="20"/>
      <c r="L18" s="20"/>
      <c r="M18" s="20"/>
    </row>
    <row r="19" spans="2:15" ht="14.25" customHeight="1" x14ac:dyDescent="0.2">
      <c r="B19" s="18" t="s">
        <v>168</v>
      </c>
      <c r="C19" s="19"/>
      <c r="D19" s="125" t="s">
        <v>169</v>
      </c>
      <c r="E19" s="126"/>
      <c r="F19" s="20">
        <f>ROUND(VLOOKUP($B19,'[2]DUOS (t)'!$B$10:$O$66,4,FALSE)/366,4)</f>
        <v>1.7330000000000001</v>
      </c>
      <c r="G19" s="20"/>
      <c r="H19" s="20">
        <f>ROUND(VLOOKUP($B19,'[2]DUOS (t)'!$B$10:$O$66,6,FALSE),4)</f>
        <v>14.1046</v>
      </c>
      <c r="I19" s="20">
        <f>ROUND(VLOOKUP($B19,'[2]DUOS (t)'!$B$10:$O$66,7,FALSE),4)</f>
        <v>9.8385999999999996</v>
      </c>
      <c r="J19" s="20">
        <f>ROUND(VLOOKUP($B19,'[2]DUOS (t)'!$B$10:$O$66,8,FALSE),4)</f>
        <v>4.7042999999999999</v>
      </c>
      <c r="K19" s="20"/>
      <c r="L19" s="20"/>
      <c r="M19" s="20"/>
    </row>
    <row r="20" spans="2:15" ht="14.25" customHeight="1" x14ac:dyDescent="0.2">
      <c r="B20" s="18" t="s">
        <v>170</v>
      </c>
      <c r="C20" s="19"/>
      <c r="D20" s="125" t="s">
        <v>181</v>
      </c>
      <c r="E20" s="126"/>
      <c r="F20" s="20">
        <f>ROUND(VLOOKUP($B20,'[2]DUOS (t)'!$B$10:$O$66,4,FALSE)/366,4)</f>
        <v>1.7330000000000001</v>
      </c>
      <c r="G20" s="20"/>
      <c r="H20" s="20">
        <f>ROUND(VLOOKUP($B20,'[2]DUOS (t)'!$B$10:$O$66,6,FALSE),4)</f>
        <v>3.9813000000000001</v>
      </c>
      <c r="I20" s="20">
        <f>ROUND(VLOOKUP($B20,'[2]DUOS (t)'!$B$10:$O$66,7,FALSE),4)</f>
        <v>2.4883000000000002</v>
      </c>
      <c r="J20" s="20">
        <f>ROUND(VLOOKUP($B20,'[2]DUOS (t)'!$B$10:$O$66,8,FALSE),4)</f>
        <v>0.93310000000000004</v>
      </c>
      <c r="K20" s="20">
        <f>ROUND(VLOOKUP($B20,'[2]DUOS (t)'!$B$10:$O$66,10,FALSE),4)</f>
        <v>7.5334000000000003</v>
      </c>
      <c r="L20" s="117"/>
      <c r="M20" s="20"/>
    </row>
    <row r="21" spans="2:15" ht="14.25" customHeight="1" x14ac:dyDescent="0.2">
      <c r="B21" s="18" t="s">
        <v>31</v>
      </c>
      <c r="C21" s="19" t="s">
        <v>167</v>
      </c>
      <c r="D21" s="125" t="s">
        <v>114</v>
      </c>
      <c r="E21" s="126"/>
      <c r="F21" s="20">
        <f>ROUND(VLOOKUP($B21,'[2]DUOS (t)'!$B$10:$O$66,4,FALSE)/366,4)</f>
        <v>3.7058</v>
      </c>
      <c r="G21" s="20"/>
      <c r="H21" s="20">
        <f>ROUND(VLOOKUP($B21,'[2]DUOS (t)'!$B$10:$O$66,6,FALSE),4)</f>
        <v>13.4329</v>
      </c>
      <c r="I21" s="20">
        <f>ROUND(VLOOKUP($B21,'[2]DUOS (t)'!$B$10:$O$66,7,FALSE),4)</f>
        <v>10.356400000000001</v>
      </c>
      <c r="J21" s="20">
        <f>ROUND(VLOOKUP($B21,'[2]DUOS (t)'!$B$10:$O$66,8,FALSE),4)</f>
        <v>4.9519000000000002</v>
      </c>
      <c r="K21" s="20"/>
      <c r="L21" s="20"/>
      <c r="M21" s="20"/>
    </row>
    <row r="22" spans="2:15" ht="14.25" customHeight="1" x14ac:dyDescent="0.2">
      <c r="B22" s="18" t="s">
        <v>172</v>
      </c>
      <c r="C22" s="19"/>
      <c r="D22" s="125" t="s">
        <v>173</v>
      </c>
      <c r="E22" s="126"/>
      <c r="F22" s="20">
        <f>ROUND(VLOOKUP($B22,'[2]DUOS (t)'!$B$10:$O$66,4,FALSE)/366,4)</f>
        <v>17.418299999999999</v>
      </c>
      <c r="G22" s="20"/>
      <c r="H22" s="20">
        <f>ROUND(VLOOKUP($B22,'[2]DUOS (t)'!$B$10:$O$66,6,FALSE),4)</f>
        <v>0.95699999999999996</v>
      </c>
      <c r="I22" s="20">
        <f>ROUND(VLOOKUP($B22,'[2]DUOS (t)'!$B$10:$O$66,7,FALSE),4)</f>
        <v>0.70889999999999997</v>
      </c>
      <c r="J22" s="20">
        <f>ROUND(VLOOKUP($B22,'[2]DUOS (t)'!$B$10:$O$66,8,FALSE),4)</f>
        <v>0.20619999999999999</v>
      </c>
      <c r="K22" s="20">
        <f>ROUND(VLOOKUP($B22,'[2]DUOS (t)'!$B$10:$O$66,10,FALSE),4)</f>
        <v>10.7485</v>
      </c>
      <c r="L22" s="20">
        <f>ROUND(VLOOKUP($B22,'[2]DUOS (t)'!$B$10:$O$66,11,FALSE),4)</f>
        <v>9.7248000000000001</v>
      </c>
      <c r="M22" s="20">
        <f>ROUND(VLOOKUP($B22,'[2]DUOS (t)'!$B$10:$O$66,12,FALSE),4)</f>
        <v>2.5482</v>
      </c>
    </row>
    <row r="23" spans="2:15" ht="14.25" customHeight="1" x14ac:dyDescent="0.2">
      <c r="B23" s="18" t="s">
        <v>32</v>
      </c>
      <c r="C23" s="19"/>
      <c r="D23" s="125" t="s">
        <v>47</v>
      </c>
      <c r="E23" s="126"/>
      <c r="F23" s="20">
        <f>ROUND(VLOOKUP($B23,'[2]DUOS (t)'!$B$10:$O$66,4,FALSE)/366,4)</f>
        <v>17.418299999999999</v>
      </c>
      <c r="G23" s="20"/>
      <c r="H23" s="20">
        <f>ROUND(VLOOKUP($B23,'[2]DUOS (t)'!$B$10:$O$66,6,FALSE),4)</f>
        <v>0.95699999999999996</v>
      </c>
      <c r="I23" s="20">
        <f>ROUND(VLOOKUP($B23,'[2]DUOS (t)'!$B$10:$O$66,7,FALSE),4)</f>
        <v>0.70889999999999997</v>
      </c>
      <c r="J23" s="20">
        <f>ROUND(VLOOKUP($B23,'[2]DUOS (t)'!$B$10:$O$66,8,FALSE),4)</f>
        <v>0.20619999999999999</v>
      </c>
      <c r="K23" s="20">
        <f>ROUND(VLOOKUP($B23,'[2]DUOS (t)'!$B$10:$O$66,10,FALSE),4)</f>
        <v>10.7485</v>
      </c>
      <c r="L23" s="20">
        <f>ROUND(VLOOKUP($B23,'[2]DUOS (t)'!$B$10:$O$66,11,FALSE),4)</f>
        <v>9.7248000000000001</v>
      </c>
      <c r="M23" s="20">
        <f>ROUND(VLOOKUP($B23,'[2]DUOS (t)'!$B$10:$O$66,12,FALSE),4)</f>
        <v>2.5482</v>
      </c>
      <c r="O23" s="90"/>
    </row>
    <row r="24" spans="2:15" ht="14.25" customHeight="1" x14ac:dyDescent="0.2">
      <c r="B24" s="18" t="s">
        <v>61</v>
      </c>
      <c r="C24" s="19"/>
      <c r="D24" s="125" t="s">
        <v>74</v>
      </c>
      <c r="E24" s="126"/>
      <c r="F24" s="20">
        <f>ROUND(VLOOKUP($B24,'[2]DUOS (t)'!$B$10:$O$66,4,FALSE)/366,4)</f>
        <v>17.418299999999999</v>
      </c>
      <c r="G24" s="20"/>
      <c r="H24" s="20">
        <f>ROUND(VLOOKUP($B24,'[2]DUOS (t)'!$B$10:$O$66,6,FALSE),4)</f>
        <v>11.899800000000001</v>
      </c>
      <c r="I24" s="20">
        <f>ROUND(VLOOKUP($B24,'[2]DUOS (t)'!$B$10:$O$66,7,FALSE),4)</f>
        <v>8.8146000000000004</v>
      </c>
      <c r="J24" s="20">
        <f>ROUND(VLOOKUP($B24,'[2]DUOS (t)'!$B$10:$O$66,8,FALSE),4)</f>
        <v>2.9397000000000002</v>
      </c>
      <c r="K24" s="120">
        <f>ROUND(VLOOKUP($B24,'[2]DUOS (t)'!$B$10:$O$66,10,FALSE),4)</f>
        <v>13.8254</v>
      </c>
      <c r="L24" s="121"/>
      <c r="M24" s="20"/>
    </row>
    <row r="25" spans="2:15" ht="14.25" customHeight="1" x14ac:dyDescent="0.2">
      <c r="B25" s="18" t="s">
        <v>34</v>
      </c>
      <c r="C25" s="19"/>
      <c r="D25" s="125" t="s">
        <v>41</v>
      </c>
      <c r="E25" s="126"/>
      <c r="F25" s="20">
        <f>ROUND(VLOOKUP($B25,'[2]DUOS (t)'!$B$10:$O$66,4,FALSE)/366,4)</f>
        <v>21.5611</v>
      </c>
      <c r="G25" s="20"/>
      <c r="H25" s="20">
        <f>ROUND(VLOOKUP($B25,'[2]DUOS (t)'!$B$10:$O$66,6,FALSE),4)</f>
        <v>0.73399999999999999</v>
      </c>
      <c r="I25" s="20">
        <f>ROUND(VLOOKUP($B25,'[2]DUOS (t)'!$B$10:$O$66,7,FALSE),4)</f>
        <v>0.54369999999999996</v>
      </c>
      <c r="J25" s="20">
        <f>ROUND(VLOOKUP($B25,'[2]DUOS (t)'!$B$10:$O$66,8,FALSE),4)</f>
        <v>0.30959999999999999</v>
      </c>
      <c r="K25" s="20">
        <f>ROUND(VLOOKUP($B25,'[2]DUOS (t)'!$B$10:$O$66,10,FALSE),4)</f>
        <v>10.269600000000001</v>
      </c>
      <c r="L25" s="20">
        <f>ROUND(VLOOKUP($B25,'[2]DUOS (t)'!$B$10:$O$66,11,FALSE),4)</f>
        <v>9.2914999999999992</v>
      </c>
      <c r="M25" s="20">
        <f>ROUND(VLOOKUP($B25,'[2]DUOS (t)'!$B$10:$O$66,12,FALSE),4)</f>
        <v>2.7805</v>
      </c>
    </row>
    <row r="26" spans="2:15" ht="14.25" customHeight="1" x14ac:dyDescent="0.2">
      <c r="B26" s="18" t="s">
        <v>23</v>
      </c>
      <c r="C26" s="19"/>
      <c r="D26" s="134" t="s">
        <v>38</v>
      </c>
      <c r="E26" s="135"/>
      <c r="F26" s="20">
        <f>ROUND(VLOOKUP($B26,'[2]DUOS (t)'!$B$10:$O$66,4,FALSE)/366,4)</f>
        <v>21.4026</v>
      </c>
      <c r="G26" s="20"/>
      <c r="H26" s="20">
        <f>ROUND(VLOOKUP($B26,'[2]DUOS (t)'!$B$10:$O$66,6,FALSE),4)</f>
        <v>0.26150000000000001</v>
      </c>
      <c r="I26" s="20">
        <f>ROUND(VLOOKUP($B26,'[2]DUOS (t)'!$B$10:$O$66,7,FALSE),4)</f>
        <v>0.1234</v>
      </c>
      <c r="J26" s="20">
        <f>ROUND(VLOOKUP($B26,'[2]DUOS (t)'!$B$10:$O$66,8,FALSE),4)</f>
        <v>0.1124</v>
      </c>
      <c r="K26" s="20">
        <f>ROUND(VLOOKUP($B26,'[2]DUOS (t)'!$B$10:$O$66,10,FALSE),4)</f>
        <v>3.9630000000000001</v>
      </c>
      <c r="L26" s="20">
        <f>ROUND(VLOOKUP($B26,'[2]DUOS (t)'!$B$10:$O$66,11,FALSE),4)</f>
        <v>2.8252000000000002</v>
      </c>
      <c r="M26" s="20">
        <f>ROUND(VLOOKUP($B26,'[2]DUOS (t)'!$B$10:$O$66,12,FALSE),4)</f>
        <v>1.1262000000000001</v>
      </c>
    </row>
    <row r="27" spans="2:15" ht="18" x14ac:dyDescent="0.25">
      <c r="B27" s="65" t="s">
        <v>45</v>
      </c>
      <c r="C27" s="65"/>
      <c r="D27" s="66"/>
      <c r="E27" s="67"/>
      <c r="F27" s="69"/>
      <c r="G27" s="69"/>
      <c r="H27" s="69"/>
      <c r="I27" s="69"/>
      <c r="J27" s="69"/>
      <c r="K27" s="69"/>
      <c r="L27" s="69"/>
      <c r="M27" s="69"/>
      <c r="N27" s="60"/>
      <c r="O27" s="60"/>
    </row>
    <row r="28" spans="2:15" ht="14.25" customHeight="1" x14ac:dyDescent="0.2">
      <c r="B28" s="18" t="s">
        <v>36</v>
      </c>
      <c r="C28" s="19" t="s">
        <v>44</v>
      </c>
      <c r="D28" s="125" t="s">
        <v>107</v>
      </c>
      <c r="E28" s="126"/>
      <c r="F28" s="20">
        <f>ROUND(VLOOKUP($B28,'[2]DUOS (t)'!$B$10:$O$80,4,FALSE)/366,4)</f>
        <v>1.0193000000000001</v>
      </c>
      <c r="G28" s="20">
        <f>ROUND(VLOOKUP($B28,'[2]DUOS (t)'!$B$10:$O$80,5,FALSE),4)</f>
        <v>15.0138</v>
      </c>
      <c r="H28" s="20"/>
      <c r="I28" s="20"/>
      <c r="J28" s="20"/>
      <c r="K28" s="20"/>
      <c r="L28" s="20"/>
      <c r="M28" s="20"/>
    </row>
    <row r="29" spans="2:15" ht="14.25" customHeight="1" x14ac:dyDescent="0.2">
      <c r="B29" s="18" t="s">
        <v>37</v>
      </c>
      <c r="C29" s="19"/>
      <c r="D29" s="125" t="s">
        <v>108</v>
      </c>
      <c r="E29" s="126"/>
      <c r="F29" s="20">
        <f>ROUND(VLOOKUP($B29,'[2]DUOS (t)'!$B$10:$O$80,4,FALSE)/366,4)</f>
        <v>0</v>
      </c>
      <c r="G29" s="20"/>
      <c r="H29" s="20">
        <f>ROUND(VLOOKUP($B29,'[2]DUOS (t)'!$B$10:$O$80,6,FALSE),4)</f>
        <v>16.0166</v>
      </c>
      <c r="I29" s="20">
        <f>ROUND(VLOOKUP($B29,'[2]DUOS (t)'!$B$10:$O$80,7,FALSE),4)</f>
        <v>11.864100000000001</v>
      </c>
      <c r="J29" s="20">
        <f>ROUND(VLOOKUP($B29,'[2]DUOS (t)'!$B$10:$O$80,8,FALSE),4)</f>
        <v>5.2961999999999998</v>
      </c>
      <c r="K29" s="20"/>
      <c r="L29" s="20"/>
      <c r="M29" s="20"/>
    </row>
    <row r="30" spans="2:15" ht="18" x14ac:dyDescent="0.25">
      <c r="B30" s="65" t="s">
        <v>69</v>
      </c>
      <c r="C30" s="65"/>
      <c r="D30" s="66"/>
      <c r="E30" s="67"/>
      <c r="F30" s="69"/>
      <c r="G30" s="69"/>
      <c r="H30" s="69"/>
      <c r="I30" s="69"/>
      <c r="J30" s="69"/>
      <c r="K30" s="69"/>
      <c r="L30" s="69"/>
      <c r="M30" s="69"/>
      <c r="N30" s="60"/>
      <c r="O30" s="60"/>
    </row>
    <row r="31" spans="2:15" x14ac:dyDescent="0.2">
      <c r="B31" s="19" t="s">
        <v>50</v>
      </c>
      <c r="C31" s="19"/>
      <c r="D31" s="125" t="s">
        <v>51</v>
      </c>
      <c r="E31" s="126"/>
      <c r="F31" s="25" t="s">
        <v>52</v>
      </c>
      <c r="G31" s="25"/>
      <c r="H31" s="25" t="s">
        <v>52</v>
      </c>
      <c r="I31" s="25" t="s">
        <v>52</v>
      </c>
      <c r="J31" s="25" t="s">
        <v>52</v>
      </c>
      <c r="K31" s="25" t="s">
        <v>52</v>
      </c>
      <c r="L31" s="25" t="s">
        <v>52</v>
      </c>
      <c r="M31" s="25" t="s">
        <v>52</v>
      </c>
    </row>
    <row r="32" spans="2:15" ht="15" x14ac:dyDescent="0.25">
      <c r="B32" s="48" t="s">
        <v>53</v>
      </c>
      <c r="C32" s="42"/>
      <c r="D32" s="43"/>
      <c r="E32" s="34" t="s">
        <v>1</v>
      </c>
      <c r="F32" s="35" t="s">
        <v>2</v>
      </c>
      <c r="G32" s="35" t="s">
        <v>2</v>
      </c>
      <c r="H32" s="35" t="s">
        <v>2</v>
      </c>
      <c r="I32" s="34" t="s">
        <v>3</v>
      </c>
      <c r="J32" s="35" t="s">
        <v>4</v>
      </c>
      <c r="K32" s="35" t="s">
        <v>5</v>
      </c>
      <c r="L32" s="35" t="s">
        <v>6</v>
      </c>
      <c r="M32" s="36" t="s">
        <v>7</v>
      </c>
    </row>
    <row r="33" spans="1:15" ht="15" x14ac:dyDescent="0.25">
      <c r="B33" s="49" t="s">
        <v>0</v>
      </c>
      <c r="C33" s="44" t="s">
        <v>9</v>
      </c>
      <c r="D33" s="91"/>
      <c r="E33" s="37" t="s">
        <v>10</v>
      </c>
      <c r="F33" s="37" t="s">
        <v>4</v>
      </c>
      <c r="G33" s="37" t="s">
        <v>5</v>
      </c>
      <c r="H33" s="37" t="s">
        <v>6</v>
      </c>
      <c r="I33" s="37" t="s">
        <v>12</v>
      </c>
      <c r="J33" s="37" t="s">
        <v>3</v>
      </c>
      <c r="K33" s="37" t="s">
        <v>3</v>
      </c>
      <c r="L33" s="37" t="s">
        <v>3</v>
      </c>
      <c r="M33" s="38" t="s">
        <v>12</v>
      </c>
    </row>
    <row r="34" spans="1:15" ht="15" x14ac:dyDescent="0.25">
      <c r="B34" s="38" t="s">
        <v>8</v>
      </c>
      <c r="C34" s="45"/>
      <c r="D34" s="46"/>
      <c r="E34" s="37" t="s">
        <v>13</v>
      </c>
      <c r="F34" s="37" t="s">
        <v>14</v>
      </c>
      <c r="G34" s="37" t="s">
        <v>14</v>
      </c>
      <c r="H34" s="37" t="s">
        <v>14</v>
      </c>
      <c r="I34" s="37" t="s">
        <v>15</v>
      </c>
      <c r="J34" s="37" t="s">
        <v>15</v>
      </c>
      <c r="K34" s="37" t="s">
        <v>15</v>
      </c>
      <c r="L34" s="37" t="s">
        <v>15</v>
      </c>
      <c r="M34" s="37" t="s">
        <v>15</v>
      </c>
    </row>
    <row r="35" spans="1:15" ht="26.25" x14ac:dyDescent="0.25">
      <c r="B35" s="47"/>
      <c r="C35" s="50"/>
      <c r="D35" s="92"/>
      <c r="E35" s="16" t="s">
        <v>84</v>
      </c>
      <c r="F35" s="16" t="s">
        <v>84</v>
      </c>
      <c r="G35" s="16" t="s">
        <v>84</v>
      </c>
      <c r="H35" s="16" t="s">
        <v>84</v>
      </c>
      <c r="I35" s="16" t="s">
        <v>84</v>
      </c>
      <c r="J35" s="16" t="s">
        <v>84</v>
      </c>
      <c r="K35" s="16" t="s">
        <v>84</v>
      </c>
      <c r="L35" s="16" t="s">
        <v>84</v>
      </c>
      <c r="M35" s="16" t="s">
        <v>84</v>
      </c>
    </row>
    <row r="36" spans="1:15" ht="15" x14ac:dyDescent="0.25">
      <c r="B36" s="21" t="s">
        <v>46</v>
      </c>
      <c r="C36" s="22"/>
      <c r="D36" s="93"/>
      <c r="E36" s="39"/>
      <c r="F36" s="23"/>
      <c r="G36" s="23"/>
      <c r="H36" s="23"/>
      <c r="I36" s="23"/>
      <c r="J36" s="23"/>
      <c r="K36" s="23"/>
      <c r="L36" s="23"/>
      <c r="M36" s="23"/>
    </row>
    <row r="37" spans="1:15" ht="14.25" customHeight="1" x14ac:dyDescent="0.2">
      <c r="B37" s="18" t="s">
        <v>33</v>
      </c>
      <c r="C37" s="157" t="s">
        <v>58</v>
      </c>
      <c r="D37" s="158"/>
      <c r="E37" s="20">
        <f>ROUND(VLOOKUP($B37,'[2]DUOS (t)'!$B$10:$O$66,4,FALSE)/366,4)</f>
        <v>20.661799999999999</v>
      </c>
      <c r="F37" s="20">
        <f>ROUND(VLOOKUP($B37,'[2]DUOS (t)'!$B$10:$O$66,6,FALSE),4)</f>
        <v>0.6119</v>
      </c>
      <c r="G37" s="20">
        <f>ROUND(VLOOKUP($B37,'[2]DUOS (t)'!$B$10:$O$66,7,FALSE),4)</f>
        <v>0.45329999999999998</v>
      </c>
      <c r="H37" s="20">
        <f>ROUND(VLOOKUP($B37,'[2]DUOS (t)'!$B$10:$O$66,8,FALSE),4)</f>
        <v>7.4300000000000005E-2</v>
      </c>
      <c r="I37" s="20"/>
      <c r="J37" s="20">
        <f>ROUND(VLOOKUP($B37,'[2]DUOS (t)'!$B$10:$O$66,10,FALSE),4)</f>
        <v>14.912699999999999</v>
      </c>
      <c r="K37" s="20">
        <f>ROUND(VLOOKUP($B37,'[2]DUOS (t)'!$B$10:$O$66,11,FALSE),4)</f>
        <v>13.4924</v>
      </c>
      <c r="L37" s="20">
        <f>ROUND(VLOOKUP($B37,'[2]DUOS (t)'!$B$10:$O$66,12,FALSE),4)</f>
        <v>3.4483999999999999</v>
      </c>
      <c r="M37" s="20"/>
    </row>
    <row r="38" spans="1:15" s="17" customFormat="1" ht="14.25" customHeight="1" x14ac:dyDescent="0.2">
      <c r="A38" s="15"/>
      <c r="B38" s="18" t="s">
        <v>35</v>
      </c>
      <c r="C38" s="155" t="s">
        <v>59</v>
      </c>
      <c r="D38" s="156"/>
      <c r="E38" s="20">
        <f>ROUND(VLOOKUP($B38,'[2]DUOS (t)'!$B$10:$O$66,4,FALSE)/366,4)</f>
        <v>20.956700000000001</v>
      </c>
      <c r="F38" s="20">
        <f>ROUND(VLOOKUP($B38,'[2]DUOS (t)'!$B$10:$O$66,6,FALSE),4)</f>
        <v>0.6462</v>
      </c>
      <c r="G38" s="20">
        <f>ROUND(VLOOKUP($B38,'[2]DUOS (t)'!$B$10:$O$66,7,FALSE),4)</f>
        <v>0.58460000000000001</v>
      </c>
      <c r="H38" s="20">
        <f>ROUND(VLOOKUP($B38,'[2]DUOS (t)'!$B$10:$O$66,8,FALSE),4)</f>
        <v>0.3009</v>
      </c>
      <c r="I38" s="20"/>
      <c r="J38" s="20">
        <f>ROUND(VLOOKUP($B38,'[2]DUOS (t)'!$B$10:$O$66,10,FALSE),4)</f>
        <v>10.874599999999999</v>
      </c>
      <c r="K38" s="20">
        <f>ROUND(VLOOKUP($B38,'[2]DUOS (t)'!$B$10:$O$66,11,FALSE),4)</f>
        <v>9.8389000000000006</v>
      </c>
      <c r="L38" s="20">
        <f>ROUND(VLOOKUP($B38,'[2]DUOS (t)'!$B$10:$O$66,12,FALSE),4)</f>
        <v>2.9441999999999999</v>
      </c>
      <c r="M38" s="20"/>
      <c r="N38" s="7"/>
      <c r="O38" s="7"/>
    </row>
    <row r="39" spans="1:15" x14ac:dyDescent="0.2">
      <c r="B39" s="18" t="s">
        <v>167</v>
      </c>
      <c r="C39" s="30" t="s">
        <v>197</v>
      </c>
      <c r="D39" s="94"/>
      <c r="E39" s="20">
        <f>ROUND(VLOOKUP($B39,'[2]DUOS (t)'!$B$10:$O$66,4,FALSE)/366,4)</f>
        <v>9.0484000000000009</v>
      </c>
      <c r="F39" s="20">
        <f>ROUND(VLOOKUP($B39,'[2]DUOS (t)'!$B$10:$O$66,6,FALSE),4)</f>
        <v>16.591899999999999</v>
      </c>
      <c r="G39" s="20">
        <f>ROUND(VLOOKUP($B39,'[2]DUOS (t)'!$B$10:$O$66,7,FALSE),4)</f>
        <v>12.039199999999999</v>
      </c>
      <c r="H39" s="20">
        <f>ROUND(VLOOKUP($B39,'[2]DUOS (t)'!$B$10:$O$66,8,FALSE),4)</f>
        <v>5.8739999999999997</v>
      </c>
      <c r="I39" s="20">
        <f>ROUND(VLOOKUP($B39,'[2]DUOS (t)'!$B$10:$O$66,9,FALSE),4)</f>
        <v>0</v>
      </c>
      <c r="J39" s="20"/>
      <c r="K39" s="20"/>
      <c r="L39" s="20"/>
      <c r="M39" s="20">
        <f>ROUND(VLOOKUP($B39,'[2]DUOS (t)'!$B$10:$O$66,13,FALSE),4)</f>
        <v>0</v>
      </c>
    </row>
    <row r="40" spans="1:15" ht="28.5" x14ac:dyDescent="0.2">
      <c r="B40" s="19" t="s">
        <v>203</v>
      </c>
      <c r="C40" s="30" t="s">
        <v>48</v>
      </c>
      <c r="D40" s="94"/>
      <c r="E40" s="20">
        <f>ROUND(VLOOKUP("BLND1CO",'[2]DUOS (t)'!$B$10:$O$66,4,FALSE)/366,4)</f>
        <v>26.6403</v>
      </c>
      <c r="F40" s="20">
        <f>ROUND(VLOOKUP("BLND1CO",'[2]DUOS (t)'!$B$10:$O$66,6,FALSE),4)</f>
        <v>2.7477999999999998</v>
      </c>
      <c r="G40" s="20">
        <f>ROUND(VLOOKUP("BLND1CO",'[2]DUOS (t)'!$B$10:$O$66,7,FALSE),4)</f>
        <v>2.0354000000000001</v>
      </c>
      <c r="H40" s="20">
        <f>ROUND(VLOOKUP("BLND1CO",'[2]DUOS (t)'!$B$10:$O$66,8,FALSE),4)</f>
        <v>0.43330000000000002</v>
      </c>
      <c r="I40" s="20">
        <f>ROUND(VLOOKUP("BLND1CO",'[2]DUOS (t)'!$B$10:$O$66,9,FALSE),4)</f>
        <v>22.1721</v>
      </c>
      <c r="J40" s="20"/>
      <c r="K40" s="20"/>
      <c r="L40" s="20"/>
      <c r="M40" s="20"/>
    </row>
    <row r="41" spans="1:15" x14ac:dyDescent="0.2">
      <c r="B41" s="18" t="s">
        <v>20</v>
      </c>
      <c r="C41" s="30" t="s">
        <v>55</v>
      </c>
      <c r="D41" s="94"/>
      <c r="E41" s="20">
        <f>ROUND(VLOOKUP($B41,'[2]DUOS (t)'!$B$10:$O$66,4,FALSE)/366,4)</f>
        <v>20.661799999999999</v>
      </c>
      <c r="F41" s="20">
        <f>ROUND(VLOOKUP($B41,'[2]DUOS (t)'!$B$10:$O$66,6,FALSE),4)</f>
        <v>10.8986</v>
      </c>
      <c r="G41" s="20">
        <f>ROUND(VLOOKUP($B41,'[2]DUOS (t)'!$B$10:$O$66,7,FALSE),4)</f>
        <v>8.0730000000000004</v>
      </c>
      <c r="H41" s="20">
        <f>ROUND(VLOOKUP($B41,'[2]DUOS (t)'!$B$10:$O$66,8,FALSE),4)</f>
        <v>2.4948000000000001</v>
      </c>
      <c r="I41" s="20">
        <f>ROUND(VLOOKUP($B41,'[2]DUOS (t)'!$B$10:$O$66,9,FALSE),4)</f>
        <v>14.7264</v>
      </c>
      <c r="J41" s="20"/>
      <c r="K41" s="20"/>
      <c r="L41" s="20"/>
      <c r="M41" s="20">
        <f>ROUND(VLOOKUP($B41,'[2]DUOS (t)'!$B$10:$O$66,13,FALSE),4)</f>
        <v>5.3536999999999999</v>
      </c>
    </row>
    <row r="42" spans="1:15" x14ac:dyDescent="0.2">
      <c r="B42" s="18" t="s">
        <v>21</v>
      </c>
      <c r="C42" s="30" t="s">
        <v>54</v>
      </c>
      <c r="D42" s="94"/>
      <c r="E42" s="20">
        <f>ROUND(VLOOKUP($B42,'[2]DUOS (t)'!$B$10:$O$66,4,FALSE)/366,4)</f>
        <v>5.5591999999999997</v>
      </c>
      <c r="F42" s="20">
        <f>ROUND(VLOOKUP($B42,'[2]DUOS (t)'!$B$10:$O$66,6,FALSE),4)</f>
        <v>13.179</v>
      </c>
      <c r="G42" s="20">
        <f>ROUND(VLOOKUP($B42,'[2]DUOS (t)'!$B$10:$O$66,7,FALSE),4)</f>
        <v>9.7622</v>
      </c>
      <c r="H42" s="20">
        <f>ROUND(VLOOKUP($B42,'[2]DUOS (t)'!$B$10:$O$66,8,FALSE),4)</f>
        <v>4.3693</v>
      </c>
      <c r="I42" s="20">
        <f>ROUND(VLOOKUP($B42,'[2]DUOS (t)'!$B$10:$O$66,9,FALSE),4)</f>
        <v>14.4438</v>
      </c>
      <c r="J42" s="20"/>
      <c r="K42" s="20"/>
      <c r="L42" s="20"/>
      <c r="M42" s="20">
        <f>ROUND(VLOOKUP($B42,'[2]DUOS (t)'!$B$10:$O$66,13,FALSE),4)</f>
        <v>5.3604000000000003</v>
      </c>
    </row>
    <row r="43" spans="1:15" s="41" customFormat="1" ht="28.5" x14ac:dyDescent="0.2">
      <c r="A43" s="40"/>
      <c r="B43" s="18" t="s">
        <v>22</v>
      </c>
      <c r="C43" s="30" t="s">
        <v>56</v>
      </c>
      <c r="D43" s="95"/>
      <c r="E43" s="20">
        <f>ROUND(VLOOKUP($B43,'[2]DUOS (t)'!$B$10:$O$66,4,FALSE)/366,4)</f>
        <v>34.184100000000001</v>
      </c>
      <c r="F43" s="20">
        <f>ROUND(VLOOKUP($B43,'[2]DUOS (t)'!$B$10:$O$66,6,FALSE),4)</f>
        <v>3.488</v>
      </c>
      <c r="G43" s="20">
        <f>ROUND(VLOOKUP($B43,'[2]DUOS (t)'!$B$10:$O$66,7,FALSE),4)</f>
        <v>2.8557000000000001</v>
      </c>
      <c r="H43" s="20">
        <f>ROUND(VLOOKUP($B43,'[2]DUOS (t)'!$B$10:$O$66,8,FALSE),4)</f>
        <v>0.65869999999999995</v>
      </c>
      <c r="I43" s="20">
        <f>ROUND(VLOOKUP($B43,'[2]DUOS (t)'!$B$10:$O$66,9,FALSE),4)</f>
        <v>16.1633</v>
      </c>
      <c r="J43" s="20"/>
      <c r="K43" s="20"/>
      <c r="L43" s="20"/>
      <c r="M43" s="20"/>
    </row>
    <row r="44" spans="1:15" ht="28.5" x14ac:dyDescent="0.2">
      <c r="B44" s="19" t="s">
        <v>202</v>
      </c>
      <c r="C44" s="30" t="s">
        <v>57</v>
      </c>
      <c r="D44" s="94"/>
      <c r="E44" s="20">
        <f>ROUND(VLOOKUP("BHND1SO",'[2]DUOS (t)'!$B$10:$O$66,4,FALSE)/366,4)</f>
        <v>25.480599999999999</v>
      </c>
      <c r="F44" s="20">
        <f>ROUND(VLOOKUP("BHND1SO",'[2]DUOS (t)'!$B$10:$O$66,6,FALSE),4)</f>
        <v>2.6246</v>
      </c>
      <c r="G44" s="20">
        <f>ROUND(VLOOKUP("BHND1SO",'[2]DUOS (t)'!$B$10:$O$66,7,FALSE),4)</f>
        <v>2.1488</v>
      </c>
      <c r="H44" s="20">
        <f>ROUND(VLOOKUP("BHND1SO",'[2]DUOS (t)'!$B$10:$O$66,8,FALSE),4)</f>
        <v>2.4064999999999999</v>
      </c>
      <c r="I44" s="20">
        <f>ROUND(VLOOKUP("BHND1SO",'[2]DUOS (t)'!$B$10:$O$66,9,FALSE),4)</f>
        <v>11.672499999999999</v>
      </c>
      <c r="J44" s="20"/>
      <c r="K44" s="20"/>
      <c r="L44" s="20"/>
      <c r="M44" s="20">
        <f>ROUND(VLOOKUP("BHND1SO",'[2]DUOS (t)'!$B$10:$O$66,13,FALSE),4)</f>
        <v>4.2988</v>
      </c>
    </row>
  </sheetData>
  <mergeCells count="27">
    <mergeCell ref="K24:L24"/>
    <mergeCell ref="B3:F3"/>
    <mergeCell ref="D10:E10"/>
    <mergeCell ref="D11:E11"/>
    <mergeCell ref="D15:E15"/>
    <mergeCell ref="I3:J3"/>
    <mergeCell ref="B5:B7"/>
    <mergeCell ref="C5:C7"/>
    <mergeCell ref="D5:E7"/>
    <mergeCell ref="D21:E21"/>
    <mergeCell ref="D23:E23"/>
    <mergeCell ref="D17:E17"/>
    <mergeCell ref="D18:E18"/>
    <mergeCell ref="D19:E19"/>
    <mergeCell ref="D22:E22"/>
    <mergeCell ref="D9:E9"/>
    <mergeCell ref="D12:E12"/>
    <mergeCell ref="D14:E14"/>
    <mergeCell ref="D20:E20"/>
    <mergeCell ref="C37:D37"/>
    <mergeCell ref="D24:E24"/>
    <mergeCell ref="C38:D38"/>
    <mergeCell ref="D31:E31"/>
    <mergeCell ref="D25:E25"/>
    <mergeCell ref="D26:E26"/>
    <mergeCell ref="D28:E28"/>
    <mergeCell ref="D29:E29"/>
  </mergeCells>
  <pageMargins left="0.39370078740157483" right="0.39370078740157483" top="0.39370078740157483" bottom="0.39370078740157483" header="0.51181102362204722" footer="0.51181102362204722"/>
  <pageSetup paperSize="9" scale="67" fitToHeight="0" orientation="landscape" r:id="rId1"/>
  <headerFooter alignWithMargins="0"/>
  <ignoredErrors>
    <ignoredError sqref="F16 F32:M36 F45:N45 G16:M16 F30:F31 G30:M3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2:P44"/>
  <sheetViews>
    <sheetView showGridLines="0" zoomScale="70" zoomScaleNormal="70" zoomScaleSheetLayoutView="58" workbookViewId="0"/>
  </sheetViews>
  <sheetFormatPr defaultColWidth="8.875" defaultRowHeight="14.25" x14ac:dyDescent="0.2"/>
  <cols>
    <col min="1" max="1" width="1.875" style="14" customWidth="1"/>
    <col min="2" max="2" width="26" style="7" customWidth="1"/>
    <col min="3" max="3" width="29.75" style="7" customWidth="1"/>
    <col min="4" max="4" width="11.25" style="7" customWidth="1"/>
    <col min="5" max="5" width="17.875" style="7" customWidth="1"/>
    <col min="6" max="16" width="10.5" style="7" customWidth="1"/>
    <col min="17" max="17" width="8.5" style="7" customWidth="1"/>
    <col min="18" max="18" width="63.75" style="7" customWidth="1"/>
    <col min="19" max="16384" width="8.875" style="7"/>
  </cols>
  <sheetData>
    <row r="2" spans="1:16" ht="33" x14ac:dyDescent="0.45">
      <c r="A2" s="1"/>
      <c r="B2" s="2" t="s">
        <v>175</v>
      </c>
      <c r="C2" s="3"/>
      <c r="D2" s="3"/>
      <c r="E2" s="3"/>
      <c r="F2" s="3"/>
      <c r="G2" s="4"/>
      <c r="H2" s="5"/>
      <c r="I2" s="5"/>
      <c r="J2" s="5"/>
      <c r="K2" s="4"/>
      <c r="L2" s="4"/>
      <c r="M2" s="6"/>
    </row>
    <row r="3" spans="1:16" ht="15.75" x14ac:dyDescent="0.25">
      <c r="A3" s="1"/>
      <c r="B3" s="132" t="str">
        <f>'Price List_Excl GST'!B3:F3</f>
        <v>Effective 1 July 2023</v>
      </c>
      <c r="C3" s="133"/>
      <c r="D3" s="133"/>
      <c r="E3" s="133"/>
      <c r="F3" s="133"/>
      <c r="G3" s="8"/>
      <c r="H3" s="8"/>
      <c r="I3" s="128"/>
      <c r="J3" s="128"/>
      <c r="K3" s="8"/>
      <c r="L3" s="8"/>
      <c r="M3" s="9"/>
    </row>
    <row r="4" spans="1:16" ht="15" x14ac:dyDescent="0.25">
      <c r="A4" s="1"/>
      <c r="B4" s="10"/>
      <c r="C4" s="11"/>
      <c r="D4" s="12"/>
      <c r="E4" s="12"/>
      <c r="F4" s="12"/>
      <c r="G4" s="12"/>
      <c r="H4" s="12"/>
      <c r="I4" s="12"/>
      <c r="J4" s="12"/>
      <c r="K4" s="12"/>
      <c r="L4" s="12"/>
      <c r="M4" s="13"/>
    </row>
    <row r="5" spans="1:16" ht="15" x14ac:dyDescent="0.25">
      <c r="B5" s="122" t="s">
        <v>105</v>
      </c>
      <c r="C5" s="122" t="s">
        <v>24</v>
      </c>
      <c r="D5" s="159" t="s">
        <v>9</v>
      </c>
      <c r="E5" s="160"/>
      <c r="F5" s="52" t="s">
        <v>1</v>
      </c>
      <c r="G5" s="52" t="s">
        <v>2</v>
      </c>
      <c r="H5" s="37" t="s">
        <v>2</v>
      </c>
      <c r="I5" s="37" t="s">
        <v>2</v>
      </c>
      <c r="J5" s="37" t="s">
        <v>2</v>
      </c>
      <c r="K5" s="37" t="s">
        <v>4</v>
      </c>
      <c r="L5" s="37" t="s">
        <v>5</v>
      </c>
      <c r="M5" s="37" t="s">
        <v>6</v>
      </c>
    </row>
    <row r="6" spans="1:16" ht="15" x14ac:dyDescent="0.2">
      <c r="B6" s="123"/>
      <c r="C6" s="123"/>
      <c r="D6" s="137"/>
      <c r="E6" s="138"/>
      <c r="F6" s="77" t="s">
        <v>10</v>
      </c>
      <c r="G6" s="77" t="s">
        <v>171</v>
      </c>
      <c r="H6" s="77" t="s">
        <v>4</v>
      </c>
      <c r="I6" s="77" t="s">
        <v>5</v>
      </c>
      <c r="J6" s="77" t="s">
        <v>6</v>
      </c>
      <c r="K6" s="77" t="s">
        <v>3</v>
      </c>
      <c r="L6" s="77" t="s">
        <v>3</v>
      </c>
      <c r="M6" s="77" t="s">
        <v>3</v>
      </c>
    </row>
    <row r="7" spans="1:16" ht="15" x14ac:dyDescent="0.2">
      <c r="B7" s="124"/>
      <c r="C7" s="124"/>
      <c r="D7" s="161"/>
      <c r="E7" s="162"/>
      <c r="F7" s="77" t="s">
        <v>13</v>
      </c>
      <c r="G7" s="77" t="s">
        <v>14</v>
      </c>
      <c r="H7" s="77" t="s">
        <v>14</v>
      </c>
      <c r="I7" s="77" t="s">
        <v>14</v>
      </c>
      <c r="J7" s="77" t="s">
        <v>14</v>
      </c>
      <c r="K7" s="77" t="s">
        <v>15</v>
      </c>
      <c r="L7" s="77" t="s">
        <v>15</v>
      </c>
      <c r="M7" s="77" t="s">
        <v>15</v>
      </c>
    </row>
    <row r="8" spans="1:16" s="17" customFormat="1" ht="18" x14ac:dyDescent="0.25">
      <c r="A8" s="15"/>
      <c r="B8" s="55" t="s">
        <v>16</v>
      </c>
      <c r="C8" s="56"/>
      <c r="D8" s="57"/>
      <c r="E8" s="58"/>
      <c r="F8" s="59"/>
      <c r="G8" s="59"/>
      <c r="H8" s="59"/>
      <c r="I8" s="59"/>
      <c r="J8" s="59"/>
      <c r="K8" s="59"/>
      <c r="L8" s="59"/>
      <c r="M8" s="59"/>
      <c r="N8" s="60"/>
      <c r="O8" s="60"/>
    </row>
    <row r="9" spans="1:16" ht="14.25" customHeight="1" x14ac:dyDescent="0.2">
      <c r="B9" s="18" t="s">
        <v>25</v>
      </c>
      <c r="C9" s="19"/>
      <c r="D9" s="125" t="s">
        <v>178</v>
      </c>
      <c r="E9" s="126"/>
      <c r="F9" s="20">
        <f>ROUND(VLOOKUP($B9,'[2]TUOS (t)'!$B$10:$O$66,4,FALSE)/366,4)</f>
        <v>0</v>
      </c>
      <c r="G9" s="20">
        <f>ROUND(VLOOKUP($B9,'[2]TUOS (t)'!$B$10:$O$66,5,FALSE),4)</f>
        <v>2.1793</v>
      </c>
      <c r="H9" s="20"/>
      <c r="I9" s="20"/>
      <c r="J9" s="20"/>
      <c r="K9" s="20"/>
      <c r="L9" s="20"/>
      <c r="M9" s="20"/>
    </row>
    <row r="10" spans="1:16" ht="14.25" customHeight="1" x14ac:dyDescent="0.2">
      <c r="B10" s="18" t="s">
        <v>26</v>
      </c>
      <c r="C10" s="19"/>
      <c r="D10" s="125" t="s">
        <v>42</v>
      </c>
      <c r="E10" s="126"/>
      <c r="F10" s="20">
        <f>ROUND(VLOOKUP($B10,'[2]TUOS (t)'!$B$10:$O$66,4,FALSE)/366,4)</f>
        <v>0</v>
      </c>
      <c r="G10" s="20"/>
      <c r="H10" s="20">
        <f>ROUND(VLOOKUP($B10,'[2]TUOS (t)'!$B$10:$O$66,6,FALSE),4)</f>
        <v>3.488</v>
      </c>
      <c r="I10" s="20">
        <f>ROUND(VLOOKUP($B10,'[2]TUOS (t)'!$B$10:$O$66,7,FALSE),4)</f>
        <v>2.7212000000000001</v>
      </c>
      <c r="J10" s="20">
        <f>ROUND(VLOOKUP($B10,'[2]TUOS (t)'!$B$10:$O$66,8,FALSE),4)</f>
        <v>1.6099000000000001</v>
      </c>
      <c r="K10" s="20"/>
      <c r="L10" s="20"/>
      <c r="M10" s="20"/>
      <c r="P10" s="51"/>
    </row>
    <row r="11" spans="1:16" ht="14.25" customHeight="1" x14ac:dyDescent="0.2">
      <c r="B11" s="18" t="s">
        <v>164</v>
      </c>
      <c r="C11" s="19"/>
      <c r="D11" s="125" t="s">
        <v>165</v>
      </c>
      <c r="E11" s="126"/>
      <c r="F11" s="20">
        <f>ROUND(VLOOKUP($B11,'[2]TUOS (t)'!$B$10:$O$66,4,FALSE)/366,4)</f>
        <v>0</v>
      </c>
      <c r="G11" s="20"/>
      <c r="H11" s="20">
        <f>ROUND(VLOOKUP($B11,'[2]TUOS (t)'!$B$10:$O$66,6,FALSE),4)</f>
        <v>3.488</v>
      </c>
      <c r="I11" s="20">
        <f>ROUND(VLOOKUP($B11,'[2]TUOS (t)'!$B$10:$O$66,7,FALSE),4)</f>
        <v>2.7212000000000001</v>
      </c>
      <c r="J11" s="20">
        <f>ROUND(VLOOKUP($B11,'[2]TUOS (t)'!$B$10:$O$66,8,FALSE),4)</f>
        <v>1.6099000000000001</v>
      </c>
      <c r="K11" s="20"/>
      <c r="L11" s="20"/>
      <c r="M11" s="20"/>
    </row>
    <row r="12" spans="1:16" ht="14.25" customHeight="1" x14ac:dyDescent="0.2">
      <c r="B12" s="18" t="s">
        <v>166</v>
      </c>
      <c r="C12" s="19"/>
      <c r="D12" s="125" t="s">
        <v>180</v>
      </c>
      <c r="E12" s="126"/>
      <c r="F12" s="20">
        <f>ROUND(VLOOKUP($B12,'[2]TUOS (t)'!$B$10:$O$66,4,FALSE)/366,4)</f>
        <v>0</v>
      </c>
      <c r="G12" s="20"/>
      <c r="H12" s="20">
        <f>ROUND(VLOOKUP($B12,'[2]TUOS (t)'!$B$10:$O$66,6,FALSE),4)</f>
        <v>3.488</v>
      </c>
      <c r="I12" s="20">
        <f>ROUND(VLOOKUP($B12,'[2]TUOS (t)'!$B$10:$O$66,7,FALSE),4)</f>
        <v>2.7212000000000001</v>
      </c>
      <c r="J12" s="20">
        <f>ROUND(VLOOKUP($B12,'[2]TUOS (t)'!$B$10:$O$66,8,FALSE),4)</f>
        <v>1.6099000000000001</v>
      </c>
      <c r="K12" s="20">
        <f>ROUND(VLOOKUP($B12,'[2]TUOS (t)'!$B$10:$O$66,10,FALSE),4)</f>
        <v>0</v>
      </c>
      <c r="L12" s="117"/>
      <c r="M12" s="20"/>
    </row>
    <row r="13" spans="1:16" ht="18" x14ac:dyDescent="0.25">
      <c r="B13" s="56" t="s">
        <v>19</v>
      </c>
      <c r="C13" s="56"/>
      <c r="D13" s="61"/>
      <c r="E13" s="62"/>
      <c r="F13" s="63"/>
      <c r="G13" s="64"/>
      <c r="H13" s="64"/>
      <c r="I13" s="64"/>
      <c r="J13" s="64"/>
      <c r="K13" s="64"/>
      <c r="L13" s="64"/>
      <c r="M13" s="64"/>
      <c r="N13" s="60"/>
      <c r="O13" s="60"/>
    </row>
    <row r="14" spans="1:16" ht="14.25" customHeight="1" x14ac:dyDescent="0.2">
      <c r="B14" s="18" t="s">
        <v>27</v>
      </c>
      <c r="C14" s="19"/>
      <c r="D14" s="125" t="s">
        <v>39</v>
      </c>
      <c r="E14" s="126"/>
      <c r="F14" s="20">
        <f>ROUND(VLOOKUP($B14,'[2]TUOS (t)'!$B$10:$O$66,4,FALSE)/366,4)</f>
        <v>0</v>
      </c>
      <c r="G14" s="20">
        <f>ROUND(VLOOKUP($B14,'[2]TUOS (t)'!$B$10:$O$66,5,FALSE),4)</f>
        <v>1.6099000000000001</v>
      </c>
      <c r="H14" s="20"/>
      <c r="I14" s="20"/>
      <c r="J14" s="20"/>
      <c r="K14" s="20"/>
      <c r="L14" s="20"/>
      <c r="M14" s="20"/>
    </row>
    <row r="15" spans="1:16" ht="14.25" customHeight="1" x14ac:dyDescent="0.2">
      <c r="B15" s="18" t="s">
        <v>28</v>
      </c>
      <c r="C15" s="19"/>
      <c r="D15" s="125" t="s">
        <v>40</v>
      </c>
      <c r="E15" s="126"/>
      <c r="F15" s="20">
        <f>ROUND(VLOOKUP($B15,'[2]TUOS (t)'!$B$10:$O$66,4,FALSE)/366,4)</f>
        <v>0</v>
      </c>
      <c r="G15" s="20">
        <f>ROUND(VLOOKUP($B15,'[2]TUOS (t)'!$B$10:$O$66,5,FALSE),4)</f>
        <v>2.0766</v>
      </c>
      <c r="H15" s="20"/>
      <c r="I15" s="20"/>
      <c r="J15" s="20"/>
      <c r="K15" s="20"/>
      <c r="L15" s="20"/>
      <c r="M15" s="20"/>
    </row>
    <row r="16" spans="1:16" ht="18" x14ac:dyDescent="0.25">
      <c r="B16" s="65" t="s">
        <v>18</v>
      </c>
      <c r="C16" s="65"/>
      <c r="D16" s="66"/>
      <c r="E16" s="67"/>
      <c r="F16" s="68"/>
      <c r="G16" s="68"/>
      <c r="H16" s="68"/>
      <c r="I16" s="68"/>
      <c r="J16" s="68"/>
      <c r="K16" s="68"/>
      <c r="L16" s="68"/>
      <c r="M16" s="68"/>
      <c r="N16" s="60"/>
      <c r="O16" s="60"/>
    </row>
    <row r="17" spans="2:15" ht="14.25" customHeight="1" x14ac:dyDescent="0.2">
      <c r="B17" s="18" t="s">
        <v>29</v>
      </c>
      <c r="C17" s="19"/>
      <c r="D17" s="125" t="s">
        <v>179</v>
      </c>
      <c r="E17" s="126"/>
      <c r="F17" s="20">
        <f>ROUND(VLOOKUP($B17,'[2]TUOS (t)'!$B$10:$O$66,4,FALSE)/366,4)</f>
        <v>0</v>
      </c>
      <c r="G17" s="20">
        <f>ROUND(VLOOKUP($B17,'[2]TUOS (t)'!$B$10:$O$66,5,FALSE),4)</f>
        <v>2.1793</v>
      </c>
      <c r="H17" s="20"/>
      <c r="I17" s="20"/>
      <c r="J17" s="20"/>
      <c r="K17" s="20"/>
      <c r="L17" s="20"/>
      <c r="M17" s="20"/>
    </row>
    <row r="18" spans="2:15" ht="14.25" customHeight="1" x14ac:dyDescent="0.2">
      <c r="B18" s="18" t="s">
        <v>30</v>
      </c>
      <c r="C18" s="19"/>
      <c r="D18" s="125" t="s">
        <v>43</v>
      </c>
      <c r="E18" s="126"/>
      <c r="F18" s="20">
        <f>ROUND(VLOOKUP($B18,'[2]TUOS (t)'!$B$10:$O$66,4,FALSE)/366,4)</f>
        <v>0</v>
      </c>
      <c r="G18" s="20"/>
      <c r="H18" s="20">
        <f>ROUND(VLOOKUP($B18,'[2]TUOS (t)'!$B$10:$O$66,6,FALSE),4)</f>
        <v>3.488</v>
      </c>
      <c r="I18" s="20">
        <f>ROUND(VLOOKUP($B18,'[2]TUOS (t)'!$B$10:$O$66,7,FALSE),4)</f>
        <v>2.7212000000000001</v>
      </c>
      <c r="J18" s="20">
        <f>ROUND(VLOOKUP($B18,'[2]TUOS (t)'!$B$10:$O$66,8,FALSE),4)</f>
        <v>1.6099000000000001</v>
      </c>
      <c r="K18" s="20"/>
      <c r="L18" s="20"/>
      <c r="M18" s="20"/>
    </row>
    <row r="19" spans="2:15" ht="14.25" customHeight="1" x14ac:dyDescent="0.2">
      <c r="B19" s="18" t="s">
        <v>168</v>
      </c>
      <c r="C19" s="19"/>
      <c r="D19" s="125" t="s">
        <v>169</v>
      </c>
      <c r="E19" s="126"/>
      <c r="F19" s="20">
        <f>ROUND(VLOOKUP($B19,'[2]TUOS (t)'!$B$10:$O$66,4,FALSE)/366,4)</f>
        <v>0</v>
      </c>
      <c r="G19" s="20"/>
      <c r="H19" s="20">
        <f>ROUND(VLOOKUP($B19,'[2]TUOS (t)'!$B$10:$O$66,6,FALSE),4)</f>
        <v>3.488</v>
      </c>
      <c r="I19" s="20">
        <f>ROUND(VLOOKUP($B19,'[2]TUOS (t)'!$B$10:$O$66,7,FALSE),4)</f>
        <v>2.7212000000000001</v>
      </c>
      <c r="J19" s="20">
        <f>ROUND(VLOOKUP($B19,'[2]TUOS (t)'!$B$10:$O$66,8,FALSE),4)</f>
        <v>1.6099000000000001</v>
      </c>
      <c r="K19" s="20"/>
      <c r="L19" s="20"/>
      <c r="M19" s="20"/>
    </row>
    <row r="20" spans="2:15" ht="14.25" customHeight="1" x14ac:dyDescent="0.2">
      <c r="B20" s="18" t="s">
        <v>170</v>
      </c>
      <c r="C20" s="19"/>
      <c r="D20" s="125" t="s">
        <v>181</v>
      </c>
      <c r="E20" s="126"/>
      <c r="F20" s="20">
        <f>ROUND(VLOOKUP($B20,'[2]TUOS (t)'!$B$10:$O$66,4,FALSE)/366,4)</f>
        <v>0</v>
      </c>
      <c r="G20" s="20"/>
      <c r="H20" s="20">
        <f>ROUND(VLOOKUP($B20,'[2]TUOS (t)'!$B$10:$O$66,6,FALSE),4)</f>
        <v>3.488</v>
      </c>
      <c r="I20" s="20">
        <f>ROUND(VLOOKUP($B20,'[2]TUOS (t)'!$B$10:$O$66,7,FALSE),4)</f>
        <v>2.7212000000000001</v>
      </c>
      <c r="J20" s="20">
        <f>ROUND(VLOOKUP($B20,'[2]TUOS (t)'!$B$10:$O$66,8,FALSE),4)</f>
        <v>1.6099000000000001</v>
      </c>
      <c r="K20" s="20">
        <f>ROUND(VLOOKUP($B20,'[2]TUOS (t)'!$B$10:$O$66,10,FALSE),4)</f>
        <v>0</v>
      </c>
      <c r="L20" s="117"/>
      <c r="M20" s="20"/>
    </row>
    <row r="21" spans="2:15" ht="14.25" customHeight="1" x14ac:dyDescent="0.2">
      <c r="B21" s="18" t="s">
        <v>31</v>
      </c>
      <c r="C21" s="19" t="s">
        <v>167</v>
      </c>
      <c r="D21" s="125" t="s">
        <v>114</v>
      </c>
      <c r="E21" s="126"/>
      <c r="F21" s="20">
        <f>ROUND(VLOOKUP($B21,'[2]TUOS (t)'!$B$10:$O$66,4,FALSE)/366,4)</f>
        <v>0</v>
      </c>
      <c r="G21" s="20"/>
      <c r="H21" s="20">
        <f>ROUND(VLOOKUP($B21,'[2]TUOS (t)'!$B$10:$O$66,6,FALSE),4)</f>
        <v>3.488</v>
      </c>
      <c r="I21" s="20">
        <f>ROUND(VLOOKUP($B21,'[2]TUOS (t)'!$B$10:$O$66,7,FALSE),4)</f>
        <v>2.7212000000000001</v>
      </c>
      <c r="J21" s="20">
        <f>ROUND(VLOOKUP($B21,'[2]TUOS (t)'!$B$10:$O$66,8,FALSE),4)</f>
        <v>1.6099000000000001</v>
      </c>
      <c r="K21" s="20"/>
      <c r="L21" s="20"/>
      <c r="M21" s="20"/>
    </row>
    <row r="22" spans="2:15" ht="14.25" customHeight="1" x14ac:dyDescent="0.2">
      <c r="B22" s="18" t="s">
        <v>172</v>
      </c>
      <c r="C22" s="19"/>
      <c r="D22" s="125" t="s">
        <v>173</v>
      </c>
      <c r="E22" s="126"/>
      <c r="F22" s="20">
        <f>ROUND(VLOOKUP($B22,'[2]TUOS (t)'!$B$10:$O$66,4,FALSE)/366,4)</f>
        <v>0</v>
      </c>
      <c r="G22" s="20"/>
      <c r="H22" s="20">
        <f>ROUND(VLOOKUP($B22,'[2]TUOS (t)'!$B$10:$O$66,6,FALSE),4)</f>
        <v>3.0920000000000001</v>
      </c>
      <c r="I22" s="20">
        <f>ROUND(VLOOKUP($B22,'[2]TUOS (t)'!$B$10:$O$66,7,FALSE),4)</f>
        <v>2.4123000000000001</v>
      </c>
      <c r="J22" s="20">
        <f>ROUND(VLOOKUP($B22,'[2]TUOS (t)'!$B$10:$O$66,8,FALSE),4)</f>
        <v>1.5649999999999999</v>
      </c>
      <c r="K22" s="20">
        <f>ROUND(VLOOKUP($B22,'[2]TUOS (t)'!$B$10:$O$66,10,FALSE),4)</f>
        <v>0</v>
      </c>
      <c r="L22" s="20">
        <f>ROUND(VLOOKUP($B22,'[2]TUOS (t)'!$B$10:$O$66,11,FALSE),4)</f>
        <v>0</v>
      </c>
      <c r="M22" s="20">
        <f>ROUND(VLOOKUP($B22,'[2]TUOS (t)'!$B$10:$O$66,12,FALSE),4)</f>
        <v>0</v>
      </c>
    </row>
    <row r="23" spans="2:15" ht="14.25" customHeight="1" x14ac:dyDescent="0.2">
      <c r="B23" s="18" t="s">
        <v>32</v>
      </c>
      <c r="C23" s="19"/>
      <c r="D23" s="125" t="s">
        <v>47</v>
      </c>
      <c r="E23" s="126"/>
      <c r="F23" s="20">
        <f>ROUND(VLOOKUP($B23,'[2]TUOS (t)'!$B$10:$O$66,4,FALSE)/366,4)</f>
        <v>0</v>
      </c>
      <c r="G23" s="20"/>
      <c r="H23" s="20">
        <f>ROUND(VLOOKUP($B23,'[2]TUOS (t)'!$B$10:$O$66,6,FALSE),4)</f>
        <v>3.0920000000000001</v>
      </c>
      <c r="I23" s="20">
        <f>ROUND(VLOOKUP($B23,'[2]TUOS (t)'!$B$10:$O$66,7,FALSE),4)</f>
        <v>2.4123000000000001</v>
      </c>
      <c r="J23" s="20">
        <f>ROUND(VLOOKUP($B23,'[2]TUOS (t)'!$B$10:$O$66,8,FALSE),4)</f>
        <v>1.5649999999999999</v>
      </c>
      <c r="K23" s="20">
        <f>ROUND(VLOOKUP($B23,'[2]TUOS (t)'!$B$10:$O$66,10,FALSE),4)</f>
        <v>0</v>
      </c>
      <c r="L23" s="20">
        <f>ROUND(VLOOKUP($B23,'[2]TUOS (t)'!$B$10:$O$66,11,FALSE),4)</f>
        <v>0</v>
      </c>
      <c r="M23" s="20">
        <f>ROUND(VLOOKUP($B23,'[2]TUOS (t)'!$B$10:$O$66,12,FALSE),4)</f>
        <v>0</v>
      </c>
      <c r="O23" s="90"/>
    </row>
    <row r="24" spans="2:15" ht="14.25" customHeight="1" x14ac:dyDescent="0.2">
      <c r="B24" s="18" t="s">
        <v>61</v>
      </c>
      <c r="C24" s="19"/>
      <c r="D24" s="125" t="s">
        <v>74</v>
      </c>
      <c r="E24" s="126"/>
      <c r="F24" s="20">
        <f>ROUND(VLOOKUP($B24,'[2]TUOS (t)'!$B$10:$O$66,4,FALSE)/366,4)</f>
        <v>0</v>
      </c>
      <c r="G24" s="20"/>
      <c r="H24" s="20">
        <f>ROUND(VLOOKUP($B24,'[2]TUOS (t)'!$B$10:$O$66,6,FALSE),4)</f>
        <v>3.0920000000000001</v>
      </c>
      <c r="I24" s="20">
        <f>ROUND(VLOOKUP($B24,'[2]TUOS (t)'!$B$10:$O$66,7,FALSE),4)</f>
        <v>2.4123000000000001</v>
      </c>
      <c r="J24" s="20">
        <f>ROUND(VLOOKUP($B24,'[2]TUOS (t)'!$B$10:$O$66,8,FALSE),4)</f>
        <v>1.5649999999999999</v>
      </c>
      <c r="K24" s="168">
        <f>ROUND(VLOOKUP($B24,'[2]TUOS (t)'!$B$10:$O$66,10,FALSE),4)</f>
        <v>0</v>
      </c>
      <c r="L24" s="169"/>
      <c r="M24" s="20"/>
    </row>
    <row r="25" spans="2:15" ht="14.25" customHeight="1" x14ac:dyDescent="0.2">
      <c r="B25" s="18" t="s">
        <v>34</v>
      </c>
      <c r="C25" s="19"/>
      <c r="D25" s="125" t="s">
        <v>41</v>
      </c>
      <c r="E25" s="126"/>
      <c r="F25" s="20">
        <f>ROUND(VLOOKUP($B25,'[2]TUOS (t)'!$B$10:$O$66,4,FALSE)/366,4)</f>
        <v>0</v>
      </c>
      <c r="G25" s="20"/>
      <c r="H25" s="20">
        <f>ROUND(VLOOKUP($B25,'[2]TUOS (t)'!$B$10:$O$66,6,FALSE),4)</f>
        <v>2.1688999999999998</v>
      </c>
      <c r="I25" s="20">
        <f>ROUND(VLOOKUP($B25,'[2]TUOS (t)'!$B$10:$O$66,7,FALSE),4)</f>
        <v>1.6920999999999999</v>
      </c>
      <c r="J25" s="20">
        <f>ROUND(VLOOKUP($B25,'[2]TUOS (t)'!$B$10:$O$66,8,FALSE),4)</f>
        <v>1.3969</v>
      </c>
      <c r="K25" s="20">
        <f>ROUND(VLOOKUP($B25,'[2]TUOS (t)'!$B$10:$O$66,10,FALSE),4)</f>
        <v>0</v>
      </c>
      <c r="L25" s="20">
        <f>ROUND(VLOOKUP($B25,'[2]TUOS (t)'!$B$10:$O$66,11,FALSE),4)</f>
        <v>0</v>
      </c>
      <c r="M25" s="20">
        <f>ROUND(VLOOKUP($B25,'[2]TUOS (t)'!$B$10:$O$66,12,FALSE),4)</f>
        <v>0</v>
      </c>
    </row>
    <row r="26" spans="2:15" ht="14.25" customHeight="1" x14ac:dyDescent="0.2">
      <c r="B26" s="18" t="s">
        <v>23</v>
      </c>
      <c r="C26" s="19"/>
      <c r="D26" s="134" t="s">
        <v>38</v>
      </c>
      <c r="E26" s="135"/>
      <c r="F26" s="20">
        <f>ROUND(VLOOKUP($B26,'[2]TUOS (t)'!$B$10:$O$66,4,FALSE)/366,4)</f>
        <v>0</v>
      </c>
      <c r="G26" s="20"/>
      <c r="H26" s="20">
        <f>ROUND(VLOOKUP($B26,'[2]TUOS (t)'!$B$10:$O$66,6,FALSE),4)</f>
        <v>3.7553999999999998</v>
      </c>
      <c r="I26" s="20">
        <f>ROUND(VLOOKUP($B26,'[2]TUOS (t)'!$B$10:$O$66,7,FALSE),4)</f>
        <v>2.1844000000000001</v>
      </c>
      <c r="J26" s="20">
        <f>ROUND(VLOOKUP($B26,'[2]TUOS (t)'!$B$10:$O$66,8,FALSE),4)</f>
        <v>1.7804</v>
      </c>
      <c r="K26" s="20">
        <f>ROUND(VLOOKUP($B26,'[2]TUOS (t)'!$B$10:$O$66,10,FALSE),4)</f>
        <v>0</v>
      </c>
      <c r="L26" s="20">
        <f>ROUND(VLOOKUP($B26,'[2]TUOS (t)'!$B$10:$O$66,11,FALSE),4)</f>
        <v>0</v>
      </c>
      <c r="M26" s="20">
        <f>ROUND(VLOOKUP($B26,'[2]TUOS (t)'!$B$10:$O$66,12,FALSE),4)</f>
        <v>0</v>
      </c>
    </row>
    <row r="27" spans="2:15" ht="18" x14ac:dyDescent="0.25">
      <c r="B27" s="65" t="s">
        <v>45</v>
      </c>
      <c r="C27" s="65"/>
      <c r="D27" s="66"/>
      <c r="E27" s="67"/>
      <c r="F27" s="69"/>
      <c r="G27" s="69"/>
      <c r="H27" s="69"/>
      <c r="I27" s="69"/>
      <c r="J27" s="69"/>
      <c r="K27" s="69"/>
      <c r="L27" s="69"/>
      <c r="M27" s="69"/>
      <c r="N27" s="60"/>
      <c r="O27" s="60"/>
    </row>
    <row r="28" spans="2:15" ht="14.25" customHeight="1" x14ac:dyDescent="0.2">
      <c r="B28" s="18" t="s">
        <v>36</v>
      </c>
      <c r="C28" s="19" t="s">
        <v>44</v>
      </c>
      <c r="D28" s="125" t="s">
        <v>107</v>
      </c>
      <c r="E28" s="126"/>
      <c r="F28" s="20">
        <f>ROUND(VLOOKUP($B28,'[2]TUOS (t)'!$B$10:$O$80,4,FALSE)/366,4)</f>
        <v>0</v>
      </c>
      <c r="G28" s="20">
        <f>ROUND(VLOOKUP($B28,'[2]TUOS (t)'!$B$10:$O$80,5,FALSE),4)</f>
        <v>2.1793</v>
      </c>
      <c r="H28" s="20"/>
      <c r="I28" s="20"/>
      <c r="J28" s="20"/>
      <c r="K28" s="20"/>
      <c r="L28" s="20"/>
      <c r="M28" s="20"/>
    </row>
    <row r="29" spans="2:15" ht="14.25" customHeight="1" x14ac:dyDescent="0.2">
      <c r="B29" s="18" t="s">
        <v>37</v>
      </c>
      <c r="C29" s="19"/>
      <c r="D29" s="125" t="s">
        <v>108</v>
      </c>
      <c r="E29" s="126"/>
      <c r="F29" s="20">
        <f>ROUND(VLOOKUP($B29,'[2]TUOS (t)'!$B$10:$O$80,4,FALSE)/366,4)</f>
        <v>0</v>
      </c>
      <c r="G29" s="20"/>
      <c r="H29" s="20">
        <f>ROUND(VLOOKUP($B29,'[2]TUOS (t)'!$B$10:$O$80,6,FALSE),4)</f>
        <v>3.488</v>
      </c>
      <c r="I29" s="20">
        <f>ROUND(VLOOKUP($B29,'[2]TUOS (t)'!$B$10:$O$80,7,FALSE),4)</f>
        <v>2.7212000000000001</v>
      </c>
      <c r="J29" s="20">
        <f>ROUND(VLOOKUP($B29,'[2]TUOS (t)'!$B$10:$O$80,8,FALSE),4)</f>
        <v>1.6099000000000001</v>
      </c>
      <c r="K29" s="20"/>
      <c r="L29" s="20"/>
      <c r="M29" s="20"/>
    </row>
    <row r="30" spans="2:15" ht="18" x14ac:dyDescent="0.25">
      <c r="B30" s="65" t="s">
        <v>69</v>
      </c>
      <c r="C30" s="65"/>
      <c r="D30" s="66"/>
      <c r="E30" s="67"/>
      <c r="F30" s="69"/>
      <c r="G30" s="69"/>
      <c r="H30" s="69"/>
      <c r="I30" s="69"/>
      <c r="J30" s="69"/>
      <c r="K30" s="69"/>
      <c r="L30" s="69"/>
      <c r="M30" s="69"/>
      <c r="N30" s="60"/>
      <c r="O30" s="60"/>
    </row>
    <row r="31" spans="2:15" ht="14.25" customHeight="1" x14ac:dyDescent="0.2">
      <c r="B31" s="19" t="s">
        <v>50</v>
      </c>
      <c r="C31" s="19"/>
      <c r="D31" s="125" t="s">
        <v>51</v>
      </c>
      <c r="E31" s="126"/>
      <c r="F31" s="25" t="s">
        <v>52</v>
      </c>
      <c r="G31" s="25"/>
      <c r="H31" s="25" t="s">
        <v>52</v>
      </c>
      <c r="I31" s="25" t="s">
        <v>52</v>
      </c>
      <c r="J31" s="25" t="s">
        <v>52</v>
      </c>
      <c r="K31" s="25" t="s">
        <v>52</v>
      </c>
      <c r="L31" s="25" t="s">
        <v>52</v>
      </c>
      <c r="M31" s="25" t="s">
        <v>52</v>
      </c>
    </row>
    <row r="32" spans="2:15" ht="15" x14ac:dyDescent="0.25">
      <c r="B32" s="48" t="s">
        <v>53</v>
      </c>
      <c r="C32" s="42"/>
      <c r="D32" s="43"/>
      <c r="E32" s="34" t="s">
        <v>1</v>
      </c>
      <c r="F32" s="35" t="s">
        <v>2</v>
      </c>
      <c r="G32" s="35" t="s">
        <v>2</v>
      </c>
      <c r="H32" s="35" t="s">
        <v>2</v>
      </c>
      <c r="I32" s="34" t="s">
        <v>3</v>
      </c>
      <c r="J32" s="35" t="s">
        <v>4</v>
      </c>
      <c r="K32" s="35" t="s">
        <v>5</v>
      </c>
      <c r="L32" s="35" t="s">
        <v>6</v>
      </c>
      <c r="M32" s="36" t="s">
        <v>7</v>
      </c>
    </row>
    <row r="33" spans="1:15" ht="15" x14ac:dyDescent="0.25">
      <c r="B33" s="49" t="s">
        <v>0</v>
      </c>
      <c r="C33" s="44" t="s">
        <v>9</v>
      </c>
      <c r="D33" s="91"/>
      <c r="E33" s="37" t="s">
        <v>10</v>
      </c>
      <c r="F33" s="37" t="s">
        <v>4</v>
      </c>
      <c r="G33" s="37" t="s">
        <v>5</v>
      </c>
      <c r="H33" s="37" t="s">
        <v>6</v>
      </c>
      <c r="I33" s="37" t="s">
        <v>12</v>
      </c>
      <c r="J33" s="37" t="s">
        <v>3</v>
      </c>
      <c r="K33" s="37" t="s">
        <v>3</v>
      </c>
      <c r="L33" s="37" t="s">
        <v>3</v>
      </c>
      <c r="M33" s="38" t="s">
        <v>12</v>
      </c>
    </row>
    <row r="34" spans="1:15" ht="15" x14ac:dyDescent="0.25">
      <c r="B34" s="38" t="s">
        <v>8</v>
      </c>
      <c r="C34" s="45"/>
      <c r="D34" s="46"/>
      <c r="E34" s="37" t="s">
        <v>13</v>
      </c>
      <c r="F34" s="37" t="s">
        <v>14</v>
      </c>
      <c r="G34" s="37" t="s">
        <v>14</v>
      </c>
      <c r="H34" s="37" t="s">
        <v>14</v>
      </c>
      <c r="I34" s="37" t="s">
        <v>15</v>
      </c>
      <c r="J34" s="37" t="s">
        <v>15</v>
      </c>
      <c r="K34" s="37" t="s">
        <v>15</v>
      </c>
      <c r="L34" s="37" t="s">
        <v>15</v>
      </c>
      <c r="M34" s="37" t="s">
        <v>15</v>
      </c>
    </row>
    <row r="35" spans="1:15" ht="26.25" x14ac:dyDescent="0.25">
      <c r="B35" s="47"/>
      <c r="C35" s="50"/>
      <c r="D35" s="92"/>
      <c r="E35" s="16" t="s">
        <v>84</v>
      </c>
      <c r="F35" s="16" t="s">
        <v>84</v>
      </c>
      <c r="G35" s="16" t="s">
        <v>84</v>
      </c>
      <c r="H35" s="16" t="s">
        <v>84</v>
      </c>
      <c r="I35" s="16" t="s">
        <v>84</v>
      </c>
      <c r="J35" s="16" t="s">
        <v>84</v>
      </c>
      <c r="K35" s="16" t="s">
        <v>84</v>
      </c>
      <c r="L35" s="16" t="s">
        <v>84</v>
      </c>
      <c r="M35" s="16" t="s">
        <v>84</v>
      </c>
    </row>
    <row r="36" spans="1:15" ht="15" x14ac:dyDescent="0.25">
      <c r="B36" s="21" t="s">
        <v>46</v>
      </c>
      <c r="C36" s="22"/>
      <c r="D36" s="93"/>
      <c r="E36" s="39"/>
      <c r="F36" s="23"/>
      <c r="G36" s="23"/>
      <c r="H36" s="23"/>
      <c r="I36" s="23"/>
      <c r="J36" s="23"/>
      <c r="K36" s="23"/>
      <c r="L36" s="23"/>
      <c r="M36" s="23"/>
    </row>
    <row r="37" spans="1:15" ht="14.25" customHeight="1" x14ac:dyDescent="0.2">
      <c r="B37" s="18" t="s">
        <v>33</v>
      </c>
      <c r="C37" s="157" t="s">
        <v>58</v>
      </c>
      <c r="D37" s="158"/>
      <c r="E37" s="20">
        <f>ROUND(VLOOKUP($B37,'[2]TUOS (t)'!$B$10:$O$66,4,FALSE)/366,4)</f>
        <v>0</v>
      </c>
      <c r="F37" s="20">
        <f>ROUND(VLOOKUP($B37,'[2]TUOS (t)'!$B$10:$O$66,6,FALSE),4)</f>
        <v>3.0920000000000001</v>
      </c>
      <c r="G37" s="20">
        <f>ROUND(VLOOKUP($B37,'[2]TUOS (t)'!$B$10:$O$66,7,FALSE),4)</f>
        <v>2.4123000000000001</v>
      </c>
      <c r="H37" s="20">
        <f>ROUND(VLOOKUP($B37,'[2]TUOS (t)'!$B$10:$O$66,8,FALSE),4)</f>
        <v>1.5649999999999999</v>
      </c>
      <c r="I37" s="20"/>
      <c r="J37" s="20">
        <f>ROUND(VLOOKUP($B37,'[2]TUOS (t)'!$B$10:$O$66,10,FALSE),4)</f>
        <v>0</v>
      </c>
      <c r="K37" s="20">
        <f>ROUND(VLOOKUP($B37,'[2]TUOS (t)'!$B$10:$O$66,11,FALSE),4)</f>
        <v>0</v>
      </c>
      <c r="L37" s="20">
        <f>ROUND(VLOOKUP($B37,'[2]TUOS (t)'!$B$10:$O$66,12,FALSE),4)</f>
        <v>0</v>
      </c>
      <c r="M37" s="20"/>
    </row>
    <row r="38" spans="1:15" s="17" customFormat="1" ht="14.25" customHeight="1" x14ac:dyDescent="0.2">
      <c r="A38" s="15"/>
      <c r="B38" s="18" t="s">
        <v>35</v>
      </c>
      <c r="C38" s="155" t="s">
        <v>59</v>
      </c>
      <c r="D38" s="156"/>
      <c r="E38" s="20">
        <f>ROUND(VLOOKUP($B38,'[2]TUOS (t)'!$B$10:$O$66,4,FALSE)/366,4)</f>
        <v>0</v>
      </c>
      <c r="F38" s="20">
        <f>ROUND(VLOOKUP($B38,'[2]TUOS (t)'!$B$10:$O$66,6,FALSE),4)</f>
        <v>2.1688999999999998</v>
      </c>
      <c r="G38" s="20">
        <f>ROUND(VLOOKUP($B38,'[2]TUOS (t)'!$B$10:$O$66,7,FALSE),4)</f>
        <v>1.6920999999999999</v>
      </c>
      <c r="H38" s="20">
        <f>ROUND(VLOOKUP($B38,'[2]TUOS (t)'!$B$10:$O$66,8,FALSE),4)</f>
        <v>1.3969</v>
      </c>
      <c r="I38" s="20"/>
      <c r="J38" s="20">
        <f>ROUND(VLOOKUP($B38,'[2]TUOS (t)'!$B$10:$O$66,10,FALSE),4)</f>
        <v>0</v>
      </c>
      <c r="K38" s="20">
        <f>ROUND(VLOOKUP($B38,'[2]TUOS (t)'!$B$10:$O$66,11,FALSE),4)</f>
        <v>0</v>
      </c>
      <c r="L38" s="20">
        <f>ROUND(VLOOKUP($B38,'[2]TUOS (t)'!$B$10:$O$66,12,FALSE),4)</f>
        <v>0</v>
      </c>
      <c r="M38" s="20"/>
      <c r="N38" s="7"/>
      <c r="O38" s="7"/>
    </row>
    <row r="39" spans="1:15" x14ac:dyDescent="0.2">
      <c r="B39" s="18" t="s">
        <v>167</v>
      </c>
      <c r="C39" s="30" t="s">
        <v>197</v>
      </c>
      <c r="D39" s="94"/>
      <c r="E39" s="20">
        <f>ROUND(VLOOKUP("BLND1CO",'[2]TUOS (t)'!$B$10:$O$66,4,FALSE)/366,4)</f>
        <v>0</v>
      </c>
      <c r="F39" s="20">
        <f>ROUND(VLOOKUP($B39,'[2]TUOS (t)'!$B$10:$O$66,6,FALSE),4)</f>
        <v>3.488</v>
      </c>
      <c r="G39" s="20">
        <f>ROUND(VLOOKUP($B39,'[2]TUOS (t)'!$B$10:$O$66,7,FALSE),4)</f>
        <v>2.7212000000000001</v>
      </c>
      <c r="H39" s="20">
        <f>ROUND(VLOOKUP($B39,'[2]TUOS (t)'!$B$10:$O$66,8,FALSE),4)</f>
        <v>1.6099000000000001</v>
      </c>
      <c r="I39" s="20">
        <f>ROUND(VLOOKUP("BLND1CO",'[2]TUOS (t)'!$B$10:$O$66,9,FALSE),4)</f>
        <v>0</v>
      </c>
      <c r="J39" s="20"/>
      <c r="K39" s="20"/>
      <c r="L39" s="20"/>
      <c r="M39" s="20"/>
    </row>
    <row r="40" spans="1:15" ht="28.5" x14ac:dyDescent="0.2">
      <c r="B40" s="19" t="s">
        <v>203</v>
      </c>
      <c r="C40" s="30" t="s">
        <v>48</v>
      </c>
      <c r="D40" s="94"/>
      <c r="E40" s="20">
        <f>ROUND(VLOOKUP("BLND1CO",'[2]TUOS (t)'!$B$10:$O$66,4,FALSE)/366,4)</f>
        <v>0</v>
      </c>
      <c r="F40" s="20">
        <f>ROUND(VLOOKUP("BLND1CO",'[2]TUOS (t)'!$B$10:$O$66,6,FALSE),4)</f>
        <v>3.8169</v>
      </c>
      <c r="G40" s="20">
        <f>ROUND(VLOOKUP("BLND1CO",'[2]TUOS (t)'!$B$10:$O$66,7,FALSE),4)</f>
        <v>2.9777999999999998</v>
      </c>
      <c r="H40" s="20">
        <f>ROUND(VLOOKUP("BLND1CO",'[2]TUOS (t)'!$B$10:$O$66,8,FALSE),4)</f>
        <v>1.8374999999999999</v>
      </c>
      <c r="I40" s="20">
        <f>ROUND(VLOOKUP("BLND1CO",'[2]TUOS (t)'!$B$10:$O$66,9,FALSE),4)</f>
        <v>0</v>
      </c>
      <c r="J40" s="20"/>
      <c r="K40" s="20"/>
      <c r="L40" s="20"/>
      <c r="M40" s="20"/>
    </row>
    <row r="41" spans="1:15" x14ac:dyDescent="0.2">
      <c r="B41" s="18" t="s">
        <v>20</v>
      </c>
      <c r="C41" s="30" t="s">
        <v>55</v>
      </c>
      <c r="D41" s="94"/>
      <c r="E41" s="20">
        <f>ROUND(VLOOKUP($B41,'[2]TUOS (t)'!$B$10:$O$66,4,FALSE)/366,4)</f>
        <v>0</v>
      </c>
      <c r="F41" s="20">
        <f>ROUND(VLOOKUP($B41,'[2]TUOS (t)'!$B$10:$O$66,6,FALSE),4)</f>
        <v>4.7076000000000002</v>
      </c>
      <c r="G41" s="20">
        <f>ROUND(VLOOKUP($B41,'[2]TUOS (t)'!$B$10:$O$66,7,FALSE),4)</f>
        <v>3.6726999999999999</v>
      </c>
      <c r="H41" s="20">
        <f>ROUND(VLOOKUP($B41,'[2]TUOS (t)'!$B$10:$O$66,8,FALSE),4)</f>
        <v>1.8902000000000001</v>
      </c>
      <c r="I41" s="20">
        <f>ROUND(VLOOKUP($B41,'[2]TUOS (t)'!$B$10:$O$66,9,FALSE),4)</f>
        <v>0</v>
      </c>
      <c r="J41" s="20"/>
      <c r="K41" s="20"/>
      <c r="L41" s="20"/>
      <c r="M41" s="20">
        <f>ROUND(VLOOKUP($B41,'[2]TUOS (t)'!$B$10:$O$66,13,FALSE),4)</f>
        <v>0</v>
      </c>
    </row>
    <row r="42" spans="1:15" x14ac:dyDescent="0.2">
      <c r="B42" s="18" t="s">
        <v>21</v>
      </c>
      <c r="C42" s="30" t="s">
        <v>54</v>
      </c>
      <c r="D42" s="94"/>
      <c r="E42" s="20">
        <f>ROUND(VLOOKUP($B42,'[2]TUOS (t)'!$B$10:$O$66,4,FALSE)/366,4)</f>
        <v>0</v>
      </c>
      <c r="F42" s="20">
        <f>ROUND(VLOOKUP($B42,'[2]TUOS (t)'!$B$10:$O$66,6,FALSE),4)</f>
        <v>4.7076000000000002</v>
      </c>
      <c r="G42" s="20">
        <f>ROUND(VLOOKUP($B42,'[2]TUOS (t)'!$B$10:$O$66,7,FALSE),4)</f>
        <v>3.6726999999999999</v>
      </c>
      <c r="H42" s="20">
        <f>ROUND(VLOOKUP($B42,'[2]TUOS (t)'!$B$10:$O$66,8,FALSE),4)</f>
        <v>1.8902000000000001</v>
      </c>
      <c r="I42" s="20">
        <f>ROUND(VLOOKUP($B42,'[2]TUOS (t)'!$B$10:$O$66,9,FALSE),4)</f>
        <v>0</v>
      </c>
      <c r="J42" s="20"/>
      <c r="K42" s="20"/>
      <c r="L42" s="20"/>
      <c r="M42" s="20">
        <f>ROUND(VLOOKUP($B42,'[2]TUOS (t)'!$B$10:$O$66,13,FALSE),4)</f>
        <v>0</v>
      </c>
    </row>
    <row r="43" spans="1:15" s="41" customFormat="1" ht="28.5" x14ac:dyDescent="0.2">
      <c r="A43" s="40"/>
      <c r="B43" s="18" t="s">
        <v>22</v>
      </c>
      <c r="C43" s="30" t="s">
        <v>56</v>
      </c>
      <c r="D43" s="95"/>
      <c r="E43" s="20">
        <f>ROUND(VLOOKUP($B43,'[2]TUOS (t)'!$B$10:$O$66,4,FALSE)/366,4)</f>
        <v>0</v>
      </c>
      <c r="F43" s="20">
        <f>ROUND(VLOOKUP($B43,'[2]TUOS (t)'!$B$10:$O$66,6,FALSE),4)</f>
        <v>3.8321000000000001</v>
      </c>
      <c r="G43" s="20">
        <f>ROUND(VLOOKUP($B43,'[2]TUOS (t)'!$B$10:$O$66,7,FALSE),4)</f>
        <v>3.8321000000000001</v>
      </c>
      <c r="H43" s="20">
        <f>ROUND(VLOOKUP($B43,'[2]TUOS (t)'!$B$10:$O$66,8,FALSE),4)</f>
        <v>1.7910999999999999</v>
      </c>
      <c r="I43" s="20">
        <f>ROUND(VLOOKUP($B43,'[2]TUOS (t)'!$B$10:$O$66,9,FALSE),4)</f>
        <v>0</v>
      </c>
      <c r="J43" s="20"/>
      <c r="K43" s="20"/>
      <c r="L43" s="20"/>
      <c r="M43" s="20"/>
    </row>
    <row r="44" spans="1:15" ht="28.5" x14ac:dyDescent="0.2">
      <c r="B44" s="19" t="s">
        <v>202</v>
      </c>
      <c r="C44" s="30" t="s">
        <v>57</v>
      </c>
      <c r="D44" s="94"/>
      <c r="E44" s="20">
        <f>ROUND(VLOOKUP("BHND1SO",'[2]TUOS (t)'!$B$10:$O$66,4,FALSE)/366,4)</f>
        <v>0</v>
      </c>
      <c r="F44" s="20">
        <f>ROUND(VLOOKUP("BHND1SO",'[2]TUOS (t)'!$B$10:$O$66,6,FALSE),4)</f>
        <v>3.8321000000000001</v>
      </c>
      <c r="G44" s="20">
        <f>ROUND(VLOOKUP("BHND1SO",'[2]TUOS (t)'!$B$10:$O$66,7,FALSE),4)</f>
        <v>3.8321000000000001</v>
      </c>
      <c r="H44" s="20">
        <f>ROUND(VLOOKUP("BHND1SO",'[2]TUOS (t)'!$B$10:$O$66,8,FALSE),4)</f>
        <v>1.7910999999999999</v>
      </c>
      <c r="I44" s="20">
        <f>ROUND(VLOOKUP("BHND1SO",'[2]TUOS (t)'!$B$10:$O$66,9,FALSE),4)</f>
        <v>0</v>
      </c>
      <c r="J44" s="20"/>
      <c r="K44" s="20"/>
      <c r="L44" s="20"/>
      <c r="M44" s="20">
        <f>ROUND(VLOOKUP("BHND1SO",'[2]TUOS (t)'!$B$10:$O$66,13,FALSE),4)</f>
        <v>0</v>
      </c>
    </row>
  </sheetData>
  <mergeCells count="27">
    <mergeCell ref="B3:F3"/>
    <mergeCell ref="I3:J3"/>
    <mergeCell ref="B5:B7"/>
    <mergeCell ref="C5:C7"/>
    <mergeCell ref="K24:L24"/>
    <mergeCell ref="D19:E19"/>
    <mergeCell ref="D20:E20"/>
    <mergeCell ref="D21:E21"/>
    <mergeCell ref="D22:E22"/>
    <mergeCell ref="D23:E23"/>
    <mergeCell ref="D5:E7"/>
    <mergeCell ref="D11:E11"/>
    <mergeCell ref="D14:E14"/>
    <mergeCell ref="D18:E18"/>
    <mergeCell ref="D9:E9"/>
    <mergeCell ref="C38:D38"/>
    <mergeCell ref="D10:E10"/>
    <mergeCell ref="D12:E12"/>
    <mergeCell ref="D15:E15"/>
    <mergeCell ref="D17:E17"/>
    <mergeCell ref="C37:D37"/>
    <mergeCell ref="D28:E28"/>
    <mergeCell ref="D29:E29"/>
    <mergeCell ref="D31:E31"/>
    <mergeCell ref="D24:E24"/>
    <mergeCell ref="D25:E25"/>
    <mergeCell ref="D26:E26"/>
  </mergeCells>
  <pageMargins left="0.39370078740157483" right="0.39370078740157483" top="0.39370078740157483" bottom="0.39370078740157483" header="0.51181102362204722" footer="0.51181102362204722"/>
  <pageSetup paperSize="9" scale="67"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2:P44"/>
  <sheetViews>
    <sheetView showGridLines="0" zoomScale="70" zoomScaleNormal="70" zoomScaleSheetLayoutView="58" workbookViewId="0"/>
  </sheetViews>
  <sheetFormatPr defaultColWidth="8.875" defaultRowHeight="14.25" x14ac:dyDescent="0.2"/>
  <cols>
    <col min="1" max="1" width="1.875" style="14" customWidth="1"/>
    <col min="2" max="2" width="26" style="7" customWidth="1"/>
    <col min="3" max="3" width="29.75" style="7" customWidth="1"/>
    <col min="4" max="4" width="11.25" style="7" customWidth="1"/>
    <col min="5" max="5" width="17.875" style="7" customWidth="1"/>
    <col min="6" max="16" width="10.5" style="7" customWidth="1"/>
    <col min="17" max="17" width="8.5" style="7" customWidth="1"/>
    <col min="18" max="18" width="63.75" style="7" customWidth="1"/>
    <col min="19" max="16384" width="8.875" style="7"/>
  </cols>
  <sheetData>
    <row r="2" spans="1:16" ht="33" x14ac:dyDescent="0.45">
      <c r="A2" s="1"/>
      <c r="B2" s="2" t="s">
        <v>176</v>
      </c>
      <c r="C2" s="3"/>
      <c r="D2" s="3"/>
      <c r="E2" s="3"/>
      <c r="F2" s="3"/>
      <c r="G2" s="4"/>
      <c r="H2" s="5"/>
      <c r="I2" s="5"/>
      <c r="J2" s="5"/>
      <c r="K2" s="4"/>
      <c r="L2" s="4"/>
      <c r="M2" s="6"/>
    </row>
    <row r="3" spans="1:16" ht="15.75" x14ac:dyDescent="0.25">
      <c r="A3" s="1"/>
      <c r="B3" s="132" t="str">
        <f>'Price List_Excl GST'!B3:F3</f>
        <v>Effective 1 July 2023</v>
      </c>
      <c r="C3" s="133"/>
      <c r="D3" s="133"/>
      <c r="E3" s="133"/>
      <c r="F3" s="133"/>
      <c r="G3" s="8"/>
      <c r="H3" s="8"/>
      <c r="I3" s="128"/>
      <c r="J3" s="128"/>
      <c r="K3" s="8"/>
      <c r="L3" s="8"/>
      <c r="M3" s="9"/>
    </row>
    <row r="4" spans="1:16" ht="15" x14ac:dyDescent="0.25">
      <c r="A4" s="1"/>
      <c r="B4" s="10"/>
      <c r="C4" s="11"/>
      <c r="D4" s="12"/>
      <c r="E4" s="12"/>
      <c r="F4" s="12"/>
      <c r="G4" s="12"/>
      <c r="H4" s="12"/>
      <c r="I4" s="12"/>
      <c r="J4" s="12"/>
      <c r="K4" s="12"/>
      <c r="L4" s="12"/>
      <c r="M4" s="13"/>
    </row>
    <row r="5" spans="1:16" ht="15" x14ac:dyDescent="0.25">
      <c r="B5" s="122" t="s">
        <v>105</v>
      </c>
      <c r="C5" s="122" t="s">
        <v>24</v>
      </c>
      <c r="D5" s="159" t="s">
        <v>9</v>
      </c>
      <c r="E5" s="160"/>
      <c r="F5" s="52" t="s">
        <v>1</v>
      </c>
      <c r="G5" s="52" t="s">
        <v>2</v>
      </c>
      <c r="H5" s="37" t="s">
        <v>2</v>
      </c>
      <c r="I5" s="37" t="s">
        <v>2</v>
      </c>
      <c r="J5" s="37" t="s">
        <v>2</v>
      </c>
      <c r="K5" s="37" t="s">
        <v>4</v>
      </c>
      <c r="L5" s="37" t="s">
        <v>5</v>
      </c>
      <c r="M5" s="37" t="s">
        <v>6</v>
      </c>
    </row>
    <row r="6" spans="1:16" ht="15" x14ac:dyDescent="0.2">
      <c r="B6" s="123"/>
      <c r="C6" s="123"/>
      <c r="D6" s="137"/>
      <c r="E6" s="138"/>
      <c r="F6" s="77" t="s">
        <v>10</v>
      </c>
      <c r="G6" s="77" t="s">
        <v>171</v>
      </c>
      <c r="H6" s="77" t="s">
        <v>4</v>
      </c>
      <c r="I6" s="77" t="s">
        <v>5</v>
      </c>
      <c r="J6" s="77" t="s">
        <v>6</v>
      </c>
      <c r="K6" s="77" t="s">
        <v>3</v>
      </c>
      <c r="L6" s="77" t="s">
        <v>3</v>
      </c>
      <c r="M6" s="77" t="s">
        <v>3</v>
      </c>
    </row>
    <row r="7" spans="1:16" ht="15" x14ac:dyDescent="0.2">
      <c r="B7" s="124"/>
      <c r="C7" s="124"/>
      <c r="D7" s="161"/>
      <c r="E7" s="162"/>
      <c r="F7" s="77" t="s">
        <v>13</v>
      </c>
      <c r="G7" s="77" t="s">
        <v>14</v>
      </c>
      <c r="H7" s="77" t="s">
        <v>14</v>
      </c>
      <c r="I7" s="77" t="s">
        <v>14</v>
      </c>
      <c r="J7" s="77" t="s">
        <v>14</v>
      </c>
      <c r="K7" s="77" t="s">
        <v>15</v>
      </c>
      <c r="L7" s="77" t="s">
        <v>15</v>
      </c>
      <c r="M7" s="77" t="s">
        <v>15</v>
      </c>
    </row>
    <row r="8" spans="1:16" s="17" customFormat="1" ht="18" x14ac:dyDescent="0.25">
      <c r="A8" s="15"/>
      <c r="B8" s="55" t="s">
        <v>16</v>
      </c>
      <c r="C8" s="56"/>
      <c r="D8" s="57"/>
      <c r="E8" s="58"/>
      <c r="F8" s="59"/>
      <c r="G8" s="59"/>
      <c r="H8" s="59"/>
      <c r="I8" s="59"/>
      <c r="J8" s="59"/>
      <c r="K8" s="59"/>
      <c r="L8" s="59"/>
      <c r="M8" s="59"/>
      <c r="N8" s="60"/>
      <c r="O8" s="60"/>
    </row>
    <row r="9" spans="1:16" ht="14.25" customHeight="1" x14ac:dyDescent="0.2">
      <c r="B9" s="18" t="s">
        <v>25</v>
      </c>
      <c r="C9" s="19"/>
      <c r="D9" s="125" t="s">
        <v>178</v>
      </c>
      <c r="E9" s="126"/>
      <c r="F9" s="20">
        <f>ROUND(VLOOKUP($B9,'[2]CCF (t)'!$B$10:$O$66,4,FALSE)/366,4)</f>
        <v>0</v>
      </c>
      <c r="G9" s="20">
        <f>ROUND(VLOOKUP($B9,'[2]CCF (t)'!$B$10:$O$66,5,FALSE),4)</f>
        <v>0.29380000000000001</v>
      </c>
      <c r="H9" s="20"/>
      <c r="I9" s="20"/>
      <c r="J9" s="20"/>
      <c r="K9" s="20"/>
      <c r="L9" s="20"/>
      <c r="M9" s="20"/>
    </row>
    <row r="10" spans="1:16" ht="14.25" customHeight="1" x14ac:dyDescent="0.2">
      <c r="B10" s="18" t="s">
        <v>26</v>
      </c>
      <c r="C10" s="19"/>
      <c r="D10" s="125" t="s">
        <v>42</v>
      </c>
      <c r="E10" s="126"/>
      <c r="F10" s="20">
        <f>ROUND(VLOOKUP($B10,'[2]CCF (t)'!$B$10:$O$66,4,FALSE)/366,4)</f>
        <v>0</v>
      </c>
      <c r="G10" s="20"/>
      <c r="H10" s="20">
        <f>ROUND(VLOOKUP($B10,'[2]CCF (t)'!$B$10:$O$66,6,FALSE),4)</f>
        <v>0.29380000000000001</v>
      </c>
      <c r="I10" s="20">
        <f>ROUND(VLOOKUP($B10,'[2]CCF (t)'!$B$10:$O$66,7,FALSE),4)</f>
        <v>0.29380000000000001</v>
      </c>
      <c r="J10" s="20">
        <f>ROUND(VLOOKUP($B10,'[2]CCF (t)'!$B$10:$O$66,8,FALSE),4)</f>
        <v>0.29380000000000001</v>
      </c>
      <c r="K10" s="20"/>
      <c r="L10" s="20"/>
      <c r="M10" s="20"/>
      <c r="P10" s="51"/>
    </row>
    <row r="11" spans="1:16" ht="14.25" customHeight="1" x14ac:dyDescent="0.2">
      <c r="B11" s="18" t="s">
        <v>164</v>
      </c>
      <c r="C11" s="19"/>
      <c r="D11" s="125" t="s">
        <v>165</v>
      </c>
      <c r="E11" s="126"/>
      <c r="F11" s="20">
        <f>ROUND(VLOOKUP($B11,'[2]CCF (t)'!$B$10:$O$66,4,FALSE)/366,4)</f>
        <v>0</v>
      </c>
      <c r="G11" s="20"/>
      <c r="H11" s="20">
        <f>ROUND(VLOOKUP($B11,'[2]CCF (t)'!$B$10:$O$66,6,FALSE),4)</f>
        <v>0.29380000000000001</v>
      </c>
      <c r="I11" s="20">
        <f>ROUND(VLOOKUP($B11,'[2]CCF (t)'!$B$10:$O$66,7,FALSE),4)</f>
        <v>0.29380000000000001</v>
      </c>
      <c r="J11" s="20">
        <f>ROUND(VLOOKUP($B11,'[2]CCF (t)'!$B$10:$O$66,8,FALSE),4)</f>
        <v>0.29380000000000001</v>
      </c>
      <c r="K11" s="20"/>
      <c r="L11" s="20"/>
      <c r="M11" s="20"/>
    </row>
    <row r="12" spans="1:16" ht="14.25" customHeight="1" x14ac:dyDescent="0.2">
      <c r="B12" s="18" t="s">
        <v>166</v>
      </c>
      <c r="C12" s="19"/>
      <c r="D12" s="125" t="s">
        <v>180</v>
      </c>
      <c r="E12" s="126"/>
      <c r="F12" s="20">
        <f>ROUND(VLOOKUP($B12,'[2]CCF (t)'!$B$10:$O$66,4,FALSE)/366,4)</f>
        <v>0</v>
      </c>
      <c r="G12" s="20"/>
      <c r="H12" s="20">
        <f>ROUND(VLOOKUP($B12,'[2]CCF (t)'!$B$10:$O$66,6,FALSE),4)</f>
        <v>0.29380000000000001</v>
      </c>
      <c r="I12" s="20">
        <f>ROUND(VLOOKUP($B12,'[2]CCF (t)'!$B$10:$O$66,7,FALSE),4)</f>
        <v>0.29380000000000001</v>
      </c>
      <c r="J12" s="20">
        <f>ROUND(VLOOKUP($B12,'[2]CCF (t)'!$B$10:$O$66,8,FALSE),4)</f>
        <v>0.29380000000000001</v>
      </c>
      <c r="K12" s="20">
        <f>ROUND(VLOOKUP($B12,'[2]CCF (t)'!$B$10:$O$66,10,FALSE),4)</f>
        <v>0</v>
      </c>
      <c r="L12" s="117"/>
      <c r="M12" s="20"/>
    </row>
    <row r="13" spans="1:16" ht="18" x14ac:dyDescent="0.25">
      <c r="B13" s="56" t="s">
        <v>19</v>
      </c>
      <c r="C13" s="56"/>
      <c r="D13" s="61"/>
      <c r="E13" s="62"/>
      <c r="F13" s="63"/>
      <c r="G13" s="64"/>
      <c r="H13" s="64"/>
      <c r="I13" s="64"/>
      <c r="J13" s="64"/>
      <c r="K13" s="64"/>
      <c r="L13" s="64"/>
      <c r="M13" s="64"/>
      <c r="N13" s="60"/>
      <c r="O13" s="60"/>
    </row>
    <row r="14" spans="1:16" ht="14.25" customHeight="1" x14ac:dyDescent="0.2">
      <c r="B14" s="18" t="s">
        <v>27</v>
      </c>
      <c r="C14" s="19"/>
      <c r="D14" s="125" t="s">
        <v>39</v>
      </c>
      <c r="E14" s="126"/>
      <c r="F14" s="20">
        <f>ROUND(VLOOKUP($B14,'[2]CCF (t)'!$B$10:$O$66,4,FALSE)/366,4)</f>
        <v>0</v>
      </c>
      <c r="G14" s="20">
        <f>ROUND(VLOOKUP($B14,'[2]CCF (t)'!$B$10:$O$66,5,FALSE),4)</f>
        <v>0.29380000000000001</v>
      </c>
      <c r="H14" s="20"/>
      <c r="I14" s="20"/>
      <c r="J14" s="20"/>
      <c r="K14" s="20"/>
      <c r="L14" s="20"/>
      <c r="M14" s="20"/>
    </row>
    <row r="15" spans="1:16" ht="14.25" customHeight="1" x14ac:dyDescent="0.2">
      <c r="B15" s="18" t="s">
        <v>28</v>
      </c>
      <c r="C15" s="19"/>
      <c r="D15" s="125" t="s">
        <v>40</v>
      </c>
      <c r="E15" s="126"/>
      <c r="F15" s="20">
        <f>ROUND(VLOOKUP($B15,'[2]CCF (t)'!$B$10:$O$66,4,FALSE)/366,4)</f>
        <v>0</v>
      </c>
      <c r="G15" s="20">
        <f>ROUND(VLOOKUP($B15,'[2]CCF (t)'!$B$10:$O$66,5,FALSE),4)</f>
        <v>0.29380000000000001</v>
      </c>
      <c r="H15" s="20"/>
      <c r="I15" s="20"/>
      <c r="J15" s="20"/>
      <c r="K15" s="20"/>
      <c r="L15" s="20"/>
      <c r="M15" s="20"/>
    </row>
    <row r="16" spans="1:16" ht="18" x14ac:dyDescent="0.25">
      <c r="B16" s="65" t="s">
        <v>18</v>
      </c>
      <c r="C16" s="65"/>
      <c r="D16" s="66"/>
      <c r="E16" s="67"/>
      <c r="F16" s="68"/>
      <c r="G16" s="68"/>
      <c r="H16" s="68"/>
      <c r="I16" s="68"/>
      <c r="J16" s="68"/>
      <c r="K16" s="68"/>
      <c r="L16" s="68"/>
      <c r="M16" s="68"/>
      <c r="N16" s="60"/>
      <c r="O16" s="60"/>
    </row>
    <row r="17" spans="2:15" ht="14.25" customHeight="1" x14ac:dyDescent="0.2">
      <c r="B17" s="18" t="s">
        <v>29</v>
      </c>
      <c r="C17" s="19"/>
      <c r="D17" s="125" t="s">
        <v>179</v>
      </c>
      <c r="E17" s="126"/>
      <c r="F17" s="20">
        <f>ROUND(VLOOKUP($B17,'[2]CCF (t)'!$B$10:$O$66,4,FALSE)/366,4)</f>
        <v>0</v>
      </c>
      <c r="G17" s="20">
        <f>ROUND(VLOOKUP($B17,'[2]CCF (t)'!$B$10:$O$66,5,FALSE),4)</f>
        <v>0.6996</v>
      </c>
      <c r="H17" s="20"/>
      <c r="I17" s="20"/>
      <c r="J17" s="20"/>
      <c r="K17" s="20"/>
      <c r="L17" s="20"/>
      <c r="M17" s="20"/>
    </row>
    <row r="18" spans="2:15" ht="14.25" customHeight="1" x14ac:dyDescent="0.2">
      <c r="B18" s="18" t="s">
        <v>30</v>
      </c>
      <c r="C18" s="19"/>
      <c r="D18" s="125" t="s">
        <v>43</v>
      </c>
      <c r="E18" s="126"/>
      <c r="F18" s="20">
        <f>ROUND(VLOOKUP($B18,'[2]CCF (t)'!$B$10:$O$66,4,FALSE)/366,4)</f>
        <v>0</v>
      </c>
      <c r="G18" s="20"/>
      <c r="H18" s="20">
        <f>ROUND(VLOOKUP($B18,'[2]CCF (t)'!$B$10:$O$66,6,FALSE),4)</f>
        <v>0.6996</v>
      </c>
      <c r="I18" s="20">
        <f>ROUND(VLOOKUP($B18,'[2]CCF (t)'!$B$10:$O$66,7,FALSE),4)</f>
        <v>0.6996</v>
      </c>
      <c r="J18" s="20">
        <f>ROUND(VLOOKUP($B18,'[2]CCF (t)'!$B$10:$O$66,8,FALSE),4)</f>
        <v>0.6996</v>
      </c>
      <c r="K18" s="20"/>
      <c r="L18" s="20"/>
      <c r="M18" s="20"/>
    </row>
    <row r="19" spans="2:15" ht="14.25" customHeight="1" x14ac:dyDescent="0.2">
      <c r="B19" s="18" t="s">
        <v>168</v>
      </c>
      <c r="C19" s="19"/>
      <c r="D19" s="125" t="s">
        <v>169</v>
      </c>
      <c r="E19" s="126"/>
      <c r="F19" s="20">
        <f>ROUND(VLOOKUP($B19,'[2]CCF (t)'!$B$10:$O$66,4,FALSE)/366,4)</f>
        <v>0</v>
      </c>
      <c r="G19" s="20"/>
      <c r="H19" s="20">
        <f>ROUND(VLOOKUP($B19,'[2]CCF (t)'!$B$10:$O$66,6,FALSE),4)</f>
        <v>0.6996</v>
      </c>
      <c r="I19" s="20">
        <f>ROUND(VLOOKUP($B19,'[2]CCF (t)'!$B$10:$O$66,7,FALSE),4)</f>
        <v>0.6996</v>
      </c>
      <c r="J19" s="20">
        <f>ROUND(VLOOKUP($B19,'[2]CCF (t)'!$B$10:$O$66,8,FALSE),4)</f>
        <v>0.6996</v>
      </c>
      <c r="K19" s="20"/>
      <c r="L19" s="20"/>
      <c r="M19" s="20"/>
    </row>
    <row r="20" spans="2:15" ht="14.25" customHeight="1" x14ac:dyDescent="0.2">
      <c r="B20" s="18" t="s">
        <v>170</v>
      </c>
      <c r="C20" s="19"/>
      <c r="D20" s="125" t="s">
        <v>181</v>
      </c>
      <c r="E20" s="126"/>
      <c r="F20" s="20">
        <f>ROUND(VLOOKUP($B20,'[2]CCF (t)'!$B$10:$O$66,4,FALSE)/366,4)</f>
        <v>0</v>
      </c>
      <c r="G20" s="20"/>
      <c r="H20" s="20">
        <f>ROUND(VLOOKUP($B20,'[2]CCF (t)'!$B$10:$O$66,6,FALSE),4)</f>
        <v>0.6996</v>
      </c>
      <c r="I20" s="20">
        <f>ROUND(VLOOKUP($B20,'[2]CCF (t)'!$B$10:$O$66,7,FALSE),4)</f>
        <v>0.6996</v>
      </c>
      <c r="J20" s="20">
        <f>ROUND(VLOOKUP($B20,'[2]CCF (t)'!$B$10:$O$66,8,FALSE),4)</f>
        <v>0.6996</v>
      </c>
      <c r="K20" s="20">
        <f>ROUND(VLOOKUP($B20,'[2]CCF (t)'!$B$10:$O$66,10,FALSE),4)</f>
        <v>0</v>
      </c>
      <c r="L20" s="117"/>
      <c r="M20" s="20"/>
    </row>
    <row r="21" spans="2:15" ht="14.25" customHeight="1" x14ac:dyDescent="0.2">
      <c r="B21" s="18" t="s">
        <v>31</v>
      </c>
      <c r="C21" s="19" t="s">
        <v>167</v>
      </c>
      <c r="D21" s="125" t="s">
        <v>114</v>
      </c>
      <c r="E21" s="126"/>
      <c r="F21" s="20">
        <f>ROUND(VLOOKUP($B21,'[2]CCF (t)'!$B$10:$O$66,4,FALSE)/366,4)</f>
        <v>0</v>
      </c>
      <c r="G21" s="20"/>
      <c r="H21" s="20">
        <f>ROUND(VLOOKUP($B21,'[2]CCF (t)'!$B$10:$O$66,6,FALSE),4)</f>
        <v>0.6996</v>
      </c>
      <c r="I21" s="20">
        <f>ROUND(VLOOKUP($B21,'[2]CCF (t)'!$B$10:$O$66,7,FALSE),4)</f>
        <v>0.6996</v>
      </c>
      <c r="J21" s="20">
        <f>ROUND(VLOOKUP($B21,'[2]CCF (t)'!$B$10:$O$66,8,FALSE),4)</f>
        <v>0.6996</v>
      </c>
      <c r="K21" s="20"/>
      <c r="L21" s="20"/>
      <c r="M21" s="20"/>
    </row>
    <row r="22" spans="2:15" ht="14.25" customHeight="1" x14ac:dyDescent="0.2">
      <c r="B22" s="18" t="s">
        <v>172</v>
      </c>
      <c r="C22" s="19"/>
      <c r="D22" s="125" t="s">
        <v>173</v>
      </c>
      <c r="E22" s="126"/>
      <c r="F22" s="20">
        <f>ROUND(VLOOKUP($B22,'[2]CCF (t)'!$B$10:$O$66,4,FALSE)/366,4)</f>
        <v>0</v>
      </c>
      <c r="G22" s="20"/>
      <c r="H22" s="20">
        <f>ROUND(VLOOKUP($B22,'[2]CCF (t)'!$B$10:$O$66,6,FALSE),4)</f>
        <v>0.6996</v>
      </c>
      <c r="I22" s="20">
        <f>ROUND(VLOOKUP($B22,'[2]CCF (t)'!$B$10:$O$66,7,FALSE),4)</f>
        <v>0.6996</v>
      </c>
      <c r="J22" s="20">
        <f>ROUND(VLOOKUP($B22,'[2]CCF (t)'!$B$10:$O$66,8,FALSE),4)</f>
        <v>0.6996</v>
      </c>
      <c r="K22" s="20">
        <f>ROUND(VLOOKUP($B22,'[2]CCF (t)'!$B$10:$O$66,10,FALSE),4)</f>
        <v>0</v>
      </c>
      <c r="L22" s="20">
        <f>ROUND(VLOOKUP($B22,'[2]CCF (t)'!$B$10:$O$66,11,FALSE),4)</f>
        <v>0</v>
      </c>
      <c r="M22" s="20">
        <f>ROUND(VLOOKUP($B22,'[2]CCF (t)'!$B$10:$O$66,12,FALSE),4)</f>
        <v>0</v>
      </c>
    </row>
    <row r="23" spans="2:15" ht="14.25" customHeight="1" x14ac:dyDescent="0.2">
      <c r="B23" s="18" t="s">
        <v>32</v>
      </c>
      <c r="C23" s="19"/>
      <c r="D23" s="125" t="s">
        <v>47</v>
      </c>
      <c r="E23" s="126"/>
      <c r="F23" s="20">
        <f>ROUND(VLOOKUP($B23,'[2]CCF (t)'!$B$10:$O$66,4,FALSE)/366,4)</f>
        <v>0</v>
      </c>
      <c r="G23" s="20"/>
      <c r="H23" s="20">
        <f>ROUND(VLOOKUP($B23,'[2]CCF (t)'!$B$10:$O$66,6,FALSE),4)</f>
        <v>0.6996</v>
      </c>
      <c r="I23" s="20">
        <f>ROUND(VLOOKUP($B23,'[2]CCF (t)'!$B$10:$O$66,7,FALSE),4)</f>
        <v>0.6996</v>
      </c>
      <c r="J23" s="20">
        <f>ROUND(VLOOKUP($B23,'[2]CCF (t)'!$B$10:$O$66,8,FALSE),4)</f>
        <v>0.6996</v>
      </c>
      <c r="K23" s="20">
        <f>ROUND(VLOOKUP($B23,'[2]CCF (t)'!$B$10:$O$66,10,FALSE),4)</f>
        <v>0</v>
      </c>
      <c r="L23" s="20">
        <f>ROUND(VLOOKUP($B23,'[2]CCF (t)'!$B$10:$O$66,11,FALSE),4)</f>
        <v>0</v>
      </c>
      <c r="M23" s="20">
        <f>ROUND(VLOOKUP($B23,'[2]CCF (t)'!$B$10:$O$66,12,FALSE),4)</f>
        <v>0</v>
      </c>
      <c r="O23" s="90"/>
    </row>
    <row r="24" spans="2:15" ht="14.25" customHeight="1" x14ac:dyDescent="0.2">
      <c r="B24" s="18" t="s">
        <v>61</v>
      </c>
      <c r="C24" s="19"/>
      <c r="D24" s="125" t="s">
        <v>74</v>
      </c>
      <c r="E24" s="126"/>
      <c r="F24" s="20">
        <f>ROUND(VLOOKUP($B24,'[2]CCF (t)'!$B$10:$O$66,4,FALSE)/366,4)</f>
        <v>0</v>
      </c>
      <c r="G24" s="20"/>
      <c r="H24" s="20">
        <f>ROUND(VLOOKUP($B24,'[2]CCF (t)'!$B$10:$O$66,6,FALSE),4)</f>
        <v>0.6996</v>
      </c>
      <c r="I24" s="20">
        <f>ROUND(VLOOKUP($B24,'[2]CCF (t)'!$B$10:$O$66,7,FALSE),4)</f>
        <v>0.6996</v>
      </c>
      <c r="J24" s="20">
        <f>ROUND(VLOOKUP($B24,'[2]CCF (t)'!$B$10:$O$66,8,FALSE),4)</f>
        <v>0.6996</v>
      </c>
      <c r="K24" s="120">
        <f>ROUND(VLOOKUP($B24,'[2]CCF (t)'!$B$10:$O$66,10,FALSE),4)</f>
        <v>0</v>
      </c>
      <c r="L24" s="121"/>
      <c r="M24" s="20"/>
    </row>
    <row r="25" spans="2:15" ht="14.25" customHeight="1" x14ac:dyDescent="0.2">
      <c r="B25" s="18" t="s">
        <v>34</v>
      </c>
      <c r="C25" s="19"/>
      <c r="D25" s="125" t="s">
        <v>41</v>
      </c>
      <c r="E25" s="126"/>
      <c r="F25" s="20">
        <f>ROUND(VLOOKUP($B25,'[2]CCF (t)'!$B$10:$O$66,4,FALSE)/366,4)</f>
        <v>0</v>
      </c>
      <c r="G25" s="20"/>
      <c r="H25" s="20">
        <f>ROUND(VLOOKUP($B25,'[2]CCF (t)'!$B$10:$O$66,6,FALSE),4)</f>
        <v>0.6996</v>
      </c>
      <c r="I25" s="20">
        <f>ROUND(VLOOKUP($B25,'[2]CCF (t)'!$B$10:$O$66,7,FALSE),4)</f>
        <v>0.6996</v>
      </c>
      <c r="J25" s="20">
        <f>ROUND(VLOOKUP($B25,'[2]CCF (t)'!$B$10:$O$66,8,FALSE),4)</f>
        <v>0.6996</v>
      </c>
      <c r="K25" s="20">
        <f>ROUND(VLOOKUP($B25,'[2]CCF (t)'!$B$10:$O$66,10,FALSE),4)</f>
        <v>0</v>
      </c>
      <c r="L25" s="20">
        <f>ROUND(VLOOKUP($B25,'[2]CCF (t)'!$B$10:$O$66,11,FALSE),4)</f>
        <v>0</v>
      </c>
      <c r="M25" s="20">
        <f>ROUND(VLOOKUP($B25,'[2]CCF (t)'!$B$10:$O$66,12,FALSE),4)</f>
        <v>0</v>
      </c>
    </row>
    <row r="26" spans="2:15" ht="14.25" customHeight="1" x14ac:dyDescent="0.2">
      <c r="B26" s="18" t="s">
        <v>23</v>
      </c>
      <c r="C26" s="19"/>
      <c r="D26" s="134" t="s">
        <v>38</v>
      </c>
      <c r="E26" s="135"/>
      <c r="F26" s="20">
        <f>ROUND(VLOOKUP($B26,'[2]CCF (t)'!$B$10:$O$66,4,FALSE)/366,4)</f>
        <v>0</v>
      </c>
      <c r="G26" s="20"/>
      <c r="H26" s="20">
        <f>ROUND(VLOOKUP($B26,'[2]CCF (t)'!$B$10:$O$66,6,FALSE),4)</f>
        <v>0.1865</v>
      </c>
      <c r="I26" s="20">
        <f>ROUND(VLOOKUP($B26,'[2]CCF (t)'!$B$10:$O$66,7,FALSE),4)</f>
        <v>0.1865</v>
      </c>
      <c r="J26" s="20">
        <f>ROUND(VLOOKUP($B26,'[2]CCF (t)'!$B$10:$O$66,8,FALSE),4)</f>
        <v>0.1865</v>
      </c>
      <c r="K26" s="20">
        <f>ROUND(VLOOKUP($B26,'[2]CCF (t)'!$B$10:$O$66,10,FALSE),4)</f>
        <v>0</v>
      </c>
      <c r="L26" s="20">
        <f>ROUND(VLOOKUP($B26,'[2]CCF (t)'!$B$10:$O$66,11,FALSE),4)</f>
        <v>0</v>
      </c>
      <c r="M26" s="20">
        <f>ROUND(VLOOKUP($B26,'[2]CCF (t)'!$B$10:$O$66,12,FALSE),4)</f>
        <v>0</v>
      </c>
    </row>
    <row r="27" spans="2:15" ht="18" x14ac:dyDescent="0.25">
      <c r="B27" s="65" t="s">
        <v>45</v>
      </c>
      <c r="C27" s="65"/>
      <c r="D27" s="66"/>
      <c r="E27" s="67"/>
      <c r="F27" s="69"/>
      <c r="G27" s="69"/>
      <c r="H27" s="69"/>
      <c r="I27" s="69"/>
      <c r="J27" s="69"/>
      <c r="K27" s="69"/>
      <c r="L27" s="69"/>
      <c r="M27" s="69"/>
      <c r="N27" s="60"/>
      <c r="O27" s="60"/>
    </row>
    <row r="28" spans="2:15" ht="14.25" customHeight="1" x14ac:dyDescent="0.2">
      <c r="B28" s="18" t="s">
        <v>36</v>
      </c>
      <c r="C28" s="19" t="s">
        <v>44</v>
      </c>
      <c r="D28" s="125" t="s">
        <v>107</v>
      </c>
      <c r="E28" s="126"/>
      <c r="F28" s="20">
        <f>ROUND(VLOOKUP($B28,'[2]CCF (t)'!$B$10:$O$80,4,FALSE)/366,4)</f>
        <v>0</v>
      </c>
      <c r="G28" s="20">
        <f>ROUND(VLOOKUP($B28,'[2]CCF (t)'!$B$10:$O$80,5,FALSE),4)</f>
        <v>0.6996</v>
      </c>
      <c r="H28" s="20"/>
      <c r="I28" s="20"/>
      <c r="J28" s="20"/>
      <c r="K28" s="20"/>
      <c r="L28" s="20"/>
      <c r="M28" s="20"/>
    </row>
    <row r="29" spans="2:15" ht="14.25" customHeight="1" x14ac:dyDescent="0.2">
      <c r="B29" s="18" t="s">
        <v>37</v>
      </c>
      <c r="C29" s="19"/>
      <c r="D29" s="125" t="s">
        <v>108</v>
      </c>
      <c r="E29" s="126"/>
      <c r="F29" s="20">
        <f>ROUND(VLOOKUP($B29,'[2]CCF (t)'!$B$10:$O$80,4,FALSE)/366,4)</f>
        <v>0</v>
      </c>
      <c r="G29" s="20"/>
      <c r="H29" s="20">
        <f>ROUND(VLOOKUP($B29,'[2]CCF (t)'!$B$10:$O$80,6,FALSE),4)</f>
        <v>0.6996</v>
      </c>
      <c r="I29" s="20">
        <f>ROUND(VLOOKUP($B29,'[2]CCF (t)'!$B$10:$O$80,7,FALSE),4)</f>
        <v>0.6996</v>
      </c>
      <c r="J29" s="20">
        <f>ROUND(VLOOKUP($B29,'[2]CCF (t)'!$B$10:$O$80,8,FALSE),4)</f>
        <v>0.6996</v>
      </c>
      <c r="K29" s="20"/>
      <c r="L29" s="20"/>
      <c r="M29" s="20"/>
    </row>
    <row r="30" spans="2:15" ht="18" x14ac:dyDescent="0.25">
      <c r="B30" s="65" t="s">
        <v>69</v>
      </c>
      <c r="C30" s="65"/>
      <c r="D30" s="66"/>
      <c r="E30" s="67"/>
      <c r="F30" s="69"/>
      <c r="G30" s="69"/>
      <c r="H30" s="69"/>
      <c r="I30" s="69"/>
      <c r="J30" s="69"/>
      <c r="K30" s="69"/>
      <c r="L30" s="69"/>
      <c r="M30" s="69"/>
      <c r="N30" s="60"/>
      <c r="O30" s="60"/>
    </row>
    <row r="31" spans="2:15" ht="14.25" customHeight="1" x14ac:dyDescent="0.2">
      <c r="B31" s="19" t="s">
        <v>50</v>
      </c>
      <c r="C31" s="19"/>
      <c r="D31" s="125" t="s">
        <v>51</v>
      </c>
      <c r="E31" s="126"/>
      <c r="F31" s="25" t="s">
        <v>52</v>
      </c>
      <c r="G31" s="25"/>
      <c r="H31" s="25" t="s">
        <v>52</v>
      </c>
      <c r="I31" s="25" t="s">
        <v>52</v>
      </c>
      <c r="J31" s="25" t="s">
        <v>52</v>
      </c>
      <c r="K31" s="25" t="s">
        <v>52</v>
      </c>
      <c r="L31" s="25" t="s">
        <v>52</v>
      </c>
      <c r="M31" s="25" t="s">
        <v>52</v>
      </c>
    </row>
    <row r="32" spans="2:15" ht="15" x14ac:dyDescent="0.25">
      <c r="B32" s="48" t="s">
        <v>53</v>
      </c>
      <c r="C32" s="42"/>
      <c r="D32" s="43"/>
      <c r="E32" s="34" t="s">
        <v>1</v>
      </c>
      <c r="F32" s="35" t="s">
        <v>2</v>
      </c>
      <c r="G32" s="35" t="s">
        <v>2</v>
      </c>
      <c r="H32" s="35" t="s">
        <v>2</v>
      </c>
      <c r="I32" s="34" t="s">
        <v>3</v>
      </c>
      <c r="J32" s="35" t="s">
        <v>4</v>
      </c>
      <c r="K32" s="35" t="s">
        <v>5</v>
      </c>
      <c r="L32" s="35" t="s">
        <v>6</v>
      </c>
      <c r="M32" s="36" t="s">
        <v>7</v>
      </c>
    </row>
    <row r="33" spans="1:13" ht="15" x14ac:dyDescent="0.25">
      <c r="B33" s="49" t="s">
        <v>0</v>
      </c>
      <c r="C33" s="44" t="s">
        <v>9</v>
      </c>
      <c r="D33" s="91"/>
      <c r="E33" s="37" t="s">
        <v>10</v>
      </c>
      <c r="F33" s="37" t="s">
        <v>4</v>
      </c>
      <c r="G33" s="37" t="s">
        <v>5</v>
      </c>
      <c r="H33" s="37" t="s">
        <v>6</v>
      </c>
      <c r="I33" s="37" t="s">
        <v>12</v>
      </c>
      <c r="J33" s="37" t="s">
        <v>3</v>
      </c>
      <c r="K33" s="37" t="s">
        <v>3</v>
      </c>
      <c r="L33" s="37" t="s">
        <v>3</v>
      </c>
      <c r="M33" s="38" t="s">
        <v>12</v>
      </c>
    </row>
    <row r="34" spans="1:13" ht="15" x14ac:dyDescent="0.25">
      <c r="B34" s="38" t="s">
        <v>8</v>
      </c>
      <c r="C34" s="45"/>
      <c r="D34" s="46"/>
      <c r="E34" s="37" t="s">
        <v>13</v>
      </c>
      <c r="F34" s="37" t="s">
        <v>14</v>
      </c>
      <c r="G34" s="37" t="s">
        <v>14</v>
      </c>
      <c r="H34" s="37" t="s">
        <v>14</v>
      </c>
      <c r="I34" s="37" t="s">
        <v>15</v>
      </c>
      <c r="J34" s="37" t="s">
        <v>15</v>
      </c>
      <c r="K34" s="37" t="s">
        <v>15</v>
      </c>
      <c r="L34" s="37" t="s">
        <v>15</v>
      </c>
      <c r="M34" s="37" t="s">
        <v>15</v>
      </c>
    </row>
    <row r="35" spans="1:13" ht="26.25" x14ac:dyDescent="0.25">
      <c r="B35" s="47"/>
      <c r="C35" s="50"/>
      <c r="D35" s="92"/>
      <c r="E35" s="16" t="s">
        <v>84</v>
      </c>
      <c r="F35" s="16" t="s">
        <v>84</v>
      </c>
      <c r="G35" s="16" t="s">
        <v>84</v>
      </c>
      <c r="H35" s="16" t="s">
        <v>84</v>
      </c>
      <c r="I35" s="16" t="s">
        <v>84</v>
      </c>
      <c r="J35" s="16" t="s">
        <v>84</v>
      </c>
      <c r="K35" s="16" t="s">
        <v>84</v>
      </c>
      <c r="L35" s="16" t="s">
        <v>84</v>
      </c>
      <c r="M35" s="16" t="s">
        <v>84</v>
      </c>
    </row>
    <row r="36" spans="1:13" ht="15" x14ac:dyDescent="0.25">
      <c r="B36" s="21" t="s">
        <v>46</v>
      </c>
      <c r="C36" s="22"/>
      <c r="D36" s="93"/>
      <c r="E36" s="39"/>
      <c r="F36" s="23"/>
      <c r="G36" s="23"/>
      <c r="H36" s="23"/>
      <c r="I36" s="23"/>
      <c r="J36" s="23"/>
      <c r="K36" s="23"/>
      <c r="L36" s="23"/>
      <c r="M36" s="23"/>
    </row>
    <row r="37" spans="1:13" x14ac:dyDescent="0.2">
      <c r="B37" s="18" t="s">
        <v>33</v>
      </c>
      <c r="C37" s="157" t="s">
        <v>58</v>
      </c>
      <c r="D37" s="158"/>
      <c r="E37" s="20">
        <f>ROUND(VLOOKUP($B37,'[2]CCF (t)'!$B$10:$O$66,4,FALSE)/366,4)</f>
        <v>0</v>
      </c>
      <c r="F37" s="20">
        <f>ROUND(VLOOKUP($B37,'[2]CCF (t)'!$B$10:$O$66,6,FALSE),4)</f>
        <v>0.6996</v>
      </c>
      <c r="G37" s="20">
        <f>ROUND(VLOOKUP($B37,'[2]CCF (t)'!$B$10:$O$66,7,FALSE),4)</f>
        <v>0.6996</v>
      </c>
      <c r="H37" s="20">
        <f>ROUND(VLOOKUP($B37,'[2]CCF (t)'!$B$10:$O$66,8,FALSE),4)</f>
        <v>0.6996</v>
      </c>
      <c r="I37" s="20"/>
      <c r="J37" s="20">
        <f>ROUND(VLOOKUP($B37,'[2]CCF (t)'!$B$10:$O$66,10,FALSE),4)</f>
        <v>0</v>
      </c>
      <c r="K37" s="20">
        <f>ROUND(VLOOKUP($B37,'[2]CCF (t)'!$B$10:$O$66,11,FALSE),4)</f>
        <v>0</v>
      </c>
      <c r="L37" s="20">
        <f>ROUND(VLOOKUP($B37,'[2]CCF (t)'!$B$10:$O$66,12,FALSE),4)</f>
        <v>0</v>
      </c>
      <c r="M37" s="20"/>
    </row>
    <row r="38" spans="1:13" x14ac:dyDescent="0.2">
      <c r="B38" s="18" t="s">
        <v>35</v>
      </c>
      <c r="C38" s="155" t="s">
        <v>59</v>
      </c>
      <c r="D38" s="156"/>
      <c r="E38" s="20">
        <f>ROUND(VLOOKUP($B38,'[2]CCF (t)'!$B$10:$O$66,4,FALSE)/366,4)</f>
        <v>0</v>
      </c>
      <c r="F38" s="20">
        <f>ROUND(VLOOKUP($B38,'[2]CCF (t)'!$B$10:$O$66,6,FALSE),4)</f>
        <v>0.6996</v>
      </c>
      <c r="G38" s="20">
        <f>ROUND(VLOOKUP($B38,'[2]CCF (t)'!$B$10:$O$66,7,FALSE),4)</f>
        <v>0.6996</v>
      </c>
      <c r="H38" s="20">
        <f>ROUND(VLOOKUP($B38,'[2]CCF (t)'!$B$10:$O$66,8,FALSE),4)</f>
        <v>0.6996</v>
      </c>
      <c r="I38" s="20"/>
      <c r="J38" s="20">
        <f>ROUND(VLOOKUP($B38,'[2]CCF (t)'!$B$10:$O$66,10,FALSE),4)</f>
        <v>0</v>
      </c>
      <c r="K38" s="20">
        <f>ROUND(VLOOKUP($B38,'[2]CCF (t)'!$B$10:$O$66,11,FALSE),4)</f>
        <v>0</v>
      </c>
      <c r="L38" s="20">
        <f>ROUND(VLOOKUP($B38,'[2]CCF (t)'!$B$10:$O$66,12,FALSE),4)</f>
        <v>0</v>
      </c>
      <c r="M38" s="20"/>
    </row>
    <row r="39" spans="1:13" x14ac:dyDescent="0.2">
      <c r="B39" s="18" t="s">
        <v>167</v>
      </c>
      <c r="C39" s="30" t="s">
        <v>197</v>
      </c>
      <c r="D39" s="94"/>
      <c r="E39" s="20">
        <f>ROUND(VLOOKUP("BLND1CO",'[2]TUOS (t)'!$B$10:$O$66,4,FALSE)/366,4)</f>
        <v>0</v>
      </c>
      <c r="F39" s="20">
        <f>ROUND(VLOOKUP($B39,'[2]CCF (t)'!$B$10:$O$66,6,FALSE),4)</f>
        <v>0.6996</v>
      </c>
      <c r="G39" s="20">
        <f>ROUND(VLOOKUP($B39,'[2]CCF (t)'!$B$10:$O$66,7,FALSE),4)</f>
        <v>0.6996</v>
      </c>
      <c r="H39" s="20">
        <f>ROUND(VLOOKUP($B39,'[2]CCF (t)'!$B$10:$O$66,8,FALSE),4)</f>
        <v>0.6996</v>
      </c>
      <c r="I39" s="20">
        <f>ROUND(VLOOKUP("BLND1CO",'[2]TUOS (t)'!$B$10:$O$66,9,FALSE),4)</f>
        <v>0</v>
      </c>
      <c r="J39" s="20"/>
      <c r="K39" s="20"/>
      <c r="L39" s="20"/>
      <c r="M39" s="20"/>
    </row>
    <row r="40" spans="1:13" ht="28.5" x14ac:dyDescent="0.2">
      <c r="B40" s="19" t="s">
        <v>203</v>
      </c>
      <c r="C40" s="30" t="s">
        <v>48</v>
      </c>
      <c r="D40" s="94"/>
      <c r="E40" s="20">
        <f>ROUND(VLOOKUP("BLND1CO",'[2]CCF (t)'!$B$10:$O$66,4,FALSE)/366,4)</f>
        <v>0</v>
      </c>
      <c r="F40" s="20">
        <f>ROUND(VLOOKUP("BLND1CO",'[2]CCF (t)'!$B$10:$O$66,6,FALSE),4)</f>
        <v>0.6996</v>
      </c>
      <c r="G40" s="20">
        <f>ROUND(VLOOKUP("BLND1CO",'[2]CCF (t)'!$B$10:$O$66,7,FALSE),4)</f>
        <v>0.6996</v>
      </c>
      <c r="H40" s="20">
        <f>ROUND(VLOOKUP("BLND1CO",'[2]CCF (t)'!$B$10:$O$66,8,FALSE),4)</f>
        <v>0.6996</v>
      </c>
      <c r="I40" s="20">
        <f>ROUND(VLOOKUP("BLND1CO",'[2]CCF (t)'!$B$10:$O$66,9,FALSE),4)</f>
        <v>0</v>
      </c>
      <c r="J40" s="20"/>
      <c r="K40" s="20"/>
      <c r="L40" s="20"/>
      <c r="M40" s="20"/>
    </row>
    <row r="41" spans="1:13" x14ac:dyDescent="0.2">
      <c r="B41" s="18" t="s">
        <v>20</v>
      </c>
      <c r="C41" s="30" t="s">
        <v>55</v>
      </c>
      <c r="D41" s="94"/>
      <c r="E41" s="20">
        <f>ROUND(VLOOKUP($B41,'[2]CCF (t)'!$B$10:$O$66,4,FALSE)/366,4)</f>
        <v>0</v>
      </c>
      <c r="F41" s="20">
        <f>ROUND(VLOOKUP($B41,'[2]CCF (t)'!$B$10:$O$66,6,FALSE),4)</f>
        <v>0.6996</v>
      </c>
      <c r="G41" s="20">
        <f>ROUND(VLOOKUP($B41,'[2]CCF (t)'!$B$10:$O$66,7,FALSE),4)</f>
        <v>0.6996</v>
      </c>
      <c r="H41" s="20">
        <f>ROUND(VLOOKUP($B41,'[2]CCF (t)'!$B$10:$O$66,8,FALSE),4)</f>
        <v>0.6996</v>
      </c>
      <c r="I41" s="20">
        <f>ROUND(VLOOKUP($B41,'[2]CCF (t)'!$B$10:$O$66,9,FALSE),4)</f>
        <v>0</v>
      </c>
      <c r="J41" s="20"/>
      <c r="K41" s="20"/>
      <c r="L41" s="20"/>
      <c r="M41" s="20">
        <f>ROUND(VLOOKUP($B41,'[2]CCF (t)'!$B$10:$O$66,13,FALSE),4)</f>
        <v>0</v>
      </c>
    </row>
    <row r="42" spans="1:13" x14ac:dyDescent="0.2">
      <c r="B42" s="18" t="s">
        <v>21</v>
      </c>
      <c r="C42" s="30" t="s">
        <v>54</v>
      </c>
      <c r="D42" s="94"/>
      <c r="E42" s="20">
        <f>ROUND(VLOOKUP($B42,'[2]CCF (t)'!$B$10:$O$66,4,FALSE)/366,4)</f>
        <v>0</v>
      </c>
      <c r="F42" s="20">
        <f>ROUND(VLOOKUP($B42,'[2]CCF (t)'!$B$10:$O$66,6,FALSE),4)</f>
        <v>0.6996</v>
      </c>
      <c r="G42" s="20">
        <f>ROUND(VLOOKUP($B42,'[2]CCF (t)'!$B$10:$O$66,7,FALSE),4)</f>
        <v>0.6996</v>
      </c>
      <c r="H42" s="20">
        <f>ROUND(VLOOKUP($B42,'[2]CCF (t)'!$B$10:$O$66,8,FALSE),4)</f>
        <v>0.6996</v>
      </c>
      <c r="I42" s="20">
        <f>ROUND(VLOOKUP($B42,'[2]CCF (t)'!$B$10:$O$66,9,FALSE),4)</f>
        <v>0</v>
      </c>
      <c r="J42" s="20"/>
      <c r="K42" s="20"/>
      <c r="L42" s="20"/>
      <c r="M42" s="20">
        <f>ROUND(VLOOKUP($B42,'[2]CCF (t)'!$B$10:$O$66,13,FALSE),4)</f>
        <v>0</v>
      </c>
    </row>
    <row r="43" spans="1:13" s="41" customFormat="1" ht="28.5" x14ac:dyDescent="0.2">
      <c r="A43" s="40"/>
      <c r="B43" s="18" t="s">
        <v>22</v>
      </c>
      <c r="C43" s="30" t="s">
        <v>56</v>
      </c>
      <c r="D43" s="95"/>
      <c r="E43" s="20">
        <f>ROUND(VLOOKUP($B43,'[2]CCF (t)'!$B$10:$O$66,4,FALSE)/366,4)</f>
        <v>0</v>
      </c>
      <c r="F43" s="20">
        <f>ROUND(VLOOKUP($B43,'[2]CCF (t)'!$B$10:$O$66,6,FALSE),4)</f>
        <v>0.6996</v>
      </c>
      <c r="G43" s="20">
        <f>ROUND(VLOOKUP($B43,'[2]CCF (t)'!$B$10:$O$66,7,FALSE),4)</f>
        <v>0.6996</v>
      </c>
      <c r="H43" s="20">
        <f>ROUND(VLOOKUP($B43,'[2]CCF (t)'!$B$10:$O$66,8,FALSE),4)</f>
        <v>0.6996</v>
      </c>
      <c r="I43" s="20">
        <f>ROUND(VLOOKUP($B43,'[2]CCF (t)'!$B$10:$O$66,9,FALSE),4)</f>
        <v>0</v>
      </c>
      <c r="J43" s="20"/>
      <c r="K43" s="20"/>
      <c r="L43" s="20"/>
      <c r="M43" s="20"/>
    </row>
    <row r="44" spans="1:13" ht="28.5" x14ac:dyDescent="0.2">
      <c r="B44" s="19" t="s">
        <v>202</v>
      </c>
      <c r="C44" s="30" t="s">
        <v>57</v>
      </c>
      <c r="D44" s="94"/>
      <c r="E44" s="20">
        <f>ROUND(VLOOKUP("BHND1SO",'[2]CCF (t)'!$B$10:$O$66,4,FALSE)/366,4)</f>
        <v>0</v>
      </c>
      <c r="F44" s="20">
        <f>ROUND(VLOOKUP("BHND1SO",'[2]CCF (t)'!$B$10:$O$66,6,FALSE),4)</f>
        <v>0.6996</v>
      </c>
      <c r="G44" s="20">
        <f>ROUND(VLOOKUP("BHND1SO",'[2]CCF (t)'!$B$10:$O$66,7,FALSE),4)</f>
        <v>0.6996</v>
      </c>
      <c r="H44" s="20">
        <f>ROUND(VLOOKUP("BHND1SO",'[2]CCF (t)'!$B$10:$O$66,8,FALSE),4)</f>
        <v>0.6996</v>
      </c>
      <c r="I44" s="20">
        <f>ROUND(VLOOKUP("BHND1SO",'[2]CCF (t)'!$B$10:$O$66,9,FALSE),4)</f>
        <v>0</v>
      </c>
      <c r="J44" s="20"/>
      <c r="K44" s="20"/>
      <c r="L44" s="20"/>
      <c r="M44" s="20">
        <f>ROUND(VLOOKUP("BHND1SO",'[2]CCF (t)'!$B$10:$O$66,13,FALSE),4)</f>
        <v>0</v>
      </c>
    </row>
  </sheetData>
  <mergeCells count="27">
    <mergeCell ref="I3:J3"/>
    <mergeCell ref="B5:B7"/>
    <mergeCell ref="C5:C7"/>
    <mergeCell ref="D5:E7"/>
    <mergeCell ref="D10:E10"/>
    <mergeCell ref="D9:E9"/>
    <mergeCell ref="D14:E14"/>
    <mergeCell ref="D18:E18"/>
    <mergeCell ref="D19:E19"/>
    <mergeCell ref="D20:E20"/>
    <mergeCell ref="B3:F3"/>
    <mergeCell ref="D12:E12"/>
    <mergeCell ref="D15:E15"/>
    <mergeCell ref="D17:E17"/>
    <mergeCell ref="D11:E11"/>
    <mergeCell ref="D21:E21"/>
    <mergeCell ref="D22:E22"/>
    <mergeCell ref="D23:E23"/>
    <mergeCell ref="K24:L24"/>
    <mergeCell ref="D28:E28"/>
    <mergeCell ref="C37:D37"/>
    <mergeCell ref="C38:D38"/>
    <mergeCell ref="D31:E31"/>
    <mergeCell ref="D24:E24"/>
    <mergeCell ref="D25:E25"/>
    <mergeCell ref="D26:E26"/>
    <mergeCell ref="D29:E29"/>
  </mergeCells>
  <pageMargins left="0.39370078740157483" right="0.39370078740157483" top="0.39370078740157483" bottom="0.39370078740157483" header="0.51181102362204722" footer="0.51181102362204722"/>
  <pageSetup paperSize="9" scale="67"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P44"/>
  <sheetViews>
    <sheetView showGridLines="0" zoomScale="70" zoomScaleNormal="70" zoomScaleSheetLayoutView="58" workbookViewId="0"/>
  </sheetViews>
  <sheetFormatPr defaultColWidth="8.875" defaultRowHeight="14.25" x14ac:dyDescent="0.2"/>
  <cols>
    <col min="1" max="1" width="1.875" style="14" customWidth="1"/>
    <col min="2" max="2" width="26" style="7" customWidth="1"/>
    <col min="3" max="3" width="29.75" style="7" customWidth="1"/>
    <col min="4" max="4" width="11.25" style="7" customWidth="1"/>
    <col min="5" max="5" width="17.875" style="7" customWidth="1"/>
    <col min="6" max="16" width="10.5" style="7" customWidth="1"/>
    <col min="17" max="17" width="8.5" style="7" customWidth="1"/>
    <col min="18" max="18" width="63.75" style="7" customWidth="1"/>
    <col min="19" max="16384" width="8.875" style="7"/>
  </cols>
  <sheetData>
    <row r="2" spans="1:16" ht="33" x14ac:dyDescent="0.45">
      <c r="A2" s="1"/>
      <c r="B2" s="2" t="s">
        <v>177</v>
      </c>
      <c r="C2" s="3"/>
      <c r="D2" s="3"/>
      <c r="E2" s="3"/>
      <c r="F2" s="3"/>
      <c r="G2" s="4"/>
      <c r="H2" s="5"/>
      <c r="I2" s="5"/>
      <c r="J2" s="5"/>
      <c r="K2" s="4"/>
      <c r="L2" s="4"/>
      <c r="M2" s="6"/>
    </row>
    <row r="3" spans="1:16" ht="15.75" x14ac:dyDescent="0.25">
      <c r="A3" s="1"/>
      <c r="B3" s="132" t="str">
        <f>'Price List_Excl GST'!B3:F3</f>
        <v>Effective 1 July 2023</v>
      </c>
      <c r="C3" s="133"/>
      <c r="D3" s="133"/>
      <c r="E3" s="133"/>
      <c r="F3" s="133"/>
      <c r="G3" s="8"/>
      <c r="H3" s="8"/>
      <c r="I3" s="128"/>
      <c r="J3" s="128"/>
      <c r="K3" s="8"/>
      <c r="L3" s="8"/>
      <c r="M3" s="9"/>
    </row>
    <row r="4" spans="1:16" ht="15" x14ac:dyDescent="0.25">
      <c r="A4" s="1"/>
      <c r="B4" s="10"/>
      <c r="C4" s="11"/>
      <c r="D4" s="12"/>
      <c r="E4" s="12"/>
      <c r="F4" s="12"/>
      <c r="G4" s="12"/>
      <c r="H4" s="12"/>
      <c r="I4" s="12"/>
      <c r="J4" s="12"/>
      <c r="K4" s="12"/>
      <c r="L4" s="12"/>
      <c r="M4" s="13"/>
    </row>
    <row r="5" spans="1:16" ht="15" x14ac:dyDescent="0.25">
      <c r="B5" s="122" t="s">
        <v>105</v>
      </c>
      <c r="C5" s="122" t="s">
        <v>24</v>
      </c>
      <c r="D5" s="159" t="s">
        <v>9</v>
      </c>
      <c r="E5" s="160"/>
      <c r="F5" s="52" t="s">
        <v>1</v>
      </c>
      <c r="G5" s="52" t="s">
        <v>2</v>
      </c>
      <c r="H5" s="37" t="s">
        <v>2</v>
      </c>
      <c r="I5" s="37" t="s">
        <v>2</v>
      </c>
      <c r="J5" s="37" t="s">
        <v>2</v>
      </c>
      <c r="K5" s="37" t="s">
        <v>4</v>
      </c>
      <c r="L5" s="37" t="s">
        <v>5</v>
      </c>
      <c r="M5" s="37" t="s">
        <v>6</v>
      </c>
    </row>
    <row r="6" spans="1:16" ht="15" x14ac:dyDescent="0.2">
      <c r="B6" s="123"/>
      <c r="C6" s="123"/>
      <c r="D6" s="137"/>
      <c r="E6" s="138"/>
      <c r="F6" s="77" t="s">
        <v>10</v>
      </c>
      <c r="G6" s="77" t="s">
        <v>171</v>
      </c>
      <c r="H6" s="77" t="s">
        <v>4</v>
      </c>
      <c r="I6" s="77" t="s">
        <v>5</v>
      </c>
      <c r="J6" s="77" t="s">
        <v>6</v>
      </c>
      <c r="K6" s="77" t="s">
        <v>3</v>
      </c>
      <c r="L6" s="77" t="s">
        <v>3</v>
      </c>
      <c r="M6" s="77" t="s">
        <v>3</v>
      </c>
    </row>
    <row r="7" spans="1:16" ht="15" x14ac:dyDescent="0.2">
      <c r="B7" s="124"/>
      <c r="C7" s="124"/>
      <c r="D7" s="161"/>
      <c r="E7" s="162"/>
      <c r="F7" s="77" t="s">
        <v>13</v>
      </c>
      <c r="G7" s="77" t="s">
        <v>14</v>
      </c>
      <c r="H7" s="77" t="s">
        <v>14</v>
      </c>
      <c r="I7" s="77" t="s">
        <v>14</v>
      </c>
      <c r="J7" s="77" t="s">
        <v>14</v>
      </c>
      <c r="K7" s="77" t="s">
        <v>15</v>
      </c>
      <c r="L7" s="77" t="s">
        <v>15</v>
      </c>
      <c r="M7" s="77" t="s">
        <v>15</v>
      </c>
    </row>
    <row r="8" spans="1:16" s="17" customFormat="1" ht="18" x14ac:dyDescent="0.25">
      <c r="A8" s="15"/>
      <c r="B8" s="55" t="s">
        <v>16</v>
      </c>
      <c r="C8" s="56"/>
      <c r="D8" s="57"/>
      <c r="E8" s="58"/>
      <c r="F8" s="59"/>
      <c r="G8" s="59"/>
      <c r="H8" s="59"/>
      <c r="I8" s="59"/>
      <c r="J8" s="59"/>
      <c r="K8" s="59"/>
      <c r="L8" s="59"/>
      <c r="M8" s="59"/>
      <c r="N8" s="60"/>
      <c r="O8" s="60"/>
    </row>
    <row r="9" spans="1:16" ht="14.25" customHeight="1" x14ac:dyDescent="0.2">
      <c r="B9" s="18" t="s">
        <v>25</v>
      </c>
      <c r="C9" s="19"/>
      <c r="D9" s="125" t="s">
        <v>178</v>
      </c>
      <c r="E9" s="126"/>
      <c r="F9" s="20">
        <f>ROUND(VLOOKUP($B9,'[2]QSS (t)'!$B$10:$O$66,4,FALSE)/365,4)</f>
        <v>0</v>
      </c>
      <c r="G9" s="20">
        <f>ROUND(VLOOKUP($B9,'[2]QSS (t)'!$B$10:$O$66,5,FALSE),4)</f>
        <v>1.14E-2</v>
      </c>
      <c r="H9" s="20"/>
      <c r="I9" s="20"/>
      <c r="J9" s="20"/>
      <c r="K9" s="20"/>
      <c r="L9" s="20"/>
      <c r="M9" s="20"/>
    </row>
    <row r="10" spans="1:16" ht="14.25" customHeight="1" x14ac:dyDescent="0.2">
      <c r="B10" s="18" t="s">
        <v>26</v>
      </c>
      <c r="C10" s="19"/>
      <c r="D10" s="125" t="s">
        <v>42</v>
      </c>
      <c r="E10" s="126"/>
      <c r="F10" s="20">
        <f>ROUND(VLOOKUP($B10,'[2]QSS (t)'!$B$10:$O$66,4,FALSE)/365,4)</f>
        <v>0</v>
      </c>
      <c r="G10" s="20"/>
      <c r="H10" s="20">
        <f>ROUND(VLOOKUP($B10,'[2]QSS (t)'!$B$10:$O$66,6,FALSE),4)</f>
        <v>1.14E-2</v>
      </c>
      <c r="I10" s="20">
        <f>ROUND(VLOOKUP($B10,'[2]QSS (t)'!$B$10:$O$66,7,FALSE),4)</f>
        <v>1.14E-2</v>
      </c>
      <c r="J10" s="20">
        <f>ROUND(VLOOKUP($B10,'[2]QSS (t)'!$B$10:$O$66,8,FALSE),4)</f>
        <v>1.14E-2</v>
      </c>
      <c r="K10" s="20"/>
      <c r="L10" s="20"/>
      <c r="M10" s="20"/>
      <c r="P10" s="51"/>
    </row>
    <row r="11" spans="1:16" ht="14.25" customHeight="1" x14ac:dyDescent="0.2">
      <c r="B11" s="18" t="s">
        <v>164</v>
      </c>
      <c r="C11" s="19"/>
      <c r="D11" s="125" t="s">
        <v>165</v>
      </c>
      <c r="E11" s="126"/>
      <c r="F11" s="20">
        <f>ROUND(VLOOKUP($B11,'[2]QSS (t)'!$B$10:$O$66,4,FALSE)/365,4)</f>
        <v>0</v>
      </c>
      <c r="G11" s="20"/>
      <c r="H11" s="20">
        <f>ROUND(VLOOKUP($B11,'[2]QSS (t)'!$B$10:$O$66,6,FALSE),4)</f>
        <v>1.14E-2</v>
      </c>
      <c r="I11" s="20">
        <f>ROUND(VLOOKUP($B11,'[2]QSS (t)'!$B$10:$O$66,7,FALSE),4)</f>
        <v>1.14E-2</v>
      </c>
      <c r="J11" s="20">
        <f>ROUND(VLOOKUP($B11,'[2]QSS (t)'!$B$10:$O$66,8,FALSE),4)</f>
        <v>1.14E-2</v>
      </c>
      <c r="K11" s="20"/>
      <c r="L11" s="20"/>
      <c r="M11" s="20"/>
    </row>
    <row r="12" spans="1:16" ht="14.25" customHeight="1" x14ac:dyDescent="0.2">
      <c r="B12" s="18" t="s">
        <v>166</v>
      </c>
      <c r="C12" s="19"/>
      <c r="D12" s="125" t="s">
        <v>180</v>
      </c>
      <c r="E12" s="126"/>
      <c r="F12" s="20">
        <f>ROUND(VLOOKUP($B12,'[2]QSS (t)'!$B$10:$O$66,4,FALSE)/365,4)</f>
        <v>0</v>
      </c>
      <c r="G12" s="20"/>
      <c r="H12" s="20">
        <f>ROUND(VLOOKUP($B12,'[2]QSS (t)'!$B$10:$O$66,6,FALSE),4)</f>
        <v>1.14E-2</v>
      </c>
      <c r="I12" s="20">
        <f>ROUND(VLOOKUP($B12,'[2]QSS (t)'!$B$10:$O$66,7,FALSE),4)</f>
        <v>1.14E-2</v>
      </c>
      <c r="J12" s="20">
        <f>ROUND(VLOOKUP($B12,'[2]QSS (t)'!$B$10:$O$66,8,FALSE),4)</f>
        <v>1.14E-2</v>
      </c>
      <c r="K12" s="20">
        <f>ROUND(VLOOKUP($B12,'[2]QSS (t)'!$B$10:$O$66,10,FALSE),4)</f>
        <v>0</v>
      </c>
      <c r="L12" s="117"/>
      <c r="M12" s="20"/>
    </row>
    <row r="13" spans="1:16" ht="18" x14ac:dyDescent="0.25">
      <c r="B13" s="56" t="s">
        <v>19</v>
      </c>
      <c r="C13" s="56"/>
      <c r="D13" s="61"/>
      <c r="E13" s="62"/>
      <c r="F13" s="63"/>
      <c r="G13" s="64"/>
      <c r="H13" s="64"/>
      <c r="I13" s="64"/>
      <c r="J13" s="64"/>
      <c r="K13" s="64"/>
      <c r="L13" s="64"/>
      <c r="M13" s="64"/>
      <c r="N13" s="60"/>
      <c r="O13" s="60"/>
    </row>
    <row r="14" spans="1:16" ht="14.25" customHeight="1" x14ac:dyDescent="0.2">
      <c r="B14" s="18" t="s">
        <v>27</v>
      </c>
      <c r="C14" s="19"/>
      <c r="D14" s="125" t="s">
        <v>39</v>
      </c>
      <c r="E14" s="126"/>
      <c r="F14" s="20">
        <f>ROUND(VLOOKUP($B14,'[2]QSS (t)'!$B$10:$O$66,4,FALSE)/365,4)</f>
        <v>0</v>
      </c>
      <c r="G14" s="20">
        <f>ROUND(VLOOKUP($B14,'[2]QSS (t)'!$B$10:$O$66,5,FALSE),4)</f>
        <v>1.14E-2</v>
      </c>
      <c r="H14" s="20"/>
      <c r="I14" s="20"/>
      <c r="J14" s="20"/>
      <c r="K14" s="20"/>
      <c r="L14" s="20"/>
      <c r="M14" s="20"/>
    </row>
    <row r="15" spans="1:16" ht="14.25" customHeight="1" x14ac:dyDescent="0.2">
      <c r="B15" s="18" t="s">
        <v>28</v>
      </c>
      <c r="C15" s="19"/>
      <c r="D15" s="125" t="s">
        <v>40</v>
      </c>
      <c r="E15" s="126"/>
      <c r="F15" s="20">
        <f>ROUND(VLOOKUP($B15,'[2]QSS (t)'!$B$10:$O$66,4,FALSE)/365,4)</f>
        <v>0</v>
      </c>
      <c r="G15" s="20">
        <f>ROUND(VLOOKUP($B15,'[2]QSS (t)'!$B$10:$O$66,5,FALSE),4)</f>
        <v>1.14E-2</v>
      </c>
      <c r="H15" s="20"/>
      <c r="I15" s="20"/>
      <c r="J15" s="20"/>
      <c r="K15" s="20"/>
      <c r="L15" s="20"/>
      <c r="M15" s="20"/>
    </row>
    <row r="16" spans="1:16" ht="18" x14ac:dyDescent="0.25">
      <c r="B16" s="65" t="s">
        <v>18</v>
      </c>
      <c r="C16" s="65"/>
      <c r="D16" s="66"/>
      <c r="E16" s="67"/>
      <c r="F16" s="68"/>
      <c r="G16" s="68"/>
      <c r="H16" s="68"/>
      <c r="I16" s="68"/>
      <c r="J16" s="68"/>
      <c r="K16" s="68"/>
      <c r="L16" s="68"/>
      <c r="M16" s="68"/>
      <c r="N16" s="60"/>
      <c r="O16" s="60"/>
    </row>
    <row r="17" spans="2:15" ht="14.25" customHeight="1" x14ac:dyDescent="0.2">
      <c r="B17" s="18" t="s">
        <v>29</v>
      </c>
      <c r="C17" s="19"/>
      <c r="D17" s="125" t="s">
        <v>179</v>
      </c>
      <c r="E17" s="126"/>
      <c r="F17" s="20">
        <f>ROUND(VLOOKUP($B17,'[2]QSS (t)'!$B$10:$O$66,4,FALSE)/365,4)</f>
        <v>0</v>
      </c>
      <c r="G17" s="20">
        <f>ROUND(VLOOKUP($B17,'[2]QSS (t)'!$B$10:$O$66,5,FALSE),4)</f>
        <v>1.14E-2</v>
      </c>
      <c r="H17" s="20"/>
      <c r="I17" s="20"/>
      <c r="J17" s="20"/>
      <c r="K17" s="20"/>
      <c r="L17" s="20"/>
      <c r="M17" s="20"/>
    </row>
    <row r="18" spans="2:15" ht="14.25" customHeight="1" x14ac:dyDescent="0.2">
      <c r="B18" s="18" t="s">
        <v>30</v>
      </c>
      <c r="C18" s="19"/>
      <c r="D18" s="125" t="s">
        <v>43</v>
      </c>
      <c r="E18" s="126"/>
      <c r="F18" s="20">
        <f>ROUND(VLOOKUP($B18,'[2]QSS (t)'!$B$10:$O$66,4,FALSE)/365,4)</f>
        <v>0</v>
      </c>
      <c r="G18" s="20"/>
      <c r="H18" s="20">
        <f>ROUND(VLOOKUP($B18,'[2]QSS (t)'!$B$10:$O$66,6,FALSE),4)</f>
        <v>1.14E-2</v>
      </c>
      <c r="I18" s="20">
        <f>ROUND(VLOOKUP($B18,'[2]QSS (t)'!$B$10:$O$66,7,FALSE),4)</f>
        <v>1.14E-2</v>
      </c>
      <c r="J18" s="20">
        <f>ROUND(VLOOKUP($B18,'[2]QSS (t)'!$B$10:$O$66,8,FALSE),4)</f>
        <v>1.14E-2</v>
      </c>
      <c r="K18" s="20"/>
      <c r="L18" s="20"/>
      <c r="M18" s="20"/>
    </row>
    <row r="19" spans="2:15" ht="14.25" customHeight="1" x14ac:dyDescent="0.2">
      <c r="B19" s="18" t="s">
        <v>168</v>
      </c>
      <c r="C19" s="19"/>
      <c r="D19" s="125" t="s">
        <v>169</v>
      </c>
      <c r="E19" s="126"/>
      <c r="F19" s="20">
        <f>ROUND(VLOOKUP($B19,'[2]QSS (t)'!$B$10:$O$66,4,FALSE)/365,4)</f>
        <v>0</v>
      </c>
      <c r="G19" s="20"/>
      <c r="H19" s="20">
        <f>ROUND(VLOOKUP($B19,'[2]QSS (t)'!$B$10:$O$66,6,FALSE),4)</f>
        <v>1.14E-2</v>
      </c>
      <c r="I19" s="20">
        <f>ROUND(VLOOKUP($B19,'[2]QSS (t)'!$B$10:$O$66,7,FALSE),4)</f>
        <v>1.14E-2</v>
      </c>
      <c r="J19" s="20">
        <f>ROUND(VLOOKUP($B19,'[2]QSS (t)'!$B$10:$O$66,8,FALSE),4)</f>
        <v>1.14E-2</v>
      </c>
      <c r="K19" s="20"/>
      <c r="L19" s="20"/>
      <c r="M19" s="20"/>
    </row>
    <row r="20" spans="2:15" ht="14.25" customHeight="1" x14ac:dyDescent="0.2">
      <c r="B20" s="18" t="s">
        <v>170</v>
      </c>
      <c r="C20" s="19"/>
      <c r="D20" s="125" t="s">
        <v>181</v>
      </c>
      <c r="E20" s="126"/>
      <c r="F20" s="20">
        <f>ROUND(VLOOKUP($B20,'[2]QSS (t)'!$B$10:$O$66,4,FALSE)/365,4)</f>
        <v>0</v>
      </c>
      <c r="G20" s="20"/>
      <c r="H20" s="20">
        <f>ROUND(VLOOKUP($B20,'[2]QSS (t)'!$B$10:$O$66,6,FALSE),4)</f>
        <v>1.14E-2</v>
      </c>
      <c r="I20" s="20">
        <f>ROUND(VLOOKUP($B20,'[2]QSS (t)'!$B$10:$O$66,7,FALSE),4)</f>
        <v>1.14E-2</v>
      </c>
      <c r="J20" s="20">
        <f>ROUND(VLOOKUP($B20,'[2]QSS (t)'!$B$10:$O$66,8,FALSE),4)</f>
        <v>1.14E-2</v>
      </c>
      <c r="K20" s="20">
        <f>ROUND(VLOOKUP($B20,'[2]QSS (t)'!$B$10:$O$66,10,FALSE),4)</f>
        <v>0</v>
      </c>
      <c r="L20" s="117"/>
      <c r="M20" s="20"/>
    </row>
    <row r="21" spans="2:15" ht="14.25" customHeight="1" x14ac:dyDescent="0.2">
      <c r="B21" s="18" t="s">
        <v>31</v>
      </c>
      <c r="C21" s="19" t="s">
        <v>167</v>
      </c>
      <c r="D21" s="125" t="s">
        <v>114</v>
      </c>
      <c r="E21" s="126"/>
      <c r="F21" s="20">
        <f>ROUND(VLOOKUP($B21,'[2]QSS (t)'!$B$10:$O$66,4,FALSE)/365,4)</f>
        <v>0</v>
      </c>
      <c r="G21" s="20"/>
      <c r="H21" s="20">
        <f>ROUND(VLOOKUP($B21,'[2]QSS (t)'!$B$10:$O$66,6,FALSE),4)</f>
        <v>1.14E-2</v>
      </c>
      <c r="I21" s="20">
        <f>ROUND(VLOOKUP($B21,'[2]QSS (t)'!$B$10:$O$66,7,FALSE),4)</f>
        <v>1.14E-2</v>
      </c>
      <c r="J21" s="20">
        <f>ROUND(VLOOKUP($B21,'[2]QSS (t)'!$B$10:$O$66,8,FALSE),4)</f>
        <v>1.14E-2</v>
      </c>
      <c r="K21" s="20"/>
      <c r="L21" s="20"/>
      <c r="M21" s="20"/>
    </row>
    <row r="22" spans="2:15" ht="14.25" customHeight="1" x14ac:dyDescent="0.2">
      <c r="B22" s="18" t="s">
        <v>172</v>
      </c>
      <c r="C22" s="19"/>
      <c r="D22" s="125" t="s">
        <v>173</v>
      </c>
      <c r="E22" s="126"/>
      <c r="F22" s="20">
        <f>ROUND(VLOOKUP($B22,'[2]QSS (t)'!$B$10:$O$66,4,FALSE)/365,4)</f>
        <v>0</v>
      </c>
      <c r="G22" s="20"/>
      <c r="H22" s="20">
        <f>ROUND(VLOOKUP($B22,'[2]QSS (t)'!$B$10:$O$66,6,FALSE),4)</f>
        <v>1.14E-2</v>
      </c>
      <c r="I22" s="20">
        <f>ROUND(VLOOKUP($B22,'[2]QSS (t)'!$B$10:$O$66,7,FALSE),4)</f>
        <v>1.14E-2</v>
      </c>
      <c r="J22" s="20">
        <f>ROUND(VLOOKUP($B22,'[2]QSS (t)'!$B$10:$O$66,8,FALSE),4)</f>
        <v>1.14E-2</v>
      </c>
      <c r="K22" s="20">
        <f>ROUND(VLOOKUP($B22,'[2]QSS (t)'!$B$10:$O$66,10,FALSE),4)</f>
        <v>0</v>
      </c>
      <c r="L22" s="20">
        <f>ROUND(VLOOKUP($B22,'[2]QSS (t)'!$B$10:$O$66,11,FALSE),4)</f>
        <v>0</v>
      </c>
      <c r="M22" s="20">
        <f>ROUND(VLOOKUP($B22,'[2]QSS (t)'!$B$10:$O$66,12,FALSE),4)</f>
        <v>0</v>
      </c>
    </row>
    <row r="23" spans="2:15" ht="14.25" customHeight="1" x14ac:dyDescent="0.2">
      <c r="B23" s="18" t="s">
        <v>32</v>
      </c>
      <c r="C23" s="19"/>
      <c r="D23" s="125" t="s">
        <v>47</v>
      </c>
      <c r="E23" s="126"/>
      <c r="F23" s="20">
        <f>ROUND(VLOOKUP($B23,'[2]QSS (t)'!$B$10:$O$66,4,FALSE)/365,4)</f>
        <v>0</v>
      </c>
      <c r="G23" s="20"/>
      <c r="H23" s="20">
        <f>ROUND(VLOOKUP($B23,'[2]QSS (t)'!$B$10:$O$66,6,FALSE),4)</f>
        <v>1.14E-2</v>
      </c>
      <c r="I23" s="20">
        <f>ROUND(VLOOKUP($B23,'[2]QSS (t)'!$B$10:$O$66,7,FALSE),4)</f>
        <v>1.14E-2</v>
      </c>
      <c r="J23" s="20">
        <f>ROUND(VLOOKUP($B23,'[2]QSS (t)'!$B$10:$O$66,8,FALSE),4)</f>
        <v>1.14E-2</v>
      </c>
      <c r="K23" s="20">
        <f>ROUND(VLOOKUP($B23,'[2]QSS (t)'!$B$10:$O$66,10,FALSE),4)</f>
        <v>0</v>
      </c>
      <c r="L23" s="20">
        <f>ROUND(VLOOKUP($B23,'[2]QSS (t)'!$B$10:$O$66,11,FALSE),4)</f>
        <v>0</v>
      </c>
      <c r="M23" s="20">
        <f>ROUND(VLOOKUP($B23,'[2]QSS (t)'!$B$10:$O$66,12,FALSE),4)</f>
        <v>0</v>
      </c>
      <c r="O23" s="90"/>
    </row>
    <row r="24" spans="2:15" ht="14.25" customHeight="1" x14ac:dyDescent="0.2">
      <c r="B24" s="18" t="s">
        <v>61</v>
      </c>
      <c r="C24" s="19"/>
      <c r="D24" s="125" t="s">
        <v>74</v>
      </c>
      <c r="E24" s="126"/>
      <c r="F24" s="20">
        <f>ROUND(VLOOKUP($B24,'[2]QSS (t)'!$B$10:$O$66,4,FALSE)/365,4)</f>
        <v>0</v>
      </c>
      <c r="G24" s="20"/>
      <c r="H24" s="20">
        <f>ROUND(VLOOKUP($B24,'[2]QSS (t)'!$B$10:$O$66,6,FALSE),4)</f>
        <v>1.14E-2</v>
      </c>
      <c r="I24" s="20">
        <f>ROUND(VLOOKUP($B24,'[2]QSS (t)'!$B$10:$O$66,7,FALSE),4)</f>
        <v>1.14E-2</v>
      </c>
      <c r="J24" s="20">
        <f>ROUND(VLOOKUP($B24,'[2]QSS (t)'!$B$10:$O$66,8,FALSE),4)</f>
        <v>1.14E-2</v>
      </c>
      <c r="K24" s="120">
        <f>ROUND(VLOOKUP($B24,'[2]QSS (t)'!$B$10:$O$66,10,FALSE),4)</f>
        <v>0</v>
      </c>
      <c r="L24" s="121"/>
      <c r="M24" s="20"/>
    </row>
    <row r="25" spans="2:15" ht="14.25" customHeight="1" x14ac:dyDescent="0.2">
      <c r="B25" s="18" t="s">
        <v>34</v>
      </c>
      <c r="C25" s="19"/>
      <c r="D25" s="125" t="s">
        <v>41</v>
      </c>
      <c r="E25" s="126"/>
      <c r="F25" s="20">
        <f>ROUND(VLOOKUP($B25,'[2]QSS (t)'!$B$10:$O$66,4,FALSE)/365,4)</f>
        <v>0</v>
      </c>
      <c r="G25" s="20"/>
      <c r="H25" s="20">
        <f>ROUND(VLOOKUP($B25,'[2]QSS (t)'!$B$10:$O$66,6,FALSE),4)</f>
        <v>0</v>
      </c>
      <c r="I25" s="20">
        <f>ROUND(VLOOKUP($B25,'[2]QSS (t)'!$B$10:$O$66,7,FALSE),4)</f>
        <v>0</v>
      </c>
      <c r="J25" s="20">
        <f>ROUND(VLOOKUP($B25,'[2]QSS (t)'!$B$10:$O$66,8,FALSE),4)</f>
        <v>0</v>
      </c>
      <c r="K25" s="20">
        <f>ROUND(VLOOKUP($B25,'[2]QSS (t)'!$B$10:$O$66,10,FALSE),4)</f>
        <v>0</v>
      </c>
      <c r="L25" s="20">
        <f>ROUND(VLOOKUP($B25,'[2]QSS (t)'!$B$10:$O$66,11,FALSE),4)</f>
        <v>0</v>
      </c>
      <c r="M25" s="20">
        <f>ROUND(VLOOKUP($B25,'[2]QSS (t)'!$B$10:$O$66,12,FALSE),4)</f>
        <v>0</v>
      </c>
    </row>
    <row r="26" spans="2:15" ht="14.25" customHeight="1" x14ac:dyDescent="0.2">
      <c r="B26" s="18" t="s">
        <v>23</v>
      </c>
      <c r="C26" s="19"/>
      <c r="D26" s="134" t="s">
        <v>38</v>
      </c>
      <c r="E26" s="135"/>
      <c r="F26" s="20">
        <f>ROUND(VLOOKUP($B26,'[2]QSS (t)'!$B$10:$O$66,4,FALSE)/365,4)</f>
        <v>0</v>
      </c>
      <c r="G26" s="20"/>
      <c r="H26" s="20">
        <f>ROUND(VLOOKUP($B26,'[2]QSS (t)'!$B$10:$O$66,6,FALSE),4)</f>
        <v>0</v>
      </c>
      <c r="I26" s="20">
        <f>ROUND(VLOOKUP($B26,'[2]QSS (t)'!$B$10:$O$66,7,FALSE),4)</f>
        <v>0</v>
      </c>
      <c r="J26" s="20">
        <f>ROUND(VLOOKUP($B26,'[2]QSS (t)'!$B$10:$O$66,8,FALSE),4)</f>
        <v>0</v>
      </c>
      <c r="K26" s="20">
        <f>ROUND(VLOOKUP($B26,'[2]QSS (t)'!$B$10:$O$66,10,FALSE),4)</f>
        <v>0</v>
      </c>
      <c r="L26" s="20">
        <f>ROUND(VLOOKUP($B26,'[2]QSS (t)'!$B$10:$O$66,11,FALSE),4)</f>
        <v>0</v>
      </c>
      <c r="M26" s="20">
        <f>ROUND(VLOOKUP($B26,'[2]QSS (t)'!$B$10:$O$66,12,FALSE),4)</f>
        <v>0</v>
      </c>
    </row>
    <row r="27" spans="2:15" ht="18" x14ac:dyDescent="0.25">
      <c r="B27" s="65" t="s">
        <v>45</v>
      </c>
      <c r="C27" s="65"/>
      <c r="D27" s="66"/>
      <c r="E27" s="67"/>
      <c r="F27" s="69"/>
      <c r="G27" s="69"/>
      <c r="H27" s="69"/>
      <c r="I27" s="69"/>
      <c r="J27" s="69"/>
      <c r="K27" s="69"/>
      <c r="L27" s="69"/>
      <c r="M27" s="69"/>
      <c r="N27" s="60"/>
      <c r="O27" s="60"/>
    </row>
    <row r="28" spans="2:15" ht="14.25" customHeight="1" x14ac:dyDescent="0.2">
      <c r="B28" s="18" t="s">
        <v>36</v>
      </c>
      <c r="C28" s="19" t="s">
        <v>44</v>
      </c>
      <c r="D28" s="125" t="s">
        <v>107</v>
      </c>
      <c r="E28" s="126"/>
      <c r="F28" s="20">
        <f>ROUND(VLOOKUP($B28,'[2]QSS (t)'!$B$10:$O$80,4,FALSE)/365,4)</f>
        <v>0</v>
      </c>
      <c r="G28" s="20">
        <f>ROUND(VLOOKUP($B28,'[2]QSS (t)'!$B$10:$O$80,5,FALSE),4)</f>
        <v>0</v>
      </c>
      <c r="H28" s="20"/>
      <c r="I28" s="20"/>
      <c r="J28" s="20"/>
      <c r="K28" s="20"/>
      <c r="L28" s="20"/>
      <c r="M28" s="20"/>
    </row>
    <row r="29" spans="2:15" ht="14.25" customHeight="1" x14ac:dyDescent="0.2">
      <c r="B29" s="18" t="s">
        <v>37</v>
      </c>
      <c r="C29" s="19"/>
      <c r="D29" s="125" t="s">
        <v>108</v>
      </c>
      <c r="E29" s="126"/>
      <c r="F29" s="20">
        <f>ROUND(VLOOKUP($B29,'[2]QSS (t)'!$B$10:$O$80,4,FALSE)/365,4)</f>
        <v>0</v>
      </c>
      <c r="G29" s="20"/>
      <c r="H29" s="20">
        <f>ROUND(VLOOKUP($B29,'[2]QSS (t)'!$B$10:$O$80,6,FALSE),4)</f>
        <v>0</v>
      </c>
      <c r="I29" s="20">
        <f>ROUND(VLOOKUP($B29,'[2]QSS (t)'!$B$10:$O$80,7,FALSE),4)</f>
        <v>0</v>
      </c>
      <c r="J29" s="20">
        <f>ROUND(VLOOKUP($B29,'[2]QSS (t)'!$B$10:$O$80,8,FALSE),4)</f>
        <v>0</v>
      </c>
      <c r="K29" s="20"/>
      <c r="L29" s="20"/>
      <c r="M29" s="20"/>
    </row>
    <row r="30" spans="2:15" ht="18" x14ac:dyDescent="0.25">
      <c r="B30" s="65" t="s">
        <v>69</v>
      </c>
      <c r="C30" s="65"/>
      <c r="D30" s="66"/>
      <c r="E30" s="67"/>
      <c r="F30" s="69"/>
      <c r="G30" s="69"/>
      <c r="H30" s="69"/>
      <c r="I30" s="69"/>
      <c r="J30" s="69"/>
      <c r="K30" s="69"/>
      <c r="L30" s="69"/>
      <c r="M30" s="69"/>
      <c r="N30" s="60"/>
      <c r="O30" s="60"/>
    </row>
    <row r="31" spans="2:15" ht="14.25" customHeight="1" x14ac:dyDescent="0.2">
      <c r="B31" s="19" t="s">
        <v>50</v>
      </c>
      <c r="C31" s="19"/>
      <c r="D31" s="125" t="s">
        <v>51</v>
      </c>
      <c r="E31" s="126"/>
      <c r="F31" s="25" t="s">
        <v>52</v>
      </c>
      <c r="G31" s="25"/>
      <c r="H31" s="25" t="s">
        <v>52</v>
      </c>
      <c r="I31" s="25" t="s">
        <v>52</v>
      </c>
      <c r="J31" s="25" t="s">
        <v>52</v>
      </c>
      <c r="K31" s="25" t="s">
        <v>52</v>
      </c>
      <c r="L31" s="25" t="s">
        <v>52</v>
      </c>
      <c r="M31" s="25" t="s">
        <v>52</v>
      </c>
    </row>
    <row r="32" spans="2:15" ht="15" x14ac:dyDescent="0.25">
      <c r="B32" s="48" t="s">
        <v>53</v>
      </c>
      <c r="C32" s="42"/>
      <c r="D32" s="43"/>
      <c r="E32" s="34" t="s">
        <v>1</v>
      </c>
      <c r="F32" s="35" t="s">
        <v>2</v>
      </c>
      <c r="G32" s="35" t="s">
        <v>2</v>
      </c>
      <c r="H32" s="35" t="s">
        <v>2</v>
      </c>
      <c r="I32" s="34" t="s">
        <v>3</v>
      </c>
      <c r="J32" s="35" t="s">
        <v>4</v>
      </c>
      <c r="K32" s="35" t="s">
        <v>5</v>
      </c>
      <c r="L32" s="35" t="s">
        <v>6</v>
      </c>
      <c r="M32" s="36" t="s">
        <v>7</v>
      </c>
    </row>
    <row r="33" spans="1:13" ht="15" x14ac:dyDescent="0.25">
      <c r="B33" s="49" t="s">
        <v>0</v>
      </c>
      <c r="C33" s="44" t="s">
        <v>9</v>
      </c>
      <c r="D33" s="91"/>
      <c r="E33" s="37" t="s">
        <v>10</v>
      </c>
      <c r="F33" s="37" t="s">
        <v>4</v>
      </c>
      <c r="G33" s="37" t="s">
        <v>5</v>
      </c>
      <c r="H33" s="37" t="s">
        <v>6</v>
      </c>
      <c r="I33" s="37" t="s">
        <v>12</v>
      </c>
      <c r="J33" s="37" t="s">
        <v>3</v>
      </c>
      <c r="K33" s="37" t="s">
        <v>3</v>
      </c>
      <c r="L33" s="37" t="s">
        <v>3</v>
      </c>
      <c r="M33" s="38" t="s">
        <v>12</v>
      </c>
    </row>
    <row r="34" spans="1:13" ht="15" x14ac:dyDescent="0.25">
      <c r="B34" s="38" t="s">
        <v>8</v>
      </c>
      <c r="C34" s="45"/>
      <c r="D34" s="46"/>
      <c r="E34" s="37" t="s">
        <v>13</v>
      </c>
      <c r="F34" s="37" t="s">
        <v>14</v>
      </c>
      <c r="G34" s="37" t="s">
        <v>14</v>
      </c>
      <c r="H34" s="37" t="s">
        <v>14</v>
      </c>
      <c r="I34" s="37" t="s">
        <v>15</v>
      </c>
      <c r="J34" s="37" t="s">
        <v>15</v>
      </c>
      <c r="K34" s="37" t="s">
        <v>15</v>
      </c>
      <c r="L34" s="37" t="s">
        <v>15</v>
      </c>
      <c r="M34" s="37" t="s">
        <v>15</v>
      </c>
    </row>
    <row r="35" spans="1:13" ht="26.25" x14ac:dyDescent="0.25">
      <c r="B35" s="47"/>
      <c r="C35" s="50"/>
      <c r="D35" s="92"/>
      <c r="E35" s="16" t="s">
        <v>84</v>
      </c>
      <c r="F35" s="16" t="s">
        <v>84</v>
      </c>
      <c r="G35" s="16" t="s">
        <v>84</v>
      </c>
      <c r="H35" s="16" t="s">
        <v>84</v>
      </c>
      <c r="I35" s="16" t="s">
        <v>84</v>
      </c>
      <c r="J35" s="16" t="s">
        <v>84</v>
      </c>
      <c r="K35" s="16" t="s">
        <v>84</v>
      </c>
      <c r="L35" s="16" t="s">
        <v>84</v>
      </c>
      <c r="M35" s="16" t="s">
        <v>84</v>
      </c>
    </row>
    <row r="36" spans="1:13" ht="15" x14ac:dyDescent="0.25">
      <c r="B36" s="21" t="s">
        <v>46</v>
      </c>
      <c r="C36" s="22"/>
      <c r="D36" s="93"/>
      <c r="E36" s="39"/>
      <c r="F36" s="23"/>
      <c r="G36" s="23"/>
      <c r="H36" s="23"/>
      <c r="I36" s="23"/>
      <c r="J36" s="23"/>
      <c r="K36" s="23"/>
      <c r="L36" s="23"/>
      <c r="M36" s="23"/>
    </row>
    <row r="37" spans="1:13" x14ac:dyDescent="0.2">
      <c r="B37" s="18" t="s">
        <v>33</v>
      </c>
      <c r="C37" s="157" t="s">
        <v>58</v>
      </c>
      <c r="D37" s="158"/>
      <c r="E37" s="20">
        <f>ROUND(VLOOKUP($B37,'[2]QSS (t)'!$B$10:$O$66,4,FALSE)/365,4)</f>
        <v>0</v>
      </c>
      <c r="F37" s="20">
        <f>ROUND(VLOOKUP($B37,'[2]QSS (t)'!$B$10:$O$66,6,FALSE),4)</f>
        <v>1.14E-2</v>
      </c>
      <c r="G37" s="20">
        <f>ROUND(VLOOKUP($B37,'[2]QSS (t)'!$B$10:$O$66,7,FALSE),4)</f>
        <v>1.14E-2</v>
      </c>
      <c r="H37" s="20">
        <f>ROUND(VLOOKUP($B37,'[2]QSS (t)'!$B$10:$O$66,8,FALSE),4)</f>
        <v>1.14E-2</v>
      </c>
      <c r="I37" s="20"/>
      <c r="J37" s="20">
        <f>ROUND(VLOOKUP($B37,'[2]QSS (t)'!$B$10:$O$66,10,FALSE),4)</f>
        <v>0</v>
      </c>
      <c r="K37" s="20">
        <f>ROUND(VLOOKUP($B37,'[2]QSS (t)'!$B$10:$O$66,11,FALSE),4)</f>
        <v>0</v>
      </c>
      <c r="L37" s="20">
        <f>ROUND(VLOOKUP($B37,'[2]QSS (t)'!$B$10:$O$66,12,FALSE),4)</f>
        <v>0</v>
      </c>
      <c r="M37" s="20"/>
    </row>
    <row r="38" spans="1:13" x14ac:dyDescent="0.2">
      <c r="B38" s="18" t="s">
        <v>35</v>
      </c>
      <c r="C38" s="155" t="s">
        <v>59</v>
      </c>
      <c r="D38" s="156"/>
      <c r="E38" s="20">
        <f>ROUND(VLOOKUP($B38,'[2]QSS (t)'!$B$10:$O$66,4,FALSE)/365,4)</f>
        <v>0</v>
      </c>
      <c r="F38" s="20">
        <f>ROUND(VLOOKUP($B38,'[2]QSS (t)'!$B$10:$O$66,6,FALSE),4)</f>
        <v>0</v>
      </c>
      <c r="G38" s="20">
        <f>ROUND(VLOOKUP($B38,'[2]QSS (t)'!$B$10:$O$66,7,FALSE),4)</f>
        <v>0</v>
      </c>
      <c r="H38" s="20">
        <f>ROUND(VLOOKUP($B38,'[2]QSS (t)'!$B$10:$O$66,8,FALSE),4)</f>
        <v>0</v>
      </c>
      <c r="I38" s="20"/>
      <c r="J38" s="20">
        <f>ROUND(VLOOKUP($B38,'[2]QSS (t)'!$B$10:$O$66,10,FALSE),4)</f>
        <v>0</v>
      </c>
      <c r="K38" s="20">
        <f>ROUND(VLOOKUP($B38,'[2]QSS (t)'!$B$10:$O$66,11,FALSE),4)</f>
        <v>0</v>
      </c>
      <c r="L38" s="20">
        <f>ROUND(VLOOKUP($B38,'[2]QSS (t)'!$B$10:$O$66,12,FALSE),4)</f>
        <v>0</v>
      </c>
      <c r="M38" s="20"/>
    </row>
    <row r="39" spans="1:13" x14ac:dyDescent="0.2">
      <c r="B39" s="18" t="s">
        <v>167</v>
      </c>
      <c r="C39" s="30" t="s">
        <v>197</v>
      </c>
      <c r="D39" s="94"/>
      <c r="E39" s="20">
        <f>ROUND(VLOOKUP("BLND1CO",'[2]TUOS (t)'!$B$10:$O$66,4,FALSE)/365,4)</f>
        <v>0</v>
      </c>
      <c r="F39" s="20">
        <f>ROUND(VLOOKUP($B39,'[2]QSS (t)'!$B$10:$O$66,6,FALSE),4)</f>
        <v>1.14E-2</v>
      </c>
      <c r="G39" s="20">
        <f>ROUND(VLOOKUP($B39,'[2]QSS (t)'!$B$10:$O$66,7,FALSE),4)</f>
        <v>1.14E-2</v>
      </c>
      <c r="H39" s="20">
        <f>ROUND(VLOOKUP($B39,'[2]QSS (t)'!$B$10:$O$66,8,FALSE),4)</f>
        <v>1.14E-2</v>
      </c>
      <c r="I39" s="20">
        <f>ROUND(VLOOKUP("BLND1CO",'[2]TUOS (t)'!$B$10:$O$66,9,FALSE),4)</f>
        <v>0</v>
      </c>
      <c r="J39" s="20"/>
      <c r="K39" s="20"/>
      <c r="L39" s="20"/>
      <c r="M39" s="20"/>
    </row>
    <row r="40" spans="1:13" ht="28.5" x14ac:dyDescent="0.2">
      <c r="B40" s="19" t="s">
        <v>203</v>
      </c>
      <c r="C40" s="30" t="s">
        <v>48</v>
      </c>
      <c r="D40" s="94"/>
      <c r="E40" s="20">
        <f>ROUND(VLOOKUP("BLND1CO",'[2]QSS (t)'!$B$10:$O$66,4,FALSE)/365,4)</f>
        <v>0</v>
      </c>
      <c r="F40" s="20">
        <f>ROUND(VLOOKUP("BLND1CO",'[2]QSS (t)'!$B$10:$O$66,6,FALSE),4)</f>
        <v>1.14E-2</v>
      </c>
      <c r="G40" s="20">
        <f>ROUND(VLOOKUP("BLND1CO",'[2]QSS (t)'!$B$10:$O$66,7,FALSE),4)</f>
        <v>1.14E-2</v>
      </c>
      <c r="H40" s="20">
        <f>ROUND(VLOOKUP("BLND1CO",'[2]QSS (t)'!$B$10:$O$66,8,FALSE),4)</f>
        <v>1.14E-2</v>
      </c>
      <c r="I40" s="20">
        <f>ROUND(VLOOKUP("BLND1CO",'[2]QSS (t)'!$B$10:$O$66,9,FALSE),4)</f>
        <v>0</v>
      </c>
      <c r="J40" s="20"/>
      <c r="K40" s="20"/>
      <c r="L40" s="20"/>
      <c r="M40" s="20"/>
    </row>
    <row r="41" spans="1:13" x14ac:dyDescent="0.2">
      <c r="B41" s="18" t="s">
        <v>20</v>
      </c>
      <c r="C41" s="30" t="s">
        <v>55</v>
      </c>
      <c r="D41" s="94"/>
      <c r="E41" s="20">
        <f>ROUND(VLOOKUP($B41,'[2]QSS (t)'!$B$10:$O$66,4,FALSE)/365,4)</f>
        <v>0</v>
      </c>
      <c r="F41" s="20">
        <f>ROUND(VLOOKUP($B41,'[2]QSS (t)'!$B$10:$O$66,6,FALSE),4)</f>
        <v>1.14E-2</v>
      </c>
      <c r="G41" s="20">
        <f>ROUND(VLOOKUP($B41,'[2]QSS (t)'!$B$10:$O$66,7,FALSE),4)</f>
        <v>1.14E-2</v>
      </c>
      <c r="H41" s="20">
        <f>ROUND(VLOOKUP($B41,'[2]QSS (t)'!$B$10:$O$66,8,FALSE),4)</f>
        <v>1.14E-2</v>
      </c>
      <c r="I41" s="20">
        <f>ROUND(VLOOKUP($B41,'[2]QSS (t)'!$B$10:$O$66,9,FALSE),4)</f>
        <v>0</v>
      </c>
      <c r="J41" s="20"/>
      <c r="K41" s="20"/>
      <c r="L41" s="20"/>
      <c r="M41" s="20">
        <f>ROUND(VLOOKUP($B41,'[2]QSS (t)'!$B$10:$O$66,13,FALSE),4)</f>
        <v>0</v>
      </c>
    </row>
    <row r="42" spans="1:13" x14ac:dyDescent="0.2">
      <c r="B42" s="18" t="s">
        <v>21</v>
      </c>
      <c r="C42" s="30" t="s">
        <v>54</v>
      </c>
      <c r="D42" s="94"/>
      <c r="E42" s="20">
        <f>ROUND(VLOOKUP($B42,'[2]QSS (t)'!$B$10:$O$66,4,FALSE)/365,4)</f>
        <v>0</v>
      </c>
      <c r="F42" s="20">
        <f>ROUND(VLOOKUP($B42,'[2]QSS (t)'!$B$10:$O$66,6,FALSE),4)</f>
        <v>1.14E-2</v>
      </c>
      <c r="G42" s="20">
        <f>ROUND(VLOOKUP($B42,'[2]QSS (t)'!$B$10:$O$66,7,FALSE),4)</f>
        <v>1.14E-2</v>
      </c>
      <c r="H42" s="20">
        <f>ROUND(VLOOKUP($B42,'[2]QSS (t)'!$B$10:$O$66,8,FALSE),4)</f>
        <v>1.14E-2</v>
      </c>
      <c r="I42" s="20">
        <f>ROUND(VLOOKUP($B42,'[2]QSS (t)'!$B$10:$O$66,9,FALSE),4)</f>
        <v>0</v>
      </c>
      <c r="J42" s="20"/>
      <c r="K42" s="20"/>
      <c r="L42" s="20"/>
      <c r="M42" s="20">
        <f>ROUND(VLOOKUP($B42,'[2]QSS (t)'!$B$10:$O$66,13,FALSE),4)</f>
        <v>0</v>
      </c>
    </row>
    <row r="43" spans="1:13" s="41" customFormat="1" ht="28.5" x14ac:dyDescent="0.2">
      <c r="A43" s="40"/>
      <c r="B43" s="18" t="s">
        <v>22</v>
      </c>
      <c r="C43" s="30" t="s">
        <v>56</v>
      </c>
      <c r="D43" s="95"/>
      <c r="E43" s="20">
        <f>ROUND(VLOOKUP($B43,'[2]QSS (t)'!$B$10:$O$66,4,FALSE)/365,4)</f>
        <v>0</v>
      </c>
      <c r="F43" s="20">
        <f>ROUND(VLOOKUP($B43,'[2]QSS (t)'!$B$10:$O$66,6,FALSE),4)</f>
        <v>0</v>
      </c>
      <c r="G43" s="20">
        <f>ROUND(VLOOKUP($B43,'[2]QSS (t)'!$B$10:$O$66,7,FALSE),4)</f>
        <v>0</v>
      </c>
      <c r="H43" s="20">
        <f>ROUND(VLOOKUP($B43,'[2]QSS (t)'!$B$10:$O$66,8,FALSE),4)</f>
        <v>0</v>
      </c>
      <c r="I43" s="20">
        <f>ROUND(VLOOKUP($B43,'[2]QSS (t)'!$B$10:$O$66,9,FALSE),4)</f>
        <v>0</v>
      </c>
      <c r="J43" s="20"/>
      <c r="K43" s="20"/>
      <c r="L43" s="20"/>
      <c r="M43" s="20"/>
    </row>
    <row r="44" spans="1:13" ht="28.5" x14ac:dyDescent="0.2">
      <c r="B44" s="19" t="s">
        <v>202</v>
      </c>
      <c r="C44" s="30" t="s">
        <v>57</v>
      </c>
      <c r="D44" s="94"/>
      <c r="E44" s="20">
        <f>ROUND(VLOOKUP("BHND1SO",'[2]QSS (t)'!$B$10:$O$66,4,FALSE)/365,4)</f>
        <v>0</v>
      </c>
      <c r="F44" s="20">
        <f>ROUND(VLOOKUP("BHND1SO",'[2]QSS (t)'!$B$10:$O$66,6,FALSE),4)</f>
        <v>0</v>
      </c>
      <c r="G44" s="20">
        <f>ROUND(VLOOKUP("BHND1SO",'[2]QSS (t)'!$B$10:$O$66,7,FALSE),4)</f>
        <v>0</v>
      </c>
      <c r="H44" s="20">
        <f>ROUND(VLOOKUP("BHND1SO",'[2]QSS (t)'!$B$10:$O$66,8,FALSE),4)</f>
        <v>0</v>
      </c>
      <c r="I44" s="20">
        <f>ROUND(VLOOKUP("BHND1SO",'[2]QSS (t)'!$B$10:$O$66,9,FALSE),4)</f>
        <v>0</v>
      </c>
      <c r="J44" s="20"/>
      <c r="K44" s="20"/>
      <c r="L44" s="20"/>
      <c r="M44" s="20">
        <f>ROUND(VLOOKUP("BHND1SO",'[2]QSS (t)'!$B$10:$O$66,13,FALSE),4)</f>
        <v>0</v>
      </c>
    </row>
  </sheetData>
  <mergeCells count="27">
    <mergeCell ref="D9:E9"/>
    <mergeCell ref="D10:E10"/>
    <mergeCell ref="K24:L24"/>
    <mergeCell ref="D28:E28"/>
    <mergeCell ref="D29:E29"/>
    <mergeCell ref="D25:E25"/>
    <mergeCell ref="D26:E26"/>
    <mergeCell ref="D24:E24"/>
    <mergeCell ref="D11:E11"/>
    <mergeCell ref="D19:E19"/>
    <mergeCell ref="D20:E20"/>
    <mergeCell ref="D21:E21"/>
    <mergeCell ref="D22:E22"/>
    <mergeCell ref="D14:E14"/>
    <mergeCell ref="D18:E18"/>
    <mergeCell ref="D12:E12"/>
    <mergeCell ref="B3:F3"/>
    <mergeCell ref="I3:J3"/>
    <mergeCell ref="B5:B7"/>
    <mergeCell ref="C5:C7"/>
    <mergeCell ref="D5:E7"/>
    <mergeCell ref="D15:E15"/>
    <mergeCell ref="D17:E17"/>
    <mergeCell ref="C37:D37"/>
    <mergeCell ref="C38:D38"/>
    <mergeCell ref="D23:E23"/>
    <mergeCell ref="D31:E31"/>
  </mergeCells>
  <pageMargins left="0.39370078740157483" right="0.39370078740157483" top="0.39370078740157483" bottom="0.39370078740157483" header="0.51181102362204722" footer="0.51181102362204722"/>
  <pageSetup paperSize="9" scale="67"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1441D-5626-4235-97C9-CE8BD01815A5}">
  <sheetPr>
    <pageSetUpPr fitToPage="1"/>
  </sheetPr>
  <dimension ref="A2:P44"/>
  <sheetViews>
    <sheetView showGridLines="0" zoomScale="70" zoomScaleNormal="70" zoomScaleSheetLayoutView="58" workbookViewId="0"/>
  </sheetViews>
  <sheetFormatPr defaultColWidth="8.875" defaultRowHeight="14.25" x14ac:dyDescent="0.2"/>
  <cols>
    <col min="1" max="1" width="1.875" style="14" customWidth="1"/>
    <col min="2" max="2" width="26" style="7" customWidth="1"/>
    <col min="3" max="3" width="29.75" style="7" customWidth="1"/>
    <col min="4" max="4" width="11.25" style="7" customWidth="1"/>
    <col min="5" max="5" width="17.875" style="7" customWidth="1"/>
    <col min="6" max="16" width="10.5" style="7" customWidth="1"/>
    <col min="17" max="17" width="8.5" style="7" customWidth="1"/>
    <col min="18" max="18" width="63.75" style="7" customWidth="1"/>
    <col min="19" max="16384" width="8.875" style="7"/>
  </cols>
  <sheetData>
    <row r="2" spans="1:16" ht="33" x14ac:dyDescent="0.45">
      <c r="A2" s="1"/>
      <c r="B2" s="2" t="s">
        <v>204</v>
      </c>
      <c r="C2" s="3"/>
      <c r="D2" s="3"/>
      <c r="E2" s="3"/>
      <c r="F2" s="3"/>
      <c r="G2" s="4"/>
      <c r="H2" s="5"/>
      <c r="I2" s="5"/>
      <c r="J2" s="5"/>
      <c r="K2" s="4"/>
      <c r="L2" s="4"/>
      <c r="M2" s="6"/>
    </row>
    <row r="3" spans="1:16" ht="15.75" x14ac:dyDescent="0.25">
      <c r="A3" s="1"/>
      <c r="B3" s="132" t="str">
        <f>'Price List_Excl GST'!B3:F3</f>
        <v>Effective 1 July 2023</v>
      </c>
      <c r="C3" s="133"/>
      <c r="D3" s="133"/>
      <c r="E3" s="133"/>
      <c r="F3" s="133"/>
      <c r="G3" s="8"/>
      <c r="H3" s="8"/>
      <c r="I3" s="128"/>
      <c r="J3" s="128"/>
      <c r="K3" s="8"/>
      <c r="L3" s="8"/>
      <c r="M3" s="9"/>
    </row>
    <row r="4" spans="1:16" ht="15" x14ac:dyDescent="0.25">
      <c r="A4" s="1"/>
      <c r="B4" s="10"/>
      <c r="C4" s="11"/>
      <c r="D4" s="12"/>
      <c r="E4" s="12"/>
      <c r="F4" s="12"/>
      <c r="G4" s="12"/>
      <c r="H4" s="12"/>
      <c r="I4" s="12"/>
      <c r="J4" s="12"/>
      <c r="K4" s="12"/>
      <c r="L4" s="12"/>
      <c r="M4" s="13"/>
    </row>
    <row r="5" spans="1:16" ht="15" x14ac:dyDescent="0.25">
      <c r="B5" s="122" t="s">
        <v>105</v>
      </c>
      <c r="C5" s="122" t="s">
        <v>24</v>
      </c>
      <c r="D5" s="159" t="s">
        <v>9</v>
      </c>
      <c r="E5" s="160"/>
      <c r="F5" s="52" t="s">
        <v>1</v>
      </c>
      <c r="G5" s="52" t="s">
        <v>2</v>
      </c>
      <c r="H5" s="37" t="s">
        <v>2</v>
      </c>
      <c r="I5" s="37" t="s">
        <v>2</v>
      </c>
      <c r="J5" s="37" t="s">
        <v>2</v>
      </c>
      <c r="K5" s="37" t="s">
        <v>4</v>
      </c>
      <c r="L5" s="37" t="s">
        <v>5</v>
      </c>
      <c r="M5" s="37" t="s">
        <v>6</v>
      </c>
    </row>
    <row r="6" spans="1:16" ht="15" x14ac:dyDescent="0.2">
      <c r="B6" s="123"/>
      <c r="C6" s="123"/>
      <c r="D6" s="137"/>
      <c r="E6" s="138"/>
      <c r="F6" s="77" t="s">
        <v>10</v>
      </c>
      <c r="G6" s="77" t="s">
        <v>171</v>
      </c>
      <c r="H6" s="77" t="s">
        <v>4</v>
      </c>
      <c r="I6" s="77" t="s">
        <v>5</v>
      </c>
      <c r="J6" s="77" t="s">
        <v>6</v>
      </c>
      <c r="K6" s="77" t="s">
        <v>3</v>
      </c>
      <c r="L6" s="77" t="s">
        <v>3</v>
      </c>
      <c r="M6" s="77" t="s">
        <v>3</v>
      </c>
    </row>
    <row r="7" spans="1:16" ht="15" x14ac:dyDescent="0.2">
      <c r="B7" s="124"/>
      <c r="C7" s="124"/>
      <c r="D7" s="161"/>
      <c r="E7" s="162"/>
      <c r="F7" s="77" t="s">
        <v>13</v>
      </c>
      <c r="G7" s="77" t="s">
        <v>14</v>
      </c>
      <c r="H7" s="77" t="s">
        <v>14</v>
      </c>
      <c r="I7" s="77" t="s">
        <v>14</v>
      </c>
      <c r="J7" s="77" t="s">
        <v>14</v>
      </c>
      <c r="K7" s="77" t="s">
        <v>15</v>
      </c>
      <c r="L7" s="77" t="s">
        <v>15</v>
      </c>
      <c r="M7" s="77" t="s">
        <v>15</v>
      </c>
    </row>
    <row r="8" spans="1:16" s="17" customFormat="1" ht="18" x14ac:dyDescent="0.25">
      <c r="A8" s="15"/>
      <c r="B8" s="55" t="s">
        <v>16</v>
      </c>
      <c r="C8" s="56"/>
      <c r="D8" s="57"/>
      <c r="E8" s="58"/>
      <c r="F8" s="59"/>
      <c r="G8" s="59"/>
      <c r="H8" s="59"/>
      <c r="I8" s="59"/>
      <c r="J8" s="59"/>
      <c r="K8" s="59"/>
      <c r="L8" s="59"/>
      <c r="M8" s="59"/>
      <c r="N8" s="60"/>
      <c r="O8" s="60"/>
    </row>
    <row r="9" spans="1:16" ht="14.25" customHeight="1" x14ac:dyDescent="0.2">
      <c r="B9" s="18" t="s">
        <v>25</v>
      </c>
      <c r="C9" s="19"/>
      <c r="D9" s="125" t="s">
        <v>178</v>
      </c>
      <c r="E9" s="126"/>
      <c r="F9" s="20">
        <f>ROUND(VLOOKUP($B9,'[2]NSW RM (t)'!$B$10:$O$66,4,FALSE)/366,4)</f>
        <v>2.0500000000000001E-2</v>
      </c>
      <c r="G9" s="20">
        <f>ROUND(VLOOKUP($B9,'[2]NSW RM (t)'!$B$10:$O$66,5,FALSE),4)</f>
        <v>0.2394</v>
      </c>
      <c r="H9" s="20"/>
      <c r="I9" s="20"/>
      <c r="J9" s="20"/>
      <c r="K9" s="20"/>
      <c r="L9" s="20"/>
      <c r="M9" s="20"/>
    </row>
    <row r="10" spans="1:16" ht="14.25" customHeight="1" x14ac:dyDescent="0.2">
      <c r="B10" s="18" t="s">
        <v>26</v>
      </c>
      <c r="C10" s="19"/>
      <c r="D10" s="125" t="s">
        <v>42</v>
      </c>
      <c r="E10" s="126"/>
      <c r="F10" s="20">
        <f>ROUND(VLOOKUP($B10,'[2]NSW RM (t)'!$B$10:$O$66,4,FALSE)/366,4)</f>
        <v>2.0500000000000001E-2</v>
      </c>
      <c r="G10" s="20"/>
      <c r="H10" s="20">
        <f>ROUND(VLOOKUP($B10,'[2]NSW RM (t)'!$B$10:$O$66,6,FALSE),4)</f>
        <v>0.3342</v>
      </c>
      <c r="I10" s="20">
        <f>ROUND(VLOOKUP($B10,'[2]NSW RM (t)'!$B$10:$O$66,7,FALSE),4)</f>
        <v>0.25969999999999999</v>
      </c>
      <c r="J10" s="20">
        <f>ROUND(VLOOKUP($B10,'[2]NSW RM (t)'!$B$10:$O$66,8,FALSE),4)</f>
        <v>9.9400000000000002E-2</v>
      </c>
      <c r="K10" s="20"/>
      <c r="L10" s="20"/>
      <c r="M10" s="20"/>
      <c r="P10" s="51"/>
    </row>
    <row r="11" spans="1:16" ht="14.25" customHeight="1" x14ac:dyDescent="0.2">
      <c r="B11" s="18" t="s">
        <v>164</v>
      </c>
      <c r="C11" s="19"/>
      <c r="D11" s="125" t="s">
        <v>165</v>
      </c>
      <c r="E11" s="126"/>
      <c r="F11" s="20">
        <f>ROUND(VLOOKUP($B11,'[2]NSW RM (t)'!$B$10:$O$66,4,FALSE)/366,4)</f>
        <v>2.0500000000000001E-2</v>
      </c>
      <c r="G11" s="20"/>
      <c r="H11" s="20">
        <f>ROUND(VLOOKUP($B11,'[2]NSW RM (t)'!$B$10:$O$66,6,FALSE),4)</f>
        <v>0.34710000000000002</v>
      </c>
      <c r="I11" s="20">
        <f>ROUND(VLOOKUP($B11,'[2]NSW RM (t)'!$B$10:$O$66,7,FALSE),4)</f>
        <v>0.24979999999999999</v>
      </c>
      <c r="J11" s="20">
        <f>ROUND(VLOOKUP($B11,'[2]NSW RM (t)'!$B$10:$O$66,8,FALSE),4)</f>
        <v>9.9400000000000002E-2</v>
      </c>
      <c r="K11" s="20"/>
      <c r="L11" s="20"/>
      <c r="M11" s="20"/>
    </row>
    <row r="12" spans="1:16" ht="14.25" customHeight="1" x14ac:dyDescent="0.2">
      <c r="B12" s="18" t="s">
        <v>166</v>
      </c>
      <c r="C12" s="19"/>
      <c r="D12" s="125" t="s">
        <v>180</v>
      </c>
      <c r="E12" s="126"/>
      <c r="F12" s="20">
        <f>ROUND(VLOOKUP($B12,'[2]NSW RM (t)'!$B$10:$O$66,4,FALSE)/366,4)</f>
        <v>2.0500000000000001E-2</v>
      </c>
      <c r="G12" s="20"/>
      <c r="H12" s="20">
        <f>ROUND(VLOOKUP($B12,'[2]NSW RM (t)'!$B$10:$O$66,6,FALSE),4)</f>
        <v>9.7199999999999995E-2</v>
      </c>
      <c r="I12" s="20">
        <f>ROUND(VLOOKUP($B12,'[2]NSW RM (t)'!$B$10:$O$66,7,FALSE),4)</f>
        <v>7.1900000000000006E-2</v>
      </c>
      <c r="J12" s="20">
        <f>ROUND(VLOOKUP($B12,'[2]NSW RM (t)'!$B$10:$O$66,8,FALSE),4)</f>
        <v>4.4499999999999998E-2</v>
      </c>
      <c r="K12" s="20">
        <f>ROUND(VLOOKUP($B12,'[2]NSW RM (t)'!$B$10:$O$66,10,FALSE),4)</f>
        <v>9.2999999999999999E-2</v>
      </c>
      <c r="L12" s="117"/>
      <c r="M12" s="20"/>
    </row>
    <row r="13" spans="1:16" ht="18" x14ac:dyDescent="0.25">
      <c r="B13" s="56" t="s">
        <v>19</v>
      </c>
      <c r="C13" s="56"/>
      <c r="D13" s="61"/>
      <c r="E13" s="62"/>
      <c r="F13" s="63"/>
      <c r="G13" s="64"/>
      <c r="H13" s="64"/>
      <c r="I13" s="64"/>
      <c r="J13" s="64"/>
      <c r="K13" s="64"/>
      <c r="L13" s="64"/>
      <c r="M13" s="64"/>
      <c r="N13" s="60"/>
      <c r="O13" s="60"/>
    </row>
    <row r="14" spans="1:16" ht="14.25" customHeight="1" x14ac:dyDescent="0.2">
      <c r="B14" s="18" t="s">
        <v>27</v>
      </c>
      <c r="C14" s="19"/>
      <c r="D14" s="125" t="s">
        <v>39</v>
      </c>
      <c r="E14" s="126"/>
      <c r="F14" s="20">
        <f>ROUND(VLOOKUP($B14,'[2]NSW RM (t)'!$B$10:$O$66,4,FALSE)/366,4)</f>
        <v>2.0999999999999999E-3</v>
      </c>
      <c r="G14" s="20">
        <f>ROUND(VLOOKUP($B14,'[2]NSW RM (t)'!$B$10:$O$66,5,FALSE),4)</f>
        <v>4.7E-2</v>
      </c>
      <c r="H14" s="20"/>
      <c r="I14" s="20"/>
      <c r="J14" s="20"/>
      <c r="K14" s="20"/>
      <c r="L14" s="20"/>
      <c r="M14" s="20"/>
    </row>
    <row r="15" spans="1:16" ht="14.25" customHeight="1" x14ac:dyDescent="0.2">
      <c r="B15" s="18" t="s">
        <v>28</v>
      </c>
      <c r="C15" s="19"/>
      <c r="D15" s="125" t="s">
        <v>40</v>
      </c>
      <c r="E15" s="126"/>
      <c r="F15" s="20">
        <f>ROUND(VLOOKUP($B15,'[2]NSW RM (t)'!$B$10:$O$66,4,FALSE)/366,4)</f>
        <v>2.0999999999999999E-3</v>
      </c>
      <c r="G15" s="20">
        <f>ROUND(VLOOKUP($B15,'[2]NSW RM (t)'!$B$10:$O$66,5,FALSE),4)</f>
        <v>0.1052</v>
      </c>
      <c r="H15" s="20"/>
      <c r="I15" s="20"/>
      <c r="J15" s="20"/>
      <c r="K15" s="20"/>
      <c r="L15" s="20"/>
      <c r="M15" s="20"/>
    </row>
    <row r="16" spans="1:16" ht="18" x14ac:dyDescent="0.25">
      <c r="B16" s="65" t="s">
        <v>18</v>
      </c>
      <c r="C16" s="65"/>
      <c r="D16" s="66"/>
      <c r="E16" s="67"/>
      <c r="F16" s="68"/>
      <c r="G16" s="68"/>
      <c r="H16" s="68"/>
      <c r="I16" s="68"/>
      <c r="J16" s="68"/>
      <c r="K16" s="68"/>
      <c r="L16" s="68"/>
      <c r="M16" s="68"/>
      <c r="N16" s="60"/>
      <c r="O16" s="60"/>
    </row>
    <row r="17" spans="2:15" ht="14.25" customHeight="1" x14ac:dyDescent="0.2">
      <c r="B17" s="18" t="s">
        <v>29</v>
      </c>
      <c r="C17" s="19"/>
      <c r="D17" s="125" t="s">
        <v>179</v>
      </c>
      <c r="E17" s="126"/>
      <c r="F17" s="20">
        <f>ROUND(VLOOKUP($B17,'[2]NSW RM (t)'!$B$10:$O$66,4,FALSE)/366,4)</f>
        <v>2.0500000000000001E-2</v>
      </c>
      <c r="G17" s="20">
        <f>ROUND(VLOOKUP($B17,'[2]NSW RM (t)'!$B$10:$O$66,5,FALSE),4)</f>
        <v>0.33110000000000001</v>
      </c>
      <c r="H17" s="20"/>
      <c r="I17" s="20"/>
      <c r="J17" s="20"/>
      <c r="K17" s="20"/>
      <c r="L17" s="20"/>
      <c r="M17" s="20"/>
    </row>
    <row r="18" spans="2:15" ht="14.25" customHeight="1" x14ac:dyDescent="0.2">
      <c r="B18" s="18" t="s">
        <v>30</v>
      </c>
      <c r="C18" s="19"/>
      <c r="D18" s="125" t="s">
        <v>43</v>
      </c>
      <c r="E18" s="126"/>
      <c r="F18" s="20">
        <f>ROUND(VLOOKUP($B18,'[2]NSW RM (t)'!$B$10:$O$66,4,FALSE)/366,4)</f>
        <v>7.4399999999999994E-2</v>
      </c>
      <c r="G18" s="20"/>
      <c r="H18" s="20">
        <f>ROUND(VLOOKUP($B18,'[2]NSW RM (t)'!$B$10:$O$66,6,FALSE),4)</f>
        <v>0.3538</v>
      </c>
      <c r="I18" s="20">
        <f>ROUND(VLOOKUP($B18,'[2]NSW RM (t)'!$B$10:$O$66,7,FALSE),4)</f>
        <v>0.2767</v>
      </c>
      <c r="J18" s="20">
        <f>ROUND(VLOOKUP($B18,'[2]NSW RM (t)'!$B$10:$O$66,8,FALSE),4)</f>
        <v>0.14599999999999999</v>
      </c>
      <c r="K18" s="20"/>
      <c r="L18" s="20"/>
      <c r="M18" s="20"/>
    </row>
    <row r="19" spans="2:15" ht="14.25" customHeight="1" x14ac:dyDescent="0.2">
      <c r="B19" s="18" t="s">
        <v>168</v>
      </c>
      <c r="C19" s="19"/>
      <c r="D19" s="125" t="s">
        <v>169</v>
      </c>
      <c r="E19" s="126"/>
      <c r="F19" s="20">
        <f>ROUND(VLOOKUP($B19,'[2]NSW RM (t)'!$B$10:$O$66,4,FALSE)/366,4)</f>
        <v>3.4799999999999998E-2</v>
      </c>
      <c r="G19" s="20"/>
      <c r="H19" s="20">
        <f>ROUND(VLOOKUP($B19,'[2]NSW RM (t)'!$B$10:$O$66,6,FALSE),4)</f>
        <v>0.36730000000000002</v>
      </c>
      <c r="I19" s="20">
        <f>ROUND(VLOOKUP($B19,'[2]NSW RM (t)'!$B$10:$O$66,7,FALSE),4)</f>
        <v>0.26629999999999998</v>
      </c>
      <c r="J19" s="20">
        <f>ROUND(VLOOKUP($B19,'[2]NSW RM (t)'!$B$10:$O$66,8,FALSE),4)</f>
        <v>0.14099999999999999</v>
      </c>
      <c r="K19" s="20"/>
      <c r="L19" s="20"/>
      <c r="M19" s="20"/>
    </row>
    <row r="20" spans="2:15" ht="14.25" customHeight="1" x14ac:dyDescent="0.2">
      <c r="B20" s="18" t="s">
        <v>170</v>
      </c>
      <c r="C20" s="19"/>
      <c r="D20" s="125" t="s">
        <v>181</v>
      </c>
      <c r="E20" s="126"/>
      <c r="F20" s="20">
        <f>ROUND(VLOOKUP($B20,'[2]NSW RM (t)'!$B$10:$O$66,4,FALSE)/366,4)</f>
        <v>3.4799999999999998E-2</v>
      </c>
      <c r="G20" s="20"/>
      <c r="H20" s="20">
        <f>ROUND(VLOOKUP($B20,'[2]NSW RM (t)'!$B$10:$O$66,6,FALSE),4)</f>
        <v>0.16420000000000001</v>
      </c>
      <c r="I20" s="20">
        <f>ROUND(VLOOKUP($B20,'[2]NSW RM (t)'!$B$10:$O$66,7,FALSE),4)</f>
        <v>0.1188</v>
      </c>
      <c r="J20" s="20">
        <f>ROUND(VLOOKUP($B20,'[2]NSW RM (t)'!$B$10:$O$66,8,FALSE),4)</f>
        <v>6.5299999999999997E-2</v>
      </c>
      <c r="K20" s="20">
        <f>ROUND(VLOOKUP($B20,'[2]NSW RM (t)'!$B$10:$O$66,10,FALSE),4)</f>
        <v>0.1512</v>
      </c>
      <c r="L20" s="117"/>
      <c r="M20" s="20"/>
    </row>
    <row r="21" spans="2:15" ht="14.25" customHeight="1" x14ac:dyDescent="0.2">
      <c r="B21" s="18" t="s">
        <v>31</v>
      </c>
      <c r="C21" s="19" t="s">
        <v>167</v>
      </c>
      <c r="D21" s="125" t="s">
        <v>114</v>
      </c>
      <c r="E21" s="126"/>
      <c r="F21" s="20">
        <f>ROUND(VLOOKUP($B21,'[2]NSW RM (t)'!$B$10:$O$66,4,FALSE)/366,4)</f>
        <v>7.4399999999999994E-2</v>
      </c>
      <c r="G21" s="20"/>
      <c r="H21" s="20">
        <f>ROUND(VLOOKUP($B21,'[2]NSW RM (t)'!$B$10:$O$66,6,FALSE),4)</f>
        <v>0.3538</v>
      </c>
      <c r="I21" s="20">
        <f>ROUND(VLOOKUP($B21,'[2]NSW RM (t)'!$B$10:$O$66,7,FALSE),4)</f>
        <v>0.2767</v>
      </c>
      <c r="J21" s="20">
        <f>ROUND(VLOOKUP($B21,'[2]NSW RM (t)'!$B$10:$O$66,8,FALSE),4)</f>
        <v>0.14599999999999999</v>
      </c>
      <c r="K21" s="20"/>
      <c r="L21" s="20"/>
      <c r="M21" s="20"/>
    </row>
    <row r="22" spans="2:15" ht="14.25" customHeight="1" x14ac:dyDescent="0.2">
      <c r="B22" s="18" t="s">
        <v>172</v>
      </c>
      <c r="C22" s="19"/>
      <c r="D22" s="125" t="s">
        <v>173</v>
      </c>
      <c r="E22" s="126"/>
      <c r="F22" s="20">
        <f>ROUND(VLOOKUP($B22,'[2]NSW RM (t)'!$B$10:$O$66,4,FALSE)/366,4)</f>
        <v>0.34949999999999998</v>
      </c>
      <c r="G22" s="20"/>
      <c r="H22" s="20">
        <f>ROUND(VLOOKUP($B22,'[2]NSW RM (t)'!$B$10:$O$66,6,FALSE),4)</f>
        <v>9.5500000000000002E-2</v>
      </c>
      <c r="I22" s="20">
        <f>ROUND(VLOOKUP($B22,'[2]NSW RM (t)'!$B$10:$O$66,7,FALSE),4)</f>
        <v>7.6899999999999996E-2</v>
      </c>
      <c r="J22" s="20">
        <f>ROUND(VLOOKUP($B22,'[2]NSW RM (t)'!$B$10:$O$66,8,FALSE),4)</f>
        <v>4.9799999999999997E-2</v>
      </c>
      <c r="K22" s="20">
        <f>ROUND(VLOOKUP($B22,'[2]NSW RM (t)'!$B$10:$O$66,10,FALSE),4)</f>
        <v>0.2157</v>
      </c>
      <c r="L22" s="20">
        <f>ROUND(VLOOKUP($B22,'[2]NSW RM (t)'!$B$10:$O$66,11,FALSE),4)</f>
        <v>0.19520000000000001</v>
      </c>
      <c r="M22" s="20">
        <f>ROUND(VLOOKUP($B22,'[2]NSW RM (t)'!$B$10:$O$66,12,FALSE),4)</f>
        <v>5.11E-2</v>
      </c>
    </row>
    <row r="23" spans="2:15" ht="14.25" customHeight="1" x14ac:dyDescent="0.2">
      <c r="B23" s="18" t="s">
        <v>32</v>
      </c>
      <c r="C23" s="19"/>
      <c r="D23" s="125" t="s">
        <v>47</v>
      </c>
      <c r="E23" s="126"/>
      <c r="F23" s="20">
        <f>ROUND(VLOOKUP($B23,'[2]NSW RM (t)'!$B$10:$O$66,4,FALSE)/366,4)</f>
        <v>0.34949999999999998</v>
      </c>
      <c r="G23" s="20"/>
      <c r="H23" s="20">
        <f>ROUND(VLOOKUP($B23,'[2]NSW RM (t)'!$B$10:$O$66,6,FALSE),4)</f>
        <v>9.5500000000000002E-2</v>
      </c>
      <c r="I23" s="20">
        <f>ROUND(VLOOKUP($B23,'[2]NSW RM (t)'!$B$10:$O$66,7,FALSE),4)</f>
        <v>7.6899999999999996E-2</v>
      </c>
      <c r="J23" s="20">
        <f>ROUND(VLOOKUP($B23,'[2]NSW RM (t)'!$B$10:$O$66,8,FALSE),4)</f>
        <v>4.9799999999999997E-2</v>
      </c>
      <c r="K23" s="20">
        <f>ROUND(VLOOKUP($B23,'[2]NSW RM (t)'!$B$10:$O$66,10,FALSE),4)</f>
        <v>0.2157</v>
      </c>
      <c r="L23" s="20">
        <f>ROUND(VLOOKUP($B23,'[2]NSW RM (t)'!$B$10:$O$66,11,FALSE),4)</f>
        <v>0.19520000000000001</v>
      </c>
      <c r="M23" s="20">
        <f>ROUND(VLOOKUP($B23,'[2]NSW RM (t)'!$B$10:$O$66,12,FALSE),4)</f>
        <v>5.11E-2</v>
      </c>
      <c r="O23" s="90"/>
    </row>
    <row r="24" spans="2:15" ht="14.25" customHeight="1" x14ac:dyDescent="0.2">
      <c r="B24" s="18" t="s">
        <v>61</v>
      </c>
      <c r="C24" s="19"/>
      <c r="D24" s="125" t="s">
        <v>74</v>
      </c>
      <c r="E24" s="126"/>
      <c r="F24" s="20">
        <f>ROUND(VLOOKUP($B24,'[2]NSW RM (t)'!$B$10:$O$66,4,FALSE)/366,4)</f>
        <v>0.34949999999999998</v>
      </c>
      <c r="G24" s="20"/>
      <c r="H24" s="20">
        <f>ROUND(VLOOKUP($B24,'[2]NSW RM (t)'!$B$10:$O$66,6,FALSE),4)</f>
        <v>0.31509999999999999</v>
      </c>
      <c r="I24" s="20">
        <f>ROUND(VLOOKUP($B24,'[2]NSW RM (t)'!$B$10:$O$66,7,FALSE),4)</f>
        <v>0.23960000000000001</v>
      </c>
      <c r="J24" s="20">
        <f>ROUND(VLOOKUP($B24,'[2]NSW RM (t)'!$B$10:$O$66,8,FALSE),4)</f>
        <v>0.1047</v>
      </c>
      <c r="K24" s="120">
        <f>ROUND(VLOOKUP($B24,'[2]NSW RM (t)'!$B$10:$O$66,10,FALSE),4)</f>
        <v>0.27739999999999998</v>
      </c>
      <c r="L24" s="121"/>
      <c r="M24" s="20"/>
    </row>
    <row r="25" spans="2:15" ht="14.25" customHeight="1" x14ac:dyDescent="0.2">
      <c r="B25" s="18" t="s">
        <v>34</v>
      </c>
      <c r="C25" s="19"/>
      <c r="D25" s="125" t="s">
        <v>41</v>
      </c>
      <c r="E25" s="126"/>
      <c r="F25" s="20">
        <f>ROUND(VLOOKUP($B25,'[2]NSW RM (t)'!$B$10:$O$66,4,FALSE)/366,4)</f>
        <v>0.43269999999999997</v>
      </c>
      <c r="G25" s="20"/>
      <c r="H25" s="20">
        <f>ROUND(VLOOKUP($B25,'[2]NSW RM (t)'!$B$10:$O$66,6,FALSE),4)</f>
        <v>7.2300000000000003E-2</v>
      </c>
      <c r="I25" s="20">
        <f>ROUND(VLOOKUP($B25,'[2]NSW RM (t)'!$B$10:$O$66,7,FALSE),4)</f>
        <v>5.8900000000000001E-2</v>
      </c>
      <c r="J25" s="20">
        <f>ROUND(VLOOKUP($B25,'[2]NSW RM (t)'!$B$10:$O$66,8,FALSE),4)</f>
        <v>4.8300000000000003E-2</v>
      </c>
      <c r="K25" s="20">
        <f>ROUND(VLOOKUP($B25,'[2]NSW RM (t)'!$B$10:$O$66,10,FALSE),4)</f>
        <v>0.20610000000000001</v>
      </c>
      <c r="L25" s="20">
        <f>ROUND(VLOOKUP($B25,'[2]NSW RM (t)'!$B$10:$O$66,11,FALSE),4)</f>
        <v>0.1865</v>
      </c>
      <c r="M25" s="20">
        <f>ROUND(VLOOKUP($B25,'[2]NSW RM (t)'!$B$10:$O$66,12,FALSE),4)</f>
        <v>5.5800000000000002E-2</v>
      </c>
    </row>
    <row r="26" spans="2:15" ht="14.25" customHeight="1" x14ac:dyDescent="0.2">
      <c r="B26" s="18" t="s">
        <v>23</v>
      </c>
      <c r="C26" s="19"/>
      <c r="D26" s="134" t="s">
        <v>38</v>
      </c>
      <c r="E26" s="135"/>
      <c r="F26" s="20">
        <f>ROUND(VLOOKUP($B26,'[2]NSW RM (t)'!$B$10:$O$66,4,FALSE)/366,4)</f>
        <v>0.42949999999999999</v>
      </c>
      <c r="G26" s="20"/>
      <c r="H26" s="20">
        <f>ROUND(VLOOKUP($B26,'[2]NSW RM (t)'!$B$10:$O$66,6,FALSE),4)</f>
        <v>8.4400000000000003E-2</v>
      </c>
      <c r="I26" s="20">
        <f>ROUND(VLOOKUP($B26,'[2]NSW RM (t)'!$B$10:$O$66,7,FALSE),4)</f>
        <v>5.0099999999999999E-2</v>
      </c>
      <c r="J26" s="20">
        <f>ROUND(VLOOKUP($B26,'[2]NSW RM (t)'!$B$10:$O$66,8,FALSE),4)</f>
        <v>4.1700000000000001E-2</v>
      </c>
      <c r="K26" s="20">
        <f>ROUND(VLOOKUP($B26,'[2]NSW RM (t)'!$B$10:$O$66,10,FALSE),4)</f>
        <v>7.9500000000000001E-2</v>
      </c>
      <c r="L26" s="20">
        <f>ROUND(VLOOKUP($B26,'[2]NSW RM (t)'!$B$10:$O$66,11,FALSE),4)</f>
        <v>5.67E-2</v>
      </c>
      <c r="M26" s="20">
        <f>ROUND(VLOOKUP($B26,'[2]NSW RM (t)'!$B$10:$O$66,12,FALSE),4)</f>
        <v>2.2599999999999999E-2</v>
      </c>
    </row>
    <row r="27" spans="2:15" ht="18" x14ac:dyDescent="0.25">
      <c r="B27" s="65" t="s">
        <v>45</v>
      </c>
      <c r="C27" s="65"/>
      <c r="D27" s="66"/>
      <c r="E27" s="67"/>
      <c r="F27" s="69"/>
      <c r="G27" s="69"/>
      <c r="H27" s="69"/>
      <c r="I27" s="69"/>
      <c r="J27" s="69"/>
      <c r="K27" s="69"/>
      <c r="L27" s="69"/>
      <c r="M27" s="69"/>
      <c r="N27" s="60"/>
      <c r="O27" s="60"/>
    </row>
    <row r="28" spans="2:15" ht="14.25" customHeight="1" x14ac:dyDescent="0.2">
      <c r="B28" s="18" t="s">
        <v>36</v>
      </c>
      <c r="C28" s="19" t="s">
        <v>44</v>
      </c>
      <c r="D28" s="125" t="s">
        <v>107</v>
      </c>
      <c r="E28" s="126"/>
      <c r="F28" s="20">
        <f>ROUND(VLOOKUP($B28,'[2]NSW RM (t)'!$B$10:$O$80,4,FALSE)/366,4)</f>
        <v>2.0500000000000001E-2</v>
      </c>
      <c r="G28" s="20">
        <f>ROUND(VLOOKUP($B28,'[2]NSW RM (t)'!$B$10:$O$80,5,FALSE),4)</f>
        <v>0.35909999999999997</v>
      </c>
      <c r="H28" s="20"/>
      <c r="I28" s="20"/>
      <c r="J28" s="20"/>
      <c r="K28" s="20"/>
      <c r="L28" s="20"/>
      <c r="M28" s="20"/>
    </row>
    <row r="29" spans="2:15" ht="14.25" customHeight="1" x14ac:dyDescent="0.2">
      <c r="B29" s="18" t="s">
        <v>37</v>
      </c>
      <c r="C29" s="19"/>
      <c r="D29" s="125" t="s">
        <v>108</v>
      </c>
      <c r="E29" s="126"/>
      <c r="F29" s="20">
        <f>ROUND(VLOOKUP($B29,'[2]NSW RM (t)'!$B$10:$O$80,4,FALSE)/366,4)</f>
        <v>0</v>
      </c>
      <c r="G29" s="20"/>
      <c r="H29" s="20">
        <f>ROUND(VLOOKUP($B29,'[2]NSW RM (t)'!$B$10:$O$80,6,FALSE),4)</f>
        <v>0.40550000000000003</v>
      </c>
      <c r="I29" s="20">
        <f>ROUND(VLOOKUP($B29,'[2]NSW RM (t)'!$B$10:$O$80,7,FALSE),4)</f>
        <v>0.30669999999999997</v>
      </c>
      <c r="J29" s="20">
        <f>ROUND(VLOOKUP($B29,'[2]NSW RM (t)'!$B$10:$O$80,8,FALSE),4)</f>
        <v>0.15260000000000001</v>
      </c>
      <c r="K29" s="20"/>
      <c r="L29" s="20"/>
      <c r="M29" s="20"/>
    </row>
    <row r="30" spans="2:15" ht="18" x14ac:dyDescent="0.25">
      <c r="B30" s="65" t="s">
        <v>69</v>
      </c>
      <c r="C30" s="65"/>
      <c r="D30" s="66"/>
      <c r="E30" s="67"/>
      <c r="F30" s="69"/>
      <c r="G30" s="69"/>
      <c r="H30" s="69"/>
      <c r="I30" s="69"/>
      <c r="J30" s="69"/>
      <c r="K30" s="69"/>
      <c r="L30" s="69"/>
      <c r="M30" s="69"/>
      <c r="N30" s="60"/>
      <c r="O30" s="60"/>
    </row>
    <row r="31" spans="2:15" ht="14.25" customHeight="1" x14ac:dyDescent="0.2">
      <c r="B31" s="19" t="s">
        <v>50</v>
      </c>
      <c r="C31" s="19"/>
      <c r="D31" s="125" t="s">
        <v>51</v>
      </c>
      <c r="E31" s="126"/>
      <c r="F31" s="25" t="s">
        <v>52</v>
      </c>
      <c r="G31" s="25"/>
      <c r="H31" s="25" t="s">
        <v>52</v>
      </c>
      <c r="I31" s="25" t="s">
        <v>52</v>
      </c>
      <c r="J31" s="25" t="s">
        <v>52</v>
      </c>
      <c r="K31" s="25" t="s">
        <v>52</v>
      </c>
      <c r="L31" s="25" t="s">
        <v>52</v>
      </c>
      <c r="M31" s="25" t="s">
        <v>52</v>
      </c>
    </row>
    <row r="32" spans="2:15" ht="15" x14ac:dyDescent="0.25">
      <c r="B32" s="48" t="s">
        <v>53</v>
      </c>
      <c r="C32" s="42"/>
      <c r="D32" s="43"/>
      <c r="E32" s="34" t="s">
        <v>1</v>
      </c>
      <c r="F32" s="35" t="s">
        <v>2</v>
      </c>
      <c r="G32" s="35" t="s">
        <v>2</v>
      </c>
      <c r="H32" s="35" t="s">
        <v>2</v>
      </c>
      <c r="I32" s="34" t="s">
        <v>3</v>
      </c>
      <c r="J32" s="35" t="s">
        <v>4</v>
      </c>
      <c r="K32" s="35" t="s">
        <v>5</v>
      </c>
      <c r="L32" s="35" t="s">
        <v>6</v>
      </c>
      <c r="M32" s="36" t="s">
        <v>7</v>
      </c>
    </row>
    <row r="33" spans="1:13" ht="15" x14ac:dyDescent="0.25">
      <c r="B33" s="49" t="s">
        <v>0</v>
      </c>
      <c r="C33" s="44" t="s">
        <v>9</v>
      </c>
      <c r="D33" s="91"/>
      <c r="E33" s="37" t="s">
        <v>10</v>
      </c>
      <c r="F33" s="37" t="s">
        <v>4</v>
      </c>
      <c r="G33" s="37" t="s">
        <v>5</v>
      </c>
      <c r="H33" s="37" t="s">
        <v>6</v>
      </c>
      <c r="I33" s="37" t="s">
        <v>12</v>
      </c>
      <c r="J33" s="37" t="s">
        <v>3</v>
      </c>
      <c r="K33" s="37" t="s">
        <v>3</v>
      </c>
      <c r="L33" s="37" t="s">
        <v>3</v>
      </c>
      <c r="M33" s="38" t="s">
        <v>12</v>
      </c>
    </row>
    <row r="34" spans="1:13" ht="15" x14ac:dyDescent="0.25">
      <c r="B34" s="38" t="s">
        <v>8</v>
      </c>
      <c r="C34" s="45"/>
      <c r="D34" s="46"/>
      <c r="E34" s="37" t="s">
        <v>13</v>
      </c>
      <c r="F34" s="37" t="s">
        <v>14</v>
      </c>
      <c r="G34" s="37" t="s">
        <v>14</v>
      </c>
      <c r="H34" s="37" t="s">
        <v>14</v>
      </c>
      <c r="I34" s="37" t="s">
        <v>15</v>
      </c>
      <c r="J34" s="37" t="s">
        <v>15</v>
      </c>
      <c r="K34" s="37" t="s">
        <v>15</v>
      </c>
      <c r="L34" s="37" t="s">
        <v>15</v>
      </c>
      <c r="M34" s="37" t="s">
        <v>15</v>
      </c>
    </row>
    <row r="35" spans="1:13" ht="26.25" x14ac:dyDescent="0.25">
      <c r="B35" s="47"/>
      <c r="C35" s="50"/>
      <c r="D35" s="92"/>
      <c r="E35" s="16" t="s">
        <v>84</v>
      </c>
      <c r="F35" s="16" t="s">
        <v>84</v>
      </c>
      <c r="G35" s="16" t="s">
        <v>84</v>
      </c>
      <c r="H35" s="16" t="s">
        <v>84</v>
      </c>
      <c r="I35" s="16" t="s">
        <v>84</v>
      </c>
      <c r="J35" s="16" t="s">
        <v>84</v>
      </c>
      <c r="K35" s="16" t="s">
        <v>84</v>
      </c>
      <c r="L35" s="16" t="s">
        <v>84</v>
      </c>
      <c r="M35" s="16" t="s">
        <v>84</v>
      </c>
    </row>
    <row r="36" spans="1:13" ht="15" x14ac:dyDescent="0.25">
      <c r="B36" s="21" t="s">
        <v>46</v>
      </c>
      <c r="C36" s="22"/>
      <c r="D36" s="93"/>
      <c r="E36" s="39"/>
      <c r="F36" s="23"/>
      <c r="G36" s="23"/>
      <c r="H36" s="23"/>
      <c r="I36" s="23"/>
      <c r="J36" s="23"/>
      <c r="K36" s="23"/>
      <c r="L36" s="23"/>
      <c r="M36" s="23"/>
    </row>
    <row r="37" spans="1:13" x14ac:dyDescent="0.2">
      <c r="B37" s="18" t="s">
        <v>33</v>
      </c>
      <c r="C37" s="157" t="s">
        <v>58</v>
      </c>
      <c r="D37" s="158"/>
      <c r="E37" s="20">
        <f>ROUND(VLOOKUP($B37,'[2]NSW RM (t)'!$B$10:$O$66,4,FALSE)/366,4)</f>
        <v>0.41460000000000002</v>
      </c>
      <c r="F37" s="20">
        <f>ROUND(VLOOKUP($B37,'[2]NSW RM (t)'!$B$10:$O$66,6,FALSE),4)</f>
        <v>8.8599999999999998E-2</v>
      </c>
      <c r="G37" s="20">
        <f>ROUND(VLOOKUP($B37,'[2]NSW RM (t)'!$B$10:$O$66,7,FALSE),4)</f>
        <v>7.1800000000000003E-2</v>
      </c>
      <c r="H37" s="20">
        <f>ROUND(VLOOKUP($B37,'[2]NSW RM (t)'!$B$10:$O$66,8,FALSE),4)</f>
        <v>4.7199999999999999E-2</v>
      </c>
      <c r="I37" s="20"/>
      <c r="J37" s="20">
        <f>ROUND(VLOOKUP($B37,'[2]NSW RM (t)'!$B$10:$O$66,10,FALSE),4)</f>
        <v>0.29930000000000001</v>
      </c>
      <c r="K37" s="20">
        <f>ROUND(VLOOKUP($B37,'[2]NSW RM (t)'!$B$10:$O$66,11,FALSE),4)</f>
        <v>0.27079999999999999</v>
      </c>
      <c r="L37" s="20">
        <f>ROUND(VLOOKUP($B37,'[2]NSW RM (t)'!$B$10:$O$66,12,FALSE),4)</f>
        <v>6.9199999999999998E-2</v>
      </c>
      <c r="M37" s="20"/>
    </row>
    <row r="38" spans="1:13" x14ac:dyDescent="0.2">
      <c r="B38" s="18" t="s">
        <v>35</v>
      </c>
      <c r="C38" s="155" t="s">
        <v>59</v>
      </c>
      <c r="D38" s="156"/>
      <c r="E38" s="20">
        <f>ROUND(VLOOKUP($B38,'[2]NSW RM (t)'!$B$10:$O$66,4,FALSE)/366,4)</f>
        <v>0.42059999999999997</v>
      </c>
      <c r="F38" s="20">
        <f>ROUND(VLOOKUP($B38,'[2]NSW RM (t)'!$B$10:$O$66,6,FALSE),4)</f>
        <v>7.0499999999999993E-2</v>
      </c>
      <c r="G38" s="20">
        <f>ROUND(VLOOKUP($B38,'[2]NSW RM (t)'!$B$10:$O$66,7,FALSE),4)</f>
        <v>5.9700000000000003E-2</v>
      </c>
      <c r="H38" s="20">
        <f>ROUND(VLOOKUP($B38,'[2]NSW RM (t)'!$B$10:$O$66,8,FALSE),4)</f>
        <v>4.8099999999999997E-2</v>
      </c>
      <c r="I38" s="20"/>
      <c r="J38" s="20">
        <f>ROUND(VLOOKUP($B38,'[2]NSW RM (t)'!$B$10:$O$66,10,FALSE),4)</f>
        <v>0.21820000000000001</v>
      </c>
      <c r="K38" s="20">
        <f>ROUND(VLOOKUP($B38,'[2]NSW RM (t)'!$B$10:$O$66,11,FALSE),4)</f>
        <v>0.19739999999999999</v>
      </c>
      <c r="L38" s="20">
        <f>ROUND(VLOOKUP($B38,'[2]NSW RM (t)'!$B$10:$O$66,12,FALSE),4)</f>
        <v>5.91E-2</v>
      </c>
      <c r="M38" s="20"/>
    </row>
    <row r="39" spans="1:13" x14ac:dyDescent="0.2">
      <c r="B39" s="18" t="s">
        <v>167</v>
      </c>
      <c r="C39" s="30" t="s">
        <v>197</v>
      </c>
      <c r="D39" s="94"/>
      <c r="E39" s="20">
        <f>ROUND(VLOOKUP($B39,'[2]NSW RM (t)'!$B$10:$O$66,4,FALSE)/366,4)</f>
        <v>0.18160000000000001</v>
      </c>
      <c r="F39" s="20">
        <f>ROUND(VLOOKUP($B39,'[2]NSW RM (t)'!$B$10:$O$66,6,FALSE),4)</f>
        <v>0.41720000000000002</v>
      </c>
      <c r="G39" s="20">
        <f>ROUND(VLOOKUP($B39,'[2]NSW RM (t)'!$B$10:$O$66,7,FALSE),4)</f>
        <v>0.3105</v>
      </c>
      <c r="H39" s="20">
        <f>ROUND(VLOOKUP($B39,'[2]NSW RM (t)'!$B$10:$O$66,8,FALSE),4)</f>
        <v>0.16450000000000001</v>
      </c>
      <c r="I39" s="20">
        <f>ROUND(VLOOKUP($B39,'[2]NSW RM (t)'!$B$10:$O$66,9,FALSE),4)</f>
        <v>0</v>
      </c>
      <c r="J39" s="20"/>
      <c r="K39" s="20"/>
      <c r="L39" s="20"/>
      <c r="M39" s="20"/>
    </row>
    <row r="40" spans="1:13" ht="28.5" x14ac:dyDescent="0.2">
      <c r="B40" s="19" t="s">
        <v>203</v>
      </c>
      <c r="C40" s="30" t="s">
        <v>48</v>
      </c>
      <c r="D40" s="94"/>
      <c r="E40" s="20">
        <f>ROUND(VLOOKUP("BLND1CO",'[2]NSW RM (t)'!$B$10:$O$66,4,FALSE)/366,4)</f>
        <v>0.53459999999999996</v>
      </c>
      <c r="F40" s="20">
        <f>ROUND(VLOOKUP("BLND1CO",'[2]NSW RM (t)'!$B$10:$O$66,6,FALSE),4)</f>
        <v>0.14599999999999999</v>
      </c>
      <c r="G40" s="20">
        <f>ROUND(VLOOKUP("BLND1CO",'[2]NSW RM (t)'!$B$10:$O$66,7,FALSE),4)</f>
        <v>0.1149</v>
      </c>
      <c r="H40" s="20">
        <f>ROUND(VLOOKUP("BLND1CO",'[2]NSW RM (t)'!$B$10:$O$66,8,FALSE),4)</f>
        <v>5.9799999999999999E-2</v>
      </c>
      <c r="I40" s="20">
        <f>ROUND(VLOOKUP("BLND1CO",'[2]NSW RM (t)'!$B$10:$O$66,9,FALSE),4)</f>
        <v>0.44490000000000002</v>
      </c>
      <c r="J40" s="20"/>
      <c r="K40" s="20"/>
      <c r="L40" s="20"/>
      <c r="M40" s="20"/>
    </row>
    <row r="41" spans="1:13" x14ac:dyDescent="0.2">
      <c r="B41" s="18" t="s">
        <v>20</v>
      </c>
      <c r="C41" s="30" t="s">
        <v>55</v>
      </c>
      <c r="D41" s="94"/>
      <c r="E41" s="20">
        <f>ROUND(VLOOKUP($B41,'[2]NSW RM (t)'!$B$10:$O$66,4,FALSE)/366,4)</f>
        <v>0.41460000000000002</v>
      </c>
      <c r="F41" s="20">
        <f>ROUND(VLOOKUP($B41,'[2]NSW RM (t)'!$B$10:$O$66,6,FALSE),4)</f>
        <v>0.32750000000000001</v>
      </c>
      <c r="G41" s="20">
        <f>ROUND(VLOOKUP($B41,'[2]NSW RM (t)'!$B$10:$O$66,7,FALSE),4)</f>
        <v>0.25</v>
      </c>
      <c r="H41" s="20">
        <f>ROUND(VLOOKUP($B41,'[2]NSW RM (t)'!$B$10:$O$66,8,FALSE),4)</f>
        <v>0.1023</v>
      </c>
      <c r="I41" s="20">
        <f>ROUND(VLOOKUP($B41,'[2]NSW RM (t)'!$B$10:$O$66,9,FALSE),4)</f>
        <v>0.29549999999999998</v>
      </c>
      <c r="J41" s="20"/>
      <c r="K41" s="20"/>
      <c r="L41" s="20"/>
      <c r="M41" s="20">
        <f>ROUND(VLOOKUP($B41,'[2]NSW RM (t)'!$B$10:$O$66,13,FALSE),4)</f>
        <v>0.1074</v>
      </c>
    </row>
    <row r="42" spans="1:13" x14ac:dyDescent="0.2">
      <c r="B42" s="18" t="s">
        <v>21</v>
      </c>
      <c r="C42" s="30" t="s">
        <v>54</v>
      </c>
      <c r="D42" s="94"/>
      <c r="E42" s="20">
        <f>ROUND(VLOOKUP($B42,'[2]NSW RM (t)'!$B$10:$O$66,4,FALSE)/366,4)</f>
        <v>0.1116</v>
      </c>
      <c r="F42" s="20">
        <f>ROUND(VLOOKUP($B42,'[2]NSW RM (t)'!$B$10:$O$66,6,FALSE),4)</f>
        <v>0.37319999999999998</v>
      </c>
      <c r="G42" s="20">
        <f>ROUND(VLOOKUP($B42,'[2]NSW RM (t)'!$B$10:$O$66,7,FALSE),4)</f>
        <v>0.28389999999999999</v>
      </c>
      <c r="H42" s="20">
        <f>ROUND(VLOOKUP($B42,'[2]NSW RM (t)'!$B$10:$O$66,8,FALSE),4)</f>
        <v>0.1399</v>
      </c>
      <c r="I42" s="20">
        <f>ROUND(VLOOKUP($B42,'[2]NSW RM (t)'!$B$10:$O$66,9,FALSE),4)</f>
        <v>0.28989999999999999</v>
      </c>
      <c r="J42" s="20"/>
      <c r="K42" s="20"/>
      <c r="L42" s="20"/>
      <c r="M42" s="20">
        <f>ROUND(VLOOKUP($B42,'[2]NSW RM (t)'!$B$10:$O$66,13,FALSE),4)</f>
        <v>0.1076</v>
      </c>
    </row>
    <row r="43" spans="1:13" s="41" customFormat="1" ht="28.5" x14ac:dyDescent="0.2">
      <c r="A43" s="40"/>
      <c r="B43" s="18" t="s">
        <v>22</v>
      </c>
      <c r="C43" s="30" t="s">
        <v>56</v>
      </c>
      <c r="D43" s="95"/>
      <c r="E43" s="20">
        <f>ROUND(VLOOKUP($B43,'[2]NSW RM (t)'!$B$10:$O$66,4,FALSE)/366,4)</f>
        <v>0.68600000000000005</v>
      </c>
      <c r="F43" s="20">
        <f>ROUND(VLOOKUP($B43,'[2]NSW RM (t)'!$B$10:$O$66,6,FALSE),4)</f>
        <v>0.16089999999999999</v>
      </c>
      <c r="G43" s="20">
        <f>ROUND(VLOOKUP($B43,'[2]NSW RM (t)'!$B$10:$O$66,7,FALSE),4)</f>
        <v>0.1482</v>
      </c>
      <c r="H43" s="20">
        <f>ROUND(VLOOKUP($B43,'[2]NSW RM (t)'!$B$10:$O$66,8,FALSE),4)</f>
        <v>6.3200000000000006E-2</v>
      </c>
      <c r="I43" s="20">
        <f>ROUND(VLOOKUP($B43,'[2]NSW RM (t)'!$B$10:$O$66,9,FALSE),4)</f>
        <v>0.32440000000000002</v>
      </c>
      <c r="J43" s="20"/>
      <c r="K43" s="20"/>
      <c r="L43" s="20"/>
      <c r="M43" s="20"/>
    </row>
    <row r="44" spans="1:13" ht="28.5" x14ac:dyDescent="0.2">
      <c r="B44" s="19" t="s">
        <v>202</v>
      </c>
      <c r="C44" s="30" t="s">
        <v>57</v>
      </c>
      <c r="D44" s="94"/>
      <c r="E44" s="20">
        <f>ROUND(VLOOKUP("BHND1SO",'[2]NSW RM (t)'!$B$10:$O$66,4,FALSE)/366,4)</f>
        <v>0.51129999999999998</v>
      </c>
      <c r="F44" s="20">
        <f>ROUND(VLOOKUP("BHND1SO",'[2]NSW RM (t)'!$B$10:$O$66,6,FALSE),4)</f>
        <v>0.14360000000000001</v>
      </c>
      <c r="G44" s="20">
        <f>ROUND(VLOOKUP("BHND1SO",'[2]NSW RM (t)'!$B$10:$O$66,7,FALSE),4)</f>
        <v>0.1341</v>
      </c>
      <c r="H44" s="20">
        <f>ROUND(VLOOKUP("BHND1SO",'[2]NSW RM (t)'!$B$10:$O$66,8,FALSE),4)</f>
        <v>9.8299999999999998E-2</v>
      </c>
      <c r="I44" s="20">
        <f>ROUND(VLOOKUP("BHND1SO",'[2]NSW RM (t)'!$B$10:$O$66,9,FALSE),4)</f>
        <v>0.23419999999999999</v>
      </c>
      <c r="J44" s="20"/>
      <c r="K44" s="20"/>
      <c r="L44" s="20"/>
      <c r="M44" s="20">
        <f>ROUND(VLOOKUP("BHND1SO",'[2]NSW RM (t)'!$B$10:$O$66,13,FALSE),4)</f>
        <v>8.6300000000000002E-2</v>
      </c>
    </row>
  </sheetData>
  <mergeCells count="27">
    <mergeCell ref="D9:E9"/>
    <mergeCell ref="B3:F3"/>
    <mergeCell ref="I3:J3"/>
    <mergeCell ref="B5:B7"/>
    <mergeCell ref="C5:C7"/>
    <mergeCell ref="D5:E7"/>
    <mergeCell ref="D23:E23"/>
    <mergeCell ref="D10:E10"/>
    <mergeCell ref="D11:E11"/>
    <mergeCell ref="D12:E12"/>
    <mergeCell ref="D14:E14"/>
    <mergeCell ref="D15:E15"/>
    <mergeCell ref="D17:E17"/>
    <mergeCell ref="D18:E18"/>
    <mergeCell ref="D19:E19"/>
    <mergeCell ref="D20:E20"/>
    <mergeCell ref="D21:E21"/>
    <mergeCell ref="D22:E22"/>
    <mergeCell ref="D31:E31"/>
    <mergeCell ref="C37:D37"/>
    <mergeCell ref="C38:D38"/>
    <mergeCell ref="D24:E24"/>
    <mergeCell ref="K24:L24"/>
    <mergeCell ref="D25:E25"/>
    <mergeCell ref="D26:E26"/>
    <mergeCell ref="D28:E28"/>
    <mergeCell ref="D29:E29"/>
  </mergeCells>
  <pageMargins left="0.39370078740157483" right="0.39370078740157483" top="0.39370078740157483" bottom="0.39370078740157483" header="0.51181102362204722" footer="0.51181102362204722"/>
  <pageSetup paperSize="9" scale="67"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41"/>
  <sheetViews>
    <sheetView zoomScaleNormal="100" zoomScaleSheetLayoutView="80" workbookViewId="0"/>
  </sheetViews>
  <sheetFormatPr defaultRowHeight="14.25" x14ac:dyDescent="0.2"/>
  <cols>
    <col min="1" max="1" width="40.875" customWidth="1"/>
    <col min="2" max="2" width="122.5" customWidth="1"/>
  </cols>
  <sheetData>
    <row r="1" spans="1:2" x14ac:dyDescent="0.2">
      <c r="A1" t="s">
        <v>162</v>
      </c>
    </row>
    <row r="3" spans="1:2" ht="15" thickBot="1" x14ac:dyDescent="0.25"/>
    <row r="4" spans="1:2" ht="15.75" thickBot="1" x14ac:dyDescent="0.25">
      <c r="A4" s="78" t="s">
        <v>0</v>
      </c>
      <c r="B4" s="79" t="s">
        <v>117</v>
      </c>
    </row>
    <row r="5" spans="1:2" x14ac:dyDescent="0.2">
      <c r="A5" s="89" t="s">
        <v>182</v>
      </c>
      <c r="B5" s="81" t="s">
        <v>183</v>
      </c>
    </row>
    <row r="6" spans="1:2" ht="15" thickBot="1" x14ac:dyDescent="0.25">
      <c r="A6" s="82" t="s">
        <v>118</v>
      </c>
      <c r="B6" s="83" t="s">
        <v>119</v>
      </c>
    </row>
    <row r="7" spans="1:2" ht="15" thickBot="1" x14ac:dyDescent="0.25">
      <c r="A7" s="82" t="s">
        <v>184</v>
      </c>
      <c r="B7" s="83" t="s">
        <v>191</v>
      </c>
    </row>
    <row r="8" spans="1:2" ht="15" thickBot="1" x14ac:dyDescent="0.25">
      <c r="A8" s="82" t="s">
        <v>185</v>
      </c>
      <c r="B8" s="83" t="s">
        <v>191</v>
      </c>
    </row>
    <row r="9" spans="1:2" ht="48.75" thickBot="1" x14ac:dyDescent="0.25">
      <c r="A9" s="82" t="s">
        <v>120</v>
      </c>
      <c r="B9" s="83" t="s">
        <v>205</v>
      </c>
    </row>
    <row r="10" spans="1:2" ht="48.75" thickBot="1" x14ac:dyDescent="0.25">
      <c r="A10" s="82" t="s">
        <v>121</v>
      </c>
      <c r="B10" s="83" t="s">
        <v>122</v>
      </c>
    </row>
    <row r="11" spans="1:2" ht="15" thickBot="1" x14ac:dyDescent="0.25">
      <c r="A11" s="82" t="s">
        <v>123</v>
      </c>
      <c r="B11" s="83" t="s">
        <v>124</v>
      </c>
    </row>
    <row r="12" spans="1:2" ht="15" thickBot="1" x14ac:dyDescent="0.25">
      <c r="A12" s="82" t="s">
        <v>125</v>
      </c>
      <c r="B12" s="83" t="s">
        <v>126</v>
      </c>
    </row>
    <row r="13" spans="1:2" ht="15" thickBot="1" x14ac:dyDescent="0.25">
      <c r="A13" s="82" t="s">
        <v>127</v>
      </c>
      <c r="B13" s="84" t="s">
        <v>128</v>
      </c>
    </row>
    <row r="14" spans="1:2" ht="15" thickBot="1" x14ac:dyDescent="0.25">
      <c r="A14" s="82" t="s">
        <v>129</v>
      </c>
      <c r="B14" s="84" t="s">
        <v>130</v>
      </c>
    </row>
    <row r="15" spans="1:2" ht="15" thickBot="1" x14ac:dyDescent="0.25">
      <c r="A15" s="82" t="s">
        <v>131</v>
      </c>
      <c r="B15" s="84" t="s">
        <v>132</v>
      </c>
    </row>
    <row r="16" spans="1:2" ht="15" thickBot="1" x14ac:dyDescent="0.25">
      <c r="A16" s="82" t="s">
        <v>133</v>
      </c>
      <c r="B16" s="85" t="s">
        <v>163</v>
      </c>
    </row>
    <row r="17" spans="1:2" ht="15" thickBot="1" x14ac:dyDescent="0.25">
      <c r="A17" s="82" t="s">
        <v>134</v>
      </c>
      <c r="B17" s="84" t="s">
        <v>135</v>
      </c>
    </row>
    <row r="18" spans="1:2" ht="15.75" thickBot="1" x14ac:dyDescent="0.25">
      <c r="A18" s="82" t="s">
        <v>186</v>
      </c>
      <c r="B18" s="84" t="s">
        <v>187</v>
      </c>
    </row>
    <row r="19" spans="1:2" ht="15" thickBot="1" x14ac:dyDescent="0.25">
      <c r="A19" s="82" t="s">
        <v>136</v>
      </c>
      <c r="B19" s="84" t="s">
        <v>137</v>
      </c>
    </row>
    <row r="20" spans="1:2" ht="15" thickBot="1" x14ac:dyDescent="0.25">
      <c r="A20" s="82" t="s">
        <v>188</v>
      </c>
      <c r="B20" s="84" t="s">
        <v>192</v>
      </c>
    </row>
    <row r="21" spans="1:2" ht="15" thickBot="1" x14ac:dyDescent="0.25">
      <c r="A21" s="82" t="s">
        <v>189</v>
      </c>
      <c r="B21" s="84" t="s">
        <v>192</v>
      </c>
    </row>
    <row r="22" spans="1:2" ht="15" thickBot="1" x14ac:dyDescent="0.25">
      <c r="A22" s="82" t="s">
        <v>138</v>
      </c>
      <c r="B22" s="84" t="s">
        <v>139</v>
      </c>
    </row>
    <row r="23" spans="1:2" ht="84.75" thickBot="1" x14ac:dyDescent="0.25">
      <c r="A23" s="82" t="s">
        <v>190</v>
      </c>
      <c r="B23" s="84" t="s">
        <v>193</v>
      </c>
    </row>
    <row r="24" spans="1:2" ht="15" thickBot="1" x14ac:dyDescent="0.25">
      <c r="A24" s="82" t="s">
        <v>140</v>
      </c>
      <c r="B24" s="84" t="s">
        <v>141</v>
      </c>
    </row>
    <row r="25" spans="1:2" ht="24" x14ac:dyDescent="0.2">
      <c r="A25" s="163" t="s">
        <v>142</v>
      </c>
      <c r="B25" s="86" t="s">
        <v>199</v>
      </c>
    </row>
    <row r="26" spans="1:2" x14ac:dyDescent="0.2">
      <c r="A26" s="164"/>
      <c r="B26" s="86" t="s">
        <v>143</v>
      </c>
    </row>
    <row r="27" spans="1:2" ht="24" x14ac:dyDescent="0.2">
      <c r="A27" s="164"/>
      <c r="B27" s="86" t="s">
        <v>144</v>
      </c>
    </row>
    <row r="28" spans="1:2" x14ac:dyDescent="0.2">
      <c r="A28" s="164"/>
      <c r="B28" s="86" t="s">
        <v>145</v>
      </c>
    </row>
    <row r="29" spans="1:2" ht="15" thickBot="1" x14ac:dyDescent="0.25">
      <c r="A29" s="165"/>
      <c r="B29" s="84" t="s">
        <v>146</v>
      </c>
    </row>
    <row r="30" spans="1:2" ht="15" thickBot="1" x14ac:dyDescent="0.25">
      <c r="A30" s="82" t="s">
        <v>147</v>
      </c>
      <c r="B30" s="84" t="s">
        <v>148</v>
      </c>
    </row>
    <row r="31" spans="1:2" ht="15" thickBot="1" x14ac:dyDescent="0.25">
      <c r="A31" s="82" t="s">
        <v>149</v>
      </c>
      <c r="B31" s="84" t="s">
        <v>150</v>
      </c>
    </row>
    <row r="32" spans="1:2" ht="48" x14ac:dyDescent="0.2">
      <c r="A32" s="163" t="s">
        <v>151</v>
      </c>
      <c r="B32" s="86" t="s">
        <v>200</v>
      </c>
    </row>
    <row r="33" spans="1:2" x14ac:dyDescent="0.2">
      <c r="A33" s="164"/>
      <c r="B33" s="86" t="s">
        <v>143</v>
      </c>
    </row>
    <row r="34" spans="1:2" ht="24" x14ac:dyDescent="0.2">
      <c r="A34" s="164"/>
      <c r="B34" s="86" t="s">
        <v>152</v>
      </c>
    </row>
    <row r="35" spans="1:2" x14ac:dyDescent="0.2">
      <c r="A35" s="164"/>
      <c r="B35" s="86" t="s">
        <v>145</v>
      </c>
    </row>
    <row r="36" spans="1:2" ht="15" thickBot="1" x14ac:dyDescent="0.25">
      <c r="A36" s="165"/>
      <c r="B36" s="84" t="s">
        <v>153</v>
      </c>
    </row>
    <row r="37" spans="1:2" ht="24.75" thickBot="1" x14ac:dyDescent="0.25">
      <c r="A37" s="82" t="s">
        <v>154</v>
      </c>
      <c r="B37" s="84" t="s">
        <v>155</v>
      </c>
    </row>
    <row r="38" spans="1:2" ht="15" thickBot="1" x14ac:dyDescent="0.25">
      <c r="A38" s="82" t="s">
        <v>156</v>
      </c>
      <c r="B38" s="84" t="s">
        <v>157</v>
      </c>
    </row>
    <row r="39" spans="1:2" ht="15" thickBot="1" x14ac:dyDescent="0.25">
      <c r="A39" s="82" t="s">
        <v>158</v>
      </c>
      <c r="B39" s="84" t="s">
        <v>159</v>
      </c>
    </row>
    <row r="40" spans="1:2" x14ac:dyDescent="0.2">
      <c r="A40" s="80" t="s">
        <v>160</v>
      </c>
      <c r="B40" s="166" t="s">
        <v>161</v>
      </c>
    </row>
    <row r="41" spans="1:2" ht="15" thickBot="1" x14ac:dyDescent="0.25">
      <c r="A41" s="82" t="s">
        <v>51</v>
      </c>
      <c r="B41" s="167"/>
    </row>
  </sheetData>
  <mergeCells count="3">
    <mergeCell ref="A25:A29"/>
    <mergeCell ref="A32:A36"/>
    <mergeCell ref="B40:B41"/>
  </mergeCells>
  <pageMargins left="0.70866141732283472" right="0.70866141732283472" top="0.74803149606299213" bottom="0.74803149606299213"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Price List_Excl GST</vt:lpstr>
      <vt:lpstr>Price List_Incl GST</vt:lpstr>
      <vt:lpstr>Price List_DUOS_Excl GST</vt:lpstr>
      <vt:lpstr>Price List_TUOS_Excl GST</vt:lpstr>
      <vt:lpstr>Price List_CCF_Excl GST</vt:lpstr>
      <vt:lpstr>Price List_QSS_Excl GST</vt:lpstr>
      <vt:lpstr>Price List_Roadmap_Excl GST</vt:lpstr>
      <vt:lpstr>Explanatory Notes</vt:lpstr>
      <vt:lpstr>'Explanatory Notes'!Print_Area</vt:lpstr>
      <vt:lpstr>'Price List_CCF_Excl GST'!Print_Area</vt:lpstr>
      <vt:lpstr>'Price List_DUOS_Excl GST'!Print_Area</vt:lpstr>
      <vt:lpstr>'Price List_Excl GST'!Print_Area</vt:lpstr>
      <vt:lpstr>'Price List_Incl GST'!Print_Area</vt:lpstr>
      <vt:lpstr>'Price List_QSS_Excl GST'!Print_Area</vt:lpstr>
      <vt:lpstr>'Price List_Roadmap_Excl GST'!Print_Area</vt:lpstr>
      <vt:lpstr>'Price List_TUOS_Excl GST'!Print_Area</vt:lpstr>
    </vt:vector>
  </TitlesOfParts>
  <Company>Country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cwaddell</dc:creator>
  <cp:lastModifiedBy>Michelle Hagney</cp:lastModifiedBy>
  <cp:lastPrinted>2017-04-03T05:55:44Z</cp:lastPrinted>
  <dcterms:created xsi:type="dcterms:W3CDTF">2009-05-26T02:30:41Z</dcterms:created>
  <dcterms:modified xsi:type="dcterms:W3CDTF">2023-03-30T21:46:54Z</dcterms:modified>
</cp:coreProperties>
</file>