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sheets/sheet1.xml" ContentType="application/vnd.openxmlformats-officedocument.spreadsheetml.worksheet+xml"/>
  <Override PartName="/xl/theme/theme1.xml" ContentType="application/vnd.openxmlformats-officedocument.theme+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styles.xml" ContentType="application/vnd.openxmlformats-officedocument.spreadsheetml.styles+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345" yWindow="555" windowWidth="15045" windowHeight="6480" tabRatio="906" activeTab="1"/>
  </bookViews>
  <sheets>
    <sheet name="ReadMeFirst" sheetId="18" r:id="rId1"/>
    <sheet name="Summary" sheetId="8" r:id="rId2"/>
    <sheet name="InputSheets --&gt;" sheetId="16" r:id="rId3"/>
    <sheet name="GlobalInputs" sheetId="17" r:id="rId4"/>
    <sheet name="ServiceDescription" sheetId="19" r:id="rId5"/>
    <sheet name="ServiceHistory" sheetId="13" r:id="rId6"/>
    <sheet name="ServiceProjections" sheetId="12" r:id="rId7"/>
    <sheet name="OutputSheets --&gt;" sheetId="15" r:id="rId8"/>
    <sheet name="FeeConstruction" sheetId="11" r:id="rId9"/>
    <sheet name="CheckSheet" sheetId="20" r:id="rId10"/>
  </sheets>
  <definedNames>
    <definedName name="_xlnm.Print_Area" localSheetId="8">FeeConstruction!#REF!</definedName>
    <definedName name="_xlnm.Print_Area" localSheetId="1">Summary!#REF!</definedName>
    <definedName name="_xlnm.Print_Titles" localSheetId="6">ServiceProjections!#REF!</definedName>
    <definedName name="TM1REBUILDOPTION">1</definedName>
  </definedNames>
  <calcPr calcId="145621" concurrentCalc="0"/>
</workbook>
</file>

<file path=xl/calcChain.xml><?xml version="1.0" encoding="utf-8"?>
<calcChain xmlns="http://schemas.openxmlformats.org/spreadsheetml/2006/main">
  <c r="C25" i="13" l="1"/>
  <c r="G75" i="12"/>
  <c r="G76" i="12"/>
  <c r="G43" i="12"/>
  <c r="H43" i="12"/>
  <c r="I43" i="12"/>
  <c r="H18" i="12"/>
  <c r="I18" i="12"/>
  <c r="J8" i="11"/>
  <c r="AO8" i="11"/>
  <c r="AQ8" i="11"/>
  <c r="H19" i="12"/>
  <c r="I19" i="12"/>
  <c r="J9" i="11"/>
  <c r="G78" i="12"/>
  <c r="G79" i="12"/>
  <c r="G80" i="12"/>
  <c r="G44" i="12"/>
  <c r="H44" i="12"/>
  <c r="I44" i="12"/>
  <c r="J44" i="12"/>
  <c r="K9" i="11"/>
  <c r="L9" i="11"/>
  <c r="AA9" i="11"/>
  <c r="AH9" i="11"/>
  <c r="AO9" i="11"/>
  <c r="AQ9" i="11"/>
  <c r="H21" i="12"/>
  <c r="I21" i="12"/>
  <c r="J11" i="11"/>
  <c r="G83" i="12"/>
  <c r="G84" i="12"/>
  <c r="G85" i="12"/>
  <c r="G46" i="12"/>
  <c r="H83" i="12"/>
  <c r="H84" i="12"/>
  <c r="H85" i="12"/>
  <c r="H46" i="12"/>
  <c r="I46" i="12"/>
  <c r="J46" i="12"/>
  <c r="K11" i="11"/>
  <c r="L11" i="11"/>
  <c r="AA11" i="11"/>
  <c r="AH11" i="11"/>
  <c r="AO11" i="11"/>
  <c r="AQ11" i="11"/>
  <c r="G26" i="12"/>
  <c r="H26" i="12"/>
  <c r="N13" i="11"/>
  <c r="P13" i="11"/>
  <c r="G48" i="12"/>
  <c r="H48" i="12"/>
  <c r="AA13" i="11"/>
  <c r="AC13" i="11"/>
  <c r="H42" i="8"/>
  <c r="AR8" i="11"/>
  <c r="AR9" i="11"/>
  <c r="AR11" i="11"/>
  <c r="Q13" i="11"/>
  <c r="AS8" i="11"/>
  <c r="AS9" i="11"/>
  <c r="AS11" i="11"/>
  <c r="R13" i="11"/>
  <c r="AT8" i="11"/>
  <c r="AT9" i="11"/>
  <c r="AT11" i="11"/>
  <c r="S13" i="11"/>
  <c r="AP8" i="11"/>
  <c r="AP9" i="11"/>
  <c r="AP11" i="11"/>
  <c r="O13" i="11"/>
  <c r="J43" i="12"/>
  <c r="K8" i="11"/>
  <c r="L8" i="11"/>
  <c r="U8" i="11"/>
  <c r="AA8" i="11"/>
  <c r="AC8" i="11"/>
  <c r="AC9" i="11"/>
  <c r="AC11" i="11"/>
  <c r="AH8" i="11"/>
  <c r="AJ8" i="11"/>
  <c r="AJ9" i="11"/>
  <c r="AJ11" i="11"/>
  <c r="AD8" i="11"/>
  <c r="AD9" i="11"/>
  <c r="AD11" i="11"/>
  <c r="AK8" i="11"/>
  <c r="AK9" i="11"/>
  <c r="AK11" i="11"/>
  <c r="AE8" i="11"/>
  <c r="AE9" i="11"/>
  <c r="AE11" i="11"/>
  <c r="AE13" i="11"/>
  <c r="J42" i="8"/>
  <c r="AL8" i="11"/>
  <c r="AL9" i="11"/>
  <c r="AL11" i="11"/>
  <c r="AF8" i="11"/>
  <c r="AF9" i="11"/>
  <c r="AF11" i="11"/>
  <c r="AF13" i="11"/>
  <c r="K42" i="8"/>
  <c r="AM8" i="11"/>
  <c r="AM9" i="11"/>
  <c r="AM11" i="11"/>
  <c r="AB8" i="11"/>
  <c r="AB9" i="11"/>
  <c r="AB11" i="11"/>
  <c r="AB13" i="11"/>
  <c r="G42" i="8"/>
  <c r="AI8" i="11"/>
  <c r="AI9" i="11"/>
  <c r="AI11" i="11"/>
  <c r="AT6" i="11"/>
  <c r="AS6" i="11"/>
  <c r="AR6" i="11"/>
  <c r="AQ6" i="11"/>
  <c r="AP6" i="11"/>
  <c r="I85" i="12"/>
  <c r="I84" i="12"/>
  <c r="I83" i="12"/>
  <c r="H80" i="12"/>
  <c r="I80" i="12"/>
  <c r="H79" i="12"/>
  <c r="I79" i="12"/>
  <c r="H78" i="12"/>
  <c r="I78" i="12"/>
  <c r="H76" i="12"/>
  <c r="I76" i="12"/>
  <c r="H75" i="12"/>
  <c r="I75" i="12"/>
  <c r="H8" i="11"/>
  <c r="F8" i="11"/>
  <c r="G8" i="11"/>
  <c r="H57" i="13"/>
  <c r="H33" i="8"/>
  <c r="J57" i="13"/>
  <c r="J33" i="8"/>
  <c r="G57" i="13"/>
  <c r="G33" i="8"/>
  <c r="D61" i="13"/>
  <c r="D54" i="13"/>
  <c r="H13" i="11"/>
  <c r="G13" i="11"/>
  <c r="H11" i="11"/>
  <c r="G11" i="11"/>
  <c r="F32" i="12"/>
  <c r="C11" i="13"/>
  <c r="D12" i="13"/>
  <c r="C9" i="13"/>
  <c r="D10" i="13"/>
  <c r="C7" i="8"/>
  <c r="D48" i="13"/>
  <c r="D46" i="13"/>
  <c r="G59" i="12"/>
  <c r="G57" i="12"/>
  <c r="J83" i="12"/>
  <c r="J84" i="12"/>
  <c r="J85" i="12"/>
  <c r="J78" i="12"/>
  <c r="J79" i="12"/>
  <c r="J80" i="12"/>
  <c r="J75" i="12"/>
  <c r="J76" i="12"/>
  <c r="C24" i="13"/>
  <c r="C33" i="13"/>
  <c r="C42" i="13"/>
  <c r="D7" i="12"/>
  <c r="D43" i="13"/>
  <c r="E8" i="12"/>
  <c r="D44" i="13"/>
  <c r="E9" i="12"/>
  <c r="C26" i="13"/>
  <c r="C36" i="13"/>
  <c r="C45" i="13"/>
  <c r="D10" i="12"/>
  <c r="E11" i="12"/>
  <c r="C27" i="13"/>
  <c r="C37" i="13"/>
  <c r="C47" i="13"/>
  <c r="D12" i="12"/>
  <c r="E13" i="12"/>
  <c r="O11" i="11"/>
  <c r="O8" i="11"/>
  <c r="O9" i="11"/>
  <c r="P11" i="11"/>
  <c r="P8" i="11"/>
  <c r="P9" i="11"/>
  <c r="Q11" i="11"/>
  <c r="Q8" i="11"/>
  <c r="Q9" i="11"/>
  <c r="R11" i="11"/>
  <c r="R8" i="11"/>
  <c r="R9" i="11"/>
  <c r="S11" i="11"/>
  <c r="S8" i="11"/>
  <c r="S9" i="11"/>
  <c r="U11" i="11"/>
  <c r="U9" i="11"/>
  <c r="V11" i="11"/>
  <c r="V8" i="11"/>
  <c r="V9" i="11"/>
  <c r="W11" i="11"/>
  <c r="W8" i="11"/>
  <c r="W9" i="11"/>
  <c r="X11" i="11"/>
  <c r="X8" i="11"/>
  <c r="X9" i="11"/>
  <c r="Y11" i="11"/>
  <c r="Y8" i="11"/>
  <c r="Y9" i="11"/>
  <c r="F13" i="11"/>
  <c r="F11" i="11"/>
  <c r="E37" i="12"/>
  <c r="E59" i="12"/>
  <c r="E35" i="12"/>
  <c r="E57" i="12"/>
  <c r="E33" i="12"/>
  <c r="E55" i="12"/>
  <c r="E31" i="12"/>
  <c r="E54" i="12"/>
  <c r="H31" i="12"/>
  <c r="H32" i="12"/>
  <c r="D36" i="12"/>
  <c r="E26" i="12"/>
  <c r="D25" i="12"/>
  <c r="E21" i="12"/>
  <c r="G21" i="12"/>
  <c r="E19" i="12"/>
  <c r="E18" i="12"/>
  <c r="H35" i="13"/>
  <c r="D5" i="19"/>
  <c r="D6" i="19"/>
  <c r="D58" i="12"/>
  <c r="C66" i="12"/>
  <c r="D34" i="12"/>
  <c r="D56" i="12"/>
  <c r="C64" i="12"/>
  <c r="D30" i="12"/>
  <c r="D53" i="12"/>
  <c r="C62" i="12"/>
  <c r="C19" i="13"/>
  <c r="C17" i="13"/>
  <c r="C6" i="13"/>
  <c r="C15" i="13"/>
  <c r="E5" i="20"/>
  <c r="D2" i="19"/>
  <c r="H51" i="13"/>
  <c r="I51" i="13"/>
  <c r="J51" i="13"/>
  <c r="K51" i="13"/>
  <c r="G51" i="13"/>
  <c r="G55" i="12"/>
  <c r="G54" i="12"/>
  <c r="G21" i="8"/>
  <c r="G19" i="8"/>
  <c r="G18" i="8"/>
  <c r="P6" i="11"/>
  <c r="V6" i="11"/>
  <c r="AC6" i="11"/>
  <c r="AJ6" i="11"/>
  <c r="Q6" i="11"/>
  <c r="W6" i="11"/>
  <c r="AD6" i="11"/>
  <c r="AK6" i="11"/>
  <c r="R6" i="11"/>
  <c r="X6" i="11"/>
  <c r="AE6" i="11"/>
  <c r="AL6" i="11"/>
  <c r="S6" i="11"/>
  <c r="Y6" i="11"/>
  <c r="AF6" i="11"/>
  <c r="AM6" i="11"/>
  <c r="O6" i="11"/>
  <c r="U6" i="11"/>
  <c r="AB6" i="11"/>
  <c r="AI6" i="11"/>
  <c r="H38" i="8"/>
  <c r="I38" i="8"/>
  <c r="J38" i="8"/>
  <c r="K38" i="8"/>
  <c r="G38" i="8"/>
  <c r="F2" i="18"/>
  <c r="A3" i="19"/>
  <c r="A3" i="17"/>
  <c r="F3" i="8"/>
  <c r="E4" i="11"/>
  <c r="F2" i="12"/>
  <c r="F2" i="13"/>
  <c r="F2" i="17"/>
  <c r="E2" i="20"/>
  <c r="H29" i="8"/>
  <c r="I29" i="8"/>
  <c r="J29" i="8"/>
  <c r="K29" i="8"/>
  <c r="G29" i="8"/>
  <c r="H64" i="13"/>
  <c r="H34" i="8"/>
  <c r="I57" i="13"/>
  <c r="I33" i="8"/>
  <c r="I64" i="13"/>
  <c r="I34" i="8"/>
  <c r="J64" i="13"/>
  <c r="J34" i="8"/>
  <c r="K57" i="13"/>
  <c r="K33" i="8"/>
  <c r="K64" i="13"/>
  <c r="K34" i="8"/>
  <c r="G64" i="13"/>
  <c r="G34" i="8"/>
  <c r="D55" i="13"/>
  <c r="D62" i="13"/>
  <c r="D56" i="13"/>
  <c r="D63" i="13"/>
  <c r="D53" i="13"/>
  <c r="D60" i="13"/>
  <c r="H28" i="13"/>
  <c r="H31" i="8"/>
  <c r="I28" i="13"/>
  <c r="I31" i="8"/>
  <c r="J28" i="13"/>
  <c r="J31" i="8"/>
  <c r="K28" i="13"/>
  <c r="K31" i="8"/>
  <c r="G28" i="13"/>
  <c r="G31" i="8"/>
  <c r="C11" i="8"/>
  <c r="J23" i="8"/>
  <c r="J21" i="8"/>
  <c r="H9" i="11"/>
  <c r="J19" i="8"/>
  <c r="J18" i="8"/>
  <c r="F23" i="8"/>
  <c r="I23" i="8"/>
  <c r="F21" i="8"/>
  <c r="I21" i="8"/>
  <c r="F19" i="8"/>
  <c r="I19" i="8"/>
  <c r="F18" i="8"/>
  <c r="I18" i="8"/>
  <c r="D8" i="11"/>
  <c r="D18" i="8"/>
  <c r="D9" i="11"/>
  <c r="D19" i="8"/>
  <c r="C10" i="11"/>
  <c r="C20" i="8"/>
  <c r="D11" i="11"/>
  <c r="D21" i="8"/>
  <c r="C12" i="11"/>
  <c r="C22" i="8"/>
  <c r="D13" i="11"/>
  <c r="D23" i="8"/>
  <c r="C7" i="11"/>
  <c r="C17" i="8"/>
  <c r="C6" i="8"/>
  <c r="A3" i="8"/>
  <c r="E48" i="12"/>
  <c r="D47" i="12"/>
  <c r="E46" i="12"/>
  <c r="D45" i="12"/>
  <c r="E44" i="12"/>
  <c r="E43" i="12"/>
  <c r="D42" i="12"/>
  <c r="I52" i="12"/>
  <c r="J52" i="12"/>
  <c r="K52" i="12"/>
  <c r="L52" i="12"/>
  <c r="H52" i="12"/>
  <c r="F9" i="11"/>
  <c r="G9" i="11"/>
  <c r="G19" i="12"/>
  <c r="G18" i="12"/>
  <c r="A3" i="11"/>
  <c r="H37" i="12"/>
  <c r="H35" i="12"/>
  <c r="H33" i="12"/>
  <c r="D20" i="12"/>
  <c r="D17" i="12"/>
  <c r="A3" i="12"/>
  <c r="A1" i="19"/>
  <c r="G23" i="13"/>
  <c r="H23" i="13"/>
  <c r="I23" i="13"/>
  <c r="J23" i="13"/>
  <c r="K23" i="13"/>
  <c r="A3" i="13"/>
  <c r="A1" i="18"/>
  <c r="AH13" i="11"/>
  <c r="I48" i="12"/>
  <c r="AD13" i="11"/>
  <c r="I42" i="8"/>
  <c r="J48" i="12"/>
  <c r="K13" i="11"/>
  <c r="L13" i="11"/>
  <c r="G35" i="8"/>
  <c r="J35" i="8"/>
  <c r="H35" i="8"/>
  <c r="K35" i="8"/>
  <c r="I35" i="8"/>
  <c r="V13" i="11"/>
  <c r="X13" i="11"/>
  <c r="G23" i="8"/>
  <c r="AO13" i="11"/>
  <c r="U13" i="11"/>
  <c r="W13" i="11"/>
  <c r="Y13" i="11"/>
  <c r="AJ13" i="11"/>
  <c r="H43" i="8"/>
  <c r="AL13" i="11"/>
  <c r="J43" i="8"/>
  <c r="AI13" i="11"/>
  <c r="G43" i="8"/>
  <c r="AK13" i="11"/>
  <c r="I43" i="8"/>
  <c r="AM13" i="11"/>
  <c r="K43" i="8"/>
  <c r="W14" i="11"/>
  <c r="I40" i="8"/>
  <c r="AQ13" i="11"/>
  <c r="AR13" i="11"/>
  <c r="AS13" i="11"/>
  <c r="AT13" i="11"/>
  <c r="AP13" i="11"/>
  <c r="X14" i="11"/>
  <c r="J40" i="8"/>
  <c r="Y14" i="11"/>
  <c r="K40" i="8"/>
  <c r="U14" i="11"/>
  <c r="G40" i="8"/>
  <c r="V14" i="11"/>
  <c r="H40" i="8"/>
  <c r="G44" i="8"/>
  <c r="G45" i="8"/>
  <c r="J44" i="8"/>
  <c r="J45" i="8"/>
  <c r="H44" i="8"/>
  <c r="H45" i="8"/>
  <c r="K44" i="8"/>
  <c r="K45" i="8"/>
  <c r="I44" i="8"/>
  <c r="I45" i="8"/>
</calcChain>
</file>

<file path=xl/sharedStrings.xml><?xml version="1.0" encoding="utf-8"?>
<sst xmlns="http://schemas.openxmlformats.org/spreadsheetml/2006/main" count="281" uniqueCount="189">
  <si>
    <t>Description</t>
  </si>
  <si>
    <t>2014-2019 Pricing Methodology for Service (Summary)</t>
  </si>
  <si>
    <t>2009/10</t>
  </si>
  <si>
    <t>2010/11</t>
  </si>
  <si>
    <t>2011/12</t>
  </si>
  <si>
    <t>2012/13</t>
  </si>
  <si>
    <t>2013/14</t>
  </si>
  <si>
    <t>2014/15</t>
  </si>
  <si>
    <t>2015/16</t>
  </si>
  <si>
    <t>2016/17</t>
  </si>
  <si>
    <t>2017/18</t>
  </si>
  <si>
    <t>2018/19</t>
  </si>
  <si>
    <t>This worksheet left blank intentionally</t>
  </si>
  <si>
    <t>Revenue</t>
  </si>
  <si>
    <t/>
  </si>
  <si>
    <t>Ancillary Network Services Pricing Model</t>
  </si>
  <si>
    <t>Global Inputs Sheet</t>
  </si>
  <si>
    <t>Model Description</t>
  </si>
  <si>
    <t>AER service category</t>
  </si>
  <si>
    <t>Business name</t>
  </si>
  <si>
    <t>Essential Energy</t>
  </si>
  <si>
    <t>Basic identification inputs</t>
  </si>
  <si>
    <t>Fixed inputs</t>
  </si>
  <si>
    <t>Historical periods</t>
  </si>
  <si>
    <t>Forecast periods</t>
  </si>
  <si>
    <t>Labour rate inputs</t>
  </si>
  <si>
    <t>Loaded ordinary time labour rates - for regulatory period</t>
  </si>
  <si>
    <t>R1</t>
  </si>
  <si>
    <t>Administration</t>
  </si>
  <si>
    <t>$ / hour</t>
  </si>
  <si>
    <t>R2a</t>
  </si>
  <si>
    <t>Indoor technical officer</t>
  </si>
  <si>
    <t>R2b</t>
  </si>
  <si>
    <t>Outdoor technical officer</t>
  </si>
  <si>
    <t>R3</t>
  </si>
  <si>
    <t>Engineering Officer</t>
  </si>
  <si>
    <t>R4</t>
  </si>
  <si>
    <t>Field Worker</t>
  </si>
  <si>
    <t>Sources</t>
  </si>
  <si>
    <t>Historical revenues</t>
  </si>
  <si>
    <t>$</t>
  </si>
  <si>
    <t>Historical costs</t>
  </si>
  <si>
    <t>Historical volumes - services</t>
  </si>
  <si>
    <t>Historical volumes - hours / service</t>
  </si>
  <si>
    <t>01d</t>
  </si>
  <si>
    <t>01c</t>
  </si>
  <si>
    <t>01e</t>
  </si>
  <si>
    <t># for class</t>
  </si>
  <si>
    <t>Fee construction inputs</t>
  </si>
  <si>
    <t>Proposed fee basis</t>
  </si>
  <si>
    <t>/ hour</t>
  </si>
  <si>
    <t>Standard hours for / application fees</t>
  </si>
  <si>
    <t>Historical</t>
  </si>
  <si>
    <t>average</t>
  </si>
  <si>
    <t>Expected hours for / hour fees</t>
  </si>
  <si>
    <t>Expected service volumes</t>
  </si>
  <si>
    <t>Code</t>
  </si>
  <si>
    <t>Service descriptions</t>
  </si>
  <si>
    <t>Proposed services</t>
  </si>
  <si>
    <t>Short name</t>
  </si>
  <si>
    <t>Full name name</t>
  </si>
  <si>
    <t>Service description</t>
  </si>
  <si>
    <t xml:space="preserve">In order to derive unit rates for this ancillary network service, the following methodology was used:      
-  The business units that provide this ancillary network service provided estimates for the amount of time taken to carry out the various tasks and which employee positions carried out these tasks.      
-  For each employee position an average hourly rate ($2013/14) was calculated and multiplied by the applicable hours to determine the unit cost for each task. The unit cost of all tasks were then totalled to derive the overall unit rate for this service.     
-  The forecast unit rate was applied to the volumes forecast for the 2014 - 2019 regulatory period for this ancillary network service to calculate an estimate for direct operating expenditure for this ancillary network service.   
Overheads were applied to the direct costs based on our Cost Allocation Methodology (CAM).          </t>
  </si>
  <si>
    <t>Historical prices</t>
  </si>
  <si>
    <t>Service History Inputs Sheet</t>
  </si>
  <si>
    <t>Service Projections Inputs Sheet</t>
  </si>
  <si>
    <t>Fee Construction Sheet</t>
  </si>
  <si>
    <t>Proposed fee descriptions</t>
  </si>
  <si>
    <t>Standard hrs</t>
  </si>
  <si>
    <t>Rate</t>
  </si>
  <si>
    <t>Fee</t>
  </si>
  <si>
    <t>standard</t>
  </si>
  <si>
    <t>AER current</t>
  </si>
  <si>
    <t>Proposed</t>
  </si>
  <si>
    <t>Standard</t>
  </si>
  <si>
    <t>Proposed fees</t>
  </si>
  <si>
    <t>Current fees</t>
  </si>
  <si>
    <t>Applicable hourly rates selection</t>
  </si>
  <si>
    <t>Hrs / service</t>
  </si>
  <si>
    <t>Summary</t>
  </si>
  <si>
    <t>Current fee</t>
  </si>
  <si>
    <t>Proposed fee</t>
  </si>
  <si>
    <t>Basis</t>
  </si>
  <si>
    <t>Fee methodology</t>
  </si>
  <si>
    <t>Historical and projected revenue and costs</t>
  </si>
  <si>
    <t>Historical financial information</t>
  </si>
  <si>
    <t>Direct costs</t>
  </si>
  <si>
    <t>Indirect costs</t>
  </si>
  <si>
    <t>Projected financial information</t>
  </si>
  <si>
    <t>Check Sheet</t>
  </si>
  <si>
    <t>Sum of checks</t>
  </si>
  <si>
    <t>It is best to work with the model locked - via Protection under the Tools tab.  This way you can't overwrite logic cells in error.</t>
  </si>
  <si>
    <t xml:space="preserve">Cells intended for input on the Inputs sheet are unlocked using Cell, Protection under the Format tab.  All other cells in the model are locked </t>
  </si>
  <si>
    <t>- but it is not activated until Protection is used to lock each sheet.</t>
  </si>
  <si>
    <t>The model has a Check Sheet.  How it works is that checks can be added that are designed to produce a zero result - if the check is passed.</t>
  </si>
  <si>
    <t>D5 on the Check Sheet summs the checks - and an IF formula at the top of each page of the model alerts users to any failed tests.</t>
  </si>
  <si>
    <r>
      <t>The</t>
    </r>
    <r>
      <rPr>
        <b/>
        <sz val="10"/>
        <color indexed="8"/>
        <rFont val="Arial"/>
        <family val="2"/>
      </rPr>
      <t xml:space="preserve"> only</t>
    </r>
    <r>
      <rPr>
        <sz val="11"/>
        <color theme="1"/>
        <rFont val="Calibri"/>
        <family val="2"/>
        <scheme val="minor"/>
      </rPr>
      <t xml:space="preserve"> place for inputs is the various Inputs sheets in cells shaded</t>
    </r>
  </si>
  <si>
    <t>Cells shaded</t>
  </si>
  <si>
    <t xml:space="preserve">  are for a description of the source of inputs shown to the left.  The description should be sufficiently</t>
  </si>
  <si>
    <t>detailed to allow someone to track back to the source and check it.</t>
  </si>
  <si>
    <t>Direct</t>
  </si>
  <si>
    <t>Indirect</t>
  </si>
  <si>
    <t>Finance</t>
  </si>
  <si>
    <t>Loaded</t>
  </si>
  <si>
    <t>all in 2013/14 $</t>
  </si>
  <si>
    <t>costs</t>
  </si>
  <si>
    <t>charge</t>
  </si>
  <si>
    <t>rate</t>
  </si>
  <si>
    <t>Selected hourly rate data</t>
  </si>
  <si>
    <t>13/14 rate</t>
  </si>
  <si>
    <t>Proposed fees (2013/14 $)</t>
  </si>
  <si>
    <t>Reg. per.</t>
  </si>
  <si>
    <t>Projected revenue (2013/14 $)</t>
  </si>
  <si>
    <t>Projected direct cost (2013/14 $)</t>
  </si>
  <si>
    <t>$ / service</t>
  </si>
  <si>
    <t>Projected indirect cost (2013/14 $)</t>
  </si>
  <si>
    <t>2013/14 $</t>
  </si>
  <si>
    <t>nominal $</t>
  </si>
  <si>
    <t>All historical data is presented in nominal $s.  All projections are presented in 2013/14 $.  This presentation is required by Appendix E</t>
  </si>
  <si>
    <t>(paras 1.9 and 1.10) of the Regulatory Information Notice issued to Essential on 7 March 2014.</t>
  </si>
  <si>
    <t>Allocation</t>
  </si>
  <si>
    <t>Management estimates</t>
  </si>
  <si>
    <t>of historical volumes</t>
  </si>
  <si>
    <t>Current AER</t>
  </si>
  <si>
    <t>Management estimate</t>
  </si>
  <si>
    <t>of historical hours / service</t>
  </si>
  <si>
    <t>Summary description</t>
  </si>
  <si>
    <t>Historical revenue has been sourced from Essential Energy's General Ledger</t>
  </si>
  <si>
    <t xml:space="preserve">Proposed </t>
  </si>
  <si>
    <t xml:space="preserve">The proposed fee basis is consistent with the current design fee structure being applied. </t>
  </si>
  <si>
    <t>Historical staffing</t>
  </si>
  <si>
    <t>Staff involved with service</t>
  </si>
  <si>
    <t>Projected staffing</t>
  </si>
  <si>
    <t>This model has been prepared to develop proposed ASP Related ANS prices for the regulatory period 2014/15 to 2018/19.</t>
  </si>
  <si>
    <t>09 - Authorisation of ASPs</t>
  </si>
  <si>
    <t>24 - Remedial (ASPs)</t>
  </si>
  <si>
    <t>ASP Fees</t>
  </si>
  <si>
    <t>Authorisation of ASPs</t>
  </si>
  <si>
    <t xml:space="preserve">The initial issue and renewal of Network Authorisations to Level 1 and 2 ASPs </t>
  </si>
  <si>
    <t>Remedial action of ASPs</t>
  </si>
  <si>
    <t>Investigate, review &amp; impementation of remedial actions associated with ASP's connection works</t>
  </si>
  <si>
    <t>Annual authorisation refresh</t>
  </si>
  <si>
    <t>per authorisation (initial)</t>
  </si>
  <si>
    <t>per authorisation (renewal)</t>
  </si>
  <si>
    <t>09a</t>
  </si>
  <si>
    <t>09b</t>
  </si>
  <si>
    <t>Initial Authorisations</t>
  </si>
  <si>
    <t>Authorisation Renewals</t>
  </si>
  <si>
    <t>Annual refresher course</t>
  </si>
  <si>
    <t>Investigation, review and implementation</t>
  </si>
  <si>
    <t>/ authorisation</t>
  </si>
  <si>
    <t>Split</t>
  </si>
  <si>
    <t>n.a</t>
  </si>
  <si>
    <t>Additional costs</t>
  </si>
  <si>
    <t>Stores</t>
  </si>
  <si>
    <t>Stationary, courier etc</t>
  </si>
  <si>
    <t>E-learning</t>
  </si>
  <si>
    <t>Materials</t>
  </si>
  <si>
    <t>Meals</t>
  </si>
  <si>
    <t>Trainer</t>
  </si>
  <si>
    <t>Indirect Costs</t>
  </si>
  <si>
    <t>Finance Charge</t>
  </si>
  <si>
    <t>Loaded cost rates</t>
  </si>
  <si>
    <t>Per Unit</t>
  </si>
  <si>
    <t>Per hour</t>
  </si>
  <si>
    <t>Authorisation - annual refresher course</t>
  </si>
  <si>
    <t xml:space="preserve">09 - The initial issue and renewal of Network Authorisations to Level 1 and 2 ASP's and the provision of ASP Authorisation training for initial and currency (refresher) training of ASP employees and sub-contractors      
</t>
  </si>
  <si>
    <t xml:space="preserve">24 - The investigation, review and implementation of remedial actions associated with contestable connection works, leading to corrective and disciplinary action against an ASP due to unsafe practices, substandard workmanship or other serious circumstances.
</t>
  </si>
  <si>
    <t xml:space="preserve">Historical costs have been estimated on a top down basis using the estimated volume of services completed, and estimated hours required to complete each service. </t>
  </si>
  <si>
    <t>Authorisation of ASPs - Initial</t>
  </si>
  <si>
    <t>The annual renewal of ASP authorisations</t>
  </si>
  <si>
    <t>Authorisation - renewal</t>
  </si>
  <si>
    <t>Indirect costs include the historical divisional and corporate overheads.</t>
  </si>
  <si>
    <t>Stationery, courier etc</t>
  </si>
  <si>
    <t>Projected finance cost (2013/14 $)</t>
  </si>
  <si>
    <t>Finance Cost</t>
  </si>
  <si>
    <t>This represents the estimated staff number required to provide each service.</t>
  </si>
  <si>
    <t>Authorisation Training</t>
  </si>
  <si>
    <t>Estimated hours to complete each authorisation and associated training have been calculated using a detailed bottom up calculation.
The average hours per remedial investigation, have been estimated using available records</t>
  </si>
  <si>
    <t>The proposed hourly rates for initial authorisation allow for a mix of technical and administrative resources.</t>
  </si>
  <si>
    <t>Proposed hours are consistent with management assessment of the actual hours required to complete each service.</t>
  </si>
  <si>
    <t>The average hours per remedial investigation, have been estimated using available records</t>
  </si>
  <si>
    <t>Forecast volumes have been estimated on the basis of existing service volumes, and past records where available.</t>
  </si>
  <si>
    <t>Material costs have been estimated on a bottom up basis.</t>
  </si>
  <si>
    <t xml:space="preserve">These labour rates are based on 2013/14 base year, and escalated in line with Essential Energy's forecast real wage movement over the regulatory period. An average rate for the 2015-2019 regulatory period has then been calculated, to allow a single rate for pricing. The average rate includes forecast Labour Oncosts and Plant Recovery in line with Essential Energy's costing methodology.
The indirect costs consist of forecast divisional and corporate overheads, averaged for the regulatory period. The finance charge represents financing costs over the time period between provision of the service and receipt of payment.
</t>
  </si>
  <si>
    <t>F&amp;A ref</t>
  </si>
  <si>
    <t>Ancillary Network Services Labour Rates Model</t>
  </si>
  <si>
    <t>As the costs associated with these services was included in Standard Control and any shortfall recovered through tariff revenue, Essential Energy only has accurate accounting records for the revenue received from these services historically, not the costs.
Service volumes have been estimated by the ASP Authorisations Co-ordinator and reviewed by the Manager Electrical Safety &amp; Authorisations
Remedial action volumes have been sourced from available records and reviewed by the Contestable Works Investigator</t>
  </si>
  <si>
    <t>n.a.</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</si>
</sst>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_-;\-* #,##0.00_-;_-* &quot;-&quot;??_-;_-@_-"/>
    <numFmt numFmtId="164" formatCode="_(&quot;$&quot;* #,##0.00_);_(&quot;$&quot;* \(#,##0.00\);_(&quot;$&quot;* &quot;-&quot;??_);_(@_)"/>
    <numFmt numFmtId="165" formatCode="_(* #,##0.00_);_(* \(#,##0.00\);_(* &quot;-&quot;??_);_(@_)"/>
    <numFmt numFmtId="166" formatCode="0.0%"/>
    <numFmt numFmtId="167" formatCode="_(* #,##0_);_(* \(#,##0\);_(* &quot;-&quot;??_);_(@_)"/>
    <numFmt numFmtId="168" formatCode="_(* #,##0.0_);_(* \(#,##0.0\);_(* &quot;-&quot;??_);_(@_)"/>
    <numFmt numFmtId="169" formatCode="_-* #,##0_-;\-* #,##0_-;_-* &quot;-&quot;??_-;_-@_-"/>
    <numFmt numFmtId="170" formatCode="_-* #,##0.0000_-;\-* #,##0.0000_-;_-* &quot;-&quot;??_-;_-@_-"/>
    <numFmt numFmtId="171" formatCode="0.0"/>
    <numFmt numFmtId="172" formatCode="_([$€-2]* #,##0.00_);_([$€-2]* \(#,##0.00\);_([$€-2]* &quot;-&quot;??_)"/>
  </numFmts>
  <fonts count="19" x14ac:knownFonts="1">
    <font>
      <sz val="11"/>
      <color theme="1"/>
      <name val="Calibri"/>
      <family val="2"/>
      <scheme val="minor"/>
    </font>
    <font>
      <sz val="10"/>
      <color theme="1"/>
      <name val="Arial"/>
      <family val="2"/>
    </font>
    <font>
      <sz val="11"/>
      <color theme="1"/>
      <name val="Calibri"/>
      <family val="2"/>
      <scheme val="minor"/>
    </font>
    <font>
      <b/>
      <sz val="11"/>
      <color theme="1"/>
      <name val="Calibri"/>
      <family val="2"/>
      <scheme val="minor"/>
    </font>
    <font>
      <sz val="10"/>
      <name val="Arial"/>
      <family val="2"/>
    </font>
    <font>
      <sz val="11"/>
      <color theme="1"/>
      <name val="Arial"/>
      <family val="2"/>
    </font>
    <font>
      <b/>
      <sz val="12"/>
      <color theme="1"/>
      <name val="Calibri"/>
      <family val="2"/>
      <scheme val="minor"/>
    </font>
    <font>
      <u/>
      <sz val="11"/>
      <color theme="10"/>
      <name val="Calibri"/>
      <family val="2"/>
      <scheme val="minor"/>
    </font>
    <font>
      <u/>
      <sz val="11"/>
      <color theme="11"/>
      <name val="Calibri"/>
      <family val="2"/>
      <scheme val="minor"/>
    </font>
    <font>
      <b/>
      <sz val="10"/>
      <color theme="1"/>
      <name val="Arial"/>
      <family val="2"/>
    </font>
    <font>
      <b/>
      <sz val="11"/>
      <color theme="1"/>
      <name val="Arial"/>
      <family val="2"/>
    </font>
    <font>
      <sz val="11"/>
      <color theme="0" tint="-0.499984740745262"/>
      <name val="Calibri"/>
      <family val="2"/>
      <scheme val="minor"/>
    </font>
    <font>
      <sz val="10"/>
      <color rgb="FFFF0000"/>
      <name val="Arial"/>
      <family val="2"/>
    </font>
    <font>
      <b/>
      <sz val="10"/>
      <color indexed="8"/>
      <name val="Arial"/>
      <family val="2"/>
    </font>
    <font>
      <sz val="11"/>
      <color rgb="FFFF0000"/>
      <name val="Arial"/>
      <family val="2"/>
    </font>
    <font>
      <b/>
      <sz val="14"/>
      <color theme="1"/>
      <name val="Arial"/>
      <family val="2"/>
    </font>
    <font>
      <sz val="11"/>
      <color indexed="8"/>
      <name val="Arial"/>
      <family val="2"/>
    </font>
    <font>
      <sz val="9"/>
      <color theme="1"/>
      <name val="Arial"/>
      <family val="2"/>
    </font>
    <font>
      <sz val="11"/>
      <color theme="0"/>
      <name val="Calibri"/>
      <family val="2"/>
      <scheme val="minor"/>
    </font>
  </fonts>
  <fills count="10">
    <fill>
      <patternFill patternType="none"/>
    </fill>
    <fill>
      <patternFill patternType="gray125"/>
    </fill>
    <fill>
      <patternFill patternType="solid">
        <fgColor theme="6" tint="0.39997558519241921"/>
        <bgColor indexed="64"/>
      </patternFill>
    </fill>
    <fill>
      <patternFill patternType="solid">
        <fgColor rgb="FFFFFFCC"/>
      </patternFill>
    </fill>
    <fill>
      <patternFill patternType="solid">
        <fgColor theme="9" tint="0.59999389629810485"/>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3" tint="0.59999389629810485"/>
        <bgColor indexed="64"/>
      </patternFill>
    </fill>
    <fill>
      <patternFill patternType="solid">
        <fgColor theme="5"/>
      </patternFill>
    </fill>
  </fills>
  <borders count="14">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style="thin">
        <color theme="1"/>
      </top>
      <bottom/>
      <diagonal/>
    </border>
  </borders>
  <cellStyleXfs count="581">
    <xf numFmtId="0" fontId="0" fillId="0" borderId="0"/>
    <xf numFmtId="9"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0" fontId="4" fillId="0" borderId="0"/>
    <xf numFmtId="0" fontId="5" fillId="0" borderId="0"/>
    <xf numFmtId="0" fontId="1" fillId="0" borderId="0"/>
    <xf numFmtId="9" fontId="5" fillId="0" borderId="0" applyFont="0" applyFill="0" applyBorder="0" applyAlignment="0" applyProtection="0"/>
    <xf numFmtId="9" fontId="1" fillId="0" borderId="0" applyFont="0" applyFill="0" applyBorder="0" applyAlignment="0" applyProtection="0"/>
    <xf numFmtId="165" fontId="4" fillId="0" borderId="0" applyFont="0" applyFill="0" applyBorder="0" applyAlignment="0" applyProtection="0"/>
    <xf numFmtId="165" fontId="5" fillId="0" borderId="0" applyFont="0" applyFill="0" applyBorder="0" applyAlignment="0" applyProtection="0"/>
    <xf numFmtId="0" fontId="4" fillId="0" borderId="0"/>
    <xf numFmtId="0" fontId="1" fillId="0" borderId="0"/>
    <xf numFmtId="0" fontId="2" fillId="3" borderId="12" applyNumberFormat="0" applyFont="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16"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8" fillId="9"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4" fillId="0" borderId="0" applyFont="0" applyFill="0" applyBorder="0" applyAlignment="0" applyProtection="0"/>
    <xf numFmtId="164" fontId="2" fillId="0" borderId="0" applyFont="0" applyFill="0" applyBorder="0" applyAlignment="0" applyProtection="0"/>
    <xf numFmtId="172" fontId="4" fillId="0" borderId="0"/>
    <xf numFmtId="0" fontId="4" fillId="0" borderId="0"/>
    <xf numFmtId="0" fontId="2" fillId="0" borderId="0"/>
    <xf numFmtId="0" fontId="4" fillId="0" borderId="0" applyFill="0"/>
    <xf numFmtId="0" fontId="4" fillId="0" borderId="0"/>
    <xf numFmtId="0" fontId="1" fillId="0" borderId="0"/>
    <xf numFmtId="0" fontId="1" fillId="0" borderId="0"/>
    <xf numFmtId="172"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164" fontId="2" fillId="0" borderId="0" applyFont="0" applyFill="0" applyBorder="0" applyAlignment="0" applyProtection="0"/>
    <xf numFmtId="165" fontId="2" fillId="0" borderId="0" applyFont="0" applyFill="0" applyBorder="0" applyAlignment="0" applyProtection="0"/>
  </cellStyleXfs>
  <cellXfs count="194">
    <xf numFmtId="0" fontId="0" fillId="0" borderId="0" xfId="0"/>
    <xf numFmtId="0" fontId="3" fillId="0" borderId="0" xfId="0" applyFont="1"/>
    <xf numFmtId="0" fontId="0" fillId="0" borderId="0" xfId="0" applyFill="1"/>
    <xf numFmtId="0" fontId="0" fillId="0" borderId="0" xfId="0" applyAlignment="1">
      <alignment horizontal="left"/>
    </xf>
    <xf numFmtId="0" fontId="0" fillId="0" borderId="0" xfId="0" applyFont="1"/>
    <xf numFmtId="0" fontId="6" fillId="0" borderId="0" xfId="0" applyFont="1"/>
    <xf numFmtId="0" fontId="1" fillId="0" borderId="0" xfId="0" applyFont="1" applyAlignment="1">
      <alignment vertical="center"/>
    </xf>
    <xf numFmtId="0" fontId="1" fillId="0" borderId="0" xfId="0" applyFont="1" applyAlignment="1">
      <alignment horizontal="left" vertical="center"/>
    </xf>
    <xf numFmtId="0" fontId="1" fillId="0" borderId="9" xfId="0" applyFont="1" applyBorder="1" applyAlignment="1">
      <alignment vertical="center"/>
    </xf>
    <xf numFmtId="0" fontId="1" fillId="0" borderId="9" xfId="0" applyFont="1" applyBorder="1" applyAlignment="1">
      <alignment horizontal="center" vertical="center"/>
    </xf>
    <xf numFmtId="0" fontId="1" fillId="0" borderId="5" xfId="0" applyFont="1" applyBorder="1" applyAlignment="1">
      <alignment vertical="center"/>
    </xf>
    <xf numFmtId="0" fontId="1" fillId="0" borderId="0" xfId="0" applyFont="1" applyBorder="1" applyAlignment="1">
      <alignment vertical="center"/>
    </xf>
    <xf numFmtId="0" fontId="1" fillId="0" borderId="6" xfId="0" applyFont="1" applyBorder="1" applyAlignment="1">
      <alignment vertical="center"/>
    </xf>
    <xf numFmtId="0" fontId="1" fillId="0" borderId="0" xfId="0" applyFont="1" applyAlignment="1">
      <alignment horizontal="center" vertical="center"/>
    </xf>
    <xf numFmtId="0" fontId="1" fillId="0" borderId="0" xfId="0" applyFont="1"/>
    <xf numFmtId="0" fontId="9" fillId="0" borderId="0" xfId="0" applyFont="1"/>
    <xf numFmtId="0" fontId="10" fillId="0" borderId="0" xfId="0" applyFont="1"/>
    <xf numFmtId="0" fontId="1" fillId="2" borderId="0" xfId="0" applyFont="1" applyFill="1" applyAlignment="1">
      <alignment vertical="top" wrapText="1"/>
    </xf>
    <xf numFmtId="168" fontId="1" fillId="0" borderId="0" xfId="0" applyNumberFormat="1" applyFont="1" applyAlignment="1">
      <alignment vertical="center"/>
    </xf>
    <xf numFmtId="0" fontId="1" fillId="0" borderId="0" xfId="0" applyFont="1" applyAlignment="1">
      <alignment vertical="top" wrapText="1"/>
    </xf>
    <xf numFmtId="0" fontId="9" fillId="0" borderId="0" xfId="0" applyFont="1" applyAlignment="1">
      <alignment vertical="top" wrapText="1"/>
    </xf>
    <xf numFmtId="167" fontId="1" fillId="0" borderId="0" xfId="0" applyNumberFormat="1" applyFont="1" applyAlignment="1">
      <alignment vertical="center"/>
    </xf>
    <xf numFmtId="165" fontId="1" fillId="0" borderId="0" xfId="2" applyFont="1" applyAlignment="1">
      <alignment vertical="center"/>
    </xf>
    <xf numFmtId="167" fontId="1" fillId="0" borderId="0" xfId="2" applyNumberFormat="1" applyFont="1" applyAlignment="1">
      <alignment vertical="center"/>
    </xf>
    <xf numFmtId="0" fontId="1" fillId="0" borderId="0" xfId="0" applyFont="1" applyBorder="1" applyAlignment="1">
      <alignment horizontal="center" vertical="center"/>
    </xf>
    <xf numFmtId="0" fontId="0" fillId="0" borderId="9" xfId="0" applyBorder="1" applyAlignment="1">
      <alignment horizontal="left"/>
    </xf>
    <xf numFmtId="0" fontId="0" fillId="0" borderId="0" xfId="0" applyAlignment="1">
      <alignment horizontal="left" vertical="top" wrapText="1"/>
    </xf>
    <xf numFmtId="0" fontId="1" fillId="0" borderId="0" xfId="0" applyFont="1" applyAlignment="1">
      <alignment vertical="top"/>
    </xf>
    <xf numFmtId="0" fontId="0" fillId="0" borderId="0" xfId="0" applyAlignment="1">
      <alignment horizontal="left" vertical="top"/>
    </xf>
    <xf numFmtId="0" fontId="1" fillId="0" borderId="8" xfId="0" applyFont="1" applyBorder="1" applyAlignment="1">
      <alignment horizontal="center" vertical="center"/>
    </xf>
    <xf numFmtId="0" fontId="1" fillId="0" borderId="4" xfId="0" applyFont="1" applyBorder="1" applyAlignment="1">
      <alignment vertical="center"/>
    </xf>
    <xf numFmtId="0" fontId="1" fillId="0" borderId="11" xfId="0" applyFont="1" applyBorder="1" applyAlignment="1">
      <alignment vertical="center"/>
    </xf>
    <xf numFmtId="0" fontId="1" fillId="0" borderId="7" xfId="0" applyFont="1" applyBorder="1" applyAlignment="1">
      <alignment vertical="center"/>
    </xf>
    <xf numFmtId="0" fontId="1" fillId="0" borderId="8" xfId="0" applyFont="1" applyBorder="1" applyAlignment="1">
      <alignment vertical="center"/>
    </xf>
    <xf numFmtId="0" fontId="1" fillId="0" borderId="10" xfId="0" applyFont="1" applyBorder="1" applyAlignment="1">
      <alignment vertical="center"/>
    </xf>
    <xf numFmtId="0" fontId="1" fillId="0" borderId="10" xfId="0" applyFont="1" applyBorder="1" applyAlignment="1">
      <alignment horizontal="center" vertical="center"/>
    </xf>
    <xf numFmtId="165" fontId="1" fillId="0" borderId="6" xfId="2" applyFont="1" applyBorder="1" applyAlignment="1">
      <alignment vertical="center"/>
    </xf>
    <xf numFmtId="165" fontId="1" fillId="0" borderId="0" xfId="2" applyFont="1" applyBorder="1" applyAlignment="1">
      <alignment vertical="center"/>
    </xf>
    <xf numFmtId="165" fontId="1" fillId="0" borderId="7" xfId="2" applyFont="1" applyBorder="1" applyAlignment="1">
      <alignment vertical="center"/>
    </xf>
    <xf numFmtId="165" fontId="1" fillId="0" borderId="7" xfId="0" applyNumberFormat="1" applyFont="1" applyBorder="1" applyAlignment="1">
      <alignment vertical="center"/>
    </xf>
    <xf numFmtId="169" fontId="1" fillId="0" borderId="0" xfId="0" applyNumberFormat="1" applyFont="1" applyBorder="1" applyAlignment="1">
      <alignment vertical="center"/>
    </xf>
    <xf numFmtId="169" fontId="1" fillId="0" borderId="7" xfId="0" applyNumberFormat="1" applyFont="1" applyBorder="1" applyAlignment="1">
      <alignment vertical="center"/>
    </xf>
    <xf numFmtId="169" fontId="1" fillId="0" borderId="6" xfId="0" applyNumberFormat="1" applyFont="1" applyBorder="1" applyAlignment="1">
      <alignment vertical="center"/>
    </xf>
    <xf numFmtId="165" fontId="1" fillId="0" borderId="6" xfId="0" applyNumberFormat="1" applyFont="1" applyBorder="1" applyAlignment="1">
      <alignment vertical="center"/>
    </xf>
    <xf numFmtId="0" fontId="0" fillId="0" borderId="0" xfId="0" applyAlignment="1">
      <alignment horizontal="center"/>
    </xf>
    <xf numFmtId="0" fontId="11" fillId="0" borderId="0" xfId="0" applyFont="1" applyAlignment="1">
      <alignment horizontal="center"/>
    </xf>
    <xf numFmtId="0" fontId="11" fillId="0" borderId="0" xfId="0" applyFont="1"/>
    <xf numFmtId="0" fontId="0" fillId="0" borderId="0" xfId="0" applyBorder="1"/>
    <xf numFmtId="0" fontId="0" fillId="0" borderId="0" xfId="0" applyBorder="1" applyAlignment="1">
      <alignment horizontal="center"/>
    </xf>
    <xf numFmtId="0" fontId="11" fillId="0" borderId="0" xfId="0" applyFont="1" applyBorder="1"/>
    <xf numFmtId="165" fontId="0" fillId="0" borderId="0" xfId="2" applyFont="1" applyBorder="1"/>
    <xf numFmtId="2" fontId="11" fillId="0" borderId="0" xfId="0" applyNumberFormat="1" applyFont="1" applyBorder="1"/>
    <xf numFmtId="0" fontId="0" fillId="0" borderId="9" xfId="0" applyBorder="1"/>
    <xf numFmtId="0" fontId="0" fillId="8" borderId="0" xfId="0" applyFill="1"/>
    <xf numFmtId="0" fontId="0" fillId="8" borderId="4" xfId="0" applyFill="1" applyBorder="1"/>
    <xf numFmtId="0" fontId="0" fillId="8" borderId="5" xfId="0" applyFill="1" applyBorder="1"/>
    <xf numFmtId="0" fontId="0" fillId="8" borderId="11" xfId="0" applyFill="1" applyBorder="1"/>
    <xf numFmtId="0" fontId="0" fillId="0" borderId="9" xfId="0" applyBorder="1" applyAlignment="1">
      <alignment horizontal="center"/>
    </xf>
    <xf numFmtId="0" fontId="11" fillId="0" borderId="9" xfId="0" applyFont="1" applyBorder="1" applyAlignment="1">
      <alignment horizontal="center"/>
    </xf>
    <xf numFmtId="0" fontId="0" fillId="0" borderId="0" xfId="0" applyBorder="1" applyAlignment="1">
      <alignment vertical="top" wrapText="1"/>
    </xf>
    <xf numFmtId="0" fontId="0" fillId="8" borderId="8" xfId="0" applyFill="1" applyBorder="1"/>
    <xf numFmtId="0" fontId="0" fillId="8" borderId="6" xfId="0" applyFill="1" applyBorder="1"/>
    <xf numFmtId="0" fontId="0" fillId="8" borderId="7" xfId="0" applyFill="1" applyBorder="1"/>
    <xf numFmtId="0" fontId="0" fillId="8" borderId="9" xfId="0" applyFill="1" applyBorder="1" applyAlignment="1">
      <alignment vertical="top" wrapText="1"/>
    </xf>
    <xf numFmtId="0" fontId="0" fillId="8" borderId="10" xfId="0" applyFill="1" applyBorder="1"/>
    <xf numFmtId="0" fontId="0" fillId="8" borderId="5" xfId="0" applyFill="1" applyBorder="1" applyAlignment="1">
      <alignment vertical="top" wrapText="1"/>
    </xf>
    <xf numFmtId="0" fontId="0" fillId="8" borderId="9" xfId="0" applyFill="1" applyBorder="1"/>
    <xf numFmtId="167" fontId="0" fillId="0" borderId="0" xfId="2" applyNumberFormat="1" applyFont="1"/>
    <xf numFmtId="167" fontId="0" fillId="0" borderId="5" xfId="0" applyNumberFormat="1" applyBorder="1"/>
    <xf numFmtId="0" fontId="11" fillId="0" borderId="9" xfId="0" applyFont="1" applyBorder="1"/>
    <xf numFmtId="167" fontId="11" fillId="0" borderId="0" xfId="2" applyNumberFormat="1" applyFont="1"/>
    <xf numFmtId="167" fontId="11" fillId="0" borderId="5" xfId="0" applyNumberFormat="1" applyFont="1" applyBorder="1"/>
    <xf numFmtId="0" fontId="0" fillId="0" borderId="0" xfId="0" applyProtection="1">
      <protection locked="0"/>
    </xf>
    <xf numFmtId="0" fontId="10" fillId="0" borderId="0" xfId="0" applyFont="1" applyProtection="1">
      <protection locked="0"/>
    </xf>
    <xf numFmtId="0" fontId="12" fillId="0" borderId="0" xfId="0" applyFont="1" applyAlignment="1" applyProtection="1">
      <alignment horizontal="center"/>
      <protection locked="0"/>
    </xf>
    <xf numFmtId="170" fontId="1" fillId="0" borderId="0" xfId="2" applyNumberFormat="1" applyFont="1" applyProtection="1">
      <protection locked="0"/>
    </xf>
    <xf numFmtId="165" fontId="0" fillId="0" borderId="2" xfId="0" applyNumberFormat="1" applyBorder="1" applyProtection="1">
      <protection locked="0"/>
    </xf>
    <xf numFmtId="0" fontId="0" fillId="0" borderId="2" xfId="0" applyBorder="1" applyProtection="1">
      <protection locked="0"/>
    </xf>
    <xf numFmtId="0" fontId="0" fillId="0" borderId="3" xfId="0" applyBorder="1" applyProtection="1">
      <protection locked="0"/>
    </xf>
    <xf numFmtId="165" fontId="0" fillId="0" borderId="0" xfId="0" applyNumberFormat="1" applyProtection="1">
      <protection locked="0"/>
    </xf>
    <xf numFmtId="170" fontId="0" fillId="0" borderId="2" xfId="0" applyNumberFormat="1" applyBorder="1" applyProtection="1">
      <protection locked="0"/>
    </xf>
    <xf numFmtId="0" fontId="0" fillId="0" borderId="1" xfId="0" applyBorder="1" applyProtection="1">
      <protection locked="0"/>
    </xf>
    <xf numFmtId="0" fontId="0" fillId="4" borderId="0" xfId="0" applyFill="1"/>
    <xf numFmtId="0" fontId="0" fillId="0" borderId="0" xfId="0" quotePrefix="1"/>
    <xf numFmtId="165" fontId="1" fillId="4" borderId="0" xfId="2" applyNumberFormat="1" applyFont="1" applyFill="1" applyAlignment="1" applyProtection="1">
      <alignment vertical="center"/>
      <protection locked="0"/>
    </xf>
    <xf numFmtId="0" fontId="1" fillId="0" borderId="0" xfId="0" applyFont="1" applyProtection="1"/>
    <xf numFmtId="0" fontId="1" fillId="0" borderId="0" xfId="0" applyFont="1" applyAlignment="1" applyProtection="1">
      <alignment vertical="top" wrapText="1"/>
    </xf>
    <xf numFmtId="0" fontId="1" fillId="0" borderId="0" xfId="0" applyFont="1" applyAlignment="1" applyProtection="1">
      <alignment vertical="center"/>
    </xf>
    <xf numFmtId="0" fontId="10" fillId="0" borderId="0" xfId="0" applyFont="1" applyProtection="1"/>
    <xf numFmtId="0" fontId="9" fillId="0" borderId="0" xfId="0" applyFont="1" applyProtection="1"/>
    <xf numFmtId="0" fontId="12" fillId="0" borderId="0" xfId="0" applyFont="1" applyAlignment="1" applyProtection="1">
      <alignment horizontal="center"/>
    </xf>
    <xf numFmtId="0" fontId="9" fillId="0" borderId="0" xfId="0" applyFont="1" applyAlignment="1" applyProtection="1">
      <alignment vertical="top" wrapText="1"/>
    </xf>
    <xf numFmtId="0" fontId="1" fillId="2" borderId="0" xfId="0" applyFont="1" applyFill="1" applyAlignment="1" applyProtection="1">
      <alignment vertical="top" wrapText="1"/>
    </xf>
    <xf numFmtId="165" fontId="1" fillId="0" borderId="0" xfId="0" applyNumberFormat="1" applyFont="1" applyAlignment="1" applyProtection="1">
      <alignment vertical="center"/>
    </xf>
    <xf numFmtId="0" fontId="1" fillId="0" borderId="9" xfId="0" applyFont="1" applyBorder="1" applyAlignment="1" applyProtection="1">
      <alignment vertical="center"/>
    </xf>
    <xf numFmtId="0" fontId="1" fillId="0" borderId="9" xfId="0" applyFont="1" applyBorder="1" applyAlignment="1" applyProtection="1">
      <alignment horizontal="center" vertical="center"/>
    </xf>
    <xf numFmtId="167" fontId="1" fillId="0" borderId="5" xfId="0" applyNumberFormat="1" applyFont="1" applyBorder="1" applyAlignment="1" applyProtection="1">
      <alignment vertical="center"/>
    </xf>
    <xf numFmtId="0" fontId="1" fillId="0" borderId="0" xfId="0" applyFont="1" applyFill="1" applyBorder="1" applyAlignment="1" applyProtection="1">
      <alignment vertical="top" wrapText="1"/>
    </xf>
    <xf numFmtId="0" fontId="1" fillId="0" borderId="0" xfId="0" applyFont="1" applyBorder="1" applyAlignment="1" applyProtection="1">
      <alignment vertical="center"/>
    </xf>
    <xf numFmtId="0" fontId="1" fillId="0" borderId="0" xfId="0" applyFont="1" applyBorder="1" applyAlignment="1" applyProtection="1">
      <alignment horizontal="center" vertical="center"/>
    </xf>
    <xf numFmtId="167" fontId="1" fillId="4" borderId="0" xfId="2" applyNumberFormat="1" applyFont="1" applyFill="1" applyAlignment="1" applyProtection="1">
      <alignment vertical="center"/>
      <protection locked="0"/>
    </xf>
    <xf numFmtId="0" fontId="1" fillId="4" borderId="0" xfId="0" applyFont="1" applyFill="1" applyAlignment="1" applyProtection="1">
      <alignment horizontal="left" vertical="center"/>
      <protection locked="0"/>
    </xf>
    <xf numFmtId="168" fontId="1" fillId="4" borderId="0" xfId="0" applyNumberFormat="1" applyFont="1" applyFill="1" applyAlignment="1" applyProtection="1">
      <alignment vertical="center"/>
      <protection locked="0"/>
    </xf>
    <xf numFmtId="0" fontId="1" fillId="4" borderId="0" xfId="0" applyFont="1" applyFill="1" applyAlignment="1" applyProtection="1">
      <alignment horizontal="center" vertical="center"/>
      <protection locked="0"/>
    </xf>
    <xf numFmtId="0" fontId="1" fillId="4" borderId="0" xfId="0" applyFont="1" applyFill="1" applyAlignment="1" applyProtection="1">
      <alignment vertical="top"/>
      <protection locked="0"/>
    </xf>
    <xf numFmtId="0" fontId="1" fillId="0" borderId="0" xfId="0" applyFont="1" applyAlignment="1" applyProtection="1">
      <alignment vertical="top"/>
    </xf>
    <xf numFmtId="0" fontId="0" fillId="7" borderId="0" xfId="0" applyFill="1"/>
    <xf numFmtId="0" fontId="5" fillId="4" borderId="4" xfId="0" applyFont="1" applyFill="1" applyBorder="1" applyAlignment="1" applyProtection="1">
      <alignment vertical="top"/>
      <protection locked="0"/>
    </xf>
    <xf numFmtId="0" fontId="5" fillId="4" borderId="5" xfId="0" applyFont="1" applyFill="1" applyBorder="1" applyAlignment="1" applyProtection="1">
      <alignment vertical="top"/>
      <protection locked="0"/>
    </xf>
    <xf numFmtId="0" fontId="5" fillId="4" borderId="6" xfId="0" applyFont="1" applyFill="1" applyBorder="1" applyAlignment="1" applyProtection="1">
      <alignment vertical="top"/>
      <protection locked="0"/>
    </xf>
    <xf numFmtId="0" fontId="5" fillId="4" borderId="9" xfId="0" applyFont="1" applyFill="1" applyBorder="1" applyAlignment="1" applyProtection="1">
      <alignment horizontal="center" vertical="top"/>
      <protection locked="0"/>
    </xf>
    <xf numFmtId="0" fontId="5" fillId="4" borderId="10" xfId="0" applyFont="1" applyFill="1" applyBorder="1" applyAlignment="1" applyProtection="1">
      <alignment horizontal="center" vertical="top"/>
      <protection locked="0"/>
    </xf>
    <xf numFmtId="0" fontId="5" fillId="4" borderId="0" xfId="0" applyFont="1" applyFill="1" applyBorder="1" applyAlignment="1" applyProtection="1">
      <alignment vertical="top"/>
      <protection locked="0"/>
    </xf>
    <xf numFmtId="0" fontId="5" fillId="4" borderId="8" xfId="0" applyFont="1" applyFill="1" applyBorder="1" applyAlignment="1" applyProtection="1">
      <alignment vertical="top"/>
      <protection locked="0"/>
    </xf>
    <xf numFmtId="0" fontId="5" fillId="4" borderId="9" xfId="0" applyFont="1" applyFill="1" applyBorder="1" applyAlignment="1" applyProtection="1">
      <alignment vertical="top"/>
      <protection locked="0"/>
    </xf>
    <xf numFmtId="0" fontId="5" fillId="0" borderId="0" xfId="0" applyFont="1"/>
    <xf numFmtId="0" fontId="14" fillId="0" borderId="0" xfId="0" applyFont="1" applyAlignment="1" applyProtection="1">
      <alignment horizontal="center"/>
      <protection locked="0"/>
    </xf>
    <xf numFmtId="0" fontId="5" fillId="2" borderId="0" xfId="0" applyFont="1" applyFill="1" applyAlignment="1">
      <alignment vertical="top" wrapText="1"/>
    </xf>
    <xf numFmtId="0" fontId="5" fillId="5" borderId="0" xfId="0" applyFont="1" applyFill="1" applyAlignment="1">
      <alignment horizontal="center"/>
    </xf>
    <xf numFmtId="165" fontId="5" fillId="4" borderId="0" xfId="2" applyFont="1" applyFill="1" applyBorder="1" applyAlignment="1" applyProtection="1">
      <alignment vertical="top"/>
      <protection locked="0"/>
    </xf>
    <xf numFmtId="165" fontId="5" fillId="4" borderId="7" xfId="2" applyFont="1" applyFill="1" applyBorder="1" applyAlignment="1" applyProtection="1">
      <alignment vertical="top"/>
      <protection locked="0"/>
    </xf>
    <xf numFmtId="165" fontId="5" fillId="4" borderId="9" xfId="2" applyFont="1" applyFill="1" applyBorder="1" applyAlignment="1" applyProtection="1">
      <alignment vertical="top"/>
      <protection locked="0"/>
    </xf>
    <xf numFmtId="165" fontId="5" fillId="4" borderId="10" xfId="2" applyFont="1" applyFill="1" applyBorder="1" applyAlignment="1" applyProtection="1">
      <alignment vertical="top"/>
      <protection locked="0"/>
    </xf>
    <xf numFmtId="0" fontId="15" fillId="0" borderId="0" xfId="0" applyFont="1"/>
    <xf numFmtId="0" fontId="5" fillId="4" borderId="5" xfId="0" applyFont="1" applyFill="1" applyBorder="1" applyAlignment="1" applyProtection="1">
      <alignment horizontal="center" vertical="top"/>
      <protection locked="0"/>
    </xf>
    <xf numFmtId="0" fontId="5" fillId="4" borderId="11" xfId="0" applyFont="1" applyFill="1" applyBorder="1" applyAlignment="1" applyProtection="1">
      <alignment horizontal="center" vertical="top"/>
      <protection locked="0"/>
    </xf>
    <xf numFmtId="0" fontId="1" fillId="0" borderId="9" xfId="0" applyFont="1" applyBorder="1" applyAlignment="1">
      <alignment horizontal="right" vertical="center"/>
    </xf>
    <xf numFmtId="0" fontId="5" fillId="0" borderId="9" xfId="0" applyFont="1" applyFill="1" applyBorder="1" applyAlignment="1" applyProtection="1">
      <alignment horizontal="center" vertical="top"/>
      <protection locked="0"/>
    </xf>
    <xf numFmtId="0" fontId="5" fillId="0" borderId="0" xfId="0" applyFont="1" applyFill="1" applyBorder="1" applyAlignment="1" applyProtection="1">
      <alignment horizontal="center" vertical="top"/>
      <protection locked="0"/>
    </xf>
    <xf numFmtId="0" fontId="1" fillId="0" borderId="9" xfId="0" applyFont="1" applyBorder="1" applyAlignment="1" applyProtection="1">
      <alignment horizontal="right" vertical="center"/>
    </xf>
    <xf numFmtId="0" fontId="11" fillId="0" borderId="9" xfId="0" applyFont="1" applyBorder="1" applyAlignment="1">
      <alignment horizontal="right"/>
    </xf>
    <xf numFmtId="0" fontId="0" fillId="0" borderId="9" xfId="0" applyBorder="1" applyAlignment="1">
      <alignment horizontal="right"/>
    </xf>
    <xf numFmtId="165" fontId="1" fillId="0" borderId="0" xfId="0" applyNumberFormat="1" applyFont="1" applyAlignment="1" applyProtection="1">
      <alignment vertical="center"/>
    </xf>
    <xf numFmtId="165" fontId="1" fillId="0" borderId="9" xfId="0" applyNumberFormat="1" applyFont="1" applyBorder="1" applyAlignment="1" applyProtection="1">
      <alignment vertical="center"/>
    </xf>
    <xf numFmtId="0" fontId="1" fillId="0" borderId="0" xfId="0" applyFont="1" applyAlignment="1" applyProtection="1">
      <alignment horizontal="center" vertical="center"/>
    </xf>
    <xf numFmtId="168" fontId="1" fillId="4" borderId="0" xfId="2" applyNumberFormat="1" applyFont="1" applyFill="1" applyBorder="1" applyAlignment="1" applyProtection="1">
      <alignment vertical="center"/>
      <protection locked="0"/>
    </xf>
    <xf numFmtId="168" fontId="1" fillId="0" borderId="0" xfId="0" applyNumberFormat="1" applyFont="1" applyBorder="1" applyAlignment="1" applyProtection="1">
      <alignment vertical="center"/>
    </xf>
    <xf numFmtId="0" fontId="17" fillId="0" borderId="9" xfId="0" applyFont="1" applyFill="1" applyBorder="1" applyAlignment="1" applyProtection="1">
      <alignment horizontal="center" vertical="top"/>
      <protection locked="0"/>
    </xf>
    <xf numFmtId="0" fontId="5" fillId="4" borderId="0" xfId="0" applyFont="1" applyFill="1" applyProtection="1">
      <protection locked="0"/>
    </xf>
    <xf numFmtId="165" fontId="1" fillId="0" borderId="0" xfId="2" applyNumberFormat="1" applyFont="1" applyFill="1" applyAlignment="1" applyProtection="1">
      <alignment vertical="center"/>
      <protection locked="0"/>
    </xf>
    <xf numFmtId="167" fontId="1" fillId="4" borderId="13" xfId="2" applyNumberFormat="1" applyFont="1" applyFill="1" applyBorder="1"/>
    <xf numFmtId="0" fontId="1" fillId="0" borderId="0" xfId="0" applyFont="1" applyAlignment="1" applyProtection="1">
      <alignment horizontal="left" vertical="center"/>
    </xf>
    <xf numFmtId="166" fontId="1" fillId="4" borderId="0" xfId="1" applyNumberFormat="1" applyFont="1" applyFill="1"/>
    <xf numFmtId="166" fontId="1" fillId="0" borderId="0" xfId="1" applyNumberFormat="1" applyFont="1" applyFill="1"/>
    <xf numFmtId="166" fontId="1" fillId="4" borderId="0" xfId="0" applyNumberFormat="1" applyFont="1" applyFill="1" applyAlignment="1">
      <alignment vertical="center"/>
    </xf>
    <xf numFmtId="166" fontId="1" fillId="0" borderId="0" xfId="0" applyNumberFormat="1" applyFont="1" applyAlignment="1">
      <alignment vertical="center"/>
    </xf>
    <xf numFmtId="171" fontId="1" fillId="0" borderId="0" xfId="0" applyNumberFormat="1" applyFont="1" applyAlignment="1">
      <alignment vertical="center"/>
    </xf>
    <xf numFmtId="2" fontId="1" fillId="4" borderId="0" xfId="0" applyNumberFormat="1" applyFont="1" applyFill="1" applyAlignment="1">
      <alignment vertical="center"/>
    </xf>
    <xf numFmtId="0" fontId="1" fillId="4" borderId="0" xfId="0" applyFont="1" applyFill="1" applyAlignment="1">
      <alignment vertical="center"/>
    </xf>
    <xf numFmtId="171" fontId="1" fillId="0" borderId="0" xfId="0" applyNumberFormat="1" applyFont="1" applyAlignment="1" applyProtection="1">
      <alignment vertical="center"/>
    </xf>
    <xf numFmtId="2" fontId="1" fillId="0" borderId="0" xfId="0" applyNumberFormat="1" applyFont="1" applyAlignment="1">
      <alignment vertical="center"/>
    </xf>
    <xf numFmtId="0" fontId="1" fillId="0" borderId="0" xfId="0" applyFont="1" applyFill="1" applyAlignment="1">
      <alignment vertical="center"/>
    </xf>
    <xf numFmtId="2" fontId="1" fillId="0" borderId="0" xfId="0" applyNumberFormat="1" applyFont="1" applyFill="1" applyAlignment="1">
      <alignment vertical="center"/>
    </xf>
    <xf numFmtId="0" fontId="1" fillId="0" borderId="0" xfId="0" applyFont="1" applyFill="1" applyBorder="1" applyAlignment="1" applyProtection="1">
      <alignment vertical="top" wrapText="1"/>
      <protection locked="0"/>
    </xf>
    <xf numFmtId="0" fontId="0" fillId="0" borderId="0" xfId="0" applyFill="1" applyBorder="1" applyAlignment="1"/>
    <xf numFmtId="10" fontId="1" fillId="4" borderId="0" xfId="0" applyNumberFormat="1" applyFont="1" applyFill="1" applyAlignment="1">
      <alignment vertical="center"/>
    </xf>
    <xf numFmtId="168" fontId="1" fillId="0" borderId="0" xfId="2" applyNumberFormat="1" applyFont="1" applyFill="1" applyBorder="1" applyAlignment="1" applyProtection="1">
      <alignment vertical="center"/>
      <protection locked="0"/>
    </xf>
    <xf numFmtId="168" fontId="1" fillId="0" borderId="0" xfId="0" applyNumberFormat="1" applyFont="1" applyFill="1" applyBorder="1" applyAlignment="1" applyProtection="1">
      <alignment vertical="center"/>
    </xf>
    <xf numFmtId="0" fontId="0" fillId="4" borderId="0" xfId="0" applyFill="1" applyAlignment="1" applyProtection="1">
      <alignment horizontal="left" vertical="top" wrapText="1"/>
      <protection locked="0"/>
    </xf>
    <xf numFmtId="165" fontId="1" fillId="4" borderId="0" xfId="0" applyNumberFormat="1" applyFont="1" applyFill="1" applyAlignment="1" applyProtection="1">
      <alignment vertical="center"/>
      <protection locked="0"/>
    </xf>
    <xf numFmtId="165" fontId="1" fillId="0" borderId="0" xfId="0" applyNumberFormat="1" applyFont="1" applyAlignment="1">
      <alignment vertical="center"/>
    </xf>
    <xf numFmtId="43" fontId="1" fillId="0" borderId="6" xfId="0" applyNumberFormat="1" applyFont="1" applyBorder="1" applyAlignment="1">
      <alignment vertical="center"/>
    </xf>
    <xf numFmtId="165" fontId="1" fillId="0" borderId="0" xfId="2" applyNumberFormat="1" applyFont="1" applyBorder="1" applyAlignment="1">
      <alignment vertical="center"/>
    </xf>
    <xf numFmtId="165" fontId="1" fillId="0" borderId="7" xfId="2" applyNumberFormat="1" applyFont="1" applyBorder="1" applyAlignment="1">
      <alignment vertical="center"/>
    </xf>
    <xf numFmtId="169" fontId="1" fillId="0" borderId="0" xfId="0" applyNumberFormat="1" applyFont="1" applyAlignment="1">
      <alignment vertical="center"/>
    </xf>
    <xf numFmtId="167" fontId="1" fillId="4" borderId="0" xfId="2" applyNumberFormat="1" applyFont="1" applyFill="1" applyBorder="1"/>
    <xf numFmtId="169" fontId="1" fillId="0" borderId="8" xfId="0" applyNumberFormat="1" applyFont="1" applyBorder="1" applyAlignment="1">
      <alignment vertical="center"/>
    </xf>
    <xf numFmtId="169" fontId="1" fillId="0" borderId="9" xfId="0" applyNumberFormat="1" applyFont="1" applyBorder="1" applyAlignment="1">
      <alignment vertical="center"/>
    </xf>
    <xf numFmtId="169" fontId="1" fillId="0" borderId="10" xfId="0" applyNumberFormat="1" applyFont="1" applyBorder="1" applyAlignment="1">
      <alignment vertical="center"/>
    </xf>
    <xf numFmtId="167" fontId="1" fillId="0" borderId="9" xfId="2" applyNumberFormat="1" applyFont="1" applyBorder="1" applyAlignment="1">
      <alignment vertical="center"/>
    </xf>
    <xf numFmtId="167" fontId="1" fillId="0" borderId="10" xfId="2" applyNumberFormat="1" applyFont="1" applyBorder="1" applyAlignment="1">
      <alignment vertical="center"/>
    </xf>
    <xf numFmtId="0" fontId="0" fillId="0" borderId="0" xfId="0" applyBorder="1" applyAlignment="1">
      <alignment vertical="top" wrapText="1"/>
    </xf>
    <xf numFmtId="0" fontId="0" fillId="0" borderId="0" xfId="0" applyBorder="1" applyAlignment="1">
      <alignment horizontal="center"/>
    </xf>
    <xf numFmtId="0" fontId="11" fillId="0" borderId="0" xfId="0" applyFont="1" applyBorder="1" applyAlignment="1">
      <alignment horizontal="center"/>
    </xf>
    <xf numFmtId="0" fontId="5" fillId="7" borderId="1" xfId="0" applyFont="1" applyFill="1" applyBorder="1" applyAlignment="1" applyProtection="1">
      <alignment horizontal="left" vertical="top" wrapText="1"/>
      <protection locked="0"/>
    </xf>
    <xf numFmtId="0" fontId="5" fillId="7" borderId="2" xfId="0" applyFont="1" applyFill="1" applyBorder="1" applyAlignment="1" applyProtection="1">
      <alignment horizontal="left" vertical="top" wrapText="1"/>
      <protection locked="0"/>
    </xf>
    <xf numFmtId="0" fontId="5" fillId="7" borderId="3" xfId="0" applyFont="1" applyFill="1" applyBorder="1" applyAlignment="1" applyProtection="1">
      <alignment horizontal="left" vertical="top" wrapText="1"/>
      <protection locked="0"/>
    </xf>
    <xf numFmtId="0" fontId="5" fillId="4" borderId="0" xfId="0" applyFont="1" applyFill="1" applyProtection="1">
      <protection locked="0"/>
    </xf>
    <xf numFmtId="0" fontId="5" fillId="4" borderId="0" xfId="0" applyFont="1" applyFill="1" applyAlignment="1" applyProtection="1">
      <alignment vertical="top" wrapText="1"/>
      <protection locked="0"/>
    </xf>
    <xf numFmtId="0" fontId="0" fillId="4" borderId="0" xfId="0" applyFill="1" applyAlignment="1" applyProtection="1">
      <alignment horizontal="left" vertical="top" wrapText="1"/>
      <protection locked="0"/>
    </xf>
    <xf numFmtId="0" fontId="1" fillId="7" borderId="1" xfId="0" applyFont="1" applyFill="1" applyBorder="1" applyAlignment="1" applyProtection="1">
      <alignment horizontal="left" vertical="top" wrapText="1"/>
      <protection locked="0"/>
    </xf>
    <xf numFmtId="0" fontId="1" fillId="7" borderId="2" xfId="0" applyFont="1" applyFill="1" applyBorder="1" applyAlignment="1" applyProtection="1">
      <alignment horizontal="left" vertical="top" wrapText="1"/>
      <protection locked="0"/>
    </xf>
    <xf numFmtId="0" fontId="1" fillId="7" borderId="3" xfId="0" applyFont="1" applyFill="1" applyBorder="1" applyAlignment="1" applyProtection="1">
      <alignment horizontal="left" vertical="top" wrapText="1"/>
      <protection locked="0"/>
    </xf>
    <xf numFmtId="0" fontId="1" fillId="0" borderId="9" xfId="0" applyFont="1" applyBorder="1" applyAlignment="1" applyProtection="1">
      <alignment horizontal="center" vertical="center"/>
    </xf>
    <xf numFmtId="0" fontId="1" fillId="7" borderId="1" xfId="0" applyFont="1" applyFill="1" applyBorder="1" applyAlignment="1" applyProtection="1">
      <alignment vertical="top" wrapText="1"/>
      <protection locked="0"/>
    </xf>
    <xf numFmtId="0" fontId="1" fillId="7" borderId="2" xfId="0" applyFont="1" applyFill="1" applyBorder="1" applyAlignment="1" applyProtection="1">
      <alignment vertical="top" wrapText="1"/>
      <protection locked="0"/>
    </xf>
    <xf numFmtId="0" fontId="1" fillId="7" borderId="3" xfId="0" applyFont="1" applyFill="1" applyBorder="1" applyAlignment="1" applyProtection="1">
      <alignment vertical="top" wrapText="1"/>
      <protection locked="0"/>
    </xf>
    <xf numFmtId="0" fontId="1" fillId="0" borderId="0" xfId="0" applyFont="1" applyAlignment="1" applyProtection="1">
      <alignment horizontal="center" vertical="center"/>
    </xf>
    <xf numFmtId="0" fontId="1" fillId="7" borderId="5" xfId="0" applyFont="1" applyFill="1" applyBorder="1" applyAlignment="1" applyProtection="1">
      <alignment horizontal="left" vertical="top" wrapText="1"/>
      <protection locked="0"/>
    </xf>
    <xf numFmtId="0" fontId="1" fillId="7" borderId="0" xfId="0" applyFont="1" applyFill="1" applyBorder="1" applyAlignment="1" applyProtection="1">
      <alignment horizontal="left" vertical="top" wrapText="1"/>
      <protection locked="0"/>
    </xf>
    <xf numFmtId="0" fontId="1" fillId="7" borderId="9" xfId="0" applyFont="1" applyFill="1" applyBorder="1" applyAlignment="1" applyProtection="1">
      <alignment horizontal="left" vertical="top" wrapText="1"/>
      <protection locked="0"/>
    </xf>
    <xf numFmtId="0" fontId="1" fillId="6" borderId="4" xfId="0" applyFont="1" applyFill="1" applyBorder="1" applyAlignment="1">
      <alignment horizontal="center" vertical="center"/>
    </xf>
    <xf numFmtId="0" fontId="1" fillId="6" borderId="5" xfId="0" applyFont="1" applyFill="1" applyBorder="1" applyAlignment="1">
      <alignment horizontal="center" vertical="center"/>
    </xf>
    <xf numFmtId="0" fontId="1" fillId="6" borderId="11" xfId="0" applyFont="1" applyFill="1" applyBorder="1" applyAlignment="1">
      <alignment horizontal="center" vertical="center"/>
    </xf>
  </cellXfs>
  <cellStyles count="581">
    <cellStyle name="Accent2 2" xfId="495"/>
    <cellStyle name="Comma" xfId="2" builtinId="3"/>
    <cellStyle name="Comma 11" xfId="496"/>
    <cellStyle name="Comma 12" xfId="497"/>
    <cellStyle name="Comma 13" xfId="498"/>
    <cellStyle name="Comma 16" xfId="499"/>
    <cellStyle name="Comma 18" xfId="500"/>
    <cellStyle name="Comma 2" xfId="9"/>
    <cellStyle name="Comma 2 2" xfId="494"/>
    <cellStyle name="Comma 20" xfId="501"/>
    <cellStyle name="Comma 22" xfId="502"/>
    <cellStyle name="Comma 24" xfId="503"/>
    <cellStyle name="Comma 26" xfId="504"/>
    <cellStyle name="Comma 28" xfId="505"/>
    <cellStyle name="Comma 3" xfId="10"/>
    <cellStyle name="Comma 3 2" xfId="506"/>
    <cellStyle name="Comma 30" xfId="507"/>
    <cellStyle name="Comma 32" xfId="508"/>
    <cellStyle name="Comma 36" xfId="509"/>
    <cellStyle name="Comma 38" xfId="510"/>
    <cellStyle name="Comma 4" xfId="580"/>
    <cellStyle name="Comma 40" xfId="511"/>
    <cellStyle name="Comma 42" xfId="512"/>
    <cellStyle name="Comma 44" xfId="513"/>
    <cellStyle name="Comma 46" xfId="514"/>
    <cellStyle name="Comma 48" xfId="515"/>
    <cellStyle name="Comma 5" xfId="516"/>
    <cellStyle name="Comma 50" xfId="517"/>
    <cellStyle name="Comma 52" xfId="518"/>
    <cellStyle name="Comma 53" xfId="519"/>
    <cellStyle name="Comma 54" xfId="520"/>
    <cellStyle name="Comma 55" xfId="521"/>
    <cellStyle name="Comma 56" xfId="522"/>
    <cellStyle name="Comma 57" xfId="523"/>
    <cellStyle name="Comma 58" xfId="524"/>
    <cellStyle name="Comma 62" xfId="525"/>
    <cellStyle name="Comma 64" xfId="526"/>
    <cellStyle name="Comma 66" xfId="527"/>
    <cellStyle name="Comma 68" xfId="528"/>
    <cellStyle name="Comma 7" xfId="529"/>
    <cellStyle name="Comma 70" xfId="530"/>
    <cellStyle name="Comma 71" xfId="531"/>
    <cellStyle name="Comma 72" xfId="532"/>
    <cellStyle name="Comma 74" xfId="533"/>
    <cellStyle name="Comma 76" xfId="534"/>
    <cellStyle name="Comma 9" xfId="535"/>
    <cellStyle name="Currency 11" xfId="536"/>
    <cellStyle name="Currency 2" xfId="3"/>
    <cellStyle name="Currency 2 2" xfId="579"/>
    <cellStyle name="Currency 3" xfId="537"/>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5" builtinId="9" hidden="1"/>
    <cellStyle name="Followed Hyperlink" xfId="137" builtinId="9" hidden="1"/>
    <cellStyle name="Followed Hyperlink" xfId="139" builtinId="9" hidden="1"/>
    <cellStyle name="Followed Hyperlink" xfId="141" builtinId="9" hidden="1"/>
    <cellStyle name="Followed Hyperlink" xfId="143" builtinId="9" hidden="1"/>
    <cellStyle name="Followed Hyperlink" xfId="145" builtinId="9" hidden="1"/>
    <cellStyle name="Followed Hyperlink" xfId="147" builtinId="9" hidden="1"/>
    <cellStyle name="Followed Hyperlink" xfId="14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llowed Hyperlink" xfId="161" builtinId="9" hidden="1"/>
    <cellStyle name="Followed Hyperlink" xfId="163" builtinId="9" hidden="1"/>
    <cellStyle name="Followed Hyperlink" xfId="165" builtinId="9" hidden="1"/>
    <cellStyle name="Followed Hyperlink" xfId="167" builtinId="9" hidden="1"/>
    <cellStyle name="Followed Hyperlink" xfId="169" builtinId="9" hidden="1"/>
    <cellStyle name="Followed Hyperlink" xfId="171" builtinId="9" hidden="1"/>
    <cellStyle name="Followed Hyperlink" xfId="173" builtinId="9" hidden="1"/>
    <cellStyle name="Followed Hyperlink" xfId="175" builtinId="9" hidden="1"/>
    <cellStyle name="Followed Hyperlink" xfId="177" builtinId="9" hidden="1"/>
    <cellStyle name="Followed Hyperlink" xfId="179" builtinId="9" hidden="1"/>
    <cellStyle name="Followed Hyperlink" xfId="181" builtinId="9" hidden="1"/>
    <cellStyle name="Followed Hyperlink" xfId="183" builtinId="9" hidden="1"/>
    <cellStyle name="Followed Hyperlink" xfId="185" builtinId="9" hidden="1"/>
    <cellStyle name="Followed Hyperlink" xfId="187" builtinId="9" hidden="1"/>
    <cellStyle name="Followed Hyperlink" xfId="189" builtinId="9" hidden="1"/>
    <cellStyle name="Followed Hyperlink" xfId="191" builtinId="9" hidden="1"/>
    <cellStyle name="Followed Hyperlink" xfId="193" builtinId="9" hidden="1"/>
    <cellStyle name="Followed Hyperlink" xfId="195" builtinId="9" hidden="1"/>
    <cellStyle name="Followed Hyperlink" xfId="197" builtinId="9" hidden="1"/>
    <cellStyle name="Followed Hyperlink" xfId="199" builtinId="9" hidden="1"/>
    <cellStyle name="Followed Hyperlink" xfId="201" builtinId="9" hidden="1"/>
    <cellStyle name="Followed Hyperlink" xfId="203" builtinId="9" hidden="1"/>
    <cellStyle name="Followed Hyperlink" xfId="205" builtinId="9" hidden="1"/>
    <cellStyle name="Followed Hyperlink" xfId="207" builtinId="9" hidden="1"/>
    <cellStyle name="Followed Hyperlink" xfId="209" builtinId="9" hidden="1"/>
    <cellStyle name="Followed Hyperlink" xfId="211" builtinId="9" hidden="1"/>
    <cellStyle name="Followed Hyperlink" xfId="213" builtinId="9" hidden="1"/>
    <cellStyle name="Followed Hyperlink" xfId="215" builtinId="9" hidden="1"/>
    <cellStyle name="Followed Hyperlink" xfId="217" builtinId="9" hidden="1"/>
    <cellStyle name="Followed Hyperlink" xfId="219" builtinId="9" hidden="1"/>
    <cellStyle name="Followed Hyperlink" xfId="221" builtinId="9" hidden="1"/>
    <cellStyle name="Followed Hyperlink" xfId="223" builtinId="9" hidden="1"/>
    <cellStyle name="Followed Hyperlink" xfId="225" builtinId="9" hidden="1"/>
    <cellStyle name="Followed Hyperlink" xfId="227" builtinId="9" hidden="1"/>
    <cellStyle name="Followed Hyperlink" xfId="229" builtinId="9" hidden="1"/>
    <cellStyle name="Followed Hyperlink" xfId="231" builtinId="9" hidden="1"/>
    <cellStyle name="Followed Hyperlink" xfId="233" builtinId="9" hidden="1"/>
    <cellStyle name="Followed Hyperlink" xfId="235" builtinId="9" hidden="1"/>
    <cellStyle name="Followed Hyperlink" xfId="237" builtinId="9" hidden="1"/>
    <cellStyle name="Followed Hyperlink" xfId="239" builtinId="9" hidden="1"/>
    <cellStyle name="Followed Hyperlink" xfId="241" builtinId="9" hidden="1"/>
    <cellStyle name="Followed Hyperlink" xfId="243" builtinId="9" hidden="1"/>
    <cellStyle name="Followed Hyperlink" xfId="245" builtinId="9" hidden="1"/>
    <cellStyle name="Followed Hyperlink" xfId="247" builtinId="9" hidden="1"/>
    <cellStyle name="Followed Hyperlink" xfId="249" builtinId="9" hidden="1"/>
    <cellStyle name="Followed Hyperlink" xfId="251" builtinId="9" hidden="1"/>
    <cellStyle name="Followed Hyperlink" xfId="253" builtinId="9" hidden="1"/>
    <cellStyle name="Followed Hyperlink" xfId="255" builtinId="9" hidden="1"/>
    <cellStyle name="Followed Hyperlink" xfId="257" builtinId="9" hidden="1"/>
    <cellStyle name="Followed Hyperlink" xfId="259" builtinId="9" hidden="1"/>
    <cellStyle name="Followed Hyperlink" xfId="261" builtinId="9" hidden="1"/>
    <cellStyle name="Followed Hyperlink" xfId="263" builtinId="9" hidden="1"/>
    <cellStyle name="Followed Hyperlink" xfId="265" builtinId="9" hidden="1"/>
    <cellStyle name="Followed Hyperlink" xfId="267" builtinId="9" hidden="1"/>
    <cellStyle name="Followed Hyperlink" xfId="269" builtinId="9" hidden="1"/>
    <cellStyle name="Followed Hyperlink" xfId="271" builtinId="9" hidden="1"/>
    <cellStyle name="Followed Hyperlink" xfId="273" builtinId="9" hidden="1"/>
    <cellStyle name="Followed Hyperlink" xfId="275" builtinId="9" hidden="1"/>
    <cellStyle name="Followed Hyperlink" xfId="277" builtinId="9" hidden="1"/>
    <cellStyle name="Followed Hyperlink" xfId="279" builtinId="9" hidden="1"/>
    <cellStyle name="Followed Hyperlink" xfId="281" builtinId="9" hidden="1"/>
    <cellStyle name="Followed Hyperlink" xfId="283" builtinId="9" hidden="1"/>
    <cellStyle name="Followed Hyperlink" xfId="285" builtinId="9" hidden="1"/>
    <cellStyle name="Followed Hyperlink" xfId="287"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Followed Hyperlink" xfId="319"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3" builtinId="9" hidden="1"/>
    <cellStyle name="Followed Hyperlink" xfId="355" builtinId="9" hidden="1"/>
    <cellStyle name="Followed Hyperlink" xfId="357" builtinId="9" hidden="1"/>
    <cellStyle name="Followed Hyperlink" xfId="359" builtinId="9" hidden="1"/>
    <cellStyle name="Followed Hyperlink" xfId="361" builtinId="9" hidden="1"/>
    <cellStyle name="Followed Hyperlink" xfId="363" builtinId="9" hidden="1"/>
    <cellStyle name="Followed Hyperlink" xfId="365" builtinId="9" hidden="1"/>
    <cellStyle name="Followed Hyperlink" xfId="367" builtinId="9" hidden="1"/>
    <cellStyle name="Followed Hyperlink" xfId="369" builtinId="9" hidden="1"/>
    <cellStyle name="Followed Hyperlink" xfId="371" builtinId="9" hidden="1"/>
    <cellStyle name="Followed Hyperlink" xfId="373" builtinId="9" hidden="1"/>
    <cellStyle name="Followed Hyperlink" xfId="375" builtinId="9" hidden="1"/>
    <cellStyle name="Followed Hyperlink" xfId="377" builtinId="9" hidden="1"/>
    <cellStyle name="Followed Hyperlink" xfId="379" builtinId="9" hidden="1"/>
    <cellStyle name="Followed Hyperlink" xfId="381" builtinId="9" hidden="1"/>
    <cellStyle name="Followed Hyperlink" xfId="383" builtinId="9" hidden="1"/>
    <cellStyle name="Followed Hyperlink" xfId="385" builtinId="9" hidden="1"/>
    <cellStyle name="Followed Hyperlink" xfId="387" builtinId="9" hidden="1"/>
    <cellStyle name="Followed Hyperlink" xfId="389" builtinId="9" hidden="1"/>
    <cellStyle name="Followed Hyperlink" xfId="391" builtinId="9" hidden="1"/>
    <cellStyle name="Followed Hyperlink" xfId="393" builtinId="9" hidden="1"/>
    <cellStyle name="Followed Hyperlink" xfId="395" builtinId="9" hidden="1"/>
    <cellStyle name="Followed Hyperlink" xfId="397" builtinId="9" hidden="1"/>
    <cellStyle name="Followed Hyperlink" xfId="399" builtinId="9" hidden="1"/>
    <cellStyle name="Followed Hyperlink" xfId="401" builtinId="9" hidden="1"/>
    <cellStyle name="Followed Hyperlink" xfId="403" builtinId="9" hidden="1"/>
    <cellStyle name="Followed Hyperlink" xfId="405" builtinId="9" hidden="1"/>
    <cellStyle name="Followed Hyperlink" xfId="407" builtinId="9" hidden="1"/>
    <cellStyle name="Followed Hyperlink" xfId="409" builtinId="9" hidden="1"/>
    <cellStyle name="Followed Hyperlink" xfId="411" builtinId="9" hidden="1"/>
    <cellStyle name="Followed Hyperlink" xfId="413" builtinId="9" hidden="1"/>
    <cellStyle name="Followed Hyperlink" xfId="415" builtinId="9" hidden="1"/>
    <cellStyle name="Followed Hyperlink" xfId="417" builtinId="9" hidden="1"/>
    <cellStyle name="Followed Hyperlink" xfId="419" builtinId="9" hidden="1"/>
    <cellStyle name="Followed Hyperlink" xfId="421" builtinId="9" hidden="1"/>
    <cellStyle name="Followed Hyperlink" xfId="423" builtinId="9" hidden="1"/>
    <cellStyle name="Followed Hyperlink" xfId="425" builtinId="9" hidden="1"/>
    <cellStyle name="Followed Hyperlink" xfId="427" builtinId="9" hidden="1"/>
    <cellStyle name="Followed Hyperlink" xfId="429" builtinId="9" hidden="1"/>
    <cellStyle name="Followed Hyperlink" xfId="431" builtinId="9" hidden="1"/>
    <cellStyle name="Followed Hyperlink" xfId="433" builtinId="9" hidden="1"/>
    <cellStyle name="Followed Hyperlink" xfId="435" builtinId="9" hidden="1"/>
    <cellStyle name="Followed Hyperlink" xfId="437" builtinId="9" hidden="1"/>
    <cellStyle name="Followed Hyperlink" xfId="439" builtinId="9" hidden="1"/>
    <cellStyle name="Followed Hyperlink" xfId="441" builtinId="9" hidden="1"/>
    <cellStyle name="Followed Hyperlink" xfId="443" builtinId="9" hidden="1"/>
    <cellStyle name="Followed Hyperlink" xfId="445" builtinId="9" hidden="1"/>
    <cellStyle name="Followed Hyperlink" xfId="447" builtinId="9" hidden="1"/>
    <cellStyle name="Followed Hyperlink" xfId="449" builtinId="9" hidden="1"/>
    <cellStyle name="Followed Hyperlink" xfId="451" builtinId="9" hidden="1"/>
    <cellStyle name="Followed Hyperlink" xfId="453" builtinId="9" hidden="1"/>
    <cellStyle name="Followed Hyperlink" xfId="455" builtinId="9" hidden="1"/>
    <cellStyle name="Followed Hyperlink" xfId="457" builtinId="9" hidden="1"/>
    <cellStyle name="Followed Hyperlink" xfId="459" builtinId="9" hidden="1"/>
    <cellStyle name="Followed Hyperlink" xfId="461" builtinId="9" hidden="1"/>
    <cellStyle name="Followed Hyperlink" xfId="463" builtinId="9" hidden="1"/>
    <cellStyle name="Followed Hyperlink" xfId="465" builtinId="9" hidden="1"/>
    <cellStyle name="Followed Hyperlink" xfId="467" builtinId="9" hidden="1"/>
    <cellStyle name="Followed Hyperlink" xfId="469"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0" builtinId="9" hidden="1"/>
    <cellStyle name="Followed Hyperlink" xfId="482" builtinId="9" hidden="1"/>
    <cellStyle name="Followed Hyperlink" xfId="484" builtinId="9" hidden="1"/>
    <cellStyle name="Followed Hyperlink" xfId="486" builtinId="9" hidden="1"/>
    <cellStyle name="Followed Hyperlink" xfId="488" builtinId="9" hidden="1"/>
    <cellStyle name="Followed Hyperlink" xfId="490" builtinId="9" hidden="1"/>
    <cellStyle name="Followed Hyperlink" xfId="492" builtinId="9"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hidden="1"/>
    <cellStyle name="Hyperlink" xfId="134" builtinId="8" hidden="1"/>
    <cellStyle name="Hyperlink" xfId="136" builtinId="8" hidden="1"/>
    <cellStyle name="Hyperlink" xfId="138" builtinId="8" hidden="1"/>
    <cellStyle name="Hyperlink" xfId="140" builtinId="8" hidden="1"/>
    <cellStyle name="Hyperlink" xfId="142" builtinId="8" hidden="1"/>
    <cellStyle name="Hyperlink" xfId="144" builtinId="8" hidden="1"/>
    <cellStyle name="Hyperlink" xfId="146" builtinId="8" hidden="1"/>
    <cellStyle name="Hyperlink" xfId="148"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60" builtinId="8" hidden="1"/>
    <cellStyle name="Hyperlink" xfId="162" builtinId="8" hidden="1"/>
    <cellStyle name="Hyperlink" xfId="164" builtinId="8" hidden="1"/>
    <cellStyle name="Hyperlink" xfId="166" builtinId="8" hidden="1"/>
    <cellStyle name="Hyperlink" xfId="168" builtinId="8" hidden="1"/>
    <cellStyle name="Hyperlink" xfId="170" builtinId="8" hidden="1"/>
    <cellStyle name="Hyperlink" xfId="172" builtinId="8" hidden="1"/>
    <cellStyle name="Hyperlink" xfId="174" builtinId="8" hidden="1"/>
    <cellStyle name="Hyperlink" xfId="176" builtinId="8" hidden="1"/>
    <cellStyle name="Hyperlink" xfId="178" builtinId="8" hidden="1"/>
    <cellStyle name="Hyperlink" xfId="180" builtinId="8" hidden="1"/>
    <cellStyle name="Hyperlink" xfId="182" builtinId="8" hidden="1"/>
    <cellStyle name="Hyperlink" xfId="184" builtinId="8" hidden="1"/>
    <cellStyle name="Hyperlink" xfId="186" builtinId="8" hidden="1"/>
    <cellStyle name="Hyperlink" xfId="188" builtinId="8" hidden="1"/>
    <cellStyle name="Hyperlink" xfId="190" builtinId="8" hidden="1"/>
    <cellStyle name="Hyperlink" xfId="192" builtinId="8" hidden="1"/>
    <cellStyle name="Hyperlink" xfId="194" builtinId="8" hidden="1"/>
    <cellStyle name="Hyperlink" xfId="196" builtinId="8" hidden="1"/>
    <cellStyle name="Hyperlink" xfId="198" builtinId="8" hidden="1"/>
    <cellStyle name="Hyperlink" xfId="200" builtinId="8" hidden="1"/>
    <cellStyle name="Hyperlink" xfId="202" builtinId="8" hidden="1"/>
    <cellStyle name="Hyperlink" xfId="204" builtinId="8" hidden="1"/>
    <cellStyle name="Hyperlink" xfId="206" builtinId="8" hidden="1"/>
    <cellStyle name="Hyperlink" xfId="208" builtinId="8" hidden="1"/>
    <cellStyle name="Hyperlink" xfId="210" builtinId="8" hidden="1"/>
    <cellStyle name="Hyperlink" xfId="212" builtinId="8" hidden="1"/>
    <cellStyle name="Hyperlink" xfId="214" builtinId="8" hidden="1"/>
    <cellStyle name="Hyperlink" xfId="216" builtinId="8" hidden="1"/>
    <cellStyle name="Hyperlink" xfId="218" builtinId="8" hidden="1"/>
    <cellStyle name="Hyperlink" xfId="220" builtinId="8" hidden="1"/>
    <cellStyle name="Hyperlink" xfId="222" builtinId="8" hidden="1"/>
    <cellStyle name="Hyperlink" xfId="224" builtinId="8" hidden="1"/>
    <cellStyle name="Hyperlink" xfId="226" builtinId="8" hidden="1"/>
    <cellStyle name="Hyperlink" xfId="228" builtinId="8" hidden="1"/>
    <cellStyle name="Hyperlink" xfId="230" builtinId="8" hidden="1"/>
    <cellStyle name="Hyperlink" xfId="232" builtinId="8" hidden="1"/>
    <cellStyle name="Hyperlink" xfId="234" builtinId="8" hidden="1"/>
    <cellStyle name="Hyperlink" xfId="236" builtinId="8" hidden="1"/>
    <cellStyle name="Hyperlink" xfId="238" builtinId="8" hidden="1"/>
    <cellStyle name="Hyperlink" xfId="240" builtinId="8" hidden="1"/>
    <cellStyle name="Hyperlink" xfId="242" builtinId="8" hidden="1"/>
    <cellStyle name="Hyperlink" xfId="244" builtinId="8" hidden="1"/>
    <cellStyle name="Hyperlink" xfId="246" builtinId="8" hidden="1"/>
    <cellStyle name="Hyperlink" xfId="248" builtinId="8" hidden="1"/>
    <cellStyle name="Hyperlink" xfId="250" builtinId="8" hidden="1"/>
    <cellStyle name="Hyperlink" xfId="252" builtinId="8" hidden="1"/>
    <cellStyle name="Hyperlink" xfId="254" builtinId="8" hidden="1"/>
    <cellStyle name="Hyperlink" xfId="256" builtinId="8" hidden="1"/>
    <cellStyle name="Hyperlink" xfId="258" builtinId="8" hidden="1"/>
    <cellStyle name="Hyperlink" xfId="260" builtinId="8" hidden="1"/>
    <cellStyle name="Hyperlink" xfId="262" builtinId="8" hidden="1"/>
    <cellStyle name="Hyperlink" xfId="264" builtinId="8" hidden="1"/>
    <cellStyle name="Hyperlink" xfId="266" builtinId="8" hidden="1"/>
    <cellStyle name="Hyperlink" xfId="268" builtinId="8" hidden="1"/>
    <cellStyle name="Hyperlink" xfId="270" builtinId="8" hidden="1"/>
    <cellStyle name="Hyperlink" xfId="272" builtinId="8" hidden="1"/>
    <cellStyle name="Hyperlink" xfId="274" builtinId="8" hidden="1"/>
    <cellStyle name="Hyperlink" xfId="276" builtinId="8" hidden="1"/>
    <cellStyle name="Hyperlink" xfId="278" builtinId="8" hidden="1"/>
    <cellStyle name="Hyperlink" xfId="280" builtinId="8" hidden="1"/>
    <cellStyle name="Hyperlink" xfId="282" builtinId="8" hidden="1"/>
    <cellStyle name="Hyperlink" xfId="284" builtinId="8" hidden="1"/>
    <cellStyle name="Hyperlink" xfId="286"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16" builtinId="8" hidden="1"/>
    <cellStyle name="Hyperlink" xfId="318"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42" builtinId="8" hidden="1"/>
    <cellStyle name="Hyperlink" xfId="344" builtinId="8" hidden="1"/>
    <cellStyle name="Hyperlink" xfId="346" builtinId="8" hidden="1"/>
    <cellStyle name="Hyperlink" xfId="348" builtinId="8" hidden="1"/>
    <cellStyle name="Hyperlink" xfId="350" builtinId="8" hidden="1"/>
    <cellStyle name="Hyperlink" xfId="352" builtinId="8" hidden="1"/>
    <cellStyle name="Hyperlink" xfId="354" builtinId="8" hidden="1"/>
    <cellStyle name="Hyperlink" xfId="356" builtinId="8" hidden="1"/>
    <cellStyle name="Hyperlink" xfId="358" builtinId="8" hidden="1"/>
    <cellStyle name="Hyperlink" xfId="360" builtinId="8" hidden="1"/>
    <cellStyle name="Hyperlink" xfId="362" builtinId="8" hidden="1"/>
    <cellStyle name="Hyperlink" xfId="364" builtinId="8" hidden="1"/>
    <cellStyle name="Hyperlink" xfId="366" builtinId="8" hidden="1"/>
    <cellStyle name="Hyperlink" xfId="368" builtinId="8" hidden="1"/>
    <cellStyle name="Hyperlink" xfId="370" builtinId="8" hidden="1"/>
    <cellStyle name="Hyperlink" xfId="372" builtinId="8" hidden="1"/>
    <cellStyle name="Hyperlink" xfId="374" builtinId="8" hidden="1"/>
    <cellStyle name="Hyperlink" xfId="376" builtinId="8" hidden="1"/>
    <cellStyle name="Hyperlink" xfId="378" builtinId="8" hidden="1"/>
    <cellStyle name="Hyperlink" xfId="380" builtinId="8" hidden="1"/>
    <cellStyle name="Hyperlink" xfId="382" builtinId="8" hidden="1"/>
    <cellStyle name="Hyperlink" xfId="384" builtinId="8" hidden="1"/>
    <cellStyle name="Hyperlink" xfId="386" builtinId="8" hidden="1"/>
    <cellStyle name="Hyperlink" xfId="388" builtinId="8" hidden="1"/>
    <cellStyle name="Hyperlink" xfId="390" builtinId="8" hidden="1"/>
    <cellStyle name="Hyperlink" xfId="392" builtinId="8" hidden="1"/>
    <cellStyle name="Hyperlink" xfId="394" builtinId="8" hidden="1"/>
    <cellStyle name="Hyperlink" xfId="396" builtinId="8" hidden="1"/>
    <cellStyle name="Hyperlink" xfId="398" builtinId="8" hidden="1"/>
    <cellStyle name="Hyperlink" xfId="400" builtinId="8" hidden="1"/>
    <cellStyle name="Hyperlink" xfId="402" builtinId="8" hidden="1"/>
    <cellStyle name="Hyperlink" xfId="404" builtinId="8" hidden="1"/>
    <cellStyle name="Hyperlink" xfId="406" builtinId="8" hidden="1"/>
    <cellStyle name="Hyperlink" xfId="408" builtinId="8" hidden="1"/>
    <cellStyle name="Hyperlink" xfId="410" builtinId="8" hidden="1"/>
    <cellStyle name="Hyperlink" xfId="412" builtinId="8" hidden="1"/>
    <cellStyle name="Hyperlink" xfId="414" builtinId="8" hidden="1"/>
    <cellStyle name="Hyperlink" xfId="416" builtinId="8" hidden="1"/>
    <cellStyle name="Hyperlink" xfId="418" builtinId="8" hidden="1"/>
    <cellStyle name="Hyperlink" xfId="420" builtinId="8" hidden="1"/>
    <cellStyle name="Hyperlink" xfId="422" builtinId="8" hidden="1"/>
    <cellStyle name="Hyperlink" xfId="424" builtinId="8" hidden="1"/>
    <cellStyle name="Hyperlink" xfId="426" builtinId="8" hidden="1"/>
    <cellStyle name="Hyperlink" xfId="428" builtinId="8" hidden="1"/>
    <cellStyle name="Hyperlink" xfId="430" builtinId="8" hidden="1"/>
    <cellStyle name="Hyperlink" xfId="432" builtinId="8" hidden="1"/>
    <cellStyle name="Hyperlink" xfId="434" builtinId="8" hidden="1"/>
    <cellStyle name="Hyperlink" xfId="436" builtinId="8" hidden="1"/>
    <cellStyle name="Hyperlink" xfId="438" builtinId="8" hidden="1"/>
    <cellStyle name="Hyperlink" xfId="440" builtinId="8" hidden="1"/>
    <cellStyle name="Hyperlink" xfId="442" builtinId="8" hidden="1"/>
    <cellStyle name="Hyperlink" xfId="444" builtinId="8" hidden="1"/>
    <cellStyle name="Hyperlink" xfId="446" builtinId="8" hidden="1"/>
    <cellStyle name="Hyperlink" xfId="448" builtinId="8" hidden="1"/>
    <cellStyle name="Hyperlink" xfId="450" builtinId="8" hidden="1"/>
    <cellStyle name="Hyperlink" xfId="452" builtinId="8" hidden="1"/>
    <cellStyle name="Hyperlink" xfId="454" builtinId="8" hidden="1"/>
    <cellStyle name="Hyperlink" xfId="456" builtinId="8" hidden="1"/>
    <cellStyle name="Hyperlink" xfId="458" builtinId="8" hidden="1"/>
    <cellStyle name="Hyperlink" xfId="460" builtinId="8" hidden="1"/>
    <cellStyle name="Hyperlink" xfId="462" builtinId="8" hidden="1"/>
    <cellStyle name="Hyperlink" xfId="464" builtinId="8" hidden="1"/>
    <cellStyle name="Hyperlink" xfId="466" builtinId="8" hidden="1"/>
    <cellStyle name="Hyperlink" xfId="468"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481"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Normal" xfId="0" builtinId="0"/>
    <cellStyle name="Normal 10" xfId="538"/>
    <cellStyle name="Normal 10 2" xfId="539"/>
    <cellStyle name="Normal 100" xfId="540"/>
    <cellStyle name="Normal 114" xfId="541"/>
    <cellStyle name="Normal 13" xfId="542"/>
    <cellStyle name="Normal 16" xfId="543"/>
    <cellStyle name="Normal 18" xfId="544"/>
    <cellStyle name="Normal 2" xfId="4"/>
    <cellStyle name="Normal 2 2" xfId="5"/>
    <cellStyle name="Normal 2 2 2" xfId="11"/>
    <cellStyle name="Normal 2 2 3" xfId="545"/>
    <cellStyle name="Normal 2 2_ServiceHistory" xfId="470"/>
    <cellStyle name="Normal 21" xfId="546"/>
    <cellStyle name="Normal 26" xfId="547"/>
    <cellStyle name="Normal 28" xfId="548"/>
    <cellStyle name="Normal 3" xfId="6"/>
    <cellStyle name="Normal 30" xfId="549"/>
    <cellStyle name="Normal 32" xfId="550"/>
    <cellStyle name="Normal 34" xfId="551"/>
    <cellStyle name="Normal 36" xfId="552"/>
    <cellStyle name="Normal 4" xfId="12"/>
    <cellStyle name="Normal 4 2" xfId="553"/>
    <cellStyle name="Normal 42" xfId="554"/>
    <cellStyle name="Normal 44" xfId="555"/>
    <cellStyle name="Normal 46" xfId="556"/>
    <cellStyle name="Normal 48" xfId="557"/>
    <cellStyle name="Normal 50" xfId="558"/>
    <cellStyle name="Normal 52" xfId="559"/>
    <cellStyle name="Normal 54" xfId="560"/>
    <cellStyle name="Normal 56" xfId="561"/>
    <cellStyle name="Normal 58" xfId="562"/>
    <cellStyle name="Normal 60" xfId="563"/>
    <cellStyle name="Normal 62" xfId="564"/>
    <cellStyle name="Normal 64" xfId="565"/>
    <cellStyle name="Normal 66" xfId="566"/>
    <cellStyle name="Normal 70" xfId="567"/>
    <cellStyle name="Normal 74" xfId="568"/>
    <cellStyle name="Normal 78" xfId="569"/>
    <cellStyle name="Normal 80" xfId="570"/>
    <cellStyle name="Normal 82" xfId="571"/>
    <cellStyle name="Normal 84" xfId="572"/>
    <cellStyle name="Normal 88" xfId="573"/>
    <cellStyle name="Normal 90" xfId="574"/>
    <cellStyle name="Normal 92" xfId="575"/>
    <cellStyle name="Normal 94" xfId="576"/>
    <cellStyle name="Normal 95" xfId="577"/>
    <cellStyle name="Normal 96" xfId="578"/>
    <cellStyle name="Note 2" xfId="13"/>
    <cellStyle name="Percent" xfId="1" builtinId="5"/>
    <cellStyle name="Percent 2" xfId="7"/>
    <cellStyle name="Percent 2 2" xfId="493"/>
    <cellStyle name="Percent 3" xfId="8"/>
  </cellStyles>
  <dxfs count="0"/>
  <tableStyles count="0" defaultTableStyle="TableStyleMedium9" defaultPivotStyle="PivotStyleLight16"/>
  <colors>
    <mruColors>
      <color rgb="FF0065A6"/>
      <color rgb="FF76AD1C"/>
      <color rgb="FF13294B"/>
      <color rgb="FF209AD2"/>
      <color rgb="FFACDCF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zoomScale="90" zoomScaleNormal="90" zoomScalePageLayoutView="125" workbookViewId="0">
      <selection activeCell="B18" sqref="B18"/>
    </sheetView>
  </sheetViews>
  <sheetFormatPr defaultColWidth="11.42578125" defaultRowHeight="15" x14ac:dyDescent="0.25"/>
  <cols>
    <col min="1" max="3" width="2.28515625" customWidth="1"/>
  </cols>
  <sheetData>
    <row r="1" spans="1:9" x14ac:dyDescent="0.25">
      <c r="A1" t="str">
        <f>GlobalInputs!A1</f>
        <v>Ancillary Network Services Pricing Model</v>
      </c>
    </row>
    <row r="2" spans="1:9" ht="15.75" x14ac:dyDescent="0.25">
      <c r="A2" s="5" t="s">
        <v>17</v>
      </c>
      <c r="F2" s="74" t="str">
        <f>IF(ROUND($E$8,6)=0,"ok","Problem - review CheckSheet")</f>
        <v>ok</v>
      </c>
    </row>
    <row r="4" spans="1:9" x14ac:dyDescent="0.25">
      <c r="B4" t="s">
        <v>133</v>
      </c>
    </row>
    <row r="6" spans="1:9" x14ac:dyDescent="0.25">
      <c r="B6" t="s">
        <v>118</v>
      </c>
    </row>
    <row r="7" spans="1:9" x14ac:dyDescent="0.25">
      <c r="B7" t="s">
        <v>119</v>
      </c>
    </row>
    <row r="9" spans="1:9" x14ac:dyDescent="0.25">
      <c r="B9" t="s">
        <v>96</v>
      </c>
      <c r="I9" s="82"/>
    </row>
    <row r="10" spans="1:9" x14ac:dyDescent="0.25">
      <c r="B10" t="s">
        <v>91</v>
      </c>
    </row>
    <row r="11" spans="1:9" x14ac:dyDescent="0.25">
      <c r="B11" t="s">
        <v>92</v>
      </c>
    </row>
    <row r="12" spans="1:9" x14ac:dyDescent="0.25">
      <c r="B12" s="83" t="s">
        <v>93</v>
      </c>
    </row>
    <row r="14" spans="1:9" x14ac:dyDescent="0.25">
      <c r="B14" t="s">
        <v>97</v>
      </c>
      <c r="E14" s="106"/>
      <c r="F14" t="s">
        <v>98</v>
      </c>
    </row>
    <row r="15" spans="1:9" x14ac:dyDescent="0.25">
      <c r="B15" t="s">
        <v>99</v>
      </c>
      <c r="E15" s="2"/>
    </row>
    <row r="17" spans="2:2" x14ac:dyDescent="0.25">
      <c r="B17" t="s">
        <v>94</v>
      </c>
    </row>
    <row r="18" spans="2:2" x14ac:dyDescent="0.25">
      <c r="B18" t="s">
        <v>95</v>
      </c>
    </row>
  </sheetData>
  <sheetProtection sheet="1" objects="1" scenarios="1"/>
  <pageMargins left="0.75" right="0.75" top="1" bottom="1" header="0.5" footer="0.5"/>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6" tint="-0.249977111117893"/>
    <pageSetUpPr fitToPage="1"/>
  </sheetPr>
  <dimension ref="A1:L46"/>
  <sheetViews>
    <sheetView tabSelected="1" zoomScale="90" zoomScaleNormal="90" zoomScalePageLayoutView="125" workbookViewId="0">
      <selection activeCell="H49" sqref="H49"/>
    </sheetView>
  </sheetViews>
  <sheetFormatPr defaultColWidth="9.140625" defaultRowHeight="15" x14ac:dyDescent="0.25"/>
  <cols>
    <col min="1" max="4" width="2.28515625" customWidth="1"/>
    <col min="5" max="5" width="33.140625" customWidth="1"/>
    <col min="6" max="6" width="10.42578125" customWidth="1"/>
    <col min="7" max="8" width="11.140625" bestFit="1" customWidth="1"/>
    <col min="9" max="9" width="14.5703125" bestFit="1" customWidth="1"/>
    <col min="10" max="11" width="11.140625" bestFit="1" customWidth="1"/>
    <col min="12" max="12" width="2.85546875" customWidth="1"/>
    <col min="13" max="20" width="10.42578125" customWidth="1"/>
  </cols>
  <sheetData>
    <row r="1" spans="1:12" x14ac:dyDescent="0.25">
      <c r="A1" s="14" t="s">
        <v>15</v>
      </c>
    </row>
    <row r="2" spans="1:12" x14ac:dyDescent="0.25">
      <c r="A2" s="16" t="s">
        <v>79</v>
      </c>
    </row>
    <row r="3" spans="1:12" x14ac:dyDescent="0.25">
      <c r="A3" s="6" t="str">
        <f>GlobalInputs!G9</f>
        <v>ASP Fees</v>
      </c>
      <c r="F3" s="74" t="str">
        <f>IF(ROUND($E$5,6)=0,"ok","Problem - review CheckSheet")</f>
        <v>ok</v>
      </c>
    </row>
    <row r="5" spans="1:12" x14ac:dyDescent="0.25">
      <c r="B5" s="54" t="s">
        <v>61</v>
      </c>
      <c r="C5" s="55"/>
      <c r="D5" s="55"/>
      <c r="E5" s="55"/>
      <c r="F5" s="55"/>
      <c r="G5" s="55"/>
      <c r="H5" s="55"/>
      <c r="I5" s="55"/>
      <c r="J5" s="55"/>
      <c r="K5" s="55"/>
      <c r="L5" s="56"/>
    </row>
    <row r="6" spans="1:12" ht="38.25" customHeight="1" x14ac:dyDescent="0.25">
      <c r="B6" s="61"/>
      <c r="C6" s="171" t="str">
        <f>ServiceDescription!C9</f>
        <v xml:space="preserve">09 - The initial issue and renewal of Network Authorisations to Level 1 and 2 ASP's and the provision of ASP Authorisation training for initial and currency (refresher) training of ASP employees and sub-contractors      
</v>
      </c>
      <c r="D6" s="171"/>
      <c r="E6" s="171"/>
      <c r="F6" s="171"/>
      <c r="G6" s="171"/>
      <c r="H6" s="171"/>
      <c r="I6" s="171"/>
      <c r="J6" s="171"/>
      <c r="K6" s="171"/>
      <c r="L6" s="62"/>
    </row>
    <row r="7" spans="1:12" ht="54" customHeight="1" x14ac:dyDescent="0.25">
      <c r="B7" s="61"/>
      <c r="C7" s="171" t="str">
        <f>ServiceDescription!C10</f>
        <v xml:space="preserve">24 - The investigation, review and implementation of remedial actions associated with contestable connection works, leading to corrective and disciplinary action against an ASP due to unsafe practices, substandard workmanship or other serious circumstances.
</v>
      </c>
      <c r="D7" s="171"/>
      <c r="E7" s="171"/>
      <c r="F7" s="171"/>
      <c r="G7" s="171"/>
      <c r="H7" s="171"/>
      <c r="I7" s="171"/>
      <c r="J7" s="171"/>
      <c r="K7" s="171"/>
      <c r="L7" s="62"/>
    </row>
    <row r="8" spans="1:12" ht="14.1" customHeight="1" x14ac:dyDescent="0.25">
      <c r="B8" s="60"/>
      <c r="C8" s="63"/>
      <c r="D8" s="63"/>
      <c r="E8" s="63"/>
      <c r="F8" s="63"/>
      <c r="G8" s="63"/>
      <c r="H8" s="63"/>
      <c r="I8" s="63"/>
      <c r="J8" s="63"/>
      <c r="K8" s="63"/>
      <c r="L8" s="64"/>
    </row>
    <row r="9" spans="1:12" ht="14.1" customHeight="1" x14ac:dyDescent="0.25">
      <c r="B9" s="47"/>
      <c r="C9" s="59"/>
      <c r="D9" s="59"/>
      <c r="E9" s="59"/>
      <c r="F9" s="59"/>
      <c r="G9" s="59"/>
      <c r="H9" s="59"/>
      <c r="I9" s="59"/>
      <c r="J9" s="59"/>
      <c r="K9" s="59"/>
    </row>
    <row r="10" spans="1:12" ht="14.1" customHeight="1" x14ac:dyDescent="0.25">
      <c r="B10" s="54" t="s">
        <v>83</v>
      </c>
      <c r="C10" s="65"/>
      <c r="D10" s="65"/>
      <c r="E10" s="65"/>
      <c r="F10" s="65"/>
      <c r="G10" s="65"/>
      <c r="H10" s="65"/>
      <c r="I10" s="65"/>
      <c r="J10" s="65"/>
      <c r="K10" s="65"/>
      <c r="L10" s="56"/>
    </row>
    <row r="11" spans="1:12" ht="153" customHeight="1" x14ac:dyDescent="0.25">
      <c r="B11" s="61"/>
      <c r="C11" s="171" t="str">
        <f>ServiceDescription!C13</f>
        <v xml:space="preserve">In order to derive unit rates for this ancillary network service, the following methodology was used:      
-  The business units that provide this ancillary network service provided estimates for the amount of time taken to carry out the various tasks and which employee positions carried out these tasks.      
-  For each employee position an average hourly rate ($2013/14) was calculated and multiplied by the applicable hours to determine the unit cost for each task. The unit cost of all tasks were then totalled to derive the overall unit rate for this service.     
-  The forecast unit rate was applied to the volumes forecast for the 2014 - 2019 regulatory period for this ancillary network service to calculate an estimate for direct operating expenditure for this ancillary network service.   
Overheads were applied to the direct costs based on our Cost Allocation Methodology (CAM).          </v>
      </c>
      <c r="D11" s="171"/>
      <c r="E11" s="171"/>
      <c r="F11" s="171"/>
      <c r="G11" s="171"/>
      <c r="H11" s="171"/>
      <c r="I11" s="171"/>
      <c r="J11" s="171"/>
      <c r="K11" s="171"/>
      <c r="L11" s="62"/>
    </row>
    <row r="12" spans="1:12" ht="14.1" customHeight="1" x14ac:dyDescent="0.25">
      <c r="B12" s="60"/>
      <c r="C12" s="63"/>
      <c r="D12" s="63"/>
      <c r="E12" s="63"/>
      <c r="F12" s="63"/>
      <c r="G12" s="63"/>
      <c r="H12" s="63"/>
      <c r="I12" s="63"/>
      <c r="J12" s="63"/>
      <c r="K12" s="63"/>
      <c r="L12" s="64"/>
    </row>
    <row r="13" spans="1:12" ht="14.1" customHeight="1" x14ac:dyDescent="0.25">
      <c r="B13" s="47"/>
      <c r="C13" s="59"/>
      <c r="D13" s="59"/>
      <c r="E13" s="59"/>
      <c r="F13" s="59"/>
      <c r="G13" s="59"/>
      <c r="H13" s="59"/>
      <c r="I13" s="59"/>
      <c r="J13" s="59"/>
      <c r="K13" s="59"/>
    </row>
    <row r="14" spans="1:12" x14ac:dyDescent="0.25">
      <c r="B14" s="54" t="s">
        <v>75</v>
      </c>
      <c r="C14" s="55"/>
      <c r="D14" s="55"/>
      <c r="E14" s="55"/>
      <c r="F14" s="55"/>
      <c r="G14" s="55"/>
      <c r="H14" s="55"/>
      <c r="I14" s="55"/>
      <c r="J14" s="55"/>
      <c r="K14" s="55"/>
      <c r="L14" s="56"/>
    </row>
    <row r="15" spans="1:12" x14ac:dyDescent="0.25">
      <c r="B15" s="61"/>
      <c r="C15" s="47"/>
      <c r="D15" s="47"/>
      <c r="E15" s="47"/>
      <c r="F15" s="172" t="s">
        <v>81</v>
      </c>
      <c r="G15" s="172"/>
      <c r="H15" s="47"/>
      <c r="I15" s="173" t="s">
        <v>80</v>
      </c>
      <c r="J15" s="173"/>
      <c r="K15" s="48"/>
      <c r="L15" s="62"/>
    </row>
    <row r="16" spans="1:12" x14ac:dyDescent="0.25">
      <c r="B16" s="61"/>
      <c r="C16" s="52"/>
      <c r="D16" s="52"/>
      <c r="E16" s="52"/>
      <c r="F16" s="57" t="s">
        <v>82</v>
      </c>
      <c r="G16" s="57" t="s">
        <v>116</v>
      </c>
      <c r="H16" s="57"/>
      <c r="I16" s="58" t="s">
        <v>82</v>
      </c>
      <c r="J16" s="58" t="s">
        <v>70</v>
      </c>
      <c r="K16" s="48"/>
      <c r="L16" s="62"/>
    </row>
    <row r="17" spans="2:12" x14ac:dyDescent="0.25">
      <c r="B17" s="61"/>
      <c r="C17" s="47" t="str">
        <f>FeeConstruction!C7</f>
        <v>Authorisation of ASPs - Initial</v>
      </c>
      <c r="D17" s="47"/>
      <c r="E17" s="47"/>
      <c r="F17" s="47"/>
      <c r="G17" s="47"/>
      <c r="H17" s="47"/>
      <c r="I17" s="49"/>
      <c r="J17" s="49"/>
      <c r="K17" s="47"/>
      <c r="L17" s="62"/>
    </row>
    <row r="18" spans="2:12" x14ac:dyDescent="0.25">
      <c r="B18" s="61"/>
      <c r="C18" s="47"/>
      <c r="D18" s="47" t="str">
        <f>FeeConstruction!D8</f>
        <v>Initial Authorisations</v>
      </c>
      <c r="E18" s="47"/>
      <c r="F18" s="47" t="str">
        <f>ServiceProjections!G8</f>
        <v>/ authorisation</v>
      </c>
      <c r="G18" s="50">
        <f>FeeConstruction!L8</f>
        <v>796.08405688205528</v>
      </c>
      <c r="H18" s="47"/>
      <c r="I18" s="49" t="str">
        <f>F18</f>
        <v>/ authorisation</v>
      </c>
      <c r="J18" s="51">
        <f>FeeConstruction!H8</f>
        <v>159</v>
      </c>
      <c r="K18" s="47"/>
      <c r="L18" s="62"/>
    </row>
    <row r="19" spans="2:12" x14ac:dyDescent="0.25">
      <c r="B19" s="61"/>
      <c r="C19" s="47"/>
      <c r="D19" s="47" t="str">
        <f>FeeConstruction!D9</f>
        <v>Authorisation Renewals</v>
      </c>
      <c r="E19" s="47"/>
      <c r="F19" s="47" t="str">
        <f>ServiceProjections!G9</f>
        <v>/ authorisation</v>
      </c>
      <c r="G19" s="50">
        <f>FeeConstruction!L9</f>
        <v>386.35894536907068</v>
      </c>
      <c r="H19" s="47"/>
      <c r="I19" s="49" t="str">
        <f t="shared" ref="I19" si="0">F19</f>
        <v>/ authorisation</v>
      </c>
      <c r="J19" s="51">
        <f>FeeConstruction!H9</f>
        <v>159</v>
      </c>
      <c r="K19" s="47"/>
      <c r="L19" s="62"/>
    </row>
    <row r="20" spans="2:12" x14ac:dyDescent="0.25">
      <c r="B20" s="61"/>
      <c r="C20" s="47" t="str">
        <f>FeeConstruction!C10</f>
        <v>Authorisation Training</v>
      </c>
      <c r="D20" s="47"/>
      <c r="E20" s="47"/>
      <c r="F20" s="47"/>
      <c r="G20" s="47"/>
      <c r="H20" s="47"/>
      <c r="I20" s="49"/>
      <c r="J20" s="49"/>
      <c r="K20" s="47"/>
      <c r="L20" s="62"/>
    </row>
    <row r="21" spans="2:12" x14ac:dyDescent="0.25">
      <c r="B21" s="61"/>
      <c r="C21" s="47"/>
      <c r="D21" s="47" t="str">
        <f>FeeConstruction!D11</f>
        <v>Authorisation Training</v>
      </c>
      <c r="E21" s="47"/>
      <c r="F21" s="47" t="str">
        <f>ServiceProjections!G11</f>
        <v>/ authorisation</v>
      </c>
      <c r="G21" s="50">
        <f>FeeConstruction!L11</f>
        <v>299.69385934045727</v>
      </c>
      <c r="H21" s="47"/>
      <c r="I21" s="49" t="str">
        <f t="shared" ref="I21" si="1">F21</f>
        <v>/ authorisation</v>
      </c>
      <c r="J21" s="51" t="str">
        <f>FeeConstruction!H11</f>
        <v>n.a.</v>
      </c>
      <c r="K21" s="47"/>
      <c r="L21" s="62"/>
    </row>
    <row r="22" spans="2:12" x14ac:dyDescent="0.25">
      <c r="B22" s="61"/>
      <c r="C22" s="47" t="str">
        <f>FeeConstruction!C12</f>
        <v>Remedial action of ASPs</v>
      </c>
      <c r="D22" s="47"/>
      <c r="E22" s="47"/>
      <c r="F22" s="47"/>
      <c r="G22" s="47"/>
      <c r="H22" s="47"/>
      <c r="I22" s="49"/>
      <c r="J22" s="49"/>
      <c r="K22" s="47"/>
      <c r="L22" s="62"/>
    </row>
    <row r="23" spans="2:12" x14ac:dyDescent="0.25">
      <c r="B23" s="61"/>
      <c r="C23" s="47"/>
      <c r="D23" s="47" t="str">
        <f>FeeConstruction!D13</f>
        <v>Remedial action of ASPs</v>
      </c>
      <c r="E23" s="47"/>
      <c r="F23" s="47" t="str">
        <f>ServiceProjections!G13</f>
        <v>/ hour</v>
      </c>
      <c r="G23" s="50">
        <f>FeeConstruction!L13</f>
        <v>171.02439713634485</v>
      </c>
      <c r="H23" s="47"/>
      <c r="I23" s="49" t="str">
        <f t="shared" ref="I23" si="2">F23</f>
        <v>/ hour</v>
      </c>
      <c r="J23" s="51" t="str">
        <f>FeeConstruction!H13</f>
        <v>n.a.</v>
      </c>
      <c r="K23" s="47"/>
      <c r="L23" s="62"/>
    </row>
    <row r="24" spans="2:12" x14ac:dyDescent="0.25">
      <c r="B24" s="60"/>
      <c r="C24" s="66"/>
      <c r="D24" s="66"/>
      <c r="E24" s="66"/>
      <c r="F24" s="66"/>
      <c r="G24" s="66"/>
      <c r="H24" s="66"/>
      <c r="I24" s="66"/>
      <c r="J24" s="66"/>
      <c r="K24" s="66"/>
      <c r="L24" s="64"/>
    </row>
    <row r="26" spans="2:12" x14ac:dyDescent="0.25">
      <c r="B26" s="53" t="s">
        <v>84</v>
      </c>
      <c r="C26" s="53"/>
      <c r="D26" s="53"/>
      <c r="E26" s="53"/>
      <c r="F26" s="53"/>
      <c r="G26" s="53"/>
      <c r="H26" s="53"/>
      <c r="I26" s="53"/>
      <c r="J26" s="53"/>
      <c r="K26" s="53"/>
      <c r="L26" s="53"/>
    </row>
    <row r="27" spans="2:12" x14ac:dyDescent="0.25">
      <c r="B27" s="53"/>
      <c r="L27" s="53"/>
    </row>
    <row r="28" spans="2:12" x14ac:dyDescent="0.25">
      <c r="B28" s="53"/>
      <c r="C28" s="46" t="s">
        <v>85</v>
      </c>
      <c r="D28" s="46"/>
      <c r="E28" s="46"/>
      <c r="F28" s="46"/>
      <c r="G28" s="46"/>
      <c r="H28" s="46"/>
      <c r="I28" s="46"/>
      <c r="J28" s="46"/>
      <c r="K28" s="46"/>
      <c r="L28" s="53"/>
    </row>
    <row r="29" spans="2:12" x14ac:dyDescent="0.25">
      <c r="B29" s="53"/>
      <c r="C29" s="46"/>
      <c r="D29" s="69"/>
      <c r="E29" s="130" t="s">
        <v>117</v>
      </c>
      <c r="F29" s="69"/>
      <c r="G29" s="58" t="str">
        <f>GlobalInputs!G12</f>
        <v>2009/10</v>
      </c>
      <c r="H29" s="58" t="str">
        <f>GlobalInputs!H12</f>
        <v>2010/11</v>
      </c>
      <c r="I29" s="58" t="str">
        <f>GlobalInputs!I12</f>
        <v>2011/12</v>
      </c>
      <c r="J29" s="58" t="str">
        <f>GlobalInputs!J12</f>
        <v>2012/13</v>
      </c>
      <c r="K29" s="58" t="str">
        <f>GlobalInputs!K12</f>
        <v>2013/14</v>
      </c>
      <c r="L29" s="53"/>
    </row>
    <row r="30" spans="2:12" x14ac:dyDescent="0.25">
      <c r="B30" s="53"/>
      <c r="C30" s="46"/>
      <c r="D30" s="46"/>
      <c r="E30" s="46"/>
      <c r="F30" s="46"/>
      <c r="G30" s="45"/>
      <c r="H30" s="45"/>
      <c r="I30" s="45"/>
      <c r="J30" s="45"/>
      <c r="K30" s="45"/>
      <c r="L30" s="53"/>
    </row>
    <row r="31" spans="2:12" x14ac:dyDescent="0.25">
      <c r="B31" s="53"/>
      <c r="C31" s="46"/>
      <c r="D31" s="46" t="s">
        <v>13</v>
      </c>
      <c r="E31" s="46"/>
      <c r="F31" s="46" t="s">
        <v>40</v>
      </c>
      <c r="G31" s="70">
        <f>ServiceHistory!G28</f>
        <v>23448</v>
      </c>
      <c r="H31" s="70">
        <f>ServiceHistory!H28</f>
        <v>32522.32</v>
      </c>
      <c r="I31" s="70">
        <f>ServiceHistory!I28</f>
        <v>36173.82</v>
      </c>
      <c r="J31" s="70">
        <f>ServiceHistory!J28</f>
        <v>55904</v>
      </c>
      <c r="K31" s="70">
        <f>ServiceHistory!K28</f>
        <v>49644.800000000003</v>
      </c>
      <c r="L31" s="53"/>
    </row>
    <row r="32" spans="2:12" x14ac:dyDescent="0.25">
      <c r="B32" s="53"/>
      <c r="C32" s="46"/>
      <c r="D32" s="46"/>
      <c r="E32" s="46"/>
      <c r="F32" s="46"/>
      <c r="G32" s="46"/>
      <c r="H32" s="46"/>
      <c r="I32" s="46"/>
      <c r="J32" s="46"/>
      <c r="K32" s="46"/>
      <c r="L32" s="53"/>
    </row>
    <row r="33" spans="2:12" x14ac:dyDescent="0.25">
      <c r="B33" s="53"/>
      <c r="C33" s="46"/>
      <c r="D33" s="46" t="s">
        <v>86</v>
      </c>
      <c r="E33" s="46"/>
      <c r="F33" s="46" t="s">
        <v>40</v>
      </c>
      <c r="G33" s="70">
        <f>ServiceHistory!G57</f>
        <v>517581.13170222228</v>
      </c>
      <c r="H33" s="70">
        <f>ServiceHistory!H57</f>
        <v>590644.58003199997</v>
      </c>
      <c r="I33" s="70">
        <f>ServiceHistory!I57</f>
        <v>684112.63392326829</v>
      </c>
      <c r="J33" s="70">
        <f>ServiceHistory!J57</f>
        <v>817898.24621999997</v>
      </c>
      <c r="K33" s="70">
        <f>ServiceHistory!K57</f>
        <v>758534.76836899295</v>
      </c>
      <c r="L33" s="53"/>
    </row>
    <row r="34" spans="2:12" x14ac:dyDescent="0.25">
      <c r="B34" s="53"/>
      <c r="C34" s="46"/>
      <c r="D34" s="46" t="s">
        <v>87</v>
      </c>
      <c r="E34" s="46"/>
      <c r="F34" s="46"/>
      <c r="G34" s="70">
        <f>ServiceHistory!G64</f>
        <v>246886.19982196001</v>
      </c>
      <c r="H34" s="70">
        <f>ServiceHistory!H64</f>
        <v>275240.37429491204</v>
      </c>
      <c r="I34" s="70">
        <f>ServiceHistory!I64</f>
        <v>305251.05725656229</v>
      </c>
      <c r="J34" s="70">
        <f>ServiceHistory!J64</f>
        <v>343762.63288626599</v>
      </c>
      <c r="K34" s="70">
        <f>ServiceHistory!K64</f>
        <v>329659.21033316426</v>
      </c>
      <c r="L34" s="53"/>
    </row>
    <row r="35" spans="2:12" x14ac:dyDescent="0.25">
      <c r="B35" s="53"/>
      <c r="C35" s="46"/>
      <c r="D35" s="46"/>
      <c r="E35" s="46"/>
      <c r="F35" s="46" t="s">
        <v>40</v>
      </c>
      <c r="G35" s="71">
        <f>SUM(G33:G34)</f>
        <v>764467.33152418234</v>
      </c>
      <c r="H35" s="71">
        <f t="shared" ref="H35:K35" si="3">SUM(H33:H34)</f>
        <v>865884.95432691206</v>
      </c>
      <c r="I35" s="71">
        <f t="shared" si="3"/>
        <v>989363.69117983058</v>
      </c>
      <c r="J35" s="71">
        <f t="shared" si="3"/>
        <v>1161660.879106266</v>
      </c>
      <c r="K35" s="71">
        <f t="shared" si="3"/>
        <v>1088193.9787021573</v>
      </c>
      <c r="L35" s="53"/>
    </row>
    <row r="36" spans="2:12" x14ac:dyDescent="0.25">
      <c r="B36" s="53"/>
      <c r="L36" s="53"/>
    </row>
    <row r="37" spans="2:12" x14ac:dyDescent="0.25">
      <c r="B37" s="53"/>
      <c r="C37" t="s">
        <v>88</v>
      </c>
      <c r="L37" s="53"/>
    </row>
    <row r="38" spans="2:12" x14ac:dyDescent="0.25">
      <c r="B38" s="53"/>
      <c r="D38" s="52"/>
      <c r="E38" s="131" t="s">
        <v>104</v>
      </c>
      <c r="F38" s="52"/>
      <c r="G38" s="57" t="str">
        <f>GlobalInputs!G13</f>
        <v>2014/15</v>
      </c>
      <c r="H38" s="57" t="str">
        <f>GlobalInputs!H13</f>
        <v>2015/16</v>
      </c>
      <c r="I38" s="57" t="str">
        <f>GlobalInputs!I13</f>
        <v>2016/17</v>
      </c>
      <c r="J38" s="57" t="str">
        <f>GlobalInputs!J13</f>
        <v>2017/18</v>
      </c>
      <c r="K38" s="57" t="str">
        <f>GlobalInputs!K13</f>
        <v>2018/19</v>
      </c>
      <c r="L38" s="53"/>
    </row>
    <row r="39" spans="2:12" x14ac:dyDescent="0.25">
      <c r="B39" s="53"/>
      <c r="G39" s="44"/>
      <c r="H39" s="44"/>
      <c r="I39" s="44"/>
      <c r="J39" s="44"/>
      <c r="K39" s="44"/>
      <c r="L39" s="53"/>
    </row>
    <row r="40" spans="2:12" x14ac:dyDescent="0.25">
      <c r="B40" s="53"/>
      <c r="D40" t="s">
        <v>13</v>
      </c>
      <c r="F40" t="s">
        <v>40</v>
      </c>
      <c r="G40" s="67">
        <f>SUM(FeeConstruction!U8:U13)</f>
        <v>1004839.2708914296</v>
      </c>
      <c r="H40" s="67">
        <f>SUM(FeeConstruction!V8:V13)</f>
        <v>1026861.7307774667</v>
      </c>
      <c r="I40" s="67">
        <f>SUM(FeeConstruction!W8:W13)</f>
        <v>1048884.1906635037</v>
      </c>
      <c r="J40" s="67">
        <f>SUM(FeeConstruction!X8:X13)</f>
        <v>1070906.6505495408</v>
      </c>
      <c r="K40" s="67">
        <f>SUM(FeeConstruction!Y8:Y13)</f>
        <v>1092929.1104355778</v>
      </c>
      <c r="L40" s="53"/>
    </row>
    <row r="41" spans="2:12" x14ac:dyDescent="0.25">
      <c r="B41" s="53"/>
      <c r="L41" s="53"/>
    </row>
    <row r="42" spans="2:12" x14ac:dyDescent="0.25">
      <c r="B42" s="53"/>
      <c r="D42" t="s">
        <v>86</v>
      </c>
      <c r="F42" t="s">
        <v>40</v>
      </c>
      <c r="G42" s="67">
        <f>SUM(FeeConstruction!AB8:AB13)</f>
        <v>693944.47840962198</v>
      </c>
      <c r="H42" s="67">
        <f>SUM(FeeConstruction!AC8:AC13)</f>
        <v>709153.26428141014</v>
      </c>
      <c r="I42" s="67">
        <f>SUM(FeeConstruction!AD8:AD13)</f>
        <v>724362.05015319819</v>
      </c>
      <c r="J42" s="67">
        <f>SUM(FeeConstruction!AE8:AE13)</f>
        <v>739570.83602498635</v>
      </c>
      <c r="K42" s="67">
        <f>SUM(FeeConstruction!AF8:AF13)</f>
        <v>754779.62189677439</v>
      </c>
      <c r="L42" s="53"/>
    </row>
    <row r="43" spans="2:12" x14ac:dyDescent="0.25">
      <c r="B43" s="53"/>
      <c r="D43" t="s">
        <v>87</v>
      </c>
      <c r="G43" s="67">
        <f>SUM(FeeConstruction!AI8:AI13)</f>
        <v>289168.00656389311</v>
      </c>
      <c r="H43" s="67">
        <f>SUM(FeeConstruction!AJ8:AJ13)</f>
        <v>295505.50763666723</v>
      </c>
      <c r="I43" s="67">
        <f>SUM(FeeConstruction!AK8:AK13)</f>
        <v>301843.00870944135</v>
      </c>
      <c r="J43" s="67">
        <f>SUM(FeeConstruction!AL8:AL13)</f>
        <v>308180.50978221546</v>
      </c>
      <c r="K43" s="67">
        <f>SUM(FeeConstruction!AM8:AM13)</f>
        <v>314518.01085498952</v>
      </c>
      <c r="L43" s="53"/>
    </row>
    <row r="44" spans="2:12" x14ac:dyDescent="0.25">
      <c r="B44" s="53"/>
      <c r="D44" t="s">
        <v>175</v>
      </c>
      <c r="G44" s="67">
        <f>SUM(FeeConstruction!AP8:AP13)</f>
        <v>21726.785917914676</v>
      </c>
      <c r="H44" s="67">
        <f>SUM(FeeConstruction!AQ8:AQ13)</f>
        <v>22202.958859389502</v>
      </c>
      <c r="I44" s="67">
        <f>SUM(FeeConstruction!AR8:AR13)</f>
        <v>22679.131800864321</v>
      </c>
      <c r="J44" s="67">
        <f>SUM(FeeConstruction!AS8:AS13)</f>
        <v>23155.304742339147</v>
      </c>
      <c r="K44" s="67">
        <f>SUM(FeeConstruction!AT8:AT13)</f>
        <v>23631.477683813973</v>
      </c>
      <c r="L44" s="53"/>
    </row>
    <row r="45" spans="2:12" x14ac:dyDescent="0.25">
      <c r="B45" s="53"/>
      <c r="F45" t="s">
        <v>40</v>
      </c>
      <c r="G45" s="68">
        <f>SUM(G42:G44)</f>
        <v>1004839.2708914299</v>
      </c>
      <c r="H45" s="68">
        <f t="shared" ref="H45:K45" si="4">SUM(H42:H44)</f>
        <v>1026861.7307774669</v>
      </c>
      <c r="I45" s="68">
        <f t="shared" si="4"/>
        <v>1048884.1906635039</v>
      </c>
      <c r="J45" s="68">
        <f t="shared" si="4"/>
        <v>1070906.650549541</v>
      </c>
      <c r="K45" s="68">
        <f t="shared" si="4"/>
        <v>1092929.1104355778</v>
      </c>
      <c r="L45" s="53"/>
    </row>
    <row r="46" spans="2:12" x14ac:dyDescent="0.25">
      <c r="B46" s="53"/>
      <c r="C46" s="53"/>
      <c r="D46" s="53"/>
      <c r="E46" s="53"/>
      <c r="F46" s="53"/>
      <c r="G46" s="53"/>
      <c r="H46" s="53"/>
      <c r="I46" s="53"/>
      <c r="J46" s="53"/>
      <c r="K46" s="53"/>
      <c r="L46" s="53"/>
    </row>
  </sheetData>
  <mergeCells count="5">
    <mergeCell ref="C11:K11"/>
    <mergeCell ref="C6:K6"/>
    <mergeCell ref="F15:G15"/>
    <mergeCell ref="I15:J15"/>
    <mergeCell ref="C7:K7"/>
  </mergeCells>
  <pageMargins left="0.39370078740157483" right="0.39370078740157483" top="0.39370078740157483" bottom="0.39370078740157483" header="0.19685039370078741" footer="0.19685039370078741"/>
  <pageSetup paperSize="9" scale="83" orientation="portrait" r:id="rId1"/>
  <headerFooter>
    <oddFooter>&amp;C&amp;F&amp;R&amp;A</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249977111117893"/>
  </sheetPr>
  <dimension ref="A1:E3"/>
  <sheetViews>
    <sheetView workbookViewId="0"/>
  </sheetViews>
  <sheetFormatPr defaultColWidth="0" defaultRowHeight="15" customHeight="1" zeroHeight="1" x14ac:dyDescent="0.25"/>
  <cols>
    <col min="1" max="1" width="2.42578125" customWidth="1"/>
    <col min="2" max="5" width="9.140625" customWidth="1"/>
    <col min="6" max="16384" width="9.140625" hidden="1"/>
  </cols>
  <sheetData>
    <row r="1" spans="2:2" x14ac:dyDescent="0.25"/>
    <row r="2" spans="2:2" x14ac:dyDescent="0.25">
      <c r="B2" s="1" t="s">
        <v>12</v>
      </c>
    </row>
    <row r="3" spans="2:2" x14ac:dyDescent="0.25"/>
  </sheetData>
  <pageMargins left="0.70866141732283472" right="0.70866141732283472" top="0.74803149606299213" bottom="0.74803149606299213" header="0.31496062992125984" footer="0.31496062992125984"/>
  <pageSetup paperSize="9" orientation="portrait"/>
  <headerFooter>
    <oddFooter>&amp;C&amp;F&amp;R&amp;A</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59999389629810485"/>
  </sheetPr>
  <dimension ref="A1:M30"/>
  <sheetViews>
    <sheetView topLeftCell="A4" zoomScale="90" zoomScaleNormal="90" zoomScalePageLayoutView="125" workbookViewId="0">
      <selection activeCell="J21" sqref="J21"/>
    </sheetView>
  </sheetViews>
  <sheetFormatPr defaultColWidth="10.85546875" defaultRowHeight="12.95" customHeight="1" x14ac:dyDescent="0.2"/>
  <cols>
    <col min="1" max="4" width="2.28515625" style="115" customWidth="1"/>
    <col min="5" max="5" width="39.28515625" style="115" customWidth="1"/>
    <col min="6" max="11" width="10.85546875" style="115"/>
    <col min="12" max="12" width="2.7109375" style="115" customWidth="1"/>
    <col min="13" max="13" width="45.85546875" style="115" customWidth="1"/>
    <col min="14" max="16384" width="10.85546875" style="115"/>
  </cols>
  <sheetData>
    <row r="1" spans="1:13" ht="12.95" customHeight="1" x14ac:dyDescent="0.2">
      <c r="A1" s="115" t="s">
        <v>15</v>
      </c>
    </row>
    <row r="2" spans="1:13" ht="18" customHeight="1" x14ac:dyDescent="0.25">
      <c r="A2" s="123" t="s">
        <v>16</v>
      </c>
      <c r="F2" s="116" t="str">
        <f>IF(ROUND($E$6,6)=0,"ok","Problem - review CheckSheet")</f>
        <v>ok</v>
      </c>
    </row>
    <row r="3" spans="1:13" ht="12.95" customHeight="1" x14ac:dyDescent="0.2">
      <c r="A3" s="115" t="str">
        <f>G9</f>
        <v>ASP Fees</v>
      </c>
      <c r="F3" s="116"/>
    </row>
    <row r="5" spans="1:13" ht="12.95" customHeight="1" x14ac:dyDescent="0.2">
      <c r="B5" s="115" t="s">
        <v>21</v>
      </c>
    </row>
    <row r="6" spans="1:13" ht="12.95" customHeight="1" x14ac:dyDescent="0.2">
      <c r="C6" s="115" t="s">
        <v>19</v>
      </c>
      <c r="G6" s="177" t="s">
        <v>20</v>
      </c>
      <c r="H6" s="177"/>
      <c r="M6" s="117" t="s">
        <v>38</v>
      </c>
    </row>
    <row r="7" spans="1:13" ht="12.95" customHeight="1" x14ac:dyDescent="0.2">
      <c r="C7" s="115" t="s">
        <v>18</v>
      </c>
      <c r="G7" s="177" t="s">
        <v>134</v>
      </c>
      <c r="H7" s="177"/>
      <c r="I7" s="177"/>
      <c r="J7" s="177"/>
      <c r="K7" s="177"/>
    </row>
    <row r="8" spans="1:13" ht="12.95" customHeight="1" x14ac:dyDescent="0.2">
      <c r="G8" s="138" t="s">
        <v>135</v>
      </c>
      <c r="H8" s="138"/>
      <c r="I8" s="138"/>
      <c r="J8" s="138"/>
      <c r="K8" s="138"/>
    </row>
    <row r="9" spans="1:13" ht="12.95" customHeight="1" x14ac:dyDescent="0.2">
      <c r="C9" s="115" t="s">
        <v>126</v>
      </c>
      <c r="G9" s="178" t="s">
        <v>136</v>
      </c>
      <c r="H9" s="178"/>
      <c r="I9" s="178"/>
    </row>
    <row r="11" spans="1:13" ht="12.95" customHeight="1" x14ac:dyDescent="0.2">
      <c r="B11" s="115" t="s">
        <v>22</v>
      </c>
    </row>
    <row r="12" spans="1:13" ht="12.95" customHeight="1" x14ac:dyDescent="0.2">
      <c r="C12" s="115" t="s">
        <v>23</v>
      </c>
      <c r="G12" s="118" t="s">
        <v>2</v>
      </c>
      <c r="H12" s="118" t="s">
        <v>3</v>
      </c>
      <c r="I12" s="118" t="s">
        <v>4</v>
      </c>
      <c r="J12" s="118" t="s">
        <v>5</v>
      </c>
      <c r="K12" s="118" t="s">
        <v>6</v>
      </c>
    </row>
    <row r="13" spans="1:13" ht="12.95" customHeight="1" x14ac:dyDescent="0.2">
      <c r="C13" s="115" t="s">
        <v>24</v>
      </c>
      <c r="G13" s="118" t="s">
        <v>7</v>
      </c>
      <c r="H13" s="118" t="s">
        <v>8</v>
      </c>
      <c r="I13" s="118" t="s">
        <v>9</v>
      </c>
      <c r="J13" s="118" t="s">
        <v>10</v>
      </c>
      <c r="K13" s="118" t="s">
        <v>11</v>
      </c>
    </row>
    <row r="15" spans="1:13" ht="12.95" customHeight="1" x14ac:dyDescent="0.2">
      <c r="B15" s="115" t="s">
        <v>25</v>
      </c>
    </row>
    <row r="16" spans="1:13" ht="12.95" customHeight="1" x14ac:dyDescent="0.2">
      <c r="B16" s="107" t="s">
        <v>26</v>
      </c>
      <c r="C16" s="108"/>
      <c r="D16" s="108"/>
      <c r="E16" s="108"/>
      <c r="F16" s="108"/>
      <c r="G16" s="124" t="s">
        <v>100</v>
      </c>
      <c r="H16" s="124" t="s">
        <v>101</v>
      </c>
      <c r="I16" s="124" t="s">
        <v>102</v>
      </c>
      <c r="J16" s="125" t="s">
        <v>103</v>
      </c>
      <c r="M16" s="174" t="s">
        <v>184</v>
      </c>
    </row>
    <row r="17" spans="2:13" ht="12.95" customHeight="1" x14ac:dyDescent="0.2">
      <c r="B17" s="109"/>
      <c r="C17" s="110"/>
      <c r="D17" s="110"/>
      <c r="E17" s="110" t="s">
        <v>104</v>
      </c>
      <c r="F17" s="110"/>
      <c r="G17" s="110" t="s">
        <v>105</v>
      </c>
      <c r="H17" s="110" t="s">
        <v>105</v>
      </c>
      <c r="I17" s="110" t="s">
        <v>106</v>
      </c>
      <c r="J17" s="111" t="s">
        <v>107</v>
      </c>
      <c r="M17" s="175"/>
    </row>
    <row r="18" spans="2:13" ht="12.95" customHeight="1" x14ac:dyDescent="0.2">
      <c r="B18" s="109"/>
      <c r="C18" s="112" t="s">
        <v>27</v>
      </c>
      <c r="D18" s="112"/>
      <c r="E18" s="112" t="s">
        <v>28</v>
      </c>
      <c r="F18" s="112" t="s">
        <v>29</v>
      </c>
      <c r="G18" s="119">
        <v>78.184626490066336</v>
      </c>
      <c r="H18" s="119">
        <v>32.590000000000003</v>
      </c>
      <c r="I18" s="119">
        <v>2.4500000000000002</v>
      </c>
      <c r="J18" s="120">
        <v>113.22462649006634</v>
      </c>
      <c r="M18" s="175"/>
    </row>
    <row r="19" spans="2:13" ht="12.95" customHeight="1" x14ac:dyDescent="0.2">
      <c r="B19" s="109"/>
      <c r="C19" s="112" t="s">
        <v>30</v>
      </c>
      <c r="D19" s="112"/>
      <c r="E19" s="112" t="s">
        <v>31</v>
      </c>
      <c r="F19" s="112"/>
      <c r="G19" s="119">
        <v>99.160031683948517</v>
      </c>
      <c r="H19" s="119">
        <v>41.33</v>
      </c>
      <c r="I19" s="119">
        <v>3.1</v>
      </c>
      <c r="J19" s="120">
        <v>143.59003168394852</v>
      </c>
      <c r="M19" s="175"/>
    </row>
    <row r="20" spans="2:13" ht="12.95" customHeight="1" x14ac:dyDescent="0.2">
      <c r="B20" s="109"/>
      <c r="C20" s="112" t="s">
        <v>32</v>
      </c>
      <c r="D20" s="112"/>
      <c r="E20" s="112" t="s">
        <v>33</v>
      </c>
      <c r="F20" s="112"/>
      <c r="G20" s="119">
        <v>118.11003168394852</v>
      </c>
      <c r="H20" s="119">
        <v>49.227195871359022</v>
      </c>
      <c r="I20" s="119">
        <v>3.6927860848396072</v>
      </c>
      <c r="J20" s="120">
        <v>171.03001364014716</v>
      </c>
      <c r="M20" s="175"/>
    </row>
    <row r="21" spans="2:13" ht="12.95" customHeight="1" x14ac:dyDescent="0.2">
      <c r="B21" s="109"/>
      <c r="C21" s="112" t="s">
        <v>34</v>
      </c>
      <c r="D21" s="112"/>
      <c r="E21" s="112" t="s">
        <v>35</v>
      </c>
      <c r="F21" s="112"/>
      <c r="G21" s="119">
        <v>132.85725843654632</v>
      </c>
      <c r="H21" s="119">
        <v>55.367195871359023</v>
      </c>
      <c r="I21" s="119">
        <v>4.1527860848396072</v>
      </c>
      <c r="J21" s="120">
        <v>192.37724039274497</v>
      </c>
      <c r="M21" s="175"/>
    </row>
    <row r="22" spans="2:13" ht="12.95" customHeight="1" x14ac:dyDescent="0.2">
      <c r="B22" s="109"/>
      <c r="C22" s="112" t="s">
        <v>36</v>
      </c>
      <c r="D22" s="112"/>
      <c r="E22" s="112" t="s">
        <v>37</v>
      </c>
      <c r="F22" s="112"/>
      <c r="G22" s="119">
        <v>89.78155428259754</v>
      </c>
      <c r="H22" s="119">
        <v>37.417195871359027</v>
      </c>
      <c r="I22" s="119">
        <v>2.8127860848396073</v>
      </c>
      <c r="J22" s="120">
        <v>130.01153623879617</v>
      </c>
      <c r="M22" s="175"/>
    </row>
    <row r="23" spans="2:13" ht="12.95" customHeight="1" x14ac:dyDescent="0.2">
      <c r="B23" s="109"/>
      <c r="C23" s="112" t="s">
        <v>14</v>
      </c>
      <c r="D23" s="112"/>
      <c r="E23" s="112" t="s">
        <v>14</v>
      </c>
      <c r="F23" s="112"/>
      <c r="G23" s="119">
        <v>0</v>
      </c>
      <c r="H23" s="119">
        <v>0</v>
      </c>
      <c r="I23" s="119">
        <v>0</v>
      </c>
      <c r="J23" s="120">
        <v>0</v>
      </c>
      <c r="M23" s="175"/>
    </row>
    <row r="24" spans="2:13" ht="12.95" customHeight="1" x14ac:dyDescent="0.2">
      <c r="B24" s="109"/>
      <c r="C24" s="112" t="s">
        <v>14</v>
      </c>
      <c r="D24" s="112"/>
      <c r="E24" s="112" t="s">
        <v>14</v>
      </c>
      <c r="F24" s="112"/>
      <c r="G24" s="119">
        <v>0</v>
      </c>
      <c r="H24" s="119">
        <v>0</v>
      </c>
      <c r="I24" s="119">
        <v>0</v>
      </c>
      <c r="J24" s="120">
        <v>0</v>
      </c>
      <c r="M24" s="175"/>
    </row>
    <row r="25" spans="2:13" ht="12.95" customHeight="1" x14ac:dyDescent="0.2">
      <c r="B25" s="109"/>
      <c r="C25" s="112" t="s">
        <v>14</v>
      </c>
      <c r="D25" s="112"/>
      <c r="E25" s="112" t="s">
        <v>14</v>
      </c>
      <c r="F25" s="112"/>
      <c r="G25" s="119">
        <v>0</v>
      </c>
      <c r="H25" s="119">
        <v>0</v>
      </c>
      <c r="I25" s="119">
        <v>0</v>
      </c>
      <c r="J25" s="120">
        <v>0</v>
      </c>
      <c r="M25" s="175"/>
    </row>
    <row r="26" spans="2:13" ht="12.95" customHeight="1" x14ac:dyDescent="0.2">
      <c r="B26" s="109"/>
      <c r="C26" s="112" t="s">
        <v>14</v>
      </c>
      <c r="D26" s="112"/>
      <c r="E26" s="112" t="s">
        <v>14</v>
      </c>
      <c r="F26" s="112"/>
      <c r="G26" s="119">
        <v>0</v>
      </c>
      <c r="H26" s="119">
        <v>0</v>
      </c>
      <c r="I26" s="119">
        <v>0</v>
      </c>
      <c r="J26" s="120">
        <v>0</v>
      </c>
      <c r="M26" s="175"/>
    </row>
    <row r="27" spans="2:13" ht="63.75" customHeight="1" x14ac:dyDescent="0.2">
      <c r="B27" s="113"/>
      <c r="C27" s="114" t="s">
        <v>14</v>
      </c>
      <c r="D27" s="114"/>
      <c r="E27" s="114" t="s">
        <v>14</v>
      </c>
      <c r="F27" s="114"/>
      <c r="G27" s="121">
        <v>0</v>
      </c>
      <c r="H27" s="121">
        <v>0</v>
      </c>
      <c r="I27" s="121">
        <v>0</v>
      </c>
      <c r="J27" s="122">
        <v>0</v>
      </c>
      <c r="M27" s="176"/>
    </row>
    <row r="30" spans="2:13" s="6" customFormat="1" ht="14.1" customHeight="1" x14ac:dyDescent="0.25"/>
  </sheetData>
  <mergeCells count="4">
    <mergeCell ref="M16:M27"/>
    <mergeCell ref="G6:H6"/>
    <mergeCell ref="G7:K7"/>
    <mergeCell ref="G9:I9"/>
  </mergeCell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59999389629810485"/>
  </sheetPr>
  <dimension ref="A1:F34"/>
  <sheetViews>
    <sheetView zoomScale="90" zoomScaleNormal="90" zoomScalePageLayoutView="125" workbookViewId="0">
      <selection activeCell="C20" sqref="C20"/>
    </sheetView>
  </sheetViews>
  <sheetFormatPr defaultColWidth="9.140625" defaultRowHeight="15" x14ac:dyDescent="0.25"/>
  <cols>
    <col min="1" max="1" width="2.28515625" customWidth="1"/>
    <col min="2" max="2" width="2.28515625" style="3" customWidth="1"/>
    <col min="3" max="3" width="26.42578125" style="3" customWidth="1"/>
    <col min="4" max="4" width="39.140625" style="3" customWidth="1"/>
    <col min="5" max="5" width="46.7109375" style="3" customWidth="1"/>
    <col min="6" max="6" width="9.140625" style="3" customWidth="1"/>
    <col min="7" max="7" width="9.140625" customWidth="1"/>
  </cols>
  <sheetData>
    <row r="1" spans="1:6" x14ac:dyDescent="0.25">
      <c r="A1" t="str">
        <f>GlobalInputs!A1</f>
        <v>Ancillary Network Services Pricing Model</v>
      </c>
    </row>
    <row r="2" spans="1:6" ht="15.75" x14ac:dyDescent="0.25">
      <c r="A2" s="5" t="s">
        <v>57</v>
      </c>
      <c r="B2"/>
      <c r="C2"/>
      <c r="D2" s="74" t="str">
        <f>IF(ROUND(CheckSheet!E5,6)=0,"ok","Problem - review CheckSheet")</f>
        <v>ok</v>
      </c>
      <c r="E2"/>
      <c r="F2"/>
    </row>
    <row r="3" spans="1:6" x14ac:dyDescent="0.25">
      <c r="A3" s="4" t="str">
        <f>GlobalInputs!G9</f>
        <v>ASP Fees</v>
      </c>
      <c r="B3"/>
      <c r="C3"/>
      <c r="D3" s="74"/>
      <c r="E3"/>
      <c r="F3"/>
    </row>
    <row r="5" spans="1:6" x14ac:dyDescent="0.25">
      <c r="B5" s="14" t="s">
        <v>18</v>
      </c>
      <c r="D5" s="3" t="str">
        <f>GlobalInputs!G7</f>
        <v>09 - Authorisation of ASPs</v>
      </c>
    </row>
    <row r="6" spans="1:6" x14ac:dyDescent="0.25">
      <c r="B6" s="14"/>
      <c r="D6" s="3" t="str">
        <f>GlobalInputs!G8</f>
        <v>24 - Remedial (ASPs)</v>
      </c>
    </row>
    <row r="7" spans="1:6" x14ac:dyDescent="0.25">
      <c r="B7" s="14"/>
    </row>
    <row r="8" spans="1:6" x14ac:dyDescent="0.25">
      <c r="B8" s="14" t="s">
        <v>61</v>
      </c>
    </row>
    <row r="9" spans="1:6" ht="41.25" customHeight="1" x14ac:dyDescent="0.25">
      <c r="B9" s="14"/>
      <c r="C9" s="179" t="s">
        <v>166</v>
      </c>
      <c r="D9" s="179"/>
      <c r="E9" s="179"/>
    </row>
    <row r="10" spans="1:6" ht="54.75" customHeight="1" x14ac:dyDescent="0.25">
      <c r="B10" s="14"/>
      <c r="C10" s="179" t="s">
        <v>167</v>
      </c>
      <c r="D10" s="179"/>
      <c r="E10" s="179"/>
    </row>
    <row r="11" spans="1:6" x14ac:dyDescent="0.25">
      <c r="B11" s="14"/>
    </row>
    <row r="12" spans="1:6" x14ac:dyDescent="0.25">
      <c r="B12" s="14" t="s">
        <v>1</v>
      </c>
    </row>
    <row r="13" spans="1:6" ht="120.95" customHeight="1" x14ac:dyDescent="0.25">
      <c r="B13" s="14"/>
      <c r="C13" s="179" t="s">
        <v>62</v>
      </c>
      <c r="D13" s="179"/>
      <c r="E13" s="179"/>
    </row>
    <row r="14" spans="1:6" x14ac:dyDescent="0.25">
      <c r="B14" s="14"/>
    </row>
    <row r="15" spans="1:6" x14ac:dyDescent="0.25">
      <c r="B15" s="3" t="s">
        <v>58</v>
      </c>
    </row>
    <row r="16" spans="1:6" x14ac:dyDescent="0.25">
      <c r="C16" s="25" t="s">
        <v>59</v>
      </c>
      <c r="D16" s="25" t="s">
        <v>60</v>
      </c>
      <c r="E16" s="25"/>
    </row>
    <row r="18" spans="3:5" ht="14.1" customHeight="1" x14ac:dyDescent="0.25">
      <c r="C18" s="104" t="s">
        <v>169</v>
      </c>
      <c r="D18" s="179" t="s">
        <v>138</v>
      </c>
      <c r="E18" s="179"/>
    </row>
    <row r="19" spans="3:5" x14ac:dyDescent="0.25">
      <c r="C19" s="27"/>
      <c r="D19" s="179"/>
      <c r="E19" s="179"/>
    </row>
    <row r="20" spans="3:5" x14ac:dyDescent="0.25">
      <c r="C20" s="104" t="s">
        <v>171</v>
      </c>
      <c r="D20" s="158" t="s">
        <v>170</v>
      </c>
      <c r="E20" s="158"/>
    </row>
    <row r="21" spans="3:5" x14ac:dyDescent="0.25">
      <c r="C21" s="27"/>
      <c r="D21" s="158"/>
      <c r="E21" s="158"/>
    </row>
    <row r="22" spans="3:5" ht="14.1" customHeight="1" x14ac:dyDescent="0.25">
      <c r="C22" s="104" t="s">
        <v>177</v>
      </c>
      <c r="D22" s="179" t="s">
        <v>165</v>
      </c>
      <c r="E22" s="179"/>
    </row>
    <row r="23" spans="3:5" x14ac:dyDescent="0.25">
      <c r="C23" s="105"/>
      <c r="D23" s="179"/>
      <c r="E23" s="179"/>
    </row>
    <row r="24" spans="3:5" ht="14.1" customHeight="1" x14ac:dyDescent="0.25">
      <c r="C24" s="104" t="s">
        <v>139</v>
      </c>
      <c r="D24" s="179" t="s">
        <v>140</v>
      </c>
      <c r="E24" s="179"/>
    </row>
    <row r="25" spans="3:5" x14ac:dyDescent="0.25">
      <c r="C25" s="27"/>
      <c r="D25" s="179"/>
      <c r="E25" s="179"/>
    </row>
    <row r="26" spans="3:5" x14ac:dyDescent="0.25">
      <c r="C26" s="28"/>
      <c r="D26" s="26"/>
      <c r="E26" s="26"/>
    </row>
    <row r="27" spans="3:5" x14ac:dyDescent="0.25">
      <c r="C27" s="28"/>
      <c r="D27" s="26"/>
      <c r="E27" s="26"/>
    </row>
    <row r="28" spans="3:5" x14ac:dyDescent="0.25">
      <c r="C28" s="28"/>
      <c r="D28" s="26"/>
      <c r="E28" s="26"/>
    </row>
    <row r="29" spans="3:5" x14ac:dyDescent="0.25">
      <c r="C29" s="28"/>
      <c r="D29" s="26"/>
      <c r="E29" s="26"/>
    </row>
    <row r="30" spans="3:5" x14ac:dyDescent="0.25">
      <c r="C30" s="28"/>
      <c r="D30" s="26"/>
      <c r="E30" s="26"/>
    </row>
    <row r="31" spans="3:5" x14ac:dyDescent="0.25">
      <c r="C31" s="28"/>
      <c r="D31" s="26"/>
      <c r="E31" s="26"/>
    </row>
    <row r="32" spans="3:5" x14ac:dyDescent="0.25">
      <c r="C32" s="28"/>
      <c r="D32" s="26"/>
      <c r="E32" s="26"/>
    </row>
    <row r="33" spans="4:5" x14ac:dyDescent="0.25">
      <c r="D33" s="26"/>
      <c r="E33" s="26"/>
    </row>
    <row r="34" spans="4:5" x14ac:dyDescent="0.25">
      <c r="D34" s="26"/>
      <c r="E34" s="26"/>
    </row>
  </sheetData>
  <mergeCells count="6">
    <mergeCell ref="C9:E9"/>
    <mergeCell ref="C13:E13"/>
    <mergeCell ref="D18:E19"/>
    <mergeCell ref="D22:E23"/>
    <mergeCell ref="D24:E25"/>
    <mergeCell ref="C10:E10"/>
  </mergeCells>
  <pageMargins left="0.75" right="0.75" top="1" bottom="1" header="0.5" footer="0.5"/>
  <pageSetup paperSize="9" orientation="portrait" horizontalDpi="4294967292" verticalDpi="4294967292"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59999389629810485"/>
    <pageSetUpPr fitToPage="1"/>
  </sheetPr>
  <dimension ref="A1:O64"/>
  <sheetViews>
    <sheetView zoomScale="90" zoomScaleNormal="90" zoomScalePageLayoutView="125" workbookViewId="0">
      <pane xSplit="5" ySplit="4" topLeftCell="F5" activePane="bottomRight" state="frozenSplit"/>
      <selection pane="topRight" activeCell="F1" sqref="F1"/>
      <selection pane="bottomLeft" activeCell="A4" sqref="A4"/>
      <selection pane="bottomRight" activeCell="G12" sqref="G12"/>
    </sheetView>
  </sheetViews>
  <sheetFormatPr defaultColWidth="9.140625" defaultRowHeight="14.1" customHeight="1" x14ac:dyDescent="0.25"/>
  <cols>
    <col min="1" max="3" width="2.140625" style="87" customWidth="1"/>
    <col min="4" max="4" width="1.85546875" style="87" customWidth="1"/>
    <col min="5" max="5" width="42.140625" style="87" customWidth="1"/>
    <col min="6" max="12" width="10.85546875" style="87" customWidth="1"/>
    <col min="13" max="13" width="2.42578125" style="87" customWidth="1"/>
    <col min="14" max="14" width="48.85546875" style="86" customWidth="1"/>
    <col min="15" max="15" width="10.7109375" style="87" customWidth="1"/>
    <col min="16" max="18" width="9.140625" style="87" customWidth="1"/>
    <col min="19" max="16384" width="9.140625" style="87"/>
  </cols>
  <sheetData>
    <row r="1" spans="1:15" ht="14.1" customHeight="1" x14ac:dyDescent="0.2">
      <c r="A1" s="85" t="s">
        <v>15</v>
      </c>
      <c r="B1" s="85"/>
      <c r="C1" s="85"/>
      <c r="D1" s="85"/>
      <c r="E1" s="85"/>
      <c r="F1" s="85"/>
      <c r="G1" s="85"/>
      <c r="H1" s="85"/>
      <c r="I1" s="85"/>
      <c r="J1" s="85"/>
      <c r="K1" s="85"/>
      <c r="L1" s="85"/>
      <c r="M1" s="85"/>
      <c r="O1" s="85"/>
    </row>
    <row r="2" spans="1:15" ht="14.1" customHeight="1" x14ac:dyDescent="0.25">
      <c r="A2" s="88" t="s">
        <v>64</v>
      </c>
      <c r="B2" s="89"/>
      <c r="C2" s="89"/>
      <c r="D2" s="89"/>
      <c r="E2" s="89"/>
      <c r="F2" s="90" t="str">
        <f>IF(ROUND($E$5,6)=0,"ok","Problem - review CheckSheet")</f>
        <v>ok</v>
      </c>
      <c r="G2" s="89"/>
      <c r="H2" s="89"/>
      <c r="I2" s="89"/>
      <c r="J2" s="89"/>
      <c r="K2" s="89"/>
      <c r="L2" s="89"/>
      <c r="M2" s="89"/>
      <c r="N2" s="91"/>
      <c r="O2" s="89"/>
    </row>
    <row r="3" spans="1:15" ht="14.1" customHeight="1" x14ac:dyDescent="0.25">
      <c r="A3" s="87" t="str">
        <f>GlobalInputs!G9</f>
        <v>ASP Fees</v>
      </c>
      <c r="N3" s="92" t="s">
        <v>38</v>
      </c>
      <c r="O3" s="92" t="s">
        <v>185</v>
      </c>
    </row>
    <row r="5" spans="1:15" ht="14.1" customHeight="1" x14ac:dyDescent="0.25">
      <c r="B5" s="87" t="s">
        <v>63</v>
      </c>
    </row>
    <row r="6" spans="1:15" ht="14.1" customHeight="1" x14ac:dyDescent="0.25">
      <c r="C6" s="87" t="str">
        <f>ServiceDescription!C18</f>
        <v>Authorisation of ASPs - Initial</v>
      </c>
    </row>
    <row r="7" spans="1:15" ht="14.1" customHeight="1" x14ac:dyDescent="0.25">
      <c r="D7" s="87" t="s">
        <v>142</v>
      </c>
      <c r="F7" s="87" t="s">
        <v>40</v>
      </c>
      <c r="G7" s="84">
        <v>159</v>
      </c>
    </row>
    <row r="8" spans="1:15" ht="14.1" customHeight="1" x14ac:dyDescent="0.25">
      <c r="D8" s="87" t="s">
        <v>143</v>
      </c>
      <c r="G8" s="84">
        <v>159</v>
      </c>
    </row>
    <row r="9" spans="1:15" ht="14.1" customHeight="1" x14ac:dyDescent="0.25">
      <c r="C9" s="87" t="str">
        <f>ServiceDescription!C22</f>
        <v>Authorisation Training</v>
      </c>
      <c r="G9" s="93"/>
    </row>
    <row r="10" spans="1:15" ht="14.1" customHeight="1" x14ac:dyDescent="0.25">
      <c r="D10" s="87" t="str">
        <f>C9</f>
        <v>Authorisation Training</v>
      </c>
      <c r="G10" s="84" t="s">
        <v>188</v>
      </c>
    </row>
    <row r="11" spans="1:15" ht="14.1" customHeight="1" x14ac:dyDescent="0.25">
      <c r="C11" s="87" t="str">
        <f>ServiceDescription!C24</f>
        <v>Remedial action of ASPs</v>
      </c>
      <c r="G11" s="93"/>
    </row>
    <row r="12" spans="1:15" ht="14.1" customHeight="1" x14ac:dyDescent="0.25">
      <c r="D12" s="87" t="str">
        <f>C11</f>
        <v>Remedial action of ASPs</v>
      </c>
      <c r="G12" s="84" t="s">
        <v>188</v>
      </c>
    </row>
    <row r="13" spans="1:15" ht="14.1" customHeight="1" x14ac:dyDescent="0.25">
      <c r="G13" s="139"/>
      <c r="N13" s="87"/>
    </row>
    <row r="14" spans="1:15" ht="14.1" customHeight="1" x14ac:dyDescent="0.25">
      <c r="B14" s="87" t="s">
        <v>130</v>
      </c>
      <c r="G14" s="139"/>
      <c r="N14" s="87"/>
    </row>
    <row r="15" spans="1:15" ht="14.1" customHeight="1" x14ac:dyDescent="0.25">
      <c r="C15" s="87" t="str">
        <f>C6</f>
        <v>Authorisation of ASPs - Initial</v>
      </c>
      <c r="G15" s="139"/>
      <c r="N15" s="180" t="s">
        <v>176</v>
      </c>
      <c r="O15" s="87" t="s">
        <v>45</v>
      </c>
    </row>
    <row r="16" spans="1:15" ht="14.1" customHeight="1" x14ac:dyDescent="0.25">
      <c r="D16" s="87" t="s">
        <v>131</v>
      </c>
      <c r="G16" s="84">
        <v>1</v>
      </c>
      <c r="N16" s="181"/>
    </row>
    <row r="17" spans="2:15" ht="14.1" customHeight="1" x14ac:dyDescent="0.25">
      <c r="C17" s="87" t="str">
        <f>C9</f>
        <v>Authorisation Training</v>
      </c>
      <c r="G17" s="139"/>
      <c r="N17" s="181"/>
      <c r="O17" s="87" t="s">
        <v>44</v>
      </c>
    </row>
    <row r="18" spans="2:15" ht="14.1" customHeight="1" x14ac:dyDescent="0.25">
      <c r="D18" s="87" t="s">
        <v>131</v>
      </c>
      <c r="G18" s="84">
        <v>1</v>
      </c>
      <c r="N18" s="181"/>
    </row>
    <row r="19" spans="2:15" ht="14.1" customHeight="1" x14ac:dyDescent="0.25">
      <c r="C19" s="87" t="str">
        <f>C11</f>
        <v>Remedial action of ASPs</v>
      </c>
      <c r="G19" s="139"/>
      <c r="N19" s="181"/>
      <c r="O19" s="87" t="s">
        <v>46</v>
      </c>
    </row>
    <row r="20" spans="2:15" ht="14.1" customHeight="1" x14ac:dyDescent="0.25">
      <c r="D20" s="87" t="s">
        <v>131</v>
      </c>
      <c r="G20" s="84">
        <v>1</v>
      </c>
      <c r="N20" s="182"/>
    </row>
    <row r="22" spans="2:15" ht="14.1" customHeight="1" x14ac:dyDescent="0.25">
      <c r="B22" s="87" t="s">
        <v>39</v>
      </c>
    </row>
    <row r="23" spans="2:15" ht="14.1" customHeight="1" x14ac:dyDescent="0.25">
      <c r="C23" s="94"/>
      <c r="D23" s="94"/>
      <c r="E23" s="129" t="s">
        <v>117</v>
      </c>
      <c r="F23" s="94"/>
      <c r="G23" s="99" t="str">
        <f>GlobalInputs!G12</f>
        <v>2009/10</v>
      </c>
      <c r="H23" s="99" t="str">
        <f>GlobalInputs!H12</f>
        <v>2010/11</v>
      </c>
      <c r="I23" s="99" t="str">
        <f>GlobalInputs!I12</f>
        <v>2011/12</v>
      </c>
      <c r="J23" s="99" t="str">
        <f>GlobalInputs!J12</f>
        <v>2012/13</v>
      </c>
      <c r="K23" s="99" t="str">
        <f>GlobalInputs!K12</f>
        <v>2013/14</v>
      </c>
    </row>
    <row r="24" spans="2:15" ht="14.1" customHeight="1" x14ac:dyDescent="0.2">
      <c r="C24" s="87" t="str">
        <f>ServiceDescription!C18</f>
        <v>Authorisation of ASPs - Initial</v>
      </c>
      <c r="F24" s="87" t="s">
        <v>40</v>
      </c>
      <c r="G24" s="140">
        <v>23448</v>
      </c>
      <c r="H24" s="140">
        <v>32522.32</v>
      </c>
      <c r="I24" s="140">
        <v>36173.82</v>
      </c>
      <c r="J24" s="140">
        <v>55904</v>
      </c>
      <c r="K24" s="140">
        <v>49644.800000000003</v>
      </c>
      <c r="N24" s="184" t="s">
        <v>127</v>
      </c>
      <c r="O24" s="87" t="s">
        <v>144</v>
      </c>
    </row>
    <row r="25" spans="2:15" ht="14.1" customHeight="1" x14ac:dyDescent="0.2">
      <c r="C25" s="87" t="str">
        <f>ServiceDescription!C20</f>
        <v>Authorisation - renewal</v>
      </c>
      <c r="G25" s="165">
        <v>0</v>
      </c>
      <c r="H25" s="165">
        <v>0</v>
      </c>
      <c r="I25" s="165">
        <v>0</v>
      </c>
      <c r="J25" s="165">
        <v>0</v>
      </c>
      <c r="K25" s="165">
        <v>0</v>
      </c>
      <c r="N25" s="185"/>
    </row>
    <row r="26" spans="2:15" ht="14.1" customHeight="1" x14ac:dyDescent="0.25">
      <c r="C26" s="87" t="str">
        <f>ServiceDescription!C22</f>
        <v>Authorisation Training</v>
      </c>
      <c r="G26" s="100">
        <v>0</v>
      </c>
      <c r="H26" s="100">
        <v>0</v>
      </c>
      <c r="I26" s="100">
        <v>0</v>
      </c>
      <c r="J26" s="100">
        <v>0</v>
      </c>
      <c r="K26" s="100">
        <v>0</v>
      </c>
      <c r="N26" s="185"/>
      <c r="O26" s="87" t="s">
        <v>145</v>
      </c>
    </row>
    <row r="27" spans="2:15" ht="14.1" customHeight="1" x14ac:dyDescent="0.25">
      <c r="C27" s="87" t="str">
        <f>ServiceDescription!C24</f>
        <v>Remedial action of ASPs</v>
      </c>
      <c r="G27" s="100">
        <v>0</v>
      </c>
      <c r="H27" s="100">
        <v>0</v>
      </c>
      <c r="I27" s="100">
        <v>0</v>
      </c>
      <c r="J27" s="100">
        <v>0</v>
      </c>
      <c r="K27" s="100">
        <v>0</v>
      </c>
      <c r="N27" s="185"/>
      <c r="O27" s="87">
        <v>24</v>
      </c>
    </row>
    <row r="28" spans="2:15" ht="14.1" customHeight="1" x14ac:dyDescent="0.25">
      <c r="E28" s="132"/>
      <c r="F28" s="87" t="s">
        <v>40</v>
      </c>
      <c r="G28" s="96">
        <f>SUM(G24:G27)</f>
        <v>23448</v>
      </c>
      <c r="H28" s="96">
        <f>SUM(H24:H27)</f>
        <v>32522.32</v>
      </c>
      <c r="I28" s="96">
        <f>SUM(I24:I27)</f>
        <v>36173.82</v>
      </c>
      <c r="J28" s="96">
        <f>SUM(J24:J27)</f>
        <v>55904</v>
      </c>
      <c r="K28" s="96">
        <f>SUM(K24:K27)</f>
        <v>49644.800000000003</v>
      </c>
      <c r="N28" s="186"/>
    </row>
    <row r="29" spans="2:15" ht="14.1" customHeight="1" x14ac:dyDescent="0.25">
      <c r="E29" s="132"/>
    </row>
    <row r="30" spans="2:15" ht="14.1" customHeight="1" x14ac:dyDescent="0.25">
      <c r="B30" s="87" t="s">
        <v>42</v>
      </c>
      <c r="E30" s="132"/>
    </row>
    <row r="31" spans="2:15" ht="14.1" customHeight="1" x14ac:dyDescent="0.25">
      <c r="E31" s="132"/>
      <c r="G31" s="187" t="s">
        <v>121</v>
      </c>
      <c r="H31" s="187"/>
    </row>
    <row r="32" spans="2:15" ht="14.1" customHeight="1" x14ac:dyDescent="0.25">
      <c r="C32" s="94"/>
      <c r="D32" s="94"/>
      <c r="E32" s="133"/>
      <c r="F32" s="94"/>
      <c r="G32" s="183" t="s">
        <v>122</v>
      </c>
      <c r="H32" s="183"/>
    </row>
    <row r="33" spans="2:15" ht="13.5" customHeight="1" x14ac:dyDescent="0.25">
      <c r="C33" s="87" t="str">
        <f>C24</f>
        <v>Authorisation of ASPs - Initial</v>
      </c>
      <c r="F33" s="87" t="s">
        <v>47</v>
      </c>
      <c r="G33" s="100">
        <v>1435</v>
      </c>
      <c r="N33" s="188" t="s">
        <v>187</v>
      </c>
      <c r="O33" s="87" t="s">
        <v>144</v>
      </c>
    </row>
    <row r="34" spans="2:15" ht="14.1" customHeight="1" x14ac:dyDescent="0.2">
      <c r="D34" s="87" t="s">
        <v>146</v>
      </c>
      <c r="F34" s="87" t="s">
        <v>120</v>
      </c>
      <c r="H34" s="142">
        <v>2.996515679442513E-2</v>
      </c>
      <c r="N34" s="189"/>
    </row>
    <row r="35" spans="2:15" ht="14.1" customHeight="1" x14ac:dyDescent="0.2">
      <c r="D35" s="87" t="s">
        <v>147</v>
      </c>
      <c r="H35" s="143">
        <f>1-H34</f>
        <v>0.97003484320557487</v>
      </c>
      <c r="N35" s="189"/>
    </row>
    <row r="36" spans="2:15" ht="14.1" customHeight="1" x14ac:dyDescent="0.25">
      <c r="C36" s="87" t="str">
        <f>C26</f>
        <v>Authorisation Training</v>
      </c>
      <c r="F36" s="87" t="s">
        <v>47</v>
      </c>
      <c r="G36" s="100">
        <v>96</v>
      </c>
      <c r="N36" s="189"/>
      <c r="O36" s="87" t="s">
        <v>145</v>
      </c>
    </row>
    <row r="37" spans="2:15" ht="36.75" customHeight="1" x14ac:dyDescent="0.25">
      <c r="C37" s="87" t="str">
        <f>C27</f>
        <v>Remedial action of ASPs</v>
      </c>
      <c r="F37" s="87" t="s">
        <v>47</v>
      </c>
      <c r="G37" s="100">
        <v>100</v>
      </c>
      <c r="L37" s="21"/>
      <c r="N37" s="189"/>
      <c r="O37" s="87">
        <v>24</v>
      </c>
    </row>
    <row r="38" spans="2:15" ht="66" customHeight="1" x14ac:dyDescent="0.25">
      <c r="L38" s="6"/>
      <c r="N38" s="189"/>
    </row>
    <row r="39" spans="2:15" ht="14.1" customHeight="1" x14ac:dyDescent="0.25">
      <c r="B39" s="87" t="s">
        <v>43</v>
      </c>
      <c r="L39" s="6"/>
    </row>
    <row r="40" spans="2:15" ht="14.1" customHeight="1" x14ac:dyDescent="0.25">
      <c r="G40" s="134" t="s">
        <v>123</v>
      </c>
      <c r="I40" s="134" t="s">
        <v>124</v>
      </c>
      <c r="L40" s="6"/>
    </row>
    <row r="41" spans="2:15" ht="14.1" customHeight="1" x14ac:dyDescent="0.25">
      <c r="C41" s="94"/>
      <c r="D41" s="94"/>
      <c r="E41" s="94"/>
      <c r="F41" s="94"/>
      <c r="G41" s="95" t="s">
        <v>71</v>
      </c>
      <c r="H41" s="95"/>
      <c r="I41" s="95" t="s">
        <v>125</v>
      </c>
      <c r="J41" s="95"/>
      <c r="K41" s="99"/>
    </row>
    <row r="42" spans="2:15" ht="14.1" customHeight="1" x14ac:dyDescent="0.25">
      <c r="C42" s="87" t="str">
        <f>C33</f>
        <v>Authorisation of ASPs - Initial</v>
      </c>
      <c r="G42" s="98"/>
    </row>
    <row r="43" spans="2:15" ht="14.1" customHeight="1" x14ac:dyDescent="0.25">
      <c r="D43" s="87" t="str">
        <f t="shared" ref="D43:D44" si="0">D34</f>
        <v>Initial Authorisations</v>
      </c>
      <c r="G43" s="135">
        <v>2</v>
      </c>
      <c r="I43" s="84">
        <v>5.45</v>
      </c>
      <c r="N43" s="180" t="s">
        <v>178</v>
      </c>
    </row>
    <row r="44" spans="2:15" ht="14.1" customHeight="1" x14ac:dyDescent="0.25">
      <c r="D44" s="87" t="str">
        <f t="shared" si="0"/>
        <v>Authorisation Renewals</v>
      </c>
      <c r="G44" s="135">
        <v>2</v>
      </c>
      <c r="I44" s="84">
        <v>3.2</v>
      </c>
      <c r="N44" s="181"/>
    </row>
    <row r="45" spans="2:15" ht="14.25" customHeight="1" x14ac:dyDescent="0.25">
      <c r="C45" s="87" t="str">
        <f>C36</f>
        <v>Authorisation Training</v>
      </c>
      <c r="G45" s="136"/>
      <c r="I45" s="132"/>
      <c r="N45" s="181"/>
    </row>
    <row r="46" spans="2:15" ht="12.75" x14ac:dyDescent="0.25">
      <c r="D46" s="87" t="str">
        <f>D10</f>
        <v>Authorisation Training</v>
      </c>
      <c r="G46" s="156"/>
      <c r="I46" s="84">
        <v>1.3360648399999999</v>
      </c>
      <c r="N46" s="181"/>
    </row>
    <row r="47" spans="2:15" ht="14.1" customHeight="1" x14ac:dyDescent="0.25">
      <c r="C47" s="87" t="str">
        <f>C37</f>
        <v>Remedial action of ASPs</v>
      </c>
      <c r="G47" s="157"/>
      <c r="I47" s="132"/>
      <c r="N47" s="181"/>
    </row>
    <row r="48" spans="2:15" ht="14.1" customHeight="1" x14ac:dyDescent="0.25">
      <c r="D48" s="87" t="str">
        <f>D12</f>
        <v>Remedial action of ASPs</v>
      </c>
      <c r="G48" s="156"/>
      <c r="I48" s="84">
        <v>13.25</v>
      </c>
      <c r="N48" s="182"/>
    </row>
    <row r="49" spans="2:15" ht="14.1" customHeight="1" x14ac:dyDescent="0.25">
      <c r="K49" s="98"/>
      <c r="L49" s="136"/>
    </row>
    <row r="50" spans="2:15" ht="14.1" customHeight="1" x14ac:dyDescent="0.25">
      <c r="B50" s="87" t="s">
        <v>41</v>
      </c>
    </row>
    <row r="51" spans="2:15" ht="14.1" customHeight="1" x14ac:dyDescent="0.25">
      <c r="C51" s="94"/>
      <c r="D51" s="94"/>
      <c r="E51" s="129" t="s">
        <v>117</v>
      </c>
      <c r="F51" s="94"/>
      <c r="G51" s="95" t="str">
        <f>GlobalInputs!G12</f>
        <v>2009/10</v>
      </c>
      <c r="H51" s="95" t="str">
        <f>GlobalInputs!H12</f>
        <v>2010/11</v>
      </c>
      <c r="I51" s="95" t="str">
        <f>GlobalInputs!I12</f>
        <v>2011/12</v>
      </c>
      <c r="J51" s="95" t="str">
        <f>GlobalInputs!J12</f>
        <v>2012/13</v>
      </c>
      <c r="K51" s="95" t="str">
        <f>GlobalInputs!K12</f>
        <v>2013/14</v>
      </c>
      <c r="N51" s="97"/>
    </row>
    <row r="52" spans="2:15" ht="14.1" customHeight="1" x14ac:dyDescent="0.25">
      <c r="C52" s="98" t="s">
        <v>86</v>
      </c>
      <c r="D52" s="98"/>
      <c r="E52" s="98"/>
      <c r="F52" s="98"/>
      <c r="G52" s="99"/>
      <c r="H52" s="99"/>
      <c r="I52" s="99"/>
      <c r="J52" s="99"/>
      <c r="K52" s="99"/>
      <c r="N52" s="184" t="s">
        <v>168</v>
      </c>
    </row>
    <row r="53" spans="2:15" ht="14.1" customHeight="1" x14ac:dyDescent="0.25">
      <c r="D53" s="87" t="str">
        <f>C24</f>
        <v>Authorisation of ASPs - Initial</v>
      </c>
      <c r="F53" s="87" t="s">
        <v>40</v>
      </c>
      <c r="G53" s="100">
        <v>70001.248866666676</v>
      </c>
      <c r="H53" s="100">
        <v>98907.2356</v>
      </c>
      <c r="I53" s="100">
        <v>155224.86372526828</v>
      </c>
      <c r="J53" s="100">
        <v>246443.58288</v>
      </c>
      <c r="K53" s="100">
        <v>130920.36722459091</v>
      </c>
      <c r="N53" s="185"/>
      <c r="O53" s="87" t="s">
        <v>144</v>
      </c>
    </row>
    <row r="54" spans="2:15" ht="14.1" customHeight="1" x14ac:dyDescent="0.25">
      <c r="D54" s="87" t="str">
        <f>ServiceDescription!C20</f>
        <v>Authorisation - renewal</v>
      </c>
      <c r="G54" s="100">
        <v>230468.89848888892</v>
      </c>
      <c r="H54" s="100">
        <v>247832.831232</v>
      </c>
      <c r="I54" s="100">
        <v>276213.19334399997</v>
      </c>
      <c r="J54" s="100">
        <v>314399.21151999995</v>
      </c>
      <c r="K54" s="100">
        <v>359313.87635251204</v>
      </c>
      <c r="N54" s="185"/>
    </row>
    <row r="55" spans="2:15" ht="14.1" customHeight="1" x14ac:dyDescent="0.25">
      <c r="D55" s="87" t="str">
        <f>C26</f>
        <v>Authorisation Training</v>
      </c>
      <c r="G55" s="100">
        <v>85646.557235555549</v>
      </c>
      <c r="H55" s="100">
        <v>107973.8232</v>
      </c>
      <c r="I55" s="100">
        <v>110091.711104</v>
      </c>
      <c r="J55" s="100">
        <v>109991.60831999998</v>
      </c>
      <c r="K55" s="100">
        <v>116999.46833664</v>
      </c>
      <c r="N55" s="185"/>
      <c r="O55" s="87" t="s">
        <v>145</v>
      </c>
    </row>
    <row r="56" spans="2:15" ht="14.1" customHeight="1" x14ac:dyDescent="0.25">
      <c r="D56" s="87" t="str">
        <f>C27</f>
        <v>Remedial action of ASPs</v>
      </c>
      <c r="G56" s="100">
        <v>131464.42711111112</v>
      </c>
      <c r="H56" s="100">
        <v>135930.69</v>
      </c>
      <c r="I56" s="100">
        <v>142582.86574999997</v>
      </c>
      <c r="J56" s="100">
        <v>147063.84349999999</v>
      </c>
      <c r="K56" s="100">
        <v>151301.05645524999</v>
      </c>
      <c r="N56" s="185"/>
      <c r="O56" s="141">
        <v>24</v>
      </c>
    </row>
    <row r="57" spans="2:15" ht="14.1" customHeight="1" x14ac:dyDescent="0.25">
      <c r="F57" s="87" t="s">
        <v>40</v>
      </c>
      <c r="G57" s="96">
        <f>SUM(G53:G56)</f>
        <v>517581.13170222228</v>
      </c>
      <c r="H57" s="96">
        <f>SUM(H53:H56)</f>
        <v>590644.58003199997</v>
      </c>
      <c r="I57" s="96">
        <f>SUM(I53:I56)</f>
        <v>684112.63392326829</v>
      </c>
      <c r="J57" s="96">
        <f>SUM(J53:J56)</f>
        <v>817898.24621999997</v>
      </c>
      <c r="K57" s="96">
        <f>SUM(K53:K56)</f>
        <v>758534.76836899295</v>
      </c>
      <c r="N57" s="186"/>
    </row>
    <row r="59" spans="2:15" ht="14.1" customHeight="1" x14ac:dyDescent="0.25">
      <c r="C59" s="98" t="s">
        <v>87</v>
      </c>
      <c r="D59" s="98"/>
      <c r="E59" s="98"/>
      <c r="N59" s="184" t="s">
        <v>172</v>
      </c>
    </row>
    <row r="60" spans="2:15" ht="14.1" customHeight="1" x14ac:dyDescent="0.25">
      <c r="D60" s="87" t="str">
        <f>D53</f>
        <v>Authorisation of ASPs - Initial</v>
      </c>
      <c r="F60" s="87" t="s">
        <v>40</v>
      </c>
      <c r="G60" s="100">
        <v>33390.595709400004</v>
      </c>
      <c r="H60" s="100">
        <v>46090.771789600003</v>
      </c>
      <c r="I60" s="100">
        <v>69261.334194214709</v>
      </c>
      <c r="J60" s="100">
        <v>103580.237884464</v>
      </c>
      <c r="K60" s="100">
        <v>56897.991595807209</v>
      </c>
      <c r="N60" s="185"/>
    </row>
    <row r="61" spans="2:15" ht="14.1" customHeight="1" x14ac:dyDescent="0.25">
      <c r="D61" s="87" t="str">
        <f>ServiceDescription!C20</f>
        <v>Authorisation - renewal</v>
      </c>
      <c r="G61" s="100">
        <v>109933.66457920001</v>
      </c>
      <c r="H61" s="100">
        <v>115490.09935411201</v>
      </c>
      <c r="I61" s="100">
        <v>123246.32687009279</v>
      </c>
      <c r="J61" s="100">
        <v>132141.98860185599</v>
      </c>
      <c r="K61" s="100">
        <v>156157.81066280173</v>
      </c>
      <c r="N61" s="185"/>
    </row>
    <row r="62" spans="2:15" ht="14.1" customHeight="1" x14ac:dyDescent="0.25">
      <c r="D62" s="87" t="str">
        <f>D55</f>
        <v>Authorisation Training</v>
      </c>
      <c r="G62" s="100">
        <v>40853.407801359994</v>
      </c>
      <c r="H62" s="100">
        <v>50315.801611200004</v>
      </c>
      <c r="I62" s="100">
        <v>49122.921494604801</v>
      </c>
      <c r="J62" s="100">
        <v>46229.472976895995</v>
      </c>
      <c r="K62" s="100">
        <v>50847.968939103739</v>
      </c>
      <c r="N62" s="185"/>
    </row>
    <row r="63" spans="2:15" ht="14.1" customHeight="1" x14ac:dyDescent="0.25">
      <c r="D63" s="87" t="str">
        <f>D56</f>
        <v>Remedial action of ASPs</v>
      </c>
      <c r="G63" s="100">
        <v>62708.531732000003</v>
      </c>
      <c r="H63" s="100">
        <v>63343.701540000002</v>
      </c>
      <c r="I63" s="100">
        <v>63620.474697649981</v>
      </c>
      <c r="J63" s="100">
        <v>61810.933423049995</v>
      </c>
      <c r="K63" s="100">
        <v>65755.439135451641</v>
      </c>
      <c r="N63" s="185"/>
    </row>
    <row r="64" spans="2:15" ht="14.1" customHeight="1" x14ac:dyDescent="0.25">
      <c r="F64" s="87" t="s">
        <v>40</v>
      </c>
      <c r="G64" s="96">
        <f>SUM(G60:G63)</f>
        <v>246886.19982196001</v>
      </c>
      <c r="H64" s="96">
        <f>SUM(H60:H63)</f>
        <v>275240.37429491204</v>
      </c>
      <c r="I64" s="96">
        <f>SUM(I60:I63)</f>
        <v>305251.05725656229</v>
      </c>
      <c r="J64" s="96">
        <f>SUM(J60:J63)</f>
        <v>343762.63288626599</v>
      </c>
      <c r="K64" s="96">
        <f>SUM(K60:K63)</f>
        <v>329659.21033316426</v>
      </c>
      <c r="N64" s="186"/>
    </row>
  </sheetData>
  <mergeCells count="8">
    <mergeCell ref="N15:N20"/>
    <mergeCell ref="G32:H32"/>
    <mergeCell ref="N59:N64"/>
    <mergeCell ref="N52:N57"/>
    <mergeCell ref="N43:N48"/>
    <mergeCell ref="G31:H31"/>
    <mergeCell ref="N24:N28"/>
    <mergeCell ref="N33:N38"/>
  </mergeCells>
  <pageMargins left="0.70866141732283472" right="0.70866141732283472" top="0.74803149606299213" bottom="0.74803149606299213" header="0.31496062992125984" footer="0.31496062992125984"/>
  <pageSetup paperSize="8" scale="66" fitToHeight="0" orientation="portrait" r:id="rId1"/>
  <headerFooter>
    <oddFooter>&amp;C&amp;F&amp;R&amp;A</oddFooter>
  </headerFooter>
  <rowBreaks count="1" manualBreakCount="1">
    <brk id="17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59999389629810485"/>
    <pageSetUpPr fitToPage="1"/>
  </sheetPr>
  <dimension ref="A1:P113"/>
  <sheetViews>
    <sheetView zoomScale="90" zoomScaleNormal="90" zoomScalePageLayoutView="125" workbookViewId="0">
      <pane xSplit="5" ySplit="4" topLeftCell="G11" activePane="bottomRight" state="frozenSplit"/>
      <selection pane="topRight" activeCell="E1" sqref="E1"/>
      <selection pane="bottomLeft" activeCell="A5" sqref="A5"/>
      <selection pane="bottomRight" activeCell="H37" sqref="H37"/>
    </sheetView>
  </sheetViews>
  <sheetFormatPr defaultColWidth="9.140625" defaultRowHeight="14.1" customHeight="1" x14ac:dyDescent="0.25"/>
  <cols>
    <col min="1" max="3" width="2.140625" style="6" customWidth="1"/>
    <col min="4" max="4" width="1.85546875" style="6" customWidth="1"/>
    <col min="5" max="5" width="42.140625" style="6" customWidth="1"/>
    <col min="6" max="6" width="10.85546875" style="6" customWidth="1"/>
    <col min="7" max="7" width="13.85546875" style="6" customWidth="1"/>
    <col min="8" max="8" width="15.140625" style="6" customWidth="1"/>
    <col min="9" max="9" width="16.140625" style="6" customWidth="1"/>
    <col min="10" max="13" width="10.85546875" style="6" customWidth="1"/>
    <col min="14" max="14" width="2.42578125" style="6" customWidth="1"/>
    <col min="15" max="15" width="46.7109375" style="19" customWidth="1"/>
    <col min="16" max="16" width="4.85546875" style="6" customWidth="1"/>
    <col min="17" max="19" width="9.140625" style="6" customWidth="1"/>
    <col min="20" max="16384" width="9.140625" style="6"/>
  </cols>
  <sheetData>
    <row r="1" spans="1:16" ht="14.1" customHeight="1" x14ac:dyDescent="0.2">
      <c r="A1" s="14" t="s">
        <v>15</v>
      </c>
      <c r="B1" s="14"/>
      <c r="C1" s="14"/>
      <c r="D1" s="14"/>
      <c r="E1" s="14"/>
      <c r="F1" s="14"/>
      <c r="G1" s="14"/>
      <c r="H1" s="14"/>
      <c r="I1" s="14"/>
      <c r="J1" s="14"/>
      <c r="K1" s="14"/>
      <c r="L1" s="14"/>
      <c r="M1" s="14"/>
      <c r="N1" s="14"/>
      <c r="P1" s="14"/>
    </row>
    <row r="2" spans="1:16" ht="15.95" customHeight="1" x14ac:dyDescent="0.25">
      <c r="A2" s="16" t="s">
        <v>65</v>
      </c>
      <c r="B2" s="15"/>
      <c r="C2" s="15"/>
      <c r="D2" s="15"/>
      <c r="E2" s="15"/>
      <c r="F2" s="74" t="str">
        <f>IF(ROUND($E$5,6)=0,"ok","Problem - review CheckSheet")</f>
        <v>ok</v>
      </c>
      <c r="G2" s="15"/>
      <c r="H2" s="15"/>
      <c r="I2" s="15"/>
      <c r="J2" s="15"/>
      <c r="K2" s="15"/>
      <c r="L2" s="15"/>
      <c r="M2" s="15"/>
      <c r="N2" s="15"/>
      <c r="O2" s="20"/>
      <c r="P2" s="15"/>
    </row>
    <row r="3" spans="1:16" ht="14.1" customHeight="1" x14ac:dyDescent="0.25">
      <c r="A3" s="6" t="str">
        <f>GlobalInputs!G9</f>
        <v>ASP Fees</v>
      </c>
      <c r="O3" s="17" t="s">
        <v>38</v>
      </c>
    </row>
    <row r="5" spans="1:16" ht="14.1" customHeight="1" x14ac:dyDescent="0.25">
      <c r="B5" s="6" t="s">
        <v>48</v>
      </c>
    </row>
    <row r="6" spans="1:16" ht="14.1" customHeight="1" x14ac:dyDescent="0.25">
      <c r="C6" s="6" t="s">
        <v>49</v>
      </c>
    </row>
    <row r="7" spans="1:16" ht="14.1" customHeight="1" x14ac:dyDescent="0.25">
      <c r="D7" s="6" t="str">
        <f>ServiceHistory!C42</f>
        <v>Authorisation of ASPs - Initial</v>
      </c>
      <c r="O7" s="184" t="s">
        <v>129</v>
      </c>
      <c r="P7" s="6" t="s">
        <v>144</v>
      </c>
    </row>
    <row r="8" spans="1:16" ht="14.1" customHeight="1" x14ac:dyDescent="0.25">
      <c r="E8" s="6" t="str">
        <f>ServiceHistory!D43</f>
        <v>Initial Authorisations</v>
      </c>
      <c r="G8" s="101" t="s">
        <v>150</v>
      </c>
      <c r="O8" s="185"/>
    </row>
    <row r="9" spans="1:16" ht="14.1" customHeight="1" x14ac:dyDescent="0.25">
      <c r="E9" s="6" t="str">
        <f>ServiceHistory!D44</f>
        <v>Authorisation Renewals</v>
      </c>
      <c r="G9" s="101" t="s">
        <v>150</v>
      </c>
      <c r="O9" s="185"/>
    </row>
    <row r="10" spans="1:16" ht="14.1" customHeight="1" x14ac:dyDescent="0.25">
      <c r="D10" s="6" t="str">
        <f>ServiceHistory!C45</f>
        <v>Authorisation Training</v>
      </c>
      <c r="G10" s="7"/>
      <c r="O10" s="185"/>
      <c r="P10" s="6" t="s">
        <v>145</v>
      </c>
    </row>
    <row r="11" spans="1:16" ht="14.1" customHeight="1" x14ac:dyDescent="0.25">
      <c r="E11" s="6" t="str">
        <f>ServiceHistory!D46</f>
        <v>Authorisation Training</v>
      </c>
      <c r="G11" s="101" t="s">
        <v>150</v>
      </c>
      <c r="O11" s="185"/>
    </row>
    <row r="12" spans="1:16" ht="14.1" customHeight="1" x14ac:dyDescent="0.25">
      <c r="D12" s="6" t="str">
        <f>ServiceHistory!C47</f>
        <v>Remedial action of ASPs</v>
      </c>
      <c r="G12" s="7"/>
      <c r="O12" s="185"/>
      <c r="P12" s="7">
        <v>24</v>
      </c>
    </row>
    <row r="13" spans="1:16" ht="14.1" customHeight="1" x14ac:dyDescent="0.25">
      <c r="E13" s="6" t="str">
        <f>ServiceHistory!D48</f>
        <v>Remedial action of ASPs</v>
      </c>
      <c r="G13" s="101" t="s">
        <v>50</v>
      </c>
      <c r="O13" s="186"/>
    </row>
    <row r="15" spans="1:16" ht="14.1" customHeight="1" x14ac:dyDescent="0.25">
      <c r="C15" s="6" t="s">
        <v>51</v>
      </c>
      <c r="G15" s="13" t="s">
        <v>72</v>
      </c>
      <c r="H15" s="13" t="s">
        <v>52</v>
      </c>
      <c r="I15" s="13" t="s">
        <v>73</v>
      </c>
    </row>
    <row r="16" spans="1:16" ht="14.1" customHeight="1" x14ac:dyDescent="0.25">
      <c r="D16" s="8"/>
      <c r="E16" s="8"/>
      <c r="F16" s="8"/>
      <c r="G16" s="9" t="s">
        <v>71</v>
      </c>
      <c r="H16" s="9" t="s">
        <v>53</v>
      </c>
      <c r="I16" s="9" t="s">
        <v>74</v>
      </c>
    </row>
    <row r="17" spans="3:16" ht="14.1" customHeight="1" x14ac:dyDescent="0.25">
      <c r="D17" s="6" t="str">
        <f>D7</f>
        <v>Authorisation of ASPs - Initial</v>
      </c>
      <c r="O17" s="180" t="s">
        <v>180</v>
      </c>
    </row>
    <row r="18" spans="3:16" ht="14.1" customHeight="1" x14ac:dyDescent="0.25">
      <c r="E18" s="6" t="str">
        <f t="shared" ref="E18" si="0">E8</f>
        <v>Initial Authorisations</v>
      </c>
      <c r="G18" s="22">
        <f>ServiceHistory!G43</f>
        <v>2</v>
      </c>
      <c r="H18" s="160">
        <f>ServiceHistory!I43</f>
        <v>5.45</v>
      </c>
      <c r="I18" s="159">
        <f>H18</f>
        <v>5.45</v>
      </c>
      <c r="O18" s="181"/>
    </row>
    <row r="19" spans="3:16" ht="14.1" customHeight="1" x14ac:dyDescent="0.25">
      <c r="E19" s="6" t="str">
        <f t="shared" ref="E19" si="1">E9</f>
        <v>Authorisation Renewals</v>
      </c>
      <c r="G19" s="22">
        <f>ServiceHistory!G44</f>
        <v>2</v>
      </c>
      <c r="H19" s="18">
        <f>ServiceHistory!I44</f>
        <v>3.2</v>
      </c>
      <c r="I19" s="102">
        <f t="shared" ref="I19" si="2">H19</f>
        <v>3.2</v>
      </c>
      <c r="O19" s="181"/>
    </row>
    <row r="20" spans="3:16" ht="14.1" customHeight="1" x14ac:dyDescent="0.25">
      <c r="D20" s="6" t="str">
        <f>D10</f>
        <v>Authorisation Training</v>
      </c>
      <c r="O20" s="181"/>
    </row>
    <row r="21" spans="3:16" ht="14.1" customHeight="1" x14ac:dyDescent="0.25">
      <c r="E21" s="6" t="str">
        <f t="shared" ref="E21" si="3">E11</f>
        <v>Authorisation Training</v>
      </c>
      <c r="G21" s="22">
        <f>ServiceHistory!G46</f>
        <v>0</v>
      </c>
      <c r="H21" s="18">
        <f>ServiceHistory!I46</f>
        <v>1.3360648399999999</v>
      </c>
      <c r="I21" s="102">
        <f t="shared" ref="I21" si="4">H21</f>
        <v>1.3360648399999999</v>
      </c>
      <c r="O21" s="182"/>
    </row>
    <row r="23" spans="3:16" ht="14.1" customHeight="1" x14ac:dyDescent="0.25">
      <c r="C23" s="6" t="s">
        <v>54</v>
      </c>
      <c r="G23" s="13" t="s">
        <v>52</v>
      </c>
      <c r="H23" s="13" t="s">
        <v>128</v>
      </c>
    </row>
    <row r="24" spans="3:16" ht="14.1" customHeight="1" x14ac:dyDescent="0.25">
      <c r="D24" s="8"/>
      <c r="E24" s="8"/>
      <c r="F24" s="8"/>
      <c r="G24" s="9" t="s">
        <v>53</v>
      </c>
      <c r="H24" s="9" t="s">
        <v>74</v>
      </c>
    </row>
    <row r="25" spans="3:16" ht="14.1" customHeight="1" x14ac:dyDescent="0.25">
      <c r="D25" s="6" t="str">
        <f>D12</f>
        <v>Remedial action of ASPs</v>
      </c>
      <c r="O25" s="184" t="s">
        <v>181</v>
      </c>
    </row>
    <row r="26" spans="3:16" ht="14.1" customHeight="1" x14ac:dyDescent="0.25">
      <c r="E26" s="6" t="str">
        <f>E13</f>
        <v>Remedial action of ASPs</v>
      </c>
      <c r="G26" s="18">
        <f>ServiceHistory!I48</f>
        <v>13.25</v>
      </c>
      <c r="H26" s="102">
        <f t="shared" ref="H26" si="5">G26</f>
        <v>13.25</v>
      </c>
      <c r="O26" s="186"/>
    </row>
    <row r="28" spans="3:16" ht="14.1" customHeight="1" x14ac:dyDescent="0.25">
      <c r="C28" s="6" t="s">
        <v>77</v>
      </c>
      <c r="K28" s="24"/>
    </row>
    <row r="29" spans="3:16" ht="14.1" customHeight="1" x14ac:dyDescent="0.25">
      <c r="D29" s="8"/>
      <c r="E29" s="8"/>
      <c r="F29" s="8"/>
      <c r="G29" s="9" t="s">
        <v>56</v>
      </c>
      <c r="H29" s="8" t="s">
        <v>0</v>
      </c>
      <c r="I29" s="8"/>
      <c r="J29" s="8"/>
    </row>
    <row r="30" spans="3:16" ht="14.1" customHeight="1" x14ac:dyDescent="0.25">
      <c r="D30" s="6" t="str">
        <f>D7</f>
        <v>Authorisation of ASPs - Initial</v>
      </c>
      <c r="F30" s="6" t="s">
        <v>151</v>
      </c>
      <c r="O30" s="184" t="s">
        <v>179</v>
      </c>
      <c r="P30" s="6" t="s">
        <v>144</v>
      </c>
    </row>
    <row r="31" spans="3:16" ht="14.1" customHeight="1" x14ac:dyDescent="0.25">
      <c r="E31" s="6" t="str">
        <f>E8</f>
        <v>Initial Authorisations</v>
      </c>
      <c r="F31" s="144">
        <v>0.26</v>
      </c>
      <c r="G31" s="103" t="s">
        <v>30</v>
      </c>
      <c r="H31" s="6" t="str">
        <f>VLOOKUP(G31,GlobalInputs!$C$18:$G$27,3,FALSE)</f>
        <v>Indoor technical officer</v>
      </c>
      <c r="O31" s="185"/>
    </row>
    <row r="32" spans="3:16" ht="14.1" customHeight="1" x14ac:dyDescent="0.25">
      <c r="F32" s="145">
        <f>1-F31</f>
        <v>0.74</v>
      </c>
      <c r="G32" s="103" t="s">
        <v>27</v>
      </c>
      <c r="H32" s="6" t="str">
        <f>VLOOKUP(G32,GlobalInputs!$C$18:$G$27,3,FALSE)</f>
        <v>Administration</v>
      </c>
      <c r="O32" s="185"/>
    </row>
    <row r="33" spans="3:16" ht="14.1" customHeight="1" x14ac:dyDescent="0.25">
      <c r="E33" s="6" t="str">
        <f>E9</f>
        <v>Authorisation Renewals</v>
      </c>
      <c r="G33" s="103" t="s">
        <v>27</v>
      </c>
      <c r="H33" s="6" t="str">
        <f>VLOOKUP(G33,GlobalInputs!$C$18:$G$27,3,FALSE)</f>
        <v>Administration</v>
      </c>
      <c r="O33" s="185"/>
    </row>
    <row r="34" spans="3:16" ht="14.1" customHeight="1" x14ac:dyDescent="0.25">
      <c r="D34" s="6" t="str">
        <f>D10</f>
        <v>Authorisation Training</v>
      </c>
      <c r="G34" s="13"/>
      <c r="O34" s="185"/>
      <c r="P34" s="6" t="s">
        <v>145</v>
      </c>
    </row>
    <row r="35" spans="3:16" ht="14.1" customHeight="1" x14ac:dyDescent="0.25">
      <c r="E35" s="6" t="str">
        <f>E11</f>
        <v>Authorisation Training</v>
      </c>
      <c r="G35" s="103" t="s">
        <v>27</v>
      </c>
      <c r="H35" s="6" t="str">
        <f>VLOOKUP(G35,GlobalInputs!$C$18:$G$27,3,FALSE)</f>
        <v>Administration</v>
      </c>
      <c r="O35" s="185"/>
    </row>
    <row r="36" spans="3:16" ht="14.1" customHeight="1" x14ac:dyDescent="0.25">
      <c r="D36" s="6" t="str">
        <f>D12</f>
        <v>Remedial action of ASPs</v>
      </c>
      <c r="G36" s="13"/>
      <c r="O36" s="185"/>
      <c r="P36" s="6">
        <v>24</v>
      </c>
    </row>
    <row r="37" spans="3:16" ht="14.1" customHeight="1" x14ac:dyDescent="0.25">
      <c r="E37" s="6" t="str">
        <f>E13</f>
        <v>Remedial action of ASPs</v>
      </c>
      <c r="G37" s="103" t="s">
        <v>32</v>
      </c>
      <c r="H37" s="6" t="str">
        <f>VLOOKUP(G37,GlobalInputs!$C$18:$G$27,3,FALSE)</f>
        <v>Outdoor technical officer</v>
      </c>
      <c r="O37" s="186"/>
    </row>
    <row r="39" spans="3:16" ht="14.1" customHeight="1" x14ac:dyDescent="0.25">
      <c r="C39" s="6" t="s">
        <v>108</v>
      </c>
    </row>
    <row r="40" spans="3:16" ht="14.1" customHeight="1" x14ac:dyDescent="0.25">
      <c r="G40" s="128" t="s">
        <v>100</v>
      </c>
      <c r="H40" s="128" t="s">
        <v>101</v>
      </c>
      <c r="I40" s="6" t="s">
        <v>161</v>
      </c>
      <c r="J40" s="128" t="s">
        <v>103</v>
      </c>
    </row>
    <row r="41" spans="3:16" ht="14.1" customHeight="1" x14ac:dyDescent="0.25">
      <c r="D41" s="8"/>
      <c r="E41" s="126" t="s">
        <v>104</v>
      </c>
      <c r="F41" s="8"/>
      <c r="G41" s="137" t="s">
        <v>86</v>
      </c>
      <c r="H41" s="137" t="s">
        <v>87</v>
      </c>
      <c r="I41" s="8"/>
      <c r="J41" s="127" t="s">
        <v>107</v>
      </c>
    </row>
    <row r="42" spans="3:16" ht="14.1" customHeight="1" x14ac:dyDescent="0.25">
      <c r="D42" s="6" t="str">
        <f>D30</f>
        <v>Authorisation of ASPs - Initial</v>
      </c>
    </row>
    <row r="43" spans="3:16" ht="14.1" customHeight="1" x14ac:dyDescent="0.25">
      <c r="E43" s="6" t="str">
        <f>E31</f>
        <v>Initial Authorisations</v>
      </c>
      <c r="F43" s="6" t="s">
        <v>29</v>
      </c>
      <c r="G43" s="22">
        <f>(GlobalInputs!G19*0.26)+(GlobalInputs!G18*0.74)+SUM(G75:G76)</f>
        <v>100.87676395056744</v>
      </c>
      <c r="H43" s="22">
        <f>G43*0.4167</f>
        <v>42.035347538201449</v>
      </c>
      <c r="I43" s="22">
        <f>SUM(G43:H43)*0.0221</f>
        <v>3.1583576639017927</v>
      </c>
      <c r="J43" s="22">
        <f>SUM(G43:I43)</f>
        <v>146.07046915267068</v>
      </c>
    </row>
    <row r="44" spans="3:16" ht="14.1" customHeight="1" x14ac:dyDescent="0.25">
      <c r="E44" s="6" t="str">
        <f>E33</f>
        <v>Authorisation Renewals</v>
      </c>
      <c r="G44" s="22">
        <f>GlobalInputs!G18+SUM(G78:G80)</f>
        <v>83.381501490066341</v>
      </c>
      <c r="H44" s="22">
        <f>G44*0.4167</f>
        <v>34.745071670910647</v>
      </c>
      <c r="I44" s="22">
        <f>SUM(G44:H44)*0.0221</f>
        <v>2.6105972668575919</v>
      </c>
      <c r="J44" s="22">
        <f>SUM(G44:I44)</f>
        <v>120.73717042783458</v>
      </c>
    </row>
    <row r="45" spans="3:16" ht="14.1" customHeight="1" x14ac:dyDescent="0.25">
      <c r="D45" s="6" t="str">
        <f>D34</f>
        <v>Authorisation Training</v>
      </c>
      <c r="H45" s="22"/>
    </row>
    <row r="46" spans="3:16" ht="14.1" customHeight="1" x14ac:dyDescent="0.25">
      <c r="E46" s="6" t="str">
        <f>E35</f>
        <v>Authorisation Training</v>
      </c>
      <c r="G46" s="22">
        <f>VLOOKUP($G35,GlobalInputs!$C$18:$K$27,5,FALSE)+SUM(G83:G85)</f>
        <v>154.90246003473175</v>
      </c>
      <c r="H46" s="22">
        <f>VLOOKUP($G35,GlobalInputs!$C$18:$K$27,6,FALSE)+SUM(H83:H85)</f>
        <v>64.558321238062078</v>
      </c>
      <c r="I46" s="22">
        <f>SUM(G46:H46)*0.0221</f>
        <v>4.8500832661287445</v>
      </c>
      <c r="J46" s="22">
        <f>SUM(G46:I46)</f>
        <v>224.31086453892257</v>
      </c>
    </row>
    <row r="47" spans="3:16" ht="14.1" customHeight="1" x14ac:dyDescent="0.25">
      <c r="D47" s="6" t="str">
        <f>D36</f>
        <v>Remedial action of ASPs</v>
      </c>
      <c r="H47" s="22"/>
    </row>
    <row r="48" spans="3:16" ht="14.1" customHeight="1" x14ac:dyDescent="0.25">
      <c r="E48" s="6" t="str">
        <f>E37</f>
        <v>Remedial action of ASPs</v>
      </c>
      <c r="G48" s="22">
        <f>VLOOKUP($G37,GlobalInputs!$C$18:$K$27,5,FALSE)</f>
        <v>118.11003168394852</v>
      </c>
      <c r="H48" s="22">
        <f>G48*0.4167</f>
        <v>49.216450202701353</v>
      </c>
      <c r="I48" s="22">
        <f>SUM(G48:H48)*0.0221</f>
        <v>3.6979152496949625</v>
      </c>
      <c r="J48" s="22">
        <f>SUM(G48:I48)</f>
        <v>171.02439713634485</v>
      </c>
    </row>
    <row r="49" spans="2:16" ht="14.1" customHeight="1" x14ac:dyDescent="0.25">
      <c r="H49" s="22"/>
    </row>
    <row r="51" spans="2:16" ht="14.1" customHeight="1" x14ac:dyDescent="0.25">
      <c r="C51" s="6" t="s">
        <v>55</v>
      </c>
      <c r="G51" s="13" t="s">
        <v>52</v>
      </c>
    </row>
    <row r="52" spans="2:16" ht="14.1" customHeight="1" x14ac:dyDescent="0.25">
      <c r="D52" s="8"/>
      <c r="E52" s="8"/>
      <c r="F52" s="8"/>
      <c r="G52" s="9" t="s">
        <v>53</v>
      </c>
      <c r="H52" s="9" t="str">
        <f>GlobalInputs!G13</f>
        <v>2014/15</v>
      </c>
      <c r="I52" s="9" t="str">
        <f>GlobalInputs!H13</f>
        <v>2015/16</v>
      </c>
      <c r="J52" s="9" t="str">
        <f>GlobalInputs!I13</f>
        <v>2016/17</v>
      </c>
      <c r="K52" s="9" t="str">
        <f>GlobalInputs!J13</f>
        <v>2017/18</v>
      </c>
      <c r="L52" s="9" t="str">
        <f>GlobalInputs!K13</f>
        <v>2018/19</v>
      </c>
    </row>
    <row r="53" spans="2:16" ht="14.1" customHeight="1" x14ac:dyDescent="0.25">
      <c r="D53" s="6" t="str">
        <f>D30</f>
        <v>Authorisation of ASPs - Initial</v>
      </c>
      <c r="O53" s="188" t="s">
        <v>182</v>
      </c>
      <c r="P53" s="6" t="s">
        <v>144</v>
      </c>
    </row>
    <row r="54" spans="2:16" ht="14.1" customHeight="1" x14ac:dyDescent="0.25">
      <c r="E54" s="6" t="str">
        <f>E31</f>
        <v>Initial Authorisations</v>
      </c>
      <c r="G54" s="23">
        <f>ServiceHistory!G$33*ServiceHistory!H34</f>
        <v>43.000000000000064</v>
      </c>
      <c r="H54" s="100">
        <v>238.2</v>
      </c>
      <c r="I54" s="100">
        <v>238.2</v>
      </c>
      <c r="J54" s="100">
        <v>238.2</v>
      </c>
      <c r="K54" s="100">
        <v>238.2</v>
      </c>
      <c r="L54" s="100">
        <v>238.2</v>
      </c>
      <c r="O54" s="189"/>
    </row>
    <row r="55" spans="2:16" ht="14.1" customHeight="1" x14ac:dyDescent="0.25">
      <c r="E55" s="6" t="str">
        <f>E33</f>
        <v>Authorisation Renewals</v>
      </c>
      <c r="G55" s="23">
        <f>ServiceHistory!G$33*ServiceHistory!H35</f>
        <v>1392</v>
      </c>
      <c r="H55" s="100">
        <v>1449</v>
      </c>
      <c r="I55" s="100">
        <v>1506</v>
      </c>
      <c r="J55" s="100">
        <v>1563</v>
      </c>
      <c r="K55" s="100">
        <v>1620</v>
      </c>
      <c r="L55" s="100">
        <v>1677</v>
      </c>
      <c r="O55" s="189"/>
    </row>
    <row r="56" spans="2:16" ht="14.1" customHeight="1" x14ac:dyDescent="0.25">
      <c r="D56" s="6" t="str">
        <f>D34</f>
        <v>Authorisation Training</v>
      </c>
      <c r="G56" s="23"/>
      <c r="H56" s="23"/>
      <c r="I56" s="23"/>
      <c r="J56" s="23"/>
      <c r="K56" s="23"/>
      <c r="L56" s="23"/>
      <c r="O56" s="189"/>
      <c r="P56" s="6" t="s">
        <v>145</v>
      </c>
    </row>
    <row r="57" spans="2:16" ht="14.1" customHeight="1" x14ac:dyDescent="0.25">
      <c r="E57" s="6" t="str">
        <f>E35</f>
        <v>Authorisation Training</v>
      </c>
      <c r="G57" s="23">
        <f>ServiceHistory!G$36</f>
        <v>96</v>
      </c>
      <c r="H57" s="100">
        <v>96</v>
      </c>
      <c r="I57" s="100">
        <v>96</v>
      </c>
      <c r="J57" s="100">
        <v>96</v>
      </c>
      <c r="K57" s="100">
        <v>96</v>
      </c>
      <c r="L57" s="100">
        <v>96</v>
      </c>
      <c r="O57" s="189"/>
    </row>
    <row r="58" spans="2:16" ht="14.1" customHeight="1" x14ac:dyDescent="0.25">
      <c r="D58" s="6" t="str">
        <f>D36</f>
        <v>Remedial action of ASPs</v>
      </c>
      <c r="G58" s="23"/>
      <c r="H58" s="23"/>
      <c r="I58" s="23"/>
      <c r="J58" s="23"/>
      <c r="K58" s="23"/>
      <c r="L58" s="23"/>
      <c r="O58" s="189"/>
      <c r="P58" s="146">
        <v>24</v>
      </c>
    </row>
    <row r="59" spans="2:16" ht="14.1" customHeight="1" x14ac:dyDescent="0.25">
      <c r="E59" s="6" t="str">
        <f>E37</f>
        <v>Remedial action of ASPs</v>
      </c>
      <c r="G59" s="23">
        <f>ServiceHistory!G$37</f>
        <v>100</v>
      </c>
      <c r="H59" s="100">
        <v>100</v>
      </c>
      <c r="I59" s="100">
        <v>100</v>
      </c>
      <c r="J59" s="100">
        <v>100</v>
      </c>
      <c r="K59" s="100">
        <v>100</v>
      </c>
      <c r="L59" s="100">
        <v>100</v>
      </c>
      <c r="O59" s="189"/>
    </row>
    <row r="60" spans="2:16" ht="14.1" customHeight="1" x14ac:dyDescent="0.25">
      <c r="O60" s="189"/>
    </row>
    <row r="61" spans="2:16" ht="14.1" customHeight="1" x14ac:dyDescent="0.25">
      <c r="B61" s="87" t="s">
        <v>132</v>
      </c>
      <c r="C61" s="87"/>
      <c r="D61" s="87"/>
      <c r="E61" s="87"/>
      <c r="F61" s="87"/>
      <c r="G61" s="139" t="s">
        <v>124</v>
      </c>
      <c r="H61" s="87"/>
      <c r="I61" s="87"/>
      <c r="J61" s="87"/>
      <c r="K61" s="87"/>
      <c r="L61" s="87"/>
      <c r="M61" s="87"/>
      <c r="N61" s="87"/>
      <c r="O61" s="189"/>
    </row>
    <row r="62" spans="2:16" ht="14.1" customHeight="1" x14ac:dyDescent="0.25">
      <c r="B62" s="87"/>
      <c r="C62" s="87" t="str">
        <f>D53</f>
        <v>Authorisation of ASPs - Initial</v>
      </c>
      <c r="D62" s="87"/>
      <c r="E62" s="87"/>
      <c r="F62" s="87"/>
      <c r="G62" s="139"/>
      <c r="H62" s="87"/>
      <c r="I62" s="87"/>
      <c r="J62" s="87"/>
      <c r="K62" s="87"/>
      <c r="L62" s="87"/>
      <c r="M62" s="87"/>
      <c r="N62" s="87"/>
      <c r="O62" s="189"/>
      <c r="P62" s="87" t="s">
        <v>144</v>
      </c>
    </row>
    <row r="63" spans="2:16" ht="14.1" customHeight="1" x14ac:dyDescent="0.25">
      <c r="B63" s="87"/>
      <c r="C63" s="87"/>
      <c r="D63" s="87" t="s">
        <v>131</v>
      </c>
      <c r="E63" s="87"/>
      <c r="F63" s="87"/>
      <c r="G63" s="84">
        <v>1</v>
      </c>
      <c r="H63" s="87"/>
      <c r="I63" s="87"/>
      <c r="J63" s="87"/>
      <c r="K63" s="87"/>
      <c r="L63" s="87"/>
      <c r="M63" s="87"/>
      <c r="N63" s="87"/>
      <c r="O63" s="189"/>
      <c r="P63" s="87"/>
    </row>
    <row r="64" spans="2:16" ht="14.1" customHeight="1" x14ac:dyDescent="0.25">
      <c r="B64" s="87"/>
      <c r="C64" s="87" t="str">
        <f>D56</f>
        <v>Authorisation Training</v>
      </c>
      <c r="D64" s="87"/>
      <c r="E64" s="87"/>
      <c r="F64" s="87"/>
      <c r="G64" s="139"/>
      <c r="H64" s="87"/>
      <c r="I64" s="87"/>
      <c r="J64" s="87"/>
      <c r="K64" s="87"/>
      <c r="L64" s="87"/>
      <c r="M64" s="87"/>
      <c r="N64" s="87"/>
      <c r="O64" s="189"/>
      <c r="P64" s="87" t="s">
        <v>145</v>
      </c>
    </row>
    <row r="65" spans="2:16" ht="14.1" customHeight="1" x14ac:dyDescent="0.25">
      <c r="B65" s="87"/>
      <c r="C65" s="87"/>
      <c r="D65" s="87" t="s">
        <v>131</v>
      </c>
      <c r="E65" s="87"/>
      <c r="F65" s="87"/>
      <c r="G65" s="84">
        <v>1</v>
      </c>
      <c r="H65" s="87"/>
      <c r="I65" s="87"/>
      <c r="J65" s="87"/>
      <c r="K65" s="87"/>
      <c r="L65" s="87"/>
      <c r="M65" s="87"/>
      <c r="N65" s="87"/>
      <c r="O65" s="189"/>
      <c r="P65" s="87"/>
    </row>
    <row r="66" spans="2:16" ht="14.1" customHeight="1" x14ac:dyDescent="0.25">
      <c r="B66" s="87"/>
      <c r="C66" s="87" t="str">
        <f>D58</f>
        <v>Remedial action of ASPs</v>
      </c>
      <c r="D66" s="87"/>
      <c r="E66" s="87"/>
      <c r="F66" s="87"/>
      <c r="G66" s="139"/>
      <c r="H66" s="87"/>
      <c r="I66" s="87"/>
      <c r="J66" s="87"/>
      <c r="K66" s="87"/>
      <c r="L66" s="87"/>
      <c r="M66" s="87"/>
      <c r="N66" s="87"/>
      <c r="O66" s="189"/>
      <c r="P66" s="149">
        <v>24</v>
      </c>
    </row>
    <row r="67" spans="2:16" ht="14.1" customHeight="1" x14ac:dyDescent="0.25">
      <c r="B67" s="87"/>
      <c r="C67" s="87"/>
      <c r="D67" s="87" t="s">
        <v>131</v>
      </c>
      <c r="E67" s="87"/>
      <c r="F67" s="87"/>
      <c r="G67" s="84">
        <v>1</v>
      </c>
      <c r="H67" s="87"/>
      <c r="I67" s="87"/>
      <c r="J67" s="87"/>
      <c r="K67" s="87"/>
      <c r="L67" s="87"/>
      <c r="M67" s="87"/>
      <c r="N67" s="87"/>
      <c r="O67" s="190"/>
      <c r="P67" s="87"/>
    </row>
    <row r="68" spans="2:16" ht="14.1" customHeight="1" x14ac:dyDescent="0.25">
      <c r="O68" s="6"/>
    </row>
    <row r="69" spans="2:16" ht="14.1" customHeight="1" x14ac:dyDescent="0.25">
      <c r="B69" s="10"/>
      <c r="C69" s="10"/>
      <c r="D69" s="10"/>
      <c r="E69" s="10"/>
      <c r="F69" s="10"/>
      <c r="G69" s="10"/>
      <c r="H69" s="10"/>
      <c r="I69" s="10"/>
      <c r="J69" s="10"/>
      <c r="K69" s="10"/>
      <c r="L69" s="10"/>
      <c r="O69" s="6"/>
    </row>
    <row r="70" spans="2:16" ht="14.1" customHeight="1" x14ac:dyDescent="0.25">
      <c r="B70" s="6" t="s">
        <v>153</v>
      </c>
      <c r="F70" s="6" t="s">
        <v>163</v>
      </c>
      <c r="G70" s="6" t="s">
        <v>164</v>
      </c>
      <c r="H70" s="6" t="s">
        <v>160</v>
      </c>
      <c r="I70" s="6" t="s">
        <v>161</v>
      </c>
      <c r="J70" s="6" t="s">
        <v>162</v>
      </c>
      <c r="M70" s="153"/>
      <c r="O70" s="153"/>
    </row>
    <row r="71" spans="2:16" ht="14.1" customHeight="1" x14ac:dyDescent="0.25">
      <c r="H71" s="155">
        <v>0.17249999999999999</v>
      </c>
      <c r="I71" s="155">
        <v>2.2100000000000002E-2</v>
      </c>
      <c r="M71" s="153"/>
      <c r="O71" s="153"/>
    </row>
    <row r="72" spans="2:16" ht="14.1" customHeight="1" x14ac:dyDescent="0.25">
      <c r="H72" s="155">
        <v>0.2442</v>
      </c>
      <c r="M72" s="153"/>
      <c r="O72" s="153"/>
    </row>
    <row r="73" spans="2:16" ht="14.1" customHeight="1" x14ac:dyDescent="0.25">
      <c r="C73" s="6" t="s">
        <v>137</v>
      </c>
      <c r="M73" s="153"/>
      <c r="O73" s="180" t="s">
        <v>183</v>
      </c>
    </row>
    <row r="74" spans="2:16" ht="14.1" customHeight="1" x14ac:dyDescent="0.25">
      <c r="D74" s="6" t="s">
        <v>146</v>
      </c>
      <c r="G74" s="151"/>
      <c r="M74" s="154"/>
      <c r="O74" s="181"/>
    </row>
    <row r="75" spans="2:16" ht="14.1" customHeight="1" x14ac:dyDescent="0.25">
      <c r="E75" s="6" t="s">
        <v>154</v>
      </c>
      <c r="F75" s="148">
        <v>77.95</v>
      </c>
      <c r="G75" s="152">
        <f>F75/ServiceHistory!$I$43</f>
        <v>14.302752293577981</v>
      </c>
      <c r="H75" s="150">
        <f>G75*0.4167</f>
        <v>5.9599568807339454</v>
      </c>
      <c r="I75" s="150">
        <f>SUM(G75:H75)*0.0221</f>
        <v>0.44780587275229361</v>
      </c>
      <c r="J75" s="150">
        <f t="shared" ref="J75:J85" si="6">SUM(G75:I75)</f>
        <v>20.71051504706422</v>
      </c>
      <c r="M75" s="154"/>
      <c r="O75" s="181"/>
    </row>
    <row r="76" spans="2:16" ht="14.1" customHeight="1" x14ac:dyDescent="0.25">
      <c r="E76" s="6" t="s">
        <v>173</v>
      </c>
      <c r="F76" s="147">
        <v>16</v>
      </c>
      <c r="G76" s="152">
        <f>F76/ServiceHistory!$I$43</f>
        <v>2.9357798165137612</v>
      </c>
      <c r="H76" s="150">
        <f>G76*0.4167</f>
        <v>1.2233394495412844</v>
      </c>
      <c r="I76" s="150">
        <f>SUM(G76:H76)*0.0221</f>
        <v>9.1916535779816511E-2</v>
      </c>
      <c r="J76" s="150">
        <f t="shared" si="6"/>
        <v>4.2510358018348615</v>
      </c>
      <c r="M76" s="154"/>
      <c r="O76" s="181"/>
    </row>
    <row r="77" spans="2:16" ht="14.1" customHeight="1" x14ac:dyDescent="0.25">
      <c r="D77" s="6" t="s">
        <v>147</v>
      </c>
      <c r="G77" s="151"/>
      <c r="H77" s="150"/>
      <c r="I77" s="150"/>
      <c r="J77" s="150"/>
      <c r="M77" s="154"/>
      <c r="O77" s="181"/>
    </row>
    <row r="78" spans="2:16" ht="14.1" customHeight="1" x14ac:dyDescent="0.25">
      <c r="E78" s="6" t="s">
        <v>154</v>
      </c>
      <c r="F78" s="147">
        <v>10</v>
      </c>
      <c r="G78" s="152">
        <f>F78/ServiceHistory!$I$44</f>
        <v>3.125</v>
      </c>
      <c r="H78" s="150">
        <f>G78*0.4167</f>
        <v>1.3021875000000001</v>
      </c>
      <c r="I78" s="150">
        <f>SUM(G78:H78)*0.0221</f>
        <v>9.7840843750000017E-2</v>
      </c>
      <c r="J78" s="150">
        <f t="shared" si="6"/>
        <v>4.5250283437500007</v>
      </c>
      <c r="M78" s="154"/>
      <c r="O78" s="181"/>
    </row>
    <row r="79" spans="2:16" ht="14.1" customHeight="1" x14ac:dyDescent="0.25">
      <c r="E79" s="6" t="s">
        <v>155</v>
      </c>
      <c r="F79" s="147">
        <v>1</v>
      </c>
      <c r="G79" s="152">
        <f>F79/ServiceHistory!$I$44</f>
        <v>0.3125</v>
      </c>
      <c r="H79" s="150">
        <f>G79*0.4167</f>
        <v>0.13021874999999999</v>
      </c>
      <c r="I79" s="150">
        <f>SUM(G79:H79)*0.0221</f>
        <v>9.784084375E-3</v>
      </c>
      <c r="J79" s="150">
        <f t="shared" si="6"/>
        <v>0.452502834375</v>
      </c>
      <c r="M79" s="154"/>
      <c r="O79" s="181"/>
    </row>
    <row r="80" spans="2:16" ht="14.1" customHeight="1" x14ac:dyDescent="0.25">
      <c r="E80" s="6" t="s">
        <v>156</v>
      </c>
      <c r="F80" s="147">
        <v>5.63</v>
      </c>
      <c r="G80" s="152">
        <f>F80/ServiceHistory!$I$44</f>
        <v>1.7593749999999999</v>
      </c>
      <c r="H80" s="150">
        <f>G80*0.4167</f>
        <v>0.7331315625</v>
      </c>
      <c r="I80" s="150">
        <f>SUM(G80:H80)*0.0221</f>
        <v>5.5084395031250004E-2</v>
      </c>
      <c r="J80" s="150">
        <f t="shared" si="6"/>
        <v>2.5475909575312499</v>
      </c>
      <c r="M80" s="154"/>
      <c r="O80" s="181"/>
    </row>
    <row r="81" spans="3:15" ht="14.1" customHeight="1" x14ac:dyDescent="0.25">
      <c r="C81" s="6" t="s">
        <v>141</v>
      </c>
      <c r="G81" s="151"/>
      <c r="H81" s="150"/>
      <c r="I81" s="150"/>
      <c r="J81" s="150"/>
      <c r="M81" s="153"/>
      <c r="O81" s="181"/>
    </row>
    <row r="82" spans="3:15" ht="14.1" customHeight="1" x14ac:dyDescent="0.25">
      <c r="D82" s="6" t="s">
        <v>148</v>
      </c>
      <c r="G82" s="151"/>
      <c r="H82" s="150"/>
      <c r="I82" s="150"/>
      <c r="J82" s="150"/>
      <c r="M82" s="154"/>
      <c r="O82" s="181"/>
    </row>
    <row r="83" spans="3:15" ht="14.1" customHeight="1" x14ac:dyDescent="0.25">
      <c r="E83" s="6" t="s">
        <v>157</v>
      </c>
      <c r="F83" s="147">
        <v>50</v>
      </c>
      <c r="G83" s="152">
        <f>F83/(ServiceHistory!$I$46*6)</f>
        <v>6.2372222394036907</v>
      </c>
      <c r="H83" s="150">
        <f>G83*0.4167</f>
        <v>2.599050507159518</v>
      </c>
      <c r="I83" s="150">
        <f>SUM(G83:H83)*0.0221</f>
        <v>0.19528162769904692</v>
      </c>
      <c r="J83" s="150">
        <f t="shared" si="6"/>
        <v>9.0315543742622548</v>
      </c>
      <c r="M83" s="154"/>
      <c r="O83" s="181"/>
    </row>
    <row r="84" spans="3:15" ht="14.1" customHeight="1" x14ac:dyDescent="0.25">
      <c r="E84" s="6" t="s">
        <v>158</v>
      </c>
      <c r="F84" s="147">
        <v>150</v>
      </c>
      <c r="G84" s="152">
        <f>F84/(ServiceHistory!$I$46*6)</f>
        <v>18.71166671821107</v>
      </c>
      <c r="H84" s="150">
        <f>G84*0.4167</f>
        <v>7.7971515214785532</v>
      </c>
      <c r="I84" s="150">
        <f>SUM(G84:H84)*0.0221</f>
        <v>0.58584488309714078</v>
      </c>
      <c r="J84" s="150">
        <f t="shared" si="6"/>
        <v>27.094663122786766</v>
      </c>
      <c r="M84" s="154"/>
      <c r="O84" s="181"/>
    </row>
    <row r="85" spans="3:15" ht="14.1" customHeight="1" x14ac:dyDescent="0.25">
      <c r="E85" s="6" t="s">
        <v>159</v>
      </c>
      <c r="F85" s="147">
        <v>415</v>
      </c>
      <c r="G85" s="152">
        <f>F85/(ServiceHistory!$I$46*6)</f>
        <v>51.768944587050633</v>
      </c>
      <c r="H85" s="150">
        <f>G85*0.4167</f>
        <v>21.572119209423999</v>
      </c>
      <c r="I85" s="150">
        <f>SUM(G85:H85)*0.0221</f>
        <v>1.6208375099020893</v>
      </c>
      <c r="J85" s="150">
        <f t="shared" si="6"/>
        <v>74.961901306376717</v>
      </c>
      <c r="M85" s="154"/>
      <c r="O85" s="182"/>
    </row>
    <row r="86" spans="3:15" ht="14.1" customHeight="1" x14ac:dyDescent="0.25">
      <c r="C86" s="6" t="s">
        <v>139</v>
      </c>
      <c r="O86" s="6"/>
    </row>
    <row r="87" spans="3:15" ht="14.1" customHeight="1" x14ac:dyDescent="0.25">
      <c r="D87" s="6" t="s">
        <v>149</v>
      </c>
      <c r="O87" s="6"/>
    </row>
    <row r="88" spans="3:15" ht="14.1" customHeight="1" x14ac:dyDescent="0.25">
      <c r="O88" s="6"/>
    </row>
    <row r="89" spans="3:15" ht="14.1" customHeight="1" x14ac:dyDescent="0.25">
      <c r="O89" s="6"/>
    </row>
    <row r="90" spans="3:15" ht="14.1" customHeight="1" x14ac:dyDescent="0.25">
      <c r="O90" s="6"/>
    </row>
    <row r="91" spans="3:15" ht="14.1" customHeight="1" x14ac:dyDescent="0.25">
      <c r="O91" s="6"/>
    </row>
    <row r="92" spans="3:15" ht="14.1" customHeight="1" x14ac:dyDescent="0.25">
      <c r="O92" s="6"/>
    </row>
    <row r="93" spans="3:15" ht="14.1" customHeight="1" x14ac:dyDescent="0.25">
      <c r="O93" s="6"/>
    </row>
    <row r="94" spans="3:15" ht="14.1" customHeight="1" x14ac:dyDescent="0.25">
      <c r="O94" s="6"/>
    </row>
    <row r="95" spans="3:15" ht="14.1" customHeight="1" x14ac:dyDescent="0.25">
      <c r="O95" s="6"/>
    </row>
    <row r="96" spans="3:15" ht="14.1" customHeight="1" x14ac:dyDescent="0.25">
      <c r="O96" s="6"/>
    </row>
    <row r="97" spans="15:15" ht="14.1" customHeight="1" x14ac:dyDescent="0.25">
      <c r="O97" s="6"/>
    </row>
    <row r="98" spans="15:15" ht="14.1" customHeight="1" x14ac:dyDescent="0.25">
      <c r="O98" s="6"/>
    </row>
    <row r="99" spans="15:15" ht="14.1" customHeight="1" x14ac:dyDescent="0.25">
      <c r="O99" s="6"/>
    </row>
    <row r="100" spans="15:15" ht="14.1" customHeight="1" x14ac:dyDescent="0.25">
      <c r="O100" s="6"/>
    </row>
    <row r="101" spans="15:15" ht="14.1" customHeight="1" x14ac:dyDescent="0.25">
      <c r="O101" s="6"/>
    </row>
    <row r="102" spans="15:15" ht="14.1" customHeight="1" x14ac:dyDescent="0.25">
      <c r="O102" s="6"/>
    </row>
    <row r="103" spans="15:15" ht="14.1" customHeight="1" x14ac:dyDescent="0.25">
      <c r="O103" s="6"/>
    </row>
    <row r="104" spans="15:15" ht="14.1" customHeight="1" x14ac:dyDescent="0.25">
      <c r="O104" s="6"/>
    </row>
    <row r="105" spans="15:15" ht="14.1" customHeight="1" x14ac:dyDescent="0.25">
      <c r="O105" s="6"/>
    </row>
    <row r="106" spans="15:15" ht="14.1" customHeight="1" x14ac:dyDescent="0.25">
      <c r="O106" s="6"/>
    </row>
    <row r="107" spans="15:15" ht="14.1" customHeight="1" x14ac:dyDescent="0.25">
      <c r="O107" s="6"/>
    </row>
    <row r="108" spans="15:15" ht="14.1" customHeight="1" x14ac:dyDescent="0.25">
      <c r="O108" s="6"/>
    </row>
    <row r="109" spans="15:15" ht="14.1" customHeight="1" x14ac:dyDescent="0.25">
      <c r="O109" s="6"/>
    </row>
    <row r="110" spans="15:15" ht="14.1" customHeight="1" x14ac:dyDescent="0.25">
      <c r="O110" s="6"/>
    </row>
    <row r="111" spans="15:15" ht="14.1" customHeight="1" x14ac:dyDescent="0.25">
      <c r="O111" s="6"/>
    </row>
    <row r="112" spans="15:15" ht="14.1" customHeight="1" x14ac:dyDescent="0.25">
      <c r="O112" s="6"/>
    </row>
    <row r="113" spans="15:15" ht="14.1" customHeight="1" x14ac:dyDescent="0.25">
      <c r="O113" s="6"/>
    </row>
  </sheetData>
  <mergeCells count="6">
    <mergeCell ref="O73:O85"/>
    <mergeCell ref="O7:O13"/>
    <mergeCell ref="O25:O26"/>
    <mergeCell ref="O30:O37"/>
    <mergeCell ref="O17:O21"/>
    <mergeCell ref="O53:O67"/>
  </mergeCells>
  <pageMargins left="0.39370078740157483" right="0.39370078740157483" top="0.39370078740157483" bottom="0.39370078740157483" header="0.19685039370078741" footer="0.19685039370078741"/>
  <pageSetup paperSize="9" scale="45" fitToHeight="0" orientation="landscape" r:id="rId1"/>
  <headerFooter>
    <oddFooter>&amp;C&amp;F&amp;R&amp;A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8" tint="-0.249977111117893"/>
  </sheetPr>
  <dimension ref="A1:E3"/>
  <sheetViews>
    <sheetView workbookViewId="0"/>
  </sheetViews>
  <sheetFormatPr defaultColWidth="0" defaultRowHeight="15" zeroHeight="1" x14ac:dyDescent="0.25"/>
  <cols>
    <col min="1" max="1" width="2.42578125" customWidth="1"/>
    <col min="2" max="5" width="9.140625" customWidth="1"/>
    <col min="6" max="16384" width="9.140625" hidden="1"/>
  </cols>
  <sheetData>
    <row r="1" spans="2:2" x14ac:dyDescent="0.25"/>
    <row r="2" spans="2:2" x14ac:dyDescent="0.25">
      <c r="B2" s="1" t="s">
        <v>12</v>
      </c>
    </row>
    <row r="3" spans="2:2" x14ac:dyDescent="0.25"/>
  </sheetData>
  <pageMargins left="0.70866141732283472" right="0.70866141732283472" top="0.74803149606299213" bottom="0.74803149606299213" header="0.31496062992125984" footer="0.31496062992125984"/>
  <pageSetup paperSize="9" orientation="portrait"/>
  <headerFooter>
    <oddFooter>&amp;C&amp;F&amp;R&amp;A</oddFooter>
  </headerFooter>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8" tint="0.39997558519241921"/>
    <pageSetUpPr fitToPage="1"/>
  </sheetPr>
  <dimension ref="A1:AZ14"/>
  <sheetViews>
    <sheetView zoomScaleNormal="100" zoomScalePageLayoutView="125" workbookViewId="0">
      <pane xSplit="5" ySplit="6" topLeftCell="J7" activePane="bottomRight" state="frozenSplit"/>
      <selection pane="topRight" activeCell="E1" sqref="E1"/>
      <selection pane="bottomLeft" activeCell="A7" sqref="A7"/>
      <selection pane="bottomRight" activeCell="L13" sqref="L13"/>
    </sheetView>
  </sheetViews>
  <sheetFormatPr defaultColWidth="9.140625" defaultRowHeight="14.1" customHeight="1" x14ac:dyDescent="0.25"/>
  <cols>
    <col min="1" max="3" width="2.140625" style="6" customWidth="1"/>
    <col min="4" max="4" width="1.85546875" style="6" customWidth="1"/>
    <col min="5" max="5" width="42.140625" style="6" customWidth="1"/>
    <col min="6" max="8" width="10.42578125" style="6" customWidth="1"/>
    <col min="9" max="9" width="1.7109375" style="6" customWidth="1"/>
    <col min="10" max="12" width="10.42578125" style="6" customWidth="1"/>
    <col min="13" max="13" width="2" style="6" customWidth="1"/>
    <col min="14" max="16" width="10.42578125" style="6" customWidth="1"/>
    <col min="17" max="19" width="9.140625" style="6"/>
    <col min="20" max="20" width="1.85546875" style="6" customWidth="1"/>
    <col min="21" max="25" width="10.42578125" style="6" customWidth="1"/>
    <col min="26" max="26" width="1.85546875" style="6" customWidth="1"/>
    <col min="27" max="32" width="10.42578125" style="6" customWidth="1"/>
    <col min="33" max="33" width="1.85546875" style="6" customWidth="1"/>
    <col min="34" max="39" width="10.42578125" style="6" customWidth="1"/>
    <col min="40" max="40" width="3.5703125" style="6" customWidth="1"/>
    <col min="41" max="41" width="10.140625" style="6" bestFit="1" customWidth="1"/>
    <col min="42" max="46" width="10.28515625" style="6" bestFit="1" customWidth="1"/>
    <col min="47" max="16384" width="9.140625" style="6"/>
  </cols>
  <sheetData>
    <row r="1" spans="1:52" ht="14.1" customHeight="1" x14ac:dyDescent="0.2">
      <c r="A1" s="14" t="s">
        <v>15</v>
      </c>
      <c r="B1" s="14"/>
      <c r="C1" s="14"/>
      <c r="D1" s="14"/>
      <c r="E1" s="14"/>
      <c r="F1" s="14"/>
      <c r="G1" s="14"/>
      <c r="H1" s="14"/>
    </row>
    <row r="2" spans="1:52" ht="14.1" customHeight="1" x14ac:dyDescent="0.25">
      <c r="A2" s="16" t="s">
        <v>66</v>
      </c>
      <c r="B2" s="15"/>
      <c r="C2" s="15"/>
      <c r="D2" s="15"/>
      <c r="E2" s="15"/>
      <c r="F2" s="15"/>
      <c r="G2" s="15"/>
      <c r="H2" s="15"/>
    </row>
    <row r="3" spans="1:52" ht="14.1" customHeight="1" x14ac:dyDescent="0.25">
      <c r="A3" s="6" t="str">
        <f>GlobalInputs!G9</f>
        <v>ASP Fees</v>
      </c>
    </row>
    <row r="4" spans="1:52" ht="14.1" customHeight="1" x14ac:dyDescent="0.2">
      <c r="E4" s="74" t="str">
        <f>IF(ROUND($E$5,6)=0,"ok","Problem - review CheckSheet")</f>
        <v>ok</v>
      </c>
    </row>
    <row r="5" spans="1:52" ht="14.1" customHeight="1" x14ac:dyDescent="0.25">
      <c r="B5" s="30"/>
      <c r="C5" s="10"/>
      <c r="D5" s="10"/>
      <c r="E5" s="31"/>
      <c r="F5" s="191" t="s">
        <v>76</v>
      </c>
      <c r="G5" s="192"/>
      <c r="H5" s="193"/>
      <c r="J5" s="191" t="s">
        <v>110</v>
      </c>
      <c r="K5" s="192"/>
      <c r="L5" s="193"/>
      <c r="N5" s="191" t="s">
        <v>55</v>
      </c>
      <c r="O5" s="192"/>
      <c r="P5" s="192"/>
      <c r="Q5" s="192"/>
      <c r="R5" s="192"/>
      <c r="S5" s="193"/>
      <c r="U5" s="191" t="s">
        <v>112</v>
      </c>
      <c r="V5" s="192"/>
      <c r="W5" s="192"/>
      <c r="X5" s="192"/>
      <c r="Y5" s="193"/>
      <c r="AA5" s="191" t="s">
        <v>113</v>
      </c>
      <c r="AB5" s="192"/>
      <c r="AC5" s="192"/>
      <c r="AD5" s="192"/>
      <c r="AE5" s="192"/>
      <c r="AF5" s="193"/>
      <c r="AH5" s="191" t="s">
        <v>115</v>
      </c>
      <c r="AI5" s="192"/>
      <c r="AJ5" s="192"/>
      <c r="AK5" s="192"/>
      <c r="AL5" s="192"/>
      <c r="AM5" s="193"/>
      <c r="AO5" s="191" t="s">
        <v>174</v>
      </c>
      <c r="AP5" s="192"/>
      <c r="AQ5" s="192"/>
      <c r="AR5" s="192"/>
      <c r="AS5" s="192"/>
      <c r="AT5" s="193"/>
    </row>
    <row r="6" spans="1:52" ht="14.1" customHeight="1" x14ac:dyDescent="0.25">
      <c r="B6" s="12" t="s">
        <v>67</v>
      </c>
      <c r="C6" s="11"/>
      <c r="D6" s="11"/>
      <c r="E6" s="32"/>
      <c r="F6" s="29" t="s">
        <v>68</v>
      </c>
      <c r="G6" s="9" t="s">
        <v>69</v>
      </c>
      <c r="H6" s="35" t="s">
        <v>70</v>
      </c>
      <c r="J6" s="29" t="s">
        <v>68</v>
      </c>
      <c r="K6" s="9" t="s">
        <v>109</v>
      </c>
      <c r="L6" s="35" t="s">
        <v>111</v>
      </c>
      <c r="N6" s="29" t="s">
        <v>78</v>
      </c>
      <c r="O6" s="9" t="str">
        <f>GlobalInputs!G13</f>
        <v>2014/15</v>
      </c>
      <c r="P6" s="9" t="str">
        <f>GlobalInputs!H13</f>
        <v>2015/16</v>
      </c>
      <c r="Q6" s="9" t="str">
        <f>GlobalInputs!I13</f>
        <v>2016/17</v>
      </c>
      <c r="R6" s="9" t="str">
        <f>GlobalInputs!J13</f>
        <v>2017/18</v>
      </c>
      <c r="S6" s="35" t="str">
        <f>GlobalInputs!K13</f>
        <v>2018/19</v>
      </c>
      <c r="U6" s="29" t="str">
        <f>O6</f>
        <v>2014/15</v>
      </c>
      <c r="V6" s="9" t="str">
        <f t="shared" ref="V6:Y6" si="0">P6</f>
        <v>2015/16</v>
      </c>
      <c r="W6" s="9" t="str">
        <f t="shared" si="0"/>
        <v>2016/17</v>
      </c>
      <c r="X6" s="9" t="str">
        <f t="shared" si="0"/>
        <v>2017/18</v>
      </c>
      <c r="Y6" s="35" t="str">
        <f t="shared" si="0"/>
        <v>2018/19</v>
      </c>
      <c r="AA6" s="29" t="s">
        <v>114</v>
      </c>
      <c r="AB6" s="9" t="str">
        <f>U6</f>
        <v>2014/15</v>
      </c>
      <c r="AC6" s="9" t="str">
        <f t="shared" ref="AC6:AF6" si="1">V6</f>
        <v>2015/16</v>
      </c>
      <c r="AD6" s="9" t="str">
        <f t="shared" si="1"/>
        <v>2016/17</v>
      </c>
      <c r="AE6" s="9" t="str">
        <f t="shared" si="1"/>
        <v>2017/18</v>
      </c>
      <c r="AF6" s="35" t="str">
        <f t="shared" si="1"/>
        <v>2018/19</v>
      </c>
      <c r="AH6" s="29" t="s">
        <v>114</v>
      </c>
      <c r="AI6" s="9" t="str">
        <f>AB6</f>
        <v>2014/15</v>
      </c>
      <c r="AJ6" s="9" t="str">
        <f t="shared" ref="AJ6:AM6" si="2">AC6</f>
        <v>2015/16</v>
      </c>
      <c r="AK6" s="9" t="str">
        <f t="shared" si="2"/>
        <v>2016/17</v>
      </c>
      <c r="AL6" s="9" t="str">
        <f t="shared" si="2"/>
        <v>2017/18</v>
      </c>
      <c r="AM6" s="35" t="str">
        <f t="shared" si="2"/>
        <v>2018/19</v>
      </c>
      <c r="AO6" s="29" t="s">
        <v>114</v>
      </c>
      <c r="AP6" s="9" t="str">
        <f>AI6</f>
        <v>2014/15</v>
      </c>
      <c r="AQ6" s="9" t="str">
        <f t="shared" ref="AQ6" si="3">AJ6</f>
        <v>2015/16</v>
      </c>
      <c r="AR6" s="9" t="str">
        <f t="shared" ref="AR6" si="4">AK6</f>
        <v>2016/17</v>
      </c>
      <c r="AS6" s="9" t="str">
        <f t="shared" ref="AS6" si="5">AL6</f>
        <v>2017/18</v>
      </c>
      <c r="AT6" s="35" t="str">
        <f t="shared" ref="AT6" si="6">AM6</f>
        <v>2018/19</v>
      </c>
    </row>
    <row r="7" spans="1:52" ht="14.1" customHeight="1" x14ac:dyDescent="0.25">
      <c r="B7" s="12"/>
      <c r="C7" s="11" t="str">
        <f>ServiceProjections!D7</f>
        <v>Authorisation of ASPs - Initial</v>
      </c>
      <c r="D7" s="11"/>
      <c r="E7" s="32"/>
      <c r="F7" s="12"/>
      <c r="G7" s="11"/>
      <c r="H7" s="32"/>
      <c r="J7" s="12"/>
      <c r="K7" s="11"/>
      <c r="L7" s="32"/>
      <c r="N7" s="12"/>
      <c r="O7" s="11"/>
      <c r="P7" s="11"/>
      <c r="Q7" s="11"/>
      <c r="R7" s="11"/>
      <c r="S7" s="32"/>
      <c r="U7" s="12"/>
      <c r="V7" s="11"/>
      <c r="W7" s="11"/>
      <c r="X7" s="11"/>
      <c r="Y7" s="32"/>
      <c r="AA7" s="12"/>
      <c r="AB7" s="11"/>
      <c r="AC7" s="11"/>
      <c r="AD7" s="11"/>
      <c r="AE7" s="11"/>
      <c r="AF7" s="32"/>
      <c r="AH7" s="12"/>
      <c r="AI7" s="11"/>
      <c r="AJ7" s="11"/>
      <c r="AK7" s="11"/>
      <c r="AL7" s="11"/>
      <c r="AM7" s="32"/>
      <c r="AO7" s="30"/>
      <c r="AP7" s="10"/>
      <c r="AQ7" s="10"/>
      <c r="AR7" s="10"/>
      <c r="AS7" s="10"/>
      <c r="AT7" s="31"/>
    </row>
    <row r="8" spans="1:52" ht="14.1" customHeight="1" x14ac:dyDescent="0.25">
      <c r="B8" s="12"/>
      <c r="C8" s="11"/>
      <c r="D8" s="11" t="str">
        <f>ServiceProjections!E8</f>
        <v>Initial Authorisations</v>
      </c>
      <c r="E8" s="32"/>
      <c r="F8" s="36">
        <f>ServiceHistory!G43</f>
        <v>2</v>
      </c>
      <c r="G8" s="37">
        <f>H8/F8</f>
        <v>79.5</v>
      </c>
      <c r="H8" s="38">
        <f>ServiceHistory!G7</f>
        <v>159</v>
      </c>
      <c r="J8" s="36">
        <f>ServiceProjections!I18</f>
        <v>5.45</v>
      </c>
      <c r="K8" s="37">
        <f>ServiceProjections!J43</f>
        <v>146.07046915267068</v>
      </c>
      <c r="L8" s="39">
        <f>J8*K8</f>
        <v>796.08405688205528</v>
      </c>
      <c r="N8" s="12"/>
      <c r="O8" s="40">
        <f>ServiceProjections!H54</f>
        <v>238.2</v>
      </c>
      <c r="P8" s="40">
        <f>ServiceProjections!I54</f>
        <v>238.2</v>
      </c>
      <c r="Q8" s="40">
        <f>ServiceProjections!J54</f>
        <v>238.2</v>
      </c>
      <c r="R8" s="40">
        <f>ServiceProjections!K54</f>
        <v>238.2</v>
      </c>
      <c r="S8" s="41">
        <f>ServiceProjections!L54</f>
        <v>238.2</v>
      </c>
      <c r="U8" s="42">
        <f>L8*O8</f>
        <v>189627.22234930555</v>
      </c>
      <c r="V8" s="40">
        <f t="shared" ref="V8:Y8" si="7">P8*$L8</f>
        <v>189627.22234930555</v>
      </c>
      <c r="W8" s="40">
        <f t="shared" si="7"/>
        <v>189627.22234930555</v>
      </c>
      <c r="X8" s="40">
        <f t="shared" si="7"/>
        <v>189627.22234930555</v>
      </c>
      <c r="Y8" s="41">
        <f t="shared" si="7"/>
        <v>189627.22234930555</v>
      </c>
      <c r="AA8" s="43">
        <f>ServiceProjections!G43*FeeConstruction!J8</f>
        <v>549.77836353059251</v>
      </c>
      <c r="AB8" s="40">
        <f>O8*$AA8</f>
        <v>130957.20619298713</v>
      </c>
      <c r="AC8" s="40">
        <f t="shared" ref="AC8:AF8" si="8">P8*$AA8</f>
        <v>130957.20619298713</v>
      </c>
      <c r="AD8" s="40">
        <f t="shared" si="8"/>
        <v>130957.20619298713</v>
      </c>
      <c r="AE8" s="40">
        <f t="shared" si="8"/>
        <v>130957.20619298713</v>
      </c>
      <c r="AF8" s="41">
        <f t="shared" si="8"/>
        <v>130957.20619298713</v>
      </c>
      <c r="AH8" s="43">
        <f>ServiceProjections!H43*J8</f>
        <v>229.09264408319791</v>
      </c>
      <c r="AI8" s="40">
        <f>O8*$AH8</f>
        <v>54569.867820617743</v>
      </c>
      <c r="AJ8" s="40">
        <f t="shared" ref="AJ8:AM8" si="9">P8*$AH8</f>
        <v>54569.867820617743</v>
      </c>
      <c r="AK8" s="40">
        <f t="shared" si="9"/>
        <v>54569.867820617743</v>
      </c>
      <c r="AL8" s="40">
        <f t="shared" si="9"/>
        <v>54569.867820617743</v>
      </c>
      <c r="AM8" s="41">
        <f t="shared" si="9"/>
        <v>54569.867820617743</v>
      </c>
      <c r="AO8" s="161">
        <f>ServiceProjections!I43*FeeConstruction!J8</f>
        <v>17.213049268264772</v>
      </c>
      <c r="AP8" s="162">
        <f>$AO8*O8</f>
        <v>4100.1483357006682</v>
      </c>
      <c r="AQ8" s="162">
        <f t="shared" ref="AQ8:AT8" si="10">$AO8*P8</f>
        <v>4100.1483357006682</v>
      </c>
      <c r="AR8" s="162">
        <f t="shared" si="10"/>
        <v>4100.1483357006682</v>
      </c>
      <c r="AS8" s="162">
        <f t="shared" si="10"/>
        <v>4100.1483357006682</v>
      </c>
      <c r="AT8" s="163">
        <f t="shared" si="10"/>
        <v>4100.1483357006682</v>
      </c>
      <c r="AV8" s="164"/>
      <c r="AW8" s="164"/>
      <c r="AX8" s="164"/>
      <c r="AY8" s="164"/>
      <c r="AZ8" s="164"/>
    </row>
    <row r="9" spans="1:52" ht="14.1" customHeight="1" x14ac:dyDescent="0.25">
      <c r="B9" s="12"/>
      <c r="C9" s="11"/>
      <c r="D9" s="11" t="str">
        <f>ServiceProjections!E9</f>
        <v>Authorisation Renewals</v>
      </c>
      <c r="E9" s="32"/>
      <c r="F9" s="36">
        <f>ServiceHistory!G44</f>
        <v>2</v>
      </c>
      <c r="G9" s="37">
        <f t="shared" ref="G9" si="11">H9/F9</f>
        <v>79.5</v>
      </c>
      <c r="H9" s="38">
        <f>ServiceHistory!G8</f>
        <v>159</v>
      </c>
      <c r="J9" s="36">
        <f>ServiceProjections!I19</f>
        <v>3.2</v>
      </c>
      <c r="K9" s="37">
        <f>ServiceProjections!J44</f>
        <v>120.73717042783458</v>
      </c>
      <c r="L9" s="39">
        <f t="shared" ref="L9" si="12">J9*K9</f>
        <v>386.35894536907068</v>
      </c>
      <c r="N9" s="12"/>
      <c r="O9" s="40">
        <f>ServiceProjections!H55</f>
        <v>1449</v>
      </c>
      <c r="P9" s="40">
        <f>ServiceProjections!I55</f>
        <v>1506</v>
      </c>
      <c r="Q9" s="40">
        <f>ServiceProjections!J55</f>
        <v>1563</v>
      </c>
      <c r="R9" s="40">
        <f>ServiceProjections!K55</f>
        <v>1620</v>
      </c>
      <c r="S9" s="41">
        <f>ServiceProjections!L55</f>
        <v>1677</v>
      </c>
      <c r="U9" s="42">
        <f t="shared" ref="U9" si="13">O9*$L9</f>
        <v>559834.11183978338</v>
      </c>
      <c r="V9" s="40">
        <f t="shared" ref="V9" si="14">P9*$L9</f>
        <v>581856.57172582042</v>
      </c>
      <c r="W9" s="40">
        <f t="shared" ref="W9" si="15">Q9*$L9</f>
        <v>603879.03161185747</v>
      </c>
      <c r="X9" s="40">
        <f t="shared" ref="X9" si="16">R9*$L9</f>
        <v>625901.49149789452</v>
      </c>
      <c r="Y9" s="41">
        <f t="shared" ref="Y9" si="17">S9*$L9</f>
        <v>647923.95138393156</v>
      </c>
      <c r="AA9" s="43">
        <f>ServiceProjections!G44*FeeConstruction!J9</f>
        <v>266.82080476821233</v>
      </c>
      <c r="AB9" s="40">
        <f t="shared" ref="AB9" si="18">O9*$AA9</f>
        <v>386623.34610913967</v>
      </c>
      <c r="AC9" s="40">
        <f t="shared" ref="AC9" si="19">P9*$AA9</f>
        <v>401832.13198092778</v>
      </c>
      <c r="AD9" s="40">
        <f t="shared" ref="AD9" si="20">Q9*$AA9</f>
        <v>417040.91785271588</v>
      </c>
      <c r="AE9" s="40">
        <f t="shared" ref="AE9" si="21">R9*$AA9</f>
        <v>432249.70372450398</v>
      </c>
      <c r="AF9" s="41">
        <f t="shared" ref="AF9" si="22">S9*$AA9</f>
        <v>447458.48959629209</v>
      </c>
      <c r="AH9" s="43">
        <f>ServiceProjections!H44*J9</f>
        <v>111.18422934691408</v>
      </c>
      <c r="AI9" s="40">
        <f t="shared" ref="AI9" si="23">O9*$AH9</f>
        <v>161105.94832367849</v>
      </c>
      <c r="AJ9" s="40">
        <f t="shared" ref="AJ9" si="24">P9*$AH9</f>
        <v>167443.4493964526</v>
      </c>
      <c r="AK9" s="40">
        <f t="shared" ref="AK9" si="25">Q9*$AH9</f>
        <v>173780.95046922669</v>
      </c>
      <c r="AL9" s="40">
        <f t="shared" ref="AL9" si="26">R9*$AH9</f>
        <v>180118.45154200081</v>
      </c>
      <c r="AM9" s="41">
        <f t="shared" ref="AM9" si="27">S9*$AH9</f>
        <v>186455.9526147749</v>
      </c>
      <c r="AO9" s="161">
        <f>L9-AA9-AH9</f>
        <v>8.3539112539442755</v>
      </c>
      <c r="AP9" s="162">
        <f>$AO9*O9</f>
        <v>12104.817406965256</v>
      </c>
      <c r="AQ9" s="162">
        <f t="shared" ref="AQ9" si="28">$AO9*P9</f>
        <v>12580.990348440078</v>
      </c>
      <c r="AR9" s="162">
        <f t="shared" ref="AR9" si="29">$AO9*Q9</f>
        <v>13057.163289914903</v>
      </c>
      <c r="AS9" s="162">
        <f t="shared" ref="AS9" si="30">$AO9*R9</f>
        <v>13533.336231389727</v>
      </c>
      <c r="AT9" s="163">
        <f t="shared" ref="AT9" si="31">$AO9*S9</f>
        <v>14009.509172864549</v>
      </c>
      <c r="AV9" s="164"/>
      <c r="AW9" s="164"/>
      <c r="AX9" s="164"/>
      <c r="AY9" s="164"/>
      <c r="AZ9" s="164"/>
    </row>
    <row r="10" spans="1:52" ht="14.1" customHeight="1" x14ac:dyDescent="0.25">
      <c r="B10" s="12"/>
      <c r="C10" s="11" t="str">
        <f>ServiceProjections!D10</f>
        <v>Authorisation Training</v>
      </c>
      <c r="D10" s="11"/>
      <c r="E10" s="32"/>
      <c r="F10" s="12"/>
      <c r="G10" s="11"/>
      <c r="H10" s="32"/>
      <c r="J10" s="12"/>
      <c r="K10" s="11"/>
      <c r="L10" s="32"/>
      <c r="N10" s="12"/>
      <c r="O10" s="11"/>
      <c r="P10" s="11"/>
      <c r="Q10" s="11"/>
      <c r="R10" s="11"/>
      <c r="S10" s="32"/>
      <c r="U10" s="12"/>
      <c r="V10" s="11"/>
      <c r="W10" s="11"/>
      <c r="X10" s="11"/>
      <c r="Y10" s="32"/>
      <c r="AA10" s="12"/>
      <c r="AB10" s="11"/>
      <c r="AC10" s="11"/>
      <c r="AD10" s="11"/>
      <c r="AE10" s="11"/>
      <c r="AF10" s="32"/>
      <c r="AH10" s="12"/>
      <c r="AI10" s="11"/>
      <c r="AJ10" s="11"/>
      <c r="AK10" s="11"/>
      <c r="AL10" s="11"/>
      <c r="AM10" s="32"/>
      <c r="AO10" s="12"/>
      <c r="AP10" s="11"/>
      <c r="AQ10" s="11"/>
      <c r="AR10" s="11"/>
      <c r="AS10" s="11"/>
      <c r="AT10" s="32"/>
      <c r="AV10" s="164"/>
      <c r="AW10" s="164"/>
      <c r="AX10" s="164"/>
      <c r="AY10" s="164"/>
      <c r="AZ10" s="164"/>
    </row>
    <row r="11" spans="1:52" ht="14.1" customHeight="1" x14ac:dyDescent="0.25">
      <c r="B11" s="12"/>
      <c r="C11" s="11"/>
      <c r="D11" s="11" t="str">
        <f>ServiceProjections!E11</f>
        <v>Authorisation Training</v>
      </c>
      <c r="E11" s="32"/>
      <c r="F11" s="36">
        <f>ServiceHistory!G46</f>
        <v>0</v>
      </c>
      <c r="G11" s="37" t="str">
        <f>H11</f>
        <v>n.a.</v>
      </c>
      <c r="H11" s="38" t="str">
        <f>ServiceHistory!G10</f>
        <v>n.a.</v>
      </c>
      <c r="J11" s="36">
        <f>ServiceProjections!I21</f>
        <v>1.3360648399999999</v>
      </c>
      <c r="K11" s="37">
        <f>ServiceProjections!J46</f>
        <v>224.31086453892257</v>
      </c>
      <c r="L11" s="39">
        <f>J11*K11</f>
        <v>299.69385934045727</v>
      </c>
      <c r="N11" s="12"/>
      <c r="O11" s="40">
        <f>ServiceProjections!H57</f>
        <v>96</v>
      </c>
      <c r="P11" s="40">
        <f>ServiceProjections!I57</f>
        <v>96</v>
      </c>
      <c r="Q11" s="40">
        <f>ServiceProjections!J57</f>
        <v>96</v>
      </c>
      <c r="R11" s="40">
        <f>ServiceProjections!K57</f>
        <v>96</v>
      </c>
      <c r="S11" s="41">
        <f>ServiceProjections!L57</f>
        <v>96</v>
      </c>
      <c r="U11" s="42">
        <f t="shared" ref="U11" si="32">O11*$L11</f>
        <v>28770.610496683898</v>
      </c>
      <c r="V11" s="40">
        <f t="shared" ref="V11" si="33">P11*$L11</f>
        <v>28770.610496683898</v>
      </c>
      <c r="W11" s="40">
        <f t="shared" ref="W11" si="34">Q11*$L11</f>
        <v>28770.610496683898</v>
      </c>
      <c r="X11" s="40">
        <f t="shared" ref="X11" si="35">R11*$L11</f>
        <v>28770.610496683898</v>
      </c>
      <c r="Y11" s="41">
        <f t="shared" ref="Y11" si="36">S11*$L11</f>
        <v>28770.610496683898</v>
      </c>
      <c r="AA11" s="43">
        <f>ServiceProjections!G46*FeeConstruction!J11</f>
        <v>206.95973048191024</v>
      </c>
      <c r="AB11" s="40">
        <f>O11*$AA11</f>
        <v>19868.134126263383</v>
      </c>
      <c r="AC11" s="40">
        <f t="shared" ref="AC11" si="37">P11*$AA11</f>
        <v>19868.134126263383</v>
      </c>
      <c r="AD11" s="40">
        <f t="shared" ref="AD11" si="38">Q11*$AA11</f>
        <v>19868.134126263383</v>
      </c>
      <c r="AE11" s="40">
        <f t="shared" ref="AE11" si="39">R11*$AA11</f>
        <v>19868.134126263383</v>
      </c>
      <c r="AF11" s="41">
        <f t="shared" ref="AF11" si="40">S11*$AA11</f>
        <v>19868.134126263383</v>
      </c>
      <c r="AH11" s="43">
        <f>ServiceProjections!H46*J11</f>
        <v>86.254103135600005</v>
      </c>
      <c r="AI11" s="40">
        <f t="shared" ref="AI11" si="41">O11*$AH11</f>
        <v>8280.3939010176</v>
      </c>
      <c r="AJ11" s="40">
        <f t="shared" ref="AJ11" si="42">P11*$AH11</f>
        <v>8280.3939010176</v>
      </c>
      <c r="AK11" s="40">
        <f t="shared" ref="AK11" si="43">Q11*$AH11</f>
        <v>8280.3939010176</v>
      </c>
      <c r="AL11" s="40">
        <f t="shared" ref="AL11" si="44">R11*$AH11</f>
        <v>8280.3939010176</v>
      </c>
      <c r="AM11" s="41">
        <f t="shared" ref="AM11" si="45">S11*$AH11</f>
        <v>8280.3939010176</v>
      </c>
      <c r="AO11" s="161">
        <f>L11-AA11-AH11</f>
        <v>6.4800257229470191</v>
      </c>
      <c r="AP11" s="162">
        <f>$AO11*O11</f>
        <v>622.08246940291383</v>
      </c>
      <c r="AQ11" s="162">
        <f t="shared" ref="AQ11" si="46">$AO11*P11</f>
        <v>622.08246940291383</v>
      </c>
      <c r="AR11" s="162">
        <f t="shared" ref="AR11" si="47">$AO11*Q11</f>
        <v>622.08246940291383</v>
      </c>
      <c r="AS11" s="162">
        <f t="shared" ref="AS11" si="48">$AO11*R11</f>
        <v>622.08246940291383</v>
      </c>
      <c r="AT11" s="163">
        <f t="shared" ref="AT11" si="49">$AO11*S11</f>
        <v>622.08246940291383</v>
      </c>
      <c r="AV11" s="164"/>
      <c r="AW11" s="164"/>
      <c r="AX11" s="164"/>
      <c r="AY11" s="164"/>
      <c r="AZ11" s="164"/>
    </row>
    <row r="12" spans="1:52" ht="14.1" customHeight="1" x14ac:dyDescent="0.25">
      <c r="B12" s="12"/>
      <c r="C12" s="11" t="str">
        <f>ServiceProjections!D12</f>
        <v>Remedial action of ASPs</v>
      </c>
      <c r="D12" s="11"/>
      <c r="E12" s="32"/>
      <c r="F12" s="12"/>
      <c r="G12" s="11"/>
      <c r="H12" s="32"/>
      <c r="J12" s="12"/>
      <c r="K12" s="11"/>
      <c r="L12" s="32"/>
      <c r="N12" s="12"/>
      <c r="O12" s="11"/>
      <c r="P12" s="11"/>
      <c r="Q12" s="11"/>
      <c r="R12" s="11"/>
      <c r="S12" s="32"/>
      <c r="U12" s="12"/>
      <c r="V12" s="11"/>
      <c r="W12" s="11"/>
      <c r="X12" s="11"/>
      <c r="Y12" s="32"/>
      <c r="AA12" s="12"/>
      <c r="AB12" s="11"/>
      <c r="AC12" s="11"/>
      <c r="AD12" s="11"/>
      <c r="AE12" s="11"/>
      <c r="AF12" s="32"/>
      <c r="AH12" s="12"/>
      <c r="AI12" s="11"/>
      <c r="AJ12" s="11"/>
      <c r="AK12" s="11"/>
      <c r="AL12" s="11"/>
      <c r="AM12" s="32"/>
      <c r="AO12" s="12"/>
      <c r="AP12" s="11"/>
      <c r="AQ12" s="11"/>
      <c r="AR12" s="11"/>
      <c r="AS12" s="11"/>
      <c r="AT12" s="32"/>
      <c r="AV12" s="164"/>
      <c r="AW12" s="164"/>
      <c r="AX12" s="164"/>
      <c r="AY12" s="164"/>
      <c r="AZ12" s="164"/>
    </row>
    <row r="13" spans="1:52" ht="14.1" customHeight="1" x14ac:dyDescent="0.25">
      <c r="B13" s="12"/>
      <c r="C13" s="11"/>
      <c r="D13" s="11" t="str">
        <f>ServiceProjections!E13</f>
        <v>Remedial action of ASPs</v>
      </c>
      <c r="E13" s="32"/>
      <c r="F13" s="36">
        <f>ServiceHistory!G48</f>
        <v>0</v>
      </c>
      <c r="G13" s="37" t="str">
        <f>H13</f>
        <v>n.a.</v>
      </c>
      <c r="H13" s="38" t="str">
        <f>ServiceHistory!G12</f>
        <v>n.a.</v>
      </c>
      <c r="J13" s="36" t="s">
        <v>152</v>
      </c>
      <c r="K13" s="37">
        <f>ServiceProjections!J48</f>
        <v>171.02439713634485</v>
      </c>
      <c r="L13" s="39">
        <f>K13</f>
        <v>171.02439713634485</v>
      </c>
      <c r="N13" s="12">
        <f>ServiceProjections!H26</f>
        <v>13.25</v>
      </c>
      <c r="O13" s="40">
        <f>ServiceProjections!H59*$N13</f>
        <v>1325</v>
      </c>
      <c r="P13" s="40">
        <f>ServiceProjections!I59*$N13</f>
        <v>1325</v>
      </c>
      <c r="Q13" s="40">
        <f>ServiceProjections!J59*$N13</f>
        <v>1325</v>
      </c>
      <c r="R13" s="40">
        <f>ServiceProjections!K59*$N13</f>
        <v>1325</v>
      </c>
      <c r="S13" s="41">
        <f>ServiceProjections!L59*$N13</f>
        <v>1325</v>
      </c>
      <c r="U13" s="166">
        <f t="shared" ref="U13" si="50">O13*$L13</f>
        <v>226607.32620565692</v>
      </c>
      <c r="V13" s="167">
        <f t="shared" ref="V13" si="51">P13*$L13</f>
        <v>226607.32620565692</v>
      </c>
      <c r="W13" s="167">
        <f t="shared" ref="W13" si="52">Q13*$L13</f>
        <v>226607.32620565692</v>
      </c>
      <c r="X13" s="167">
        <f t="shared" ref="X13" si="53">R13*$L13</f>
        <v>226607.32620565692</v>
      </c>
      <c r="Y13" s="168">
        <f t="shared" ref="Y13" si="54">S13*$L13</f>
        <v>226607.32620565692</v>
      </c>
      <c r="AA13" s="43">
        <f>ServiceProjections!G48</f>
        <v>118.11003168394852</v>
      </c>
      <c r="AB13" s="40">
        <f t="shared" ref="AB13" si="55">O13*$AA13</f>
        <v>156495.7919812318</v>
      </c>
      <c r="AC13" s="40">
        <f t="shared" ref="AC13" si="56">P13*$AA13</f>
        <v>156495.7919812318</v>
      </c>
      <c r="AD13" s="40">
        <f t="shared" ref="AD13" si="57">Q13*$AA13</f>
        <v>156495.7919812318</v>
      </c>
      <c r="AE13" s="40">
        <f t="shared" ref="AE13" si="58">R13*$AA13</f>
        <v>156495.7919812318</v>
      </c>
      <c r="AF13" s="41">
        <f t="shared" ref="AF13" si="59">S13*$AA13</f>
        <v>156495.7919812318</v>
      </c>
      <c r="AH13" s="43">
        <f>ServiceProjections!H48</f>
        <v>49.216450202701353</v>
      </c>
      <c r="AI13" s="40">
        <f t="shared" ref="AI13" si="60">O13*$AH13</f>
        <v>65211.796518579293</v>
      </c>
      <c r="AJ13" s="40">
        <f t="shared" ref="AJ13" si="61">P13*$AH13</f>
        <v>65211.796518579293</v>
      </c>
      <c r="AK13" s="40">
        <f t="shared" ref="AK13" si="62">Q13*$AH13</f>
        <v>65211.796518579293</v>
      </c>
      <c r="AL13" s="40">
        <f t="shared" ref="AL13" si="63">R13*$AH13</f>
        <v>65211.796518579293</v>
      </c>
      <c r="AM13" s="41">
        <f t="shared" ref="AM13" si="64">S13*$AH13</f>
        <v>65211.796518579293</v>
      </c>
      <c r="AO13" s="161">
        <f>L13-AA13-AH13</f>
        <v>3.6979152496949723</v>
      </c>
      <c r="AP13" s="162">
        <f>$AO13*O13</f>
        <v>4899.7377058458387</v>
      </c>
      <c r="AQ13" s="162">
        <f t="shared" ref="AQ13" si="65">$AO13*P13</f>
        <v>4899.7377058458387</v>
      </c>
      <c r="AR13" s="162">
        <f t="shared" ref="AR13" si="66">$AO13*Q13</f>
        <v>4899.7377058458387</v>
      </c>
      <c r="AS13" s="162">
        <f t="shared" ref="AS13" si="67">$AO13*R13</f>
        <v>4899.7377058458387</v>
      </c>
      <c r="AT13" s="163">
        <f t="shared" ref="AT13" si="68">$AO13*S13</f>
        <v>4899.7377058458387</v>
      </c>
      <c r="AV13" s="164"/>
      <c r="AW13" s="164"/>
      <c r="AX13" s="164"/>
      <c r="AY13" s="164"/>
      <c r="AZ13" s="164"/>
    </row>
    <row r="14" spans="1:52" ht="14.1" customHeight="1" x14ac:dyDescent="0.25">
      <c r="B14" s="33"/>
      <c r="C14" s="8"/>
      <c r="D14" s="8"/>
      <c r="E14" s="34"/>
      <c r="F14" s="33"/>
      <c r="G14" s="8"/>
      <c r="H14" s="34"/>
      <c r="J14" s="33"/>
      <c r="K14" s="8"/>
      <c r="L14" s="34"/>
      <c r="N14" s="33"/>
      <c r="O14" s="8"/>
      <c r="P14" s="8"/>
      <c r="Q14" s="8"/>
      <c r="R14" s="8"/>
      <c r="S14" s="34"/>
      <c r="U14" s="166">
        <f>SUM(U8:U13)</f>
        <v>1004839.2708914296</v>
      </c>
      <c r="V14" s="169">
        <f t="shared" ref="V14:Y14" si="69">SUM(V8:V13)</f>
        <v>1026861.7307774667</v>
      </c>
      <c r="W14" s="169">
        <f t="shared" si="69"/>
        <v>1048884.1906635037</v>
      </c>
      <c r="X14" s="169">
        <f t="shared" si="69"/>
        <v>1070906.6505495408</v>
      </c>
      <c r="Y14" s="170">
        <f t="shared" si="69"/>
        <v>1092929.1104355778</v>
      </c>
      <c r="AA14" s="33"/>
      <c r="AB14" s="8"/>
      <c r="AC14" s="8"/>
      <c r="AD14" s="8"/>
      <c r="AE14" s="8"/>
      <c r="AF14" s="34"/>
      <c r="AH14" s="33"/>
      <c r="AI14" s="8"/>
      <c r="AJ14" s="8"/>
      <c r="AK14" s="8"/>
      <c r="AL14" s="8"/>
      <c r="AM14" s="34"/>
      <c r="AO14" s="33"/>
      <c r="AP14" s="8"/>
      <c r="AQ14" s="8"/>
      <c r="AR14" s="8"/>
      <c r="AS14" s="8"/>
      <c r="AT14" s="34"/>
    </row>
  </sheetData>
  <mergeCells count="7">
    <mergeCell ref="AO5:AT5"/>
    <mergeCell ref="AH5:AM5"/>
    <mergeCell ref="F5:H5"/>
    <mergeCell ref="J5:L5"/>
    <mergeCell ref="N5:S5"/>
    <mergeCell ref="U5:Y5"/>
    <mergeCell ref="AA5:AF5"/>
  </mergeCells>
  <pageMargins left="0.39370078740157483" right="0.39370078740157483" top="0.39370078740157483" bottom="0.39370078740157483" header="0.19685039370078741" footer="0.19685039370078741"/>
  <pageSetup paperSize="8" scale="48" orientation="landscape"/>
  <headerFooter>
    <oddFooter>&amp;C&amp;F&amp;R&amp;A</oddFooter>
  </headerFooter>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5" tint="0.59999389629810485"/>
  </sheetPr>
  <dimension ref="A1:G57"/>
  <sheetViews>
    <sheetView zoomScale="150" zoomScaleNormal="150" zoomScalePageLayoutView="150" workbookViewId="0">
      <selection activeCell="E7" sqref="E7"/>
    </sheetView>
  </sheetViews>
  <sheetFormatPr defaultColWidth="10.85546875" defaultRowHeight="15" x14ac:dyDescent="0.25"/>
  <cols>
    <col min="1" max="1" width="2.7109375" style="72" customWidth="1"/>
    <col min="2" max="3" width="2" style="72" customWidth="1"/>
    <col min="4" max="4" width="36" style="72" customWidth="1"/>
    <col min="5" max="5" width="10.85546875" style="72"/>
    <col min="6" max="6" width="3.85546875" style="72" customWidth="1"/>
    <col min="7" max="16384" width="10.85546875" style="72"/>
  </cols>
  <sheetData>
    <row r="1" spans="1:7" x14ac:dyDescent="0.25">
      <c r="A1" s="72" t="s">
        <v>186</v>
      </c>
    </row>
    <row r="2" spans="1:7" x14ac:dyDescent="0.25">
      <c r="A2" s="73" t="s">
        <v>89</v>
      </c>
      <c r="E2" s="74" t="str">
        <f>IF(ROUND($E$5,6)=0,"ok","Problem - review CheckSheet")</f>
        <v>ok</v>
      </c>
    </row>
    <row r="5" spans="1:7" x14ac:dyDescent="0.25">
      <c r="B5" s="72" t="s">
        <v>90</v>
      </c>
      <c r="E5" s="75">
        <f>SUM(E8:E57)</f>
        <v>0</v>
      </c>
    </row>
    <row r="7" spans="1:7" x14ac:dyDescent="0.25">
      <c r="E7" s="81"/>
    </row>
    <row r="8" spans="1:7" x14ac:dyDescent="0.25">
      <c r="E8" s="80"/>
      <c r="G8" s="79"/>
    </row>
    <row r="9" spans="1:7" x14ac:dyDescent="0.25">
      <c r="E9" s="76"/>
      <c r="G9" s="79"/>
    </row>
    <row r="10" spans="1:7" x14ac:dyDescent="0.25">
      <c r="E10" s="76"/>
      <c r="G10" s="79"/>
    </row>
    <row r="11" spans="1:7" x14ac:dyDescent="0.25">
      <c r="E11" s="77"/>
    </row>
    <row r="12" spans="1:7" x14ac:dyDescent="0.25">
      <c r="E12" s="77"/>
    </row>
    <row r="13" spans="1:7" x14ac:dyDescent="0.25">
      <c r="E13" s="77"/>
    </row>
    <row r="14" spans="1:7" x14ac:dyDescent="0.25">
      <c r="E14" s="77"/>
    </row>
    <row r="15" spans="1:7" x14ac:dyDescent="0.25">
      <c r="E15" s="77"/>
    </row>
    <row r="16" spans="1:7" x14ac:dyDescent="0.25">
      <c r="E16" s="77"/>
    </row>
    <row r="17" spans="5:5" x14ac:dyDescent="0.25">
      <c r="E17" s="77"/>
    </row>
    <row r="18" spans="5:5" x14ac:dyDescent="0.25">
      <c r="E18" s="77"/>
    </row>
    <row r="19" spans="5:5" x14ac:dyDescent="0.25">
      <c r="E19" s="77"/>
    </row>
    <row r="20" spans="5:5" x14ac:dyDescent="0.25">
      <c r="E20" s="77"/>
    </row>
    <row r="21" spans="5:5" x14ac:dyDescent="0.25">
      <c r="E21" s="77"/>
    </row>
    <row r="22" spans="5:5" x14ac:dyDescent="0.25">
      <c r="E22" s="77"/>
    </row>
    <row r="23" spans="5:5" x14ac:dyDescent="0.25">
      <c r="E23" s="77"/>
    </row>
    <row r="24" spans="5:5" x14ac:dyDescent="0.25">
      <c r="E24" s="77"/>
    </row>
    <row r="25" spans="5:5" x14ac:dyDescent="0.25">
      <c r="E25" s="77"/>
    </row>
    <row r="26" spans="5:5" x14ac:dyDescent="0.25">
      <c r="E26" s="77"/>
    </row>
    <row r="27" spans="5:5" x14ac:dyDescent="0.25">
      <c r="E27" s="77"/>
    </row>
    <row r="28" spans="5:5" x14ac:dyDescent="0.25">
      <c r="E28" s="77"/>
    </row>
    <row r="29" spans="5:5" x14ac:dyDescent="0.25">
      <c r="E29" s="77"/>
    </row>
    <row r="30" spans="5:5" x14ac:dyDescent="0.25">
      <c r="E30" s="77"/>
    </row>
    <row r="31" spans="5:5" x14ac:dyDescent="0.25">
      <c r="E31" s="77"/>
    </row>
    <row r="32" spans="5:5" x14ac:dyDescent="0.25">
      <c r="E32" s="77"/>
    </row>
    <row r="33" spans="5:5" x14ac:dyDescent="0.25">
      <c r="E33" s="77"/>
    </row>
    <row r="34" spans="5:5" x14ac:dyDescent="0.25">
      <c r="E34" s="77"/>
    </row>
    <row r="35" spans="5:5" x14ac:dyDescent="0.25">
      <c r="E35" s="77"/>
    </row>
    <row r="36" spans="5:5" x14ac:dyDescent="0.25">
      <c r="E36" s="77"/>
    </row>
    <row r="37" spans="5:5" x14ac:dyDescent="0.25">
      <c r="E37" s="77"/>
    </row>
    <row r="38" spans="5:5" x14ac:dyDescent="0.25">
      <c r="E38" s="77"/>
    </row>
    <row r="39" spans="5:5" x14ac:dyDescent="0.25">
      <c r="E39" s="77"/>
    </row>
    <row r="40" spans="5:5" x14ac:dyDescent="0.25">
      <c r="E40" s="77"/>
    </row>
    <row r="41" spans="5:5" x14ac:dyDescent="0.25">
      <c r="E41" s="77"/>
    </row>
    <row r="42" spans="5:5" x14ac:dyDescent="0.25">
      <c r="E42" s="77"/>
    </row>
    <row r="43" spans="5:5" x14ac:dyDescent="0.25">
      <c r="E43" s="77"/>
    </row>
    <row r="44" spans="5:5" x14ac:dyDescent="0.25">
      <c r="E44" s="77"/>
    </row>
    <row r="45" spans="5:5" x14ac:dyDescent="0.25">
      <c r="E45" s="77"/>
    </row>
    <row r="46" spans="5:5" x14ac:dyDescent="0.25">
      <c r="E46" s="77"/>
    </row>
    <row r="47" spans="5:5" x14ac:dyDescent="0.25">
      <c r="E47" s="77"/>
    </row>
    <row r="48" spans="5:5" x14ac:dyDescent="0.25">
      <c r="E48" s="77"/>
    </row>
    <row r="49" spans="5:5" x14ac:dyDescent="0.25">
      <c r="E49" s="77"/>
    </row>
    <row r="50" spans="5:5" x14ac:dyDescent="0.25">
      <c r="E50" s="77"/>
    </row>
    <row r="51" spans="5:5" x14ac:dyDescent="0.25">
      <c r="E51" s="77"/>
    </row>
    <row r="52" spans="5:5" x14ac:dyDescent="0.25">
      <c r="E52" s="77"/>
    </row>
    <row r="53" spans="5:5" x14ac:dyDescent="0.25">
      <c r="E53" s="77"/>
    </row>
    <row r="54" spans="5:5" x14ac:dyDescent="0.25">
      <c r="E54" s="77"/>
    </row>
    <row r="55" spans="5:5" x14ac:dyDescent="0.25">
      <c r="E55" s="77"/>
    </row>
    <row r="56" spans="5:5" x14ac:dyDescent="0.25">
      <c r="E56" s="77"/>
    </row>
    <row r="57" spans="5:5" x14ac:dyDescent="0.25">
      <c r="E57" s="78"/>
    </row>
  </sheetData>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A147A0DDDD8764C80300D4204AB680A" ma:contentTypeVersion="0" ma:contentTypeDescription="Create a new document." ma:contentTypeScope="" ma:versionID="d0adda5341aa951b34e712b66b93f5db">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DCBB7B4-D45D-466A-A20D-D57AC3802A6C}"/>
</file>

<file path=customXml/itemProps2.xml><?xml version="1.0" encoding="utf-8"?>
<ds:datastoreItem xmlns:ds="http://schemas.openxmlformats.org/officeDocument/2006/customXml" ds:itemID="{138FF6F6-CFAA-4DFA-85BE-378B2B19EAE6}"/>
</file>

<file path=customXml/itemProps3.xml><?xml version="1.0" encoding="utf-8"?>
<ds:datastoreItem xmlns:ds="http://schemas.openxmlformats.org/officeDocument/2006/customXml" ds:itemID="{5F7F41F6-708E-4422-BBF0-30AFCC91803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ReadMeFirst</vt:lpstr>
      <vt:lpstr>Summary</vt:lpstr>
      <vt:lpstr>InputSheets --&gt;</vt:lpstr>
      <vt:lpstr>GlobalInputs</vt:lpstr>
      <vt:lpstr>ServiceDescription</vt:lpstr>
      <vt:lpstr>ServiceHistory</vt:lpstr>
      <vt:lpstr>ServiceProjections</vt:lpstr>
      <vt:lpstr>OutputSheets --&gt;</vt:lpstr>
      <vt:lpstr>FeeConstruction</vt:lpstr>
      <vt:lpstr>CheckSheet</vt:lpstr>
    </vt:vector>
  </TitlesOfParts>
  <Company>Ausgrid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t53572</dc:creator>
  <cp:lastModifiedBy>Catherine Waddell</cp:lastModifiedBy>
  <cp:lastPrinted>2014-05-19T22:30:40Z</cp:lastPrinted>
  <dcterms:created xsi:type="dcterms:W3CDTF">2013-06-17T01:25:32Z</dcterms:created>
  <dcterms:modified xsi:type="dcterms:W3CDTF">2014-05-26T22:53:09Z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0x0101003A147A0DDDD8764C80300D4204AB680A</vt:lpwstr>
  </property>
</Properties>
</file>