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45" yWindow="555" windowWidth="15045" windowHeight="6480" tabRatio="906" activeTab="1"/>
  </bookViews>
  <sheets>
    <sheet name="ReadMeFirst" sheetId="18" r:id="rId1"/>
    <sheet name="Summary" sheetId="8" r:id="rId2"/>
    <sheet name="InputSheets --&gt;" sheetId="16" r:id="rId3"/>
    <sheet name="GlobalInputs" sheetId="17" r:id="rId4"/>
    <sheet name="ServiceDescription" sheetId="19" r:id="rId5"/>
    <sheet name="ServiceHistory" sheetId="13" r:id="rId6"/>
    <sheet name="ServiceProjections" sheetId="12" r:id="rId7"/>
    <sheet name="OutputSheets --&gt;" sheetId="15" r:id="rId8"/>
    <sheet name="FeeConstruction" sheetId="11" r:id="rId9"/>
    <sheet name="CheckSheet" sheetId="20" r:id="rId10"/>
  </sheets>
  <definedNames>
    <definedName name="_xlnm.Print_Area" localSheetId="8">FeeConstruction!#REF!</definedName>
    <definedName name="_xlnm.Print_Area" localSheetId="1">Summary!#REF!</definedName>
    <definedName name="_xlnm.Print_Titles" localSheetId="6">ServiceProjections!#REF!</definedName>
    <definedName name="TM1REBUILDOPTION">1</definedName>
  </definedNames>
  <calcPr calcId="145621" concurrentCalc="0"/>
</workbook>
</file>

<file path=xl/calcChain.xml><?xml version="1.0" encoding="utf-8"?>
<calcChain xmlns="http://schemas.openxmlformats.org/spreadsheetml/2006/main">
  <c r="C25" i="13" l="1"/>
  <c r="G75" i="12"/>
  <c r="G76" i="12"/>
  <c r="G43" i="12"/>
  <c r="H43" i="12"/>
  <c r="I43" i="12"/>
  <c r="H18" i="12"/>
  <c r="I18" i="12"/>
  <c r="J8" i="11"/>
  <c r="AO8" i="11"/>
  <c r="AQ8" i="11"/>
  <c r="H19" i="12"/>
  <c r="I19" i="12"/>
  <c r="J9" i="11"/>
  <c r="G78" i="12"/>
  <c r="G79" i="12"/>
  <c r="G80" i="12"/>
  <c r="G44" i="12"/>
  <c r="H44" i="12"/>
  <c r="I44" i="12"/>
  <c r="J44" i="12"/>
  <c r="K9" i="11"/>
  <c r="L9" i="11"/>
  <c r="AA9" i="11"/>
  <c r="AH9" i="11"/>
  <c r="AO9" i="11"/>
  <c r="AQ9" i="11"/>
  <c r="H21" i="12"/>
  <c r="I21" i="12"/>
  <c r="J11" i="11"/>
  <c r="G83" i="12"/>
  <c r="G84" i="12"/>
  <c r="G85" i="12"/>
  <c r="G46" i="12"/>
  <c r="H83" i="12"/>
  <c r="H84" i="12"/>
  <c r="H85" i="12"/>
  <c r="H46" i="12"/>
  <c r="I46" i="12"/>
  <c r="J46" i="12"/>
  <c r="K11" i="11"/>
  <c r="L11" i="11"/>
  <c r="AA11" i="11"/>
  <c r="AH11" i="11"/>
  <c r="AO11" i="11"/>
  <c r="AQ11" i="11"/>
  <c r="G26" i="12"/>
  <c r="H26" i="12"/>
  <c r="N13" i="11"/>
  <c r="P13" i="11"/>
  <c r="G48" i="12"/>
  <c r="H48" i="12"/>
  <c r="AA13" i="11"/>
  <c r="AC13" i="11"/>
  <c r="H42" i="8"/>
  <c r="AR8" i="11"/>
  <c r="AR9" i="11"/>
  <c r="AR11" i="11"/>
  <c r="Q13" i="11"/>
  <c r="AS8" i="11"/>
  <c r="AS9" i="11"/>
  <c r="AS11" i="11"/>
  <c r="R13" i="11"/>
  <c r="AT8" i="11"/>
  <c r="AT9" i="11"/>
  <c r="AT11" i="11"/>
  <c r="S13" i="11"/>
  <c r="AP8" i="11"/>
  <c r="AP9" i="11"/>
  <c r="AP11" i="11"/>
  <c r="O13" i="11"/>
  <c r="J43" i="12"/>
  <c r="K8" i="11"/>
  <c r="L8" i="11"/>
  <c r="U8" i="11"/>
  <c r="AA8" i="11"/>
  <c r="AC8" i="11"/>
  <c r="AC9" i="11"/>
  <c r="AC11" i="11"/>
  <c r="AH8" i="11"/>
  <c r="AJ8" i="11"/>
  <c r="AJ9" i="11"/>
  <c r="AJ11" i="11"/>
  <c r="AD8" i="11"/>
  <c r="AD9" i="11"/>
  <c r="AD11" i="11"/>
  <c r="AK8" i="11"/>
  <c r="AK9" i="11"/>
  <c r="AK11" i="11"/>
  <c r="AE8" i="11"/>
  <c r="AE9" i="11"/>
  <c r="AE11" i="11"/>
  <c r="AE13" i="11"/>
  <c r="J42" i="8"/>
  <c r="AL8" i="11"/>
  <c r="AL9" i="11"/>
  <c r="AL11" i="11"/>
  <c r="AF8" i="11"/>
  <c r="AF9" i="11"/>
  <c r="AF11" i="11"/>
  <c r="AF13" i="11"/>
  <c r="K42" i="8"/>
  <c r="AM8" i="11"/>
  <c r="AM9" i="11"/>
  <c r="AM11" i="11"/>
  <c r="AB8" i="11"/>
  <c r="AB9" i="11"/>
  <c r="AB11" i="11"/>
  <c r="AB13" i="11"/>
  <c r="G42" i="8"/>
  <c r="AI8" i="11"/>
  <c r="AI9" i="11"/>
  <c r="AI11" i="11"/>
  <c r="AT6" i="11"/>
  <c r="AS6" i="11"/>
  <c r="AR6" i="11"/>
  <c r="AQ6" i="11"/>
  <c r="AP6" i="11"/>
  <c r="I85" i="12"/>
  <c r="I84" i="12"/>
  <c r="I83" i="12"/>
  <c r="H80" i="12"/>
  <c r="I80" i="12"/>
  <c r="H79" i="12"/>
  <c r="I79" i="12"/>
  <c r="H78" i="12"/>
  <c r="I78" i="12"/>
  <c r="H76" i="12"/>
  <c r="I76" i="12"/>
  <c r="H75" i="12"/>
  <c r="I75" i="12"/>
  <c r="H8" i="11"/>
  <c r="F8" i="11"/>
  <c r="G8" i="11"/>
  <c r="H57" i="13"/>
  <c r="H33" i="8"/>
  <c r="J57" i="13"/>
  <c r="J33" i="8"/>
  <c r="G57" i="13"/>
  <c r="G33" i="8"/>
  <c r="D61" i="13"/>
  <c r="D54" i="13"/>
  <c r="H13" i="11"/>
  <c r="G13" i="11"/>
  <c r="H11" i="11"/>
  <c r="G11" i="11"/>
  <c r="F32" i="12"/>
  <c r="C11" i="13"/>
  <c r="D12" i="13"/>
  <c r="C9" i="13"/>
  <c r="D10" i="13"/>
  <c r="C7" i="8"/>
  <c r="D48" i="13"/>
  <c r="D46" i="13"/>
  <c r="G59" i="12"/>
  <c r="G57" i="12"/>
  <c r="J83" i="12"/>
  <c r="J84" i="12"/>
  <c r="J85" i="12"/>
  <c r="J78" i="12"/>
  <c r="J79" i="12"/>
  <c r="J80" i="12"/>
  <c r="J75" i="12"/>
  <c r="J76" i="12"/>
  <c r="C24" i="13"/>
  <c r="C33" i="13"/>
  <c r="C42" i="13"/>
  <c r="D7" i="12"/>
  <c r="D43" i="13"/>
  <c r="E8" i="12"/>
  <c r="D44" i="13"/>
  <c r="E9" i="12"/>
  <c r="C26" i="13"/>
  <c r="C36" i="13"/>
  <c r="C45" i="13"/>
  <c r="D10" i="12"/>
  <c r="E11" i="12"/>
  <c r="C27" i="13"/>
  <c r="C37" i="13"/>
  <c r="C47" i="13"/>
  <c r="D12" i="12"/>
  <c r="E13" i="12"/>
  <c r="O11" i="11"/>
  <c r="O8" i="11"/>
  <c r="O9" i="11"/>
  <c r="P11" i="11"/>
  <c r="P8" i="11"/>
  <c r="P9" i="11"/>
  <c r="Q11" i="11"/>
  <c r="Q8" i="11"/>
  <c r="Q9" i="11"/>
  <c r="R11" i="11"/>
  <c r="R8" i="11"/>
  <c r="R9" i="11"/>
  <c r="S11" i="11"/>
  <c r="S8" i="11"/>
  <c r="S9" i="11"/>
  <c r="U11" i="11"/>
  <c r="U9" i="11"/>
  <c r="V11" i="11"/>
  <c r="V8" i="11"/>
  <c r="V9" i="11"/>
  <c r="W11" i="11"/>
  <c r="W8" i="11"/>
  <c r="W9" i="11"/>
  <c r="X11" i="11"/>
  <c r="X8" i="11"/>
  <c r="X9" i="11"/>
  <c r="Y11" i="11"/>
  <c r="Y8" i="11"/>
  <c r="Y9" i="11"/>
  <c r="F13" i="11"/>
  <c r="F11" i="11"/>
  <c r="E37" i="12"/>
  <c r="E59" i="12"/>
  <c r="E35" i="12"/>
  <c r="E57" i="12"/>
  <c r="E33" i="12"/>
  <c r="E55" i="12"/>
  <c r="E31" i="12"/>
  <c r="E54" i="12"/>
  <c r="H31" i="12"/>
  <c r="H32" i="12"/>
  <c r="D36" i="12"/>
  <c r="E26" i="12"/>
  <c r="D25" i="12"/>
  <c r="E21" i="12"/>
  <c r="G21" i="12"/>
  <c r="E19" i="12"/>
  <c r="E18" i="12"/>
  <c r="H35" i="13"/>
  <c r="D5" i="19"/>
  <c r="D6" i="19"/>
  <c r="D58" i="12"/>
  <c r="C66" i="12"/>
  <c r="D34" i="12"/>
  <c r="D56" i="12"/>
  <c r="C64" i="12"/>
  <c r="D30" i="12"/>
  <c r="D53" i="12"/>
  <c r="C62" i="12"/>
  <c r="C19" i="13"/>
  <c r="C17" i="13"/>
  <c r="C6" i="13"/>
  <c r="C15" i="13"/>
  <c r="E5" i="20"/>
  <c r="D2" i="19"/>
  <c r="H51" i="13"/>
  <c r="I51" i="13"/>
  <c r="J51" i="13"/>
  <c r="K51" i="13"/>
  <c r="G51" i="13"/>
  <c r="G55" i="12"/>
  <c r="G54" i="12"/>
  <c r="G21" i="8"/>
  <c r="G19" i="8"/>
  <c r="G18" i="8"/>
  <c r="P6" i="11"/>
  <c r="V6" i="11"/>
  <c r="AC6" i="11"/>
  <c r="AJ6" i="11"/>
  <c r="Q6" i="11"/>
  <c r="W6" i="11"/>
  <c r="AD6" i="11"/>
  <c r="AK6" i="11"/>
  <c r="R6" i="11"/>
  <c r="X6" i="11"/>
  <c r="AE6" i="11"/>
  <c r="AL6" i="11"/>
  <c r="S6" i="11"/>
  <c r="Y6" i="11"/>
  <c r="AF6" i="11"/>
  <c r="AM6" i="11"/>
  <c r="O6" i="11"/>
  <c r="U6" i="11"/>
  <c r="AB6" i="11"/>
  <c r="AI6" i="11"/>
  <c r="H38" i="8"/>
  <c r="I38" i="8"/>
  <c r="J38" i="8"/>
  <c r="K38" i="8"/>
  <c r="G38" i="8"/>
  <c r="F2" i="18"/>
  <c r="A3" i="19"/>
  <c r="A3" i="17"/>
  <c r="F3" i="8"/>
  <c r="E4" i="11"/>
  <c r="F2" i="12"/>
  <c r="F2" i="13"/>
  <c r="F2" i="17"/>
  <c r="E2" i="20"/>
  <c r="H29" i="8"/>
  <c r="I29" i="8"/>
  <c r="J29" i="8"/>
  <c r="K29" i="8"/>
  <c r="G29" i="8"/>
  <c r="H64" i="13"/>
  <c r="H34" i="8"/>
  <c r="I57" i="13"/>
  <c r="I33" i="8"/>
  <c r="I64" i="13"/>
  <c r="I34" i="8"/>
  <c r="J64" i="13"/>
  <c r="J34" i="8"/>
  <c r="K57" i="13"/>
  <c r="K33" i="8"/>
  <c r="K64" i="13"/>
  <c r="K34" i="8"/>
  <c r="G64" i="13"/>
  <c r="G34" i="8"/>
  <c r="D55" i="13"/>
  <c r="D62" i="13"/>
  <c r="D56" i="13"/>
  <c r="D63" i="13"/>
  <c r="D53" i="13"/>
  <c r="D60" i="13"/>
  <c r="H28" i="13"/>
  <c r="H31" i="8"/>
  <c r="I28" i="13"/>
  <c r="I31" i="8"/>
  <c r="J28" i="13"/>
  <c r="J31" i="8"/>
  <c r="K28" i="13"/>
  <c r="K31" i="8"/>
  <c r="G28" i="13"/>
  <c r="G31" i="8"/>
  <c r="C11" i="8"/>
  <c r="J23" i="8"/>
  <c r="J21" i="8"/>
  <c r="H9" i="11"/>
  <c r="J19" i="8"/>
  <c r="J18" i="8"/>
  <c r="F23" i="8"/>
  <c r="I23" i="8"/>
  <c r="F21" i="8"/>
  <c r="I21" i="8"/>
  <c r="F19" i="8"/>
  <c r="I19" i="8"/>
  <c r="F18" i="8"/>
  <c r="I18" i="8"/>
  <c r="D8" i="11"/>
  <c r="D18" i="8"/>
  <c r="D9" i="11"/>
  <c r="D19" i="8"/>
  <c r="C10" i="11"/>
  <c r="C20" i="8"/>
  <c r="D11" i="11"/>
  <c r="D21" i="8"/>
  <c r="C12" i="11"/>
  <c r="C22" i="8"/>
  <c r="D13" i="11"/>
  <c r="D23" i="8"/>
  <c r="C7" i="11"/>
  <c r="C17" i="8"/>
  <c r="C6" i="8"/>
  <c r="A3" i="8"/>
  <c r="E48" i="12"/>
  <c r="D47" i="12"/>
  <c r="E46" i="12"/>
  <c r="D45" i="12"/>
  <c r="E44" i="12"/>
  <c r="E43" i="12"/>
  <c r="D42" i="12"/>
  <c r="I52" i="12"/>
  <c r="J52" i="12"/>
  <c r="K52" i="12"/>
  <c r="L52" i="12"/>
  <c r="H52" i="12"/>
  <c r="F9" i="11"/>
  <c r="G9" i="11"/>
  <c r="G19" i="12"/>
  <c r="G18" i="12"/>
  <c r="A3" i="11"/>
  <c r="H37" i="12"/>
  <c r="H35" i="12"/>
  <c r="H33" i="12"/>
  <c r="D20" i="12"/>
  <c r="D17" i="12"/>
  <c r="A3" i="12"/>
  <c r="A1" i="19"/>
  <c r="G23" i="13"/>
  <c r="H23" i="13"/>
  <c r="I23" i="13"/>
  <c r="J23" i="13"/>
  <c r="K23" i="13"/>
  <c r="A3" i="13"/>
  <c r="A1" i="18"/>
  <c r="AH13" i="11"/>
  <c r="I48" i="12"/>
  <c r="AD13" i="11"/>
  <c r="I42" i="8"/>
  <c r="J48" i="12"/>
  <c r="K13" i="11"/>
  <c r="L13" i="11"/>
  <c r="G35" i="8"/>
  <c r="J35" i="8"/>
  <c r="H35" i="8"/>
  <c r="K35" i="8"/>
  <c r="I35" i="8"/>
  <c r="V13" i="11"/>
  <c r="X13" i="11"/>
  <c r="G23" i="8"/>
  <c r="AO13" i="11"/>
  <c r="U13" i="11"/>
  <c r="W13" i="11"/>
  <c r="Y13" i="11"/>
  <c r="AJ13" i="11"/>
  <c r="H43" i="8"/>
  <c r="AL13" i="11"/>
  <c r="J43" i="8"/>
  <c r="AI13" i="11"/>
  <c r="G43" i="8"/>
  <c r="AK13" i="11"/>
  <c r="I43" i="8"/>
  <c r="AM13" i="11"/>
  <c r="K43" i="8"/>
  <c r="W14" i="11"/>
  <c r="I40" i="8"/>
  <c r="AQ13" i="11"/>
  <c r="AR13" i="11"/>
  <c r="AS13" i="11"/>
  <c r="AT13" i="11"/>
  <c r="AP13" i="11"/>
  <c r="X14" i="11"/>
  <c r="J40" i="8"/>
  <c r="Y14" i="11"/>
  <c r="K40" i="8"/>
  <c r="U14" i="11"/>
  <c r="G40" i="8"/>
  <c r="V14" i="11"/>
  <c r="H40" i="8"/>
  <c r="G44" i="8"/>
  <c r="G45" i="8"/>
  <c r="J44" i="8"/>
  <c r="J45" i="8"/>
  <c r="H44" i="8"/>
  <c r="H45" i="8"/>
  <c r="K44" i="8"/>
  <c r="K45" i="8"/>
  <c r="I44" i="8"/>
  <c r="I45" i="8"/>
</calcChain>
</file>

<file path=xl/sharedStrings.xml><?xml version="1.0" encoding="utf-8"?>
<sst xmlns="http://schemas.openxmlformats.org/spreadsheetml/2006/main" count="281" uniqueCount="189">
  <si>
    <t>Description</t>
  </si>
  <si>
    <t>2014-2019 Pricing Methodology for Service (Summary)</t>
  </si>
  <si>
    <t>2009/10</t>
  </si>
  <si>
    <t>2010/11</t>
  </si>
  <si>
    <t>2011/12</t>
  </si>
  <si>
    <t>2012/13</t>
  </si>
  <si>
    <t>2013/14</t>
  </si>
  <si>
    <t>2014/15</t>
  </si>
  <si>
    <t>2015/16</t>
  </si>
  <si>
    <t>2016/17</t>
  </si>
  <si>
    <t>2017/18</t>
  </si>
  <si>
    <t>2018/19</t>
  </si>
  <si>
    <t>This worksheet left blank intentionally</t>
  </si>
  <si>
    <t>Revenue</t>
  </si>
  <si>
    <t/>
  </si>
  <si>
    <t>Ancillary Network Services Pricing Model</t>
  </si>
  <si>
    <t>Global Inputs Sheet</t>
  </si>
  <si>
    <t>Model Description</t>
  </si>
  <si>
    <t>AER service category</t>
  </si>
  <si>
    <t>Business name</t>
  </si>
  <si>
    <t>Essential Energy</t>
  </si>
  <si>
    <t>Basic identification inputs</t>
  </si>
  <si>
    <t>Fixed inputs</t>
  </si>
  <si>
    <t>Historical periods</t>
  </si>
  <si>
    <t>Forecast periods</t>
  </si>
  <si>
    <t>Labour rate inputs</t>
  </si>
  <si>
    <t>Loaded ordinary time labour rates - for regulatory period</t>
  </si>
  <si>
    <t>R1</t>
  </si>
  <si>
    <t>Administration</t>
  </si>
  <si>
    <t>$ / hour</t>
  </si>
  <si>
    <t>R2a</t>
  </si>
  <si>
    <t>Indoor technical officer</t>
  </si>
  <si>
    <t>R2b</t>
  </si>
  <si>
    <t>Outdoor technical officer</t>
  </si>
  <si>
    <t>R3</t>
  </si>
  <si>
    <t>Engineering Officer</t>
  </si>
  <si>
    <t>R4</t>
  </si>
  <si>
    <t>Field Worker</t>
  </si>
  <si>
    <t>Sources</t>
  </si>
  <si>
    <t>Historical revenues</t>
  </si>
  <si>
    <t>$</t>
  </si>
  <si>
    <t>Historical costs</t>
  </si>
  <si>
    <t>Historical volumes - services</t>
  </si>
  <si>
    <t>Historical volumes - hours / service</t>
  </si>
  <si>
    <t>01d</t>
  </si>
  <si>
    <t>01c</t>
  </si>
  <si>
    <t>01e</t>
  </si>
  <si>
    <t># for class</t>
  </si>
  <si>
    <t>Fee construction inputs</t>
  </si>
  <si>
    <t>Proposed fee basis</t>
  </si>
  <si>
    <t>/ hour</t>
  </si>
  <si>
    <t>Standard hours for / application fees</t>
  </si>
  <si>
    <t>Historical</t>
  </si>
  <si>
    <t>average</t>
  </si>
  <si>
    <t>Expected hours for / hour fees</t>
  </si>
  <si>
    <t>Expected service volumes</t>
  </si>
  <si>
    <t>Code</t>
  </si>
  <si>
    <t>Service descriptions</t>
  </si>
  <si>
    <t>Proposed services</t>
  </si>
  <si>
    <t>Short name</t>
  </si>
  <si>
    <t>Full name name</t>
  </si>
  <si>
    <t>Service description</t>
  </si>
  <si>
    <t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t>
  </si>
  <si>
    <t>Historical prices</t>
  </si>
  <si>
    <t>Service History Inputs Sheet</t>
  </si>
  <si>
    <t>Service Projections Inputs Sheet</t>
  </si>
  <si>
    <t>Fee Construction Sheet</t>
  </si>
  <si>
    <t>Proposed fee descriptions</t>
  </si>
  <si>
    <t>Standard hrs</t>
  </si>
  <si>
    <t>Rate</t>
  </si>
  <si>
    <t>Fee</t>
  </si>
  <si>
    <t>standard</t>
  </si>
  <si>
    <t>AER current</t>
  </si>
  <si>
    <t>Proposed</t>
  </si>
  <si>
    <t>Standard</t>
  </si>
  <si>
    <t>Proposed fees</t>
  </si>
  <si>
    <t>Current fees</t>
  </si>
  <si>
    <t>Applicable hourly rates selection</t>
  </si>
  <si>
    <t>Hrs / service</t>
  </si>
  <si>
    <t>Summary</t>
  </si>
  <si>
    <t>Current fee</t>
  </si>
  <si>
    <t>Proposed fee</t>
  </si>
  <si>
    <t>Basis</t>
  </si>
  <si>
    <t>Fee methodology</t>
  </si>
  <si>
    <t>Historical and projected revenue and costs</t>
  </si>
  <si>
    <t>Historical financial information</t>
  </si>
  <si>
    <t>Direct costs</t>
  </si>
  <si>
    <t>Indirect costs</t>
  </si>
  <si>
    <t>Projected financial information</t>
  </si>
  <si>
    <t>Check Sheet</t>
  </si>
  <si>
    <t>Sum of checks</t>
  </si>
  <si>
    <t>It is best to work with the model locked - via Protection under the Tools tab.  This way you can't overwrite logic cells in error.</t>
  </si>
  <si>
    <t xml:space="preserve">Cells intended for input on the Inputs sheet are unlocked using Cell, Protection under the Format tab.  All other cells in the model are locked </t>
  </si>
  <si>
    <t>- but it is not activated until Protection is used to lock each sheet.</t>
  </si>
  <si>
    <t>The model has a Check Sheet.  How it works is that checks can be added that are designed to produce a zero result - if the check is passed.</t>
  </si>
  <si>
    <t>D5 on the Check Sheet summs the checks - and an IF formula at the top of each page of the model alerts users to any failed tests.</t>
  </si>
  <si>
    <r>
      <t>The</t>
    </r>
    <r>
      <rPr>
        <b/>
        <sz val="10"/>
        <color indexed="8"/>
        <rFont val="Arial"/>
        <family val="2"/>
      </rPr>
      <t xml:space="preserve"> only</t>
    </r>
    <r>
      <rPr>
        <sz val="11"/>
        <color theme="1"/>
        <rFont val="Calibri"/>
        <family val="2"/>
        <scheme val="minor"/>
      </rPr>
      <t xml:space="preserve"> place for inputs is the various Inputs sheets in cells shaded</t>
    </r>
  </si>
  <si>
    <t>Cells shaded</t>
  </si>
  <si>
    <t xml:space="preserve">  are for a description of the source of inputs shown to the left.  The description should be sufficiently</t>
  </si>
  <si>
    <t>detailed to allow someone to track back to the source and check it.</t>
  </si>
  <si>
    <t>Direct</t>
  </si>
  <si>
    <t>Indirect</t>
  </si>
  <si>
    <t>Finance</t>
  </si>
  <si>
    <t>Loaded</t>
  </si>
  <si>
    <t>all in 2013/14 $</t>
  </si>
  <si>
    <t>costs</t>
  </si>
  <si>
    <t>charge</t>
  </si>
  <si>
    <t>rate</t>
  </si>
  <si>
    <t>Selected hourly rate data</t>
  </si>
  <si>
    <t>13/14 rate</t>
  </si>
  <si>
    <t>Proposed fees (2013/14 $)</t>
  </si>
  <si>
    <t>Reg. per.</t>
  </si>
  <si>
    <t>Projected revenue (2013/14 $)</t>
  </si>
  <si>
    <t>Projected direct cost (2013/14 $)</t>
  </si>
  <si>
    <t>$ / service</t>
  </si>
  <si>
    <t>Projected indirect cost (2013/14 $)</t>
  </si>
  <si>
    <t>2013/14 $</t>
  </si>
  <si>
    <t>nominal $</t>
  </si>
  <si>
    <t>All historical data is presented in nominal $s.  All projections are presented in 2013/14 $.  This presentation is required by Appendix E</t>
  </si>
  <si>
    <t>(paras 1.9 and 1.10) of the Regulatory Information Notice issued to Essential on 7 March 2014.</t>
  </si>
  <si>
    <t>Allocation</t>
  </si>
  <si>
    <t>Management estimates</t>
  </si>
  <si>
    <t>of historical volumes</t>
  </si>
  <si>
    <t>Current AER</t>
  </si>
  <si>
    <t>Management estimate</t>
  </si>
  <si>
    <t>of historical hours / service</t>
  </si>
  <si>
    <t>Summary description</t>
  </si>
  <si>
    <t>Historical revenue has been sourced from Essential Energy's General Ledger</t>
  </si>
  <si>
    <t xml:space="preserve">Proposed </t>
  </si>
  <si>
    <t xml:space="preserve">The proposed fee basis is consistent with the current design fee structure being applied. </t>
  </si>
  <si>
    <t>Historical staffing</t>
  </si>
  <si>
    <t>Staff involved with service</t>
  </si>
  <si>
    <t>Projected staffing</t>
  </si>
  <si>
    <t>This model has been prepared to develop proposed ASP Related ANS prices for the regulatory period 2014/15 to 2018/19.</t>
  </si>
  <si>
    <t>09 - Authorisation of ASPs</t>
  </si>
  <si>
    <t>24 - Remedial (ASPs)</t>
  </si>
  <si>
    <t>ASP Fees</t>
  </si>
  <si>
    <t>Authorisation of ASPs</t>
  </si>
  <si>
    <t xml:space="preserve">The initial issue and renewal of Network Authorisations to Level 1 and 2 ASPs </t>
  </si>
  <si>
    <t>Remedial action of ASPs</t>
  </si>
  <si>
    <t>Investigate, review &amp; impementation of remedial actions associated with ASP's connection works</t>
  </si>
  <si>
    <t>Annual authorisation refresh</t>
  </si>
  <si>
    <t>per authorisation (initial)</t>
  </si>
  <si>
    <t>per authorisation (renewal)</t>
  </si>
  <si>
    <t>09a</t>
  </si>
  <si>
    <t>09b</t>
  </si>
  <si>
    <t>Initial Authorisations</t>
  </si>
  <si>
    <t>Authorisation Renewals</t>
  </si>
  <si>
    <t>Annual refresher course</t>
  </si>
  <si>
    <t>Investigation, review and implementation</t>
  </si>
  <si>
    <t>/ authorisation</t>
  </si>
  <si>
    <t>Split</t>
  </si>
  <si>
    <t>n.a</t>
  </si>
  <si>
    <t>Additional costs</t>
  </si>
  <si>
    <t>Stores</t>
  </si>
  <si>
    <t>Stationary, courier etc</t>
  </si>
  <si>
    <t>E-learning</t>
  </si>
  <si>
    <t>Materials</t>
  </si>
  <si>
    <t>Meals</t>
  </si>
  <si>
    <t>Trainer</t>
  </si>
  <si>
    <t>Indirect Costs</t>
  </si>
  <si>
    <t>Finance Charge</t>
  </si>
  <si>
    <t>Loaded cost rates</t>
  </si>
  <si>
    <t>Per Unit</t>
  </si>
  <si>
    <t>Per hour</t>
  </si>
  <si>
    <t>Authorisation - annual refresher course</t>
  </si>
  <si>
    <t xml:space="preserve">09 - The initial issue and renewal of Network Authorisations to Level 1 and 2 ASP's and the provision of ASP Authorisation training for initial and currency (refresher) training of ASP employees and sub-contractors      
</t>
  </si>
  <si>
    <t xml:space="preserve">24 - The investigation, review and implementation of remedial actions associated with contestable connection works, leading to corrective and disciplinary action against an ASP due to unsafe practices, substandard workmanship or other serious circumstances.
</t>
  </si>
  <si>
    <t xml:space="preserve">Historical costs have been estimated on a top down basis using the estimated volume of services completed, and estimated hours required to complete each service. </t>
  </si>
  <si>
    <t>Authorisation of ASPs - Initial</t>
  </si>
  <si>
    <t>The annual renewal of ASP authorisations</t>
  </si>
  <si>
    <t>Authorisation - renewal</t>
  </si>
  <si>
    <t>Indirect costs include the historical divisional and corporate overheads.</t>
  </si>
  <si>
    <t>Stationery, courier etc</t>
  </si>
  <si>
    <t>Projected finance cost (2013/14 $)</t>
  </si>
  <si>
    <t>Finance Cost</t>
  </si>
  <si>
    <t>This represents the estimated staff number required to provide each service.</t>
  </si>
  <si>
    <t>Authorisation Training</t>
  </si>
  <si>
    <t>Estimated hours to complete each authorisation and associated training have been calculated using a detailed bottom up calculation.
The average hours per remedial investigation, have been estimated using available records</t>
  </si>
  <si>
    <t>The proposed hourly rates for initial authorisation allow for a mix of technical and administrative resources.</t>
  </si>
  <si>
    <t>Proposed hours are consistent with management assessment of the actual hours required to complete each service.</t>
  </si>
  <si>
    <t>The average hours per remedial investigation, have been estimated using available records</t>
  </si>
  <si>
    <t>Forecast volumes have been estimated on the basis of existing service volumes, and past records where available.</t>
  </si>
  <si>
    <t>Material costs have been estimated on a bottom up basis.</t>
  </si>
  <si>
    <t xml:space="preserve">These labour rates are based on 2013/14 base year, and escalated in line with Essential Energy's forecast real wage movement over the regulatory period. An average rate for the 2015-2019 regulatory period has then been calculated, to allow a single rate for pricing. The average rate includes forecast Labour Oncosts and Plant Recovery in line with Essential Energy's costing methodology.
The indirect costs consist of forecast divisional and corporate overheads, averaged for the regulatory period. The finance charge represents financing costs over the time period between provision of the service and receipt of payment.
</t>
  </si>
  <si>
    <t>F&amp;A ref</t>
  </si>
  <si>
    <t>Ancillary Network Services Labour Rates Model</t>
  </si>
  <si>
    <t>As the costs associated with these services was included in Standard Control and any shortfall recovered through tariff revenue, Essential Energy only has accurate accounting records for the revenue received from these services historically, not the costs.
Service volumes have been estimated by the ASP Authorisations Co-ordinator and reviewed by the Manager Electrical Safety &amp; Authorisations
Remedial action volumes have been sourced from available records and reviewed by the Contestable Works Investigator</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</si>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</sst>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quot;$&quot;* #,##0.00_);_(&quot;$&quot;* \(#,##0.00\);_(&quot;$&quot;*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000_-;\-* #,##0.0000_-;_-* &quot;-&quot;??_-;_-@_-"/>
    <numFmt numFmtId="171" formatCode="0.0"/>
    <numFmt numFmtId="172" formatCode="_([$€-2]* #,##0.00_);_([$€-2]* \(#,##0.00\);_([$€-2]* &quot;-&quot;??_)"/>
  </numFmts>
  <fonts count="19"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b/>
      <sz val="11"/>
      <color theme="1"/>
      <name val="Arial"/>
      <family val="2"/>
    </font>
    <font>
      <sz val="11"/>
      <color theme="0" tint="-0.499984740745262"/>
      <name val="Calibri"/>
      <family val="2"/>
      <scheme val="minor"/>
    </font>
    <font>
      <sz val="10"/>
      <color rgb="FFFF0000"/>
      <name val="Arial"/>
      <family val="2"/>
    </font>
    <font>
      <b/>
      <sz val="10"/>
      <color indexed="8"/>
      <name val="Arial"/>
      <family val="2"/>
    </font>
    <font>
      <sz val="11"/>
      <color rgb="FFFF0000"/>
      <name val="Arial"/>
      <family val="2"/>
    </font>
    <font>
      <b/>
      <sz val="14"/>
      <color theme="1"/>
      <name val="Arial"/>
      <family val="2"/>
    </font>
    <font>
      <sz val="11"/>
      <color indexed="8"/>
      <name val="Arial"/>
      <family val="2"/>
    </font>
    <font>
      <sz val="9"/>
      <color theme="1"/>
      <name val="Arial"/>
      <family val="2"/>
    </font>
    <font>
      <sz val="11"/>
      <color theme="0"/>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rgb="FFFFFFC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1"/>
      </top>
      <bottom/>
      <diagonal/>
    </border>
  </borders>
  <cellStyleXfs count="581">
    <xf numFmtId="0" fontId="0"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4"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0" fontId="2" fillId="3" borderId="1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8" fillId="9"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72" fontId="4" fillId="0" borderId="0"/>
    <xf numFmtId="0" fontId="4" fillId="0" borderId="0"/>
    <xf numFmtId="0" fontId="2" fillId="0" borderId="0"/>
    <xf numFmtId="0" fontId="4" fillId="0" borderId="0" applyFill="0"/>
    <xf numFmtId="0" fontId="4" fillId="0" borderId="0"/>
    <xf numFmtId="0" fontId="1" fillId="0" borderId="0"/>
    <xf numFmtId="0" fontId="1" fillId="0" borderId="0"/>
    <xf numFmtId="172"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164" fontId="2" fillId="0" borderId="0" applyFont="0" applyFill="0" applyBorder="0" applyAlignment="0" applyProtection="0"/>
    <xf numFmtId="165" fontId="2" fillId="0" borderId="0" applyFont="0" applyFill="0" applyBorder="0" applyAlignment="0" applyProtection="0"/>
  </cellStyleXfs>
  <cellXfs count="194">
    <xf numFmtId="0" fontId="0" fillId="0" borderId="0" xfId="0"/>
    <xf numFmtId="0" fontId="3" fillId="0" borderId="0" xfId="0" applyFont="1"/>
    <xf numFmtId="0" fontId="0" fillId="0" borderId="0" xfId="0" applyFill="1"/>
    <xf numFmtId="0" fontId="0" fillId="0" borderId="0" xfId="0" applyAlignment="1">
      <alignment horizontal="left"/>
    </xf>
    <xf numFmtId="0" fontId="0" fillId="0" borderId="0" xfId="0" applyFont="1"/>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center" vertical="center"/>
    </xf>
    <xf numFmtId="0" fontId="1" fillId="0" borderId="0" xfId="0" applyFont="1"/>
    <xf numFmtId="0" fontId="9" fillId="0" borderId="0" xfId="0" applyFont="1"/>
    <xf numFmtId="0" fontId="10" fillId="0" borderId="0" xfId="0" applyFont="1"/>
    <xf numFmtId="0" fontId="1" fillId="2" borderId="0" xfId="0" applyFont="1" applyFill="1" applyAlignment="1">
      <alignment vertical="top" wrapText="1"/>
    </xf>
    <xf numFmtId="168" fontId="1" fillId="0" borderId="0" xfId="0" applyNumberFormat="1" applyFont="1" applyAlignment="1">
      <alignment vertical="center"/>
    </xf>
    <xf numFmtId="0" fontId="1" fillId="0" borderId="0" xfId="0" applyFont="1" applyAlignment="1">
      <alignment vertical="top" wrapText="1"/>
    </xf>
    <xf numFmtId="0" fontId="9" fillId="0" borderId="0" xfId="0" applyFont="1" applyAlignment="1">
      <alignment vertical="top" wrapText="1"/>
    </xf>
    <xf numFmtId="167" fontId="1" fillId="0" borderId="0" xfId="0" applyNumberFormat="1" applyFont="1" applyAlignment="1">
      <alignment vertical="center"/>
    </xf>
    <xf numFmtId="165" fontId="1" fillId="0" borderId="0" xfId="2" applyFont="1" applyAlignment="1">
      <alignment vertical="center"/>
    </xf>
    <xf numFmtId="167" fontId="1" fillId="0" borderId="0" xfId="2" applyNumberFormat="1" applyFont="1" applyAlignment="1">
      <alignment vertical="center"/>
    </xf>
    <xf numFmtId="0" fontId="1" fillId="0" borderId="0" xfId="0" applyFont="1" applyBorder="1" applyAlignment="1">
      <alignment horizontal="center" vertical="center"/>
    </xf>
    <xf numFmtId="0" fontId="0" fillId="0" borderId="9" xfId="0" applyBorder="1" applyAlignment="1">
      <alignment horizontal="left"/>
    </xf>
    <xf numFmtId="0" fontId="0" fillId="0" borderId="0" xfId="0" applyAlignment="1">
      <alignment horizontal="left" vertical="top" wrapText="1"/>
    </xf>
    <xf numFmtId="0" fontId="1" fillId="0" borderId="0" xfId="0" applyFont="1"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165" fontId="1" fillId="0" borderId="6" xfId="2" applyFont="1" applyBorder="1" applyAlignment="1">
      <alignment vertical="center"/>
    </xf>
    <xf numFmtId="165" fontId="1" fillId="0" borderId="0" xfId="2" applyFont="1" applyBorder="1" applyAlignment="1">
      <alignment vertical="center"/>
    </xf>
    <xf numFmtId="165" fontId="1" fillId="0" borderId="7" xfId="2" applyFont="1" applyBorder="1" applyAlignment="1">
      <alignment vertical="center"/>
    </xf>
    <xf numFmtId="165" fontId="1" fillId="0" borderId="7" xfId="0" applyNumberFormat="1" applyFont="1" applyBorder="1" applyAlignment="1">
      <alignment vertical="center"/>
    </xf>
    <xf numFmtId="169" fontId="1" fillId="0" borderId="0" xfId="0" applyNumberFormat="1" applyFont="1" applyBorder="1" applyAlignment="1">
      <alignment vertical="center"/>
    </xf>
    <xf numFmtId="169" fontId="1" fillId="0" borderId="7" xfId="0" applyNumberFormat="1" applyFont="1" applyBorder="1" applyAlignment="1">
      <alignment vertical="center"/>
    </xf>
    <xf numFmtId="169" fontId="1" fillId="0" borderId="6" xfId="0" applyNumberFormat="1" applyFont="1" applyBorder="1" applyAlignment="1">
      <alignment vertical="center"/>
    </xf>
    <xf numFmtId="165" fontId="1" fillId="0" borderId="6" xfId="0" applyNumberFormat="1" applyFont="1" applyBorder="1" applyAlignment="1">
      <alignment vertical="center"/>
    </xf>
    <xf numFmtId="0" fontId="0" fillId="0" borderId="0" xfId="0" applyAlignment="1">
      <alignment horizontal="center"/>
    </xf>
    <xf numFmtId="0" fontId="11" fillId="0" borderId="0" xfId="0" applyFont="1" applyAlignment="1">
      <alignment horizontal="center"/>
    </xf>
    <xf numFmtId="0" fontId="11" fillId="0" borderId="0" xfId="0" applyFont="1"/>
    <xf numFmtId="0" fontId="0" fillId="0" borderId="0" xfId="0" applyBorder="1"/>
    <xf numFmtId="0" fontId="0" fillId="0" borderId="0" xfId="0" applyBorder="1" applyAlignment="1">
      <alignment horizontal="center"/>
    </xf>
    <xf numFmtId="0" fontId="11" fillId="0" borderId="0" xfId="0" applyFont="1" applyBorder="1"/>
    <xf numFmtId="165" fontId="0" fillId="0" borderId="0" xfId="2" applyFont="1" applyBorder="1"/>
    <xf numFmtId="2" fontId="11" fillId="0" borderId="0" xfId="0" applyNumberFormat="1" applyFont="1" applyBorder="1"/>
    <xf numFmtId="0" fontId="0" fillId="0" borderId="9" xfId="0" applyBorder="1"/>
    <xf numFmtId="0" fontId="0" fillId="8" borderId="0" xfId="0" applyFill="1"/>
    <xf numFmtId="0" fontId="0" fillId="8" borderId="4" xfId="0" applyFill="1" applyBorder="1"/>
    <xf numFmtId="0" fontId="0" fillId="8" borderId="5" xfId="0" applyFill="1" applyBorder="1"/>
    <xf numFmtId="0" fontId="0" fillId="8" borderId="11" xfId="0" applyFill="1" applyBorder="1"/>
    <xf numFmtId="0" fontId="0" fillId="0" borderId="9" xfId="0" applyBorder="1" applyAlignment="1">
      <alignment horizontal="center"/>
    </xf>
    <xf numFmtId="0" fontId="11" fillId="0" borderId="9" xfId="0" applyFont="1" applyBorder="1" applyAlignment="1">
      <alignment horizontal="center"/>
    </xf>
    <xf numFmtId="0" fontId="0" fillId="0" borderId="0" xfId="0" applyBorder="1" applyAlignment="1">
      <alignment vertical="top" wrapText="1"/>
    </xf>
    <xf numFmtId="0" fontId="0" fillId="8" borderId="8" xfId="0" applyFill="1" applyBorder="1"/>
    <xf numFmtId="0" fontId="0" fillId="8" borderId="6" xfId="0" applyFill="1" applyBorder="1"/>
    <xf numFmtId="0" fontId="0" fillId="8" borderId="7" xfId="0" applyFill="1" applyBorder="1"/>
    <xf numFmtId="0" fontId="0" fillId="8" borderId="9" xfId="0" applyFill="1" applyBorder="1" applyAlignment="1">
      <alignment vertical="top" wrapText="1"/>
    </xf>
    <xf numFmtId="0" fontId="0" fillId="8" borderId="10" xfId="0" applyFill="1" applyBorder="1"/>
    <xf numFmtId="0" fontId="0" fillId="8" borderId="5" xfId="0" applyFill="1" applyBorder="1" applyAlignment="1">
      <alignment vertical="top" wrapText="1"/>
    </xf>
    <xf numFmtId="0" fontId="0" fillId="8" borderId="9" xfId="0" applyFill="1" applyBorder="1"/>
    <xf numFmtId="167" fontId="0" fillId="0" borderId="0" xfId="2" applyNumberFormat="1" applyFont="1"/>
    <xf numFmtId="167" fontId="0" fillId="0" borderId="5" xfId="0" applyNumberFormat="1" applyBorder="1"/>
    <xf numFmtId="0" fontId="11" fillId="0" borderId="9" xfId="0" applyFont="1" applyBorder="1"/>
    <xf numFmtId="167" fontId="11" fillId="0" borderId="0" xfId="2" applyNumberFormat="1" applyFont="1"/>
    <xf numFmtId="167" fontId="11" fillId="0" borderId="5" xfId="0" applyNumberFormat="1" applyFont="1" applyBorder="1"/>
    <xf numFmtId="0" fontId="0" fillId="0" borderId="0" xfId="0" applyProtection="1">
      <protection locked="0"/>
    </xf>
    <xf numFmtId="0" fontId="10" fillId="0" borderId="0" xfId="0" applyFont="1" applyProtection="1">
      <protection locked="0"/>
    </xf>
    <xf numFmtId="0" fontId="12" fillId="0" borderId="0" xfId="0" applyFont="1" applyAlignment="1" applyProtection="1">
      <alignment horizontal="center"/>
      <protection locked="0"/>
    </xf>
    <xf numFmtId="170" fontId="1" fillId="0" borderId="0" xfId="2" applyNumberFormat="1" applyFont="1" applyProtection="1">
      <protection locked="0"/>
    </xf>
    <xf numFmtId="165" fontId="0" fillId="0" borderId="2" xfId="0" applyNumberFormat="1" applyBorder="1" applyProtection="1">
      <protection locked="0"/>
    </xf>
    <xf numFmtId="0" fontId="0" fillId="0" borderId="2" xfId="0" applyBorder="1" applyProtection="1">
      <protection locked="0"/>
    </xf>
    <xf numFmtId="0" fontId="0" fillId="0" borderId="3" xfId="0" applyBorder="1" applyProtection="1">
      <protection locked="0"/>
    </xf>
    <xf numFmtId="165" fontId="0" fillId="0" borderId="0" xfId="0" applyNumberFormat="1" applyProtection="1">
      <protection locked="0"/>
    </xf>
    <xf numFmtId="170" fontId="0" fillId="0" borderId="2" xfId="0" applyNumberFormat="1" applyBorder="1" applyProtection="1">
      <protection locked="0"/>
    </xf>
    <xf numFmtId="0" fontId="0" fillId="0" borderId="1" xfId="0" applyBorder="1" applyProtection="1">
      <protection locked="0"/>
    </xf>
    <xf numFmtId="0" fontId="0" fillId="4" borderId="0" xfId="0" applyFill="1"/>
    <xf numFmtId="0" fontId="0" fillId="0" borderId="0" xfId="0" quotePrefix="1"/>
    <xf numFmtId="165" fontId="1" fillId="4" borderId="0" xfId="2" applyNumberFormat="1" applyFont="1" applyFill="1" applyAlignment="1" applyProtection="1">
      <alignment vertical="center"/>
      <protection locked="0"/>
    </xf>
    <xf numFmtId="0" fontId="1" fillId="0" borderId="0" xfId="0" applyFont="1" applyProtection="1"/>
    <xf numFmtId="0" fontId="1" fillId="0" borderId="0" xfId="0" applyFont="1" applyAlignment="1" applyProtection="1">
      <alignment vertical="top" wrapText="1"/>
    </xf>
    <xf numFmtId="0" fontId="1" fillId="0" borderId="0" xfId="0" applyFont="1" applyAlignment="1" applyProtection="1">
      <alignment vertical="center"/>
    </xf>
    <xf numFmtId="0" fontId="10" fillId="0" borderId="0" xfId="0" applyFont="1" applyProtection="1"/>
    <xf numFmtId="0" fontId="9" fillId="0" borderId="0" xfId="0" applyFont="1" applyProtection="1"/>
    <xf numFmtId="0" fontId="12" fillId="0" borderId="0" xfId="0" applyFont="1" applyAlignment="1" applyProtection="1">
      <alignment horizontal="center"/>
    </xf>
    <xf numFmtId="0" fontId="9" fillId="0" borderId="0" xfId="0" applyFont="1" applyAlignment="1" applyProtection="1">
      <alignment vertical="top" wrapText="1"/>
    </xf>
    <xf numFmtId="0" fontId="1" fillId="2" borderId="0" xfId="0" applyFont="1" applyFill="1" applyAlignment="1" applyProtection="1">
      <alignment vertical="top" wrapText="1"/>
    </xf>
    <xf numFmtId="165" fontId="1" fillId="0" borderId="0" xfId="0" applyNumberFormat="1" applyFont="1" applyAlignment="1" applyProtection="1">
      <alignment vertical="center"/>
    </xf>
    <xf numFmtId="0" fontId="1" fillId="0" borderId="9" xfId="0" applyFont="1" applyBorder="1" applyAlignment="1" applyProtection="1">
      <alignment vertical="center"/>
    </xf>
    <xf numFmtId="0" fontId="1" fillId="0" borderId="9" xfId="0" applyFont="1" applyBorder="1" applyAlignment="1" applyProtection="1">
      <alignment horizontal="center" vertical="center"/>
    </xf>
    <xf numFmtId="167" fontId="1" fillId="0" borderId="5" xfId="0" applyNumberFormat="1" applyFont="1" applyBorder="1" applyAlignment="1" applyProtection="1">
      <alignment vertical="center"/>
    </xf>
    <xf numFmtId="0" fontId="1" fillId="0" borderId="0" xfId="0" applyFont="1" applyFill="1" applyBorder="1" applyAlignment="1" applyProtection="1">
      <alignment vertical="top"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7" fontId="1" fillId="4" borderId="0" xfId="2" applyNumberFormat="1" applyFont="1" applyFill="1" applyAlignment="1" applyProtection="1">
      <alignment vertical="center"/>
      <protection locked="0"/>
    </xf>
    <xf numFmtId="0" fontId="1" fillId="4" borderId="0" xfId="0" applyFont="1" applyFill="1" applyAlignment="1" applyProtection="1">
      <alignment horizontal="left" vertical="center"/>
      <protection locked="0"/>
    </xf>
    <xf numFmtId="168" fontId="1" fillId="4" borderId="0" xfId="0" applyNumberFormat="1" applyFont="1" applyFill="1" applyAlignment="1" applyProtection="1">
      <alignment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vertical="top"/>
      <protection locked="0"/>
    </xf>
    <xf numFmtId="0" fontId="1" fillId="0" borderId="0" xfId="0" applyFont="1" applyAlignment="1" applyProtection="1">
      <alignment vertical="top"/>
    </xf>
    <xf numFmtId="0" fontId="0" fillId="7" borderId="0" xfId="0" applyFill="1"/>
    <xf numFmtId="0" fontId="5" fillId="4" borderId="4" xfId="0" applyFont="1" applyFill="1" applyBorder="1" applyAlignment="1" applyProtection="1">
      <alignment vertical="top"/>
      <protection locked="0"/>
    </xf>
    <xf numFmtId="0" fontId="5" fillId="4" borderId="5" xfId="0" applyFont="1" applyFill="1" applyBorder="1" applyAlignment="1" applyProtection="1">
      <alignment vertical="top"/>
      <protection locked="0"/>
    </xf>
    <xf numFmtId="0" fontId="5" fillId="4" borderId="6" xfId="0" applyFont="1" applyFill="1" applyBorder="1" applyAlignment="1" applyProtection="1">
      <alignment vertical="top"/>
      <protection locked="0"/>
    </xf>
    <xf numFmtId="0" fontId="5" fillId="4" borderId="9" xfId="0" applyFont="1" applyFill="1" applyBorder="1" applyAlignment="1" applyProtection="1">
      <alignment horizontal="center" vertical="top"/>
      <protection locked="0"/>
    </xf>
    <xf numFmtId="0" fontId="5" fillId="4" borderId="10" xfId="0" applyFont="1" applyFill="1" applyBorder="1" applyAlignment="1" applyProtection="1">
      <alignment horizontal="center" vertical="top"/>
      <protection locked="0"/>
    </xf>
    <xf numFmtId="0" fontId="5" fillId="4" borderId="0" xfId="0" applyFont="1" applyFill="1" applyBorder="1" applyAlignment="1" applyProtection="1">
      <alignment vertical="top"/>
      <protection locked="0"/>
    </xf>
    <xf numFmtId="0" fontId="5" fillId="4" borderId="8" xfId="0" applyFont="1" applyFill="1" applyBorder="1" applyAlignment="1" applyProtection="1">
      <alignment vertical="top"/>
      <protection locked="0"/>
    </xf>
    <xf numFmtId="0" fontId="5" fillId="4" borderId="9" xfId="0" applyFont="1" applyFill="1" applyBorder="1" applyAlignment="1" applyProtection="1">
      <alignment vertical="top"/>
      <protection locked="0"/>
    </xf>
    <xf numFmtId="0" fontId="5" fillId="0" borderId="0" xfId="0" applyFont="1"/>
    <xf numFmtId="0" fontId="14" fillId="0" borderId="0" xfId="0" applyFont="1" applyAlignment="1" applyProtection="1">
      <alignment horizontal="center"/>
      <protection locked="0"/>
    </xf>
    <xf numFmtId="0" fontId="5" fillId="2" borderId="0" xfId="0" applyFont="1" applyFill="1" applyAlignment="1">
      <alignment vertical="top" wrapText="1"/>
    </xf>
    <xf numFmtId="0" fontId="5" fillId="5" borderId="0" xfId="0" applyFont="1" applyFill="1" applyAlignment="1">
      <alignment horizontal="center"/>
    </xf>
    <xf numFmtId="165" fontId="5" fillId="4" borderId="0" xfId="2" applyFont="1" applyFill="1" applyBorder="1" applyAlignment="1" applyProtection="1">
      <alignment vertical="top"/>
      <protection locked="0"/>
    </xf>
    <xf numFmtId="165" fontId="5" fillId="4" borderId="7" xfId="2" applyFont="1" applyFill="1" applyBorder="1" applyAlignment="1" applyProtection="1">
      <alignment vertical="top"/>
      <protection locked="0"/>
    </xf>
    <xf numFmtId="165" fontId="5" fillId="4" borderId="9" xfId="2" applyFont="1" applyFill="1" applyBorder="1" applyAlignment="1" applyProtection="1">
      <alignment vertical="top"/>
      <protection locked="0"/>
    </xf>
    <xf numFmtId="165" fontId="5" fillId="4" borderId="10" xfId="2" applyFont="1" applyFill="1" applyBorder="1" applyAlignment="1" applyProtection="1">
      <alignment vertical="top"/>
      <protection locked="0"/>
    </xf>
    <xf numFmtId="0" fontId="15" fillId="0" borderId="0" xfId="0" applyFont="1"/>
    <xf numFmtId="0" fontId="5" fillId="4" borderId="5" xfId="0" applyFont="1" applyFill="1" applyBorder="1" applyAlignment="1" applyProtection="1">
      <alignment horizontal="center" vertical="top"/>
      <protection locked="0"/>
    </xf>
    <xf numFmtId="0" fontId="5" fillId="4" borderId="11" xfId="0" applyFont="1" applyFill="1" applyBorder="1" applyAlignment="1" applyProtection="1">
      <alignment horizontal="center" vertical="top"/>
      <protection locked="0"/>
    </xf>
    <xf numFmtId="0" fontId="1" fillId="0" borderId="9" xfId="0" applyFont="1" applyBorder="1" applyAlignment="1">
      <alignment horizontal="right" vertical="center"/>
    </xf>
    <xf numFmtId="0" fontId="5" fillId="0" borderId="9"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1" fillId="0" borderId="9" xfId="0" applyFont="1" applyBorder="1" applyAlignment="1" applyProtection="1">
      <alignment horizontal="right" vertical="center"/>
    </xf>
    <xf numFmtId="0" fontId="11" fillId="0" borderId="9" xfId="0" applyFont="1" applyBorder="1" applyAlignment="1">
      <alignment horizontal="right"/>
    </xf>
    <xf numFmtId="0" fontId="0" fillId="0" borderId="9" xfId="0" applyBorder="1" applyAlignment="1">
      <alignment horizontal="right"/>
    </xf>
    <xf numFmtId="165" fontId="1" fillId="0" borderId="0" xfId="0" applyNumberFormat="1" applyFont="1" applyAlignment="1" applyProtection="1">
      <alignment vertical="center"/>
    </xf>
    <xf numFmtId="165" fontId="1" fillId="0" borderId="9" xfId="0" applyNumberFormat="1" applyFont="1" applyBorder="1" applyAlignment="1" applyProtection="1">
      <alignment vertical="center"/>
    </xf>
    <xf numFmtId="0" fontId="1" fillId="0" borderId="0" xfId="0" applyFont="1" applyAlignment="1" applyProtection="1">
      <alignment horizontal="center" vertical="center"/>
    </xf>
    <xf numFmtId="168" fontId="1" fillId="4" borderId="0" xfId="2" applyNumberFormat="1" applyFont="1" applyFill="1" applyBorder="1" applyAlignment="1" applyProtection="1">
      <alignment vertical="center"/>
      <protection locked="0"/>
    </xf>
    <xf numFmtId="168" fontId="1" fillId="0" borderId="0" xfId="0" applyNumberFormat="1" applyFont="1" applyBorder="1" applyAlignment="1" applyProtection="1">
      <alignment vertical="center"/>
    </xf>
    <xf numFmtId="0" fontId="17" fillId="0" borderId="9" xfId="0" applyFont="1" applyFill="1" applyBorder="1" applyAlignment="1" applyProtection="1">
      <alignment horizontal="center" vertical="top"/>
      <protection locked="0"/>
    </xf>
    <xf numFmtId="0" fontId="5" fillId="4" borderId="0" xfId="0" applyFont="1" applyFill="1" applyProtection="1">
      <protection locked="0"/>
    </xf>
    <xf numFmtId="165" fontId="1" fillId="0" borderId="0" xfId="2" applyNumberFormat="1" applyFont="1" applyFill="1" applyAlignment="1" applyProtection="1">
      <alignment vertical="center"/>
      <protection locked="0"/>
    </xf>
    <xf numFmtId="167" fontId="1" fillId="4" borderId="13" xfId="2" applyNumberFormat="1" applyFont="1" applyFill="1" applyBorder="1"/>
    <xf numFmtId="0" fontId="1" fillId="0" borderId="0" xfId="0" applyFont="1" applyAlignment="1" applyProtection="1">
      <alignment horizontal="left" vertical="center"/>
    </xf>
    <xf numFmtId="166" fontId="1" fillId="4" borderId="0" xfId="1" applyNumberFormat="1" applyFont="1" applyFill="1"/>
    <xf numFmtId="166" fontId="1" fillId="0" borderId="0" xfId="1" applyNumberFormat="1" applyFont="1" applyFill="1"/>
    <xf numFmtId="166" fontId="1" fillId="4" borderId="0" xfId="0" applyNumberFormat="1" applyFont="1" applyFill="1" applyAlignment="1">
      <alignment vertical="center"/>
    </xf>
    <xf numFmtId="166" fontId="1" fillId="0" borderId="0" xfId="0" applyNumberFormat="1" applyFont="1" applyAlignment="1">
      <alignment vertical="center"/>
    </xf>
    <xf numFmtId="171" fontId="1" fillId="0" borderId="0" xfId="0" applyNumberFormat="1" applyFont="1" applyAlignment="1">
      <alignment vertical="center"/>
    </xf>
    <xf numFmtId="2" fontId="1" fillId="4" borderId="0" xfId="0" applyNumberFormat="1" applyFont="1" applyFill="1" applyAlignment="1">
      <alignment vertical="center"/>
    </xf>
    <xf numFmtId="0" fontId="1" fillId="4" borderId="0" xfId="0" applyFont="1" applyFill="1" applyAlignment="1">
      <alignment vertical="center"/>
    </xf>
    <xf numFmtId="171" fontId="1" fillId="0" borderId="0" xfId="0" applyNumberFormat="1" applyFont="1" applyAlignment="1" applyProtection="1">
      <alignment vertical="center"/>
    </xf>
    <xf numFmtId="2" fontId="1" fillId="0" borderId="0" xfId="0" applyNumberFormat="1" applyFont="1" applyAlignment="1">
      <alignment vertical="center"/>
    </xf>
    <xf numFmtId="0" fontId="1" fillId="0" borderId="0" xfId="0" applyFont="1" applyFill="1" applyAlignment="1">
      <alignment vertical="center"/>
    </xf>
    <xf numFmtId="2" fontId="1" fillId="0" borderId="0" xfId="0" applyNumberFormat="1" applyFont="1" applyFill="1" applyAlignment="1">
      <alignment vertical="center"/>
    </xf>
    <xf numFmtId="0" fontId="1" fillId="0" borderId="0" xfId="0" applyFont="1" applyFill="1" applyBorder="1" applyAlignment="1" applyProtection="1">
      <alignment vertical="top" wrapText="1"/>
      <protection locked="0"/>
    </xf>
    <xf numFmtId="0" fontId="0" fillId="0" borderId="0" xfId="0" applyFill="1" applyBorder="1" applyAlignment="1"/>
    <xf numFmtId="10" fontId="1" fillId="4" borderId="0" xfId="0" applyNumberFormat="1" applyFont="1" applyFill="1" applyAlignment="1">
      <alignment vertical="center"/>
    </xf>
    <xf numFmtId="168" fontId="1" fillId="0" borderId="0" xfId="2" applyNumberFormat="1" applyFont="1" applyFill="1" applyBorder="1" applyAlignment="1" applyProtection="1">
      <alignment vertical="center"/>
      <protection locked="0"/>
    </xf>
    <xf numFmtId="168" fontId="1" fillId="0" borderId="0" xfId="0" applyNumberFormat="1" applyFont="1" applyFill="1" applyBorder="1" applyAlignment="1" applyProtection="1">
      <alignment vertical="center"/>
    </xf>
    <xf numFmtId="0" fontId="0" fillId="4" borderId="0" xfId="0" applyFill="1" applyAlignment="1" applyProtection="1">
      <alignment horizontal="left" vertical="top" wrapText="1"/>
      <protection locked="0"/>
    </xf>
    <xf numFmtId="165" fontId="1" fillId="4" borderId="0" xfId="0" applyNumberFormat="1" applyFont="1" applyFill="1" applyAlignment="1" applyProtection="1">
      <alignment vertical="center"/>
      <protection locked="0"/>
    </xf>
    <xf numFmtId="165" fontId="1" fillId="0" borderId="0" xfId="0" applyNumberFormat="1" applyFont="1" applyAlignment="1">
      <alignment vertical="center"/>
    </xf>
    <xf numFmtId="43" fontId="1" fillId="0" borderId="6" xfId="0" applyNumberFormat="1" applyFont="1" applyBorder="1" applyAlignment="1">
      <alignment vertical="center"/>
    </xf>
    <xf numFmtId="165" fontId="1" fillId="0" borderId="0" xfId="2" applyNumberFormat="1" applyFont="1" applyBorder="1" applyAlignment="1">
      <alignment vertical="center"/>
    </xf>
    <xf numFmtId="165" fontId="1" fillId="0" borderId="7" xfId="2" applyNumberFormat="1" applyFont="1" applyBorder="1" applyAlignment="1">
      <alignment vertical="center"/>
    </xf>
    <xf numFmtId="169" fontId="1" fillId="0" borderId="0" xfId="0" applyNumberFormat="1" applyFont="1" applyAlignment="1">
      <alignment vertical="center"/>
    </xf>
    <xf numFmtId="167" fontId="1" fillId="4" borderId="0" xfId="2" applyNumberFormat="1" applyFont="1" applyFill="1" applyBorder="1"/>
    <xf numFmtId="169" fontId="1" fillId="0" borderId="8" xfId="0" applyNumberFormat="1" applyFont="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7" fontId="1" fillId="0" borderId="9" xfId="2" applyNumberFormat="1" applyFont="1" applyBorder="1" applyAlignment="1">
      <alignment vertical="center"/>
    </xf>
    <xf numFmtId="167" fontId="1" fillId="0" borderId="10" xfId="2" applyNumberFormat="1" applyFont="1" applyBorder="1" applyAlignment="1">
      <alignment vertical="center"/>
    </xf>
    <xf numFmtId="0" fontId="0" fillId="0" borderId="0" xfId="0" applyBorder="1" applyAlignment="1">
      <alignment vertical="top" wrapText="1"/>
    </xf>
    <xf numFmtId="0" fontId="0" fillId="0" borderId="0" xfId="0" applyBorder="1" applyAlignment="1">
      <alignment horizontal="center"/>
    </xf>
    <xf numFmtId="0" fontId="11" fillId="0" borderId="0" xfId="0" applyFont="1" applyBorder="1" applyAlignment="1">
      <alignment horizontal="center"/>
    </xf>
    <xf numFmtId="0" fontId="5" fillId="7" borderId="1" xfId="0" applyFont="1" applyFill="1" applyBorder="1" applyAlignment="1" applyProtection="1">
      <alignment horizontal="left" vertical="top" wrapText="1"/>
      <protection locked="0"/>
    </xf>
    <xf numFmtId="0" fontId="5" fillId="7" borderId="2"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4" borderId="0" xfId="0" applyFont="1" applyFill="1" applyProtection="1">
      <protection locked="0"/>
    </xf>
    <xf numFmtId="0" fontId="5" fillId="4" borderId="0" xfId="0" applyFont="1" applyFill="1" applyAlignment="1" applyProtection="1">
      <alignment vertical="top" wrapText="1"/>
      <protection locked="0"/>
    </xf>
    <xf numFmtId="0" fontId="0" fillId="4" borderId="0" xfId="0" applyFill="1" applyAlignment="1" applyProtection="1">
      <alignment horizontal="left" vertical="top" wrapText="1"/>
      <protection locked="0"/>
    </xf>
    <xf numFmtId="0" fontId="1" fillId="7" borderId="1" xfId="0" applyFont="1" applyFill="1" applyBorder="1" applyAlignment="1" applyProtection="1">
      <alignment horizontal="left" vertical="top" wrapText="1"/>
      <protection locked="0"/>
    </xf>
    <xf numFmtId="0" fontId="1" fillId="7" borderId="2" xfId="0" applyFont="1" applyFill="1" applyBorder="1" applyAlignment="1" applyProtection="1">
      <alignment horizontal="left" vertical="top" wrapText="1"/>
      <protection locked="0"/>
    </xf>
    <xf numFmtId="0" fontId="1" fillId="7" borderId="3" xfId="0" applyFont="1" applyFill="1" applyBorder="1" applyAlignment="1" applyProtection="1">
      <alignment horizontal="left" vertical="top" wrapText="1"/>
      <protection locked="0"/>
    </xf>
    <xf numFmtId="0" fontId="1" fillId="0" borderId="9" xfId="0" applyFont="1" applyBorder="1" applyAlignment="1" applyProtection="1">
      <alignment horizontal="center" vertical="center"/>
    </xf>
    <xf numFmtId="0" fontId="1" fillId="7" borderId="1"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1" fillId="7" borderId="3" xfId="0" applyFont="1" applyFill="1" applyBorder="1" applyAlignment="1" applyProtection="1">
      <alignment vertical="top" wrapText="1"/>
      <protection locked="0"/>
    </xf>
    <xf numFmtId="0" fontId="1" fillId="0" borderId="0" xfId="0" applyFont="1" applyAlignment="1" applyProtection="1">
      <alignment horizontal="center" vertical="center"/>
    </xf>
    <xf numFmtId="0" fontId="1" fillId="7" borderId="5" xfId="0" applyFont="1" applyFill="1" applyBorder="1" applyAlignment="1" applyProtection="1">
      <alignment horizontal="left" vertical="top" wrapText="1"/>
      <protection locked="0"/>
    </xf>
    <xf numFmtId="0" fontId="1" fillId="7" borderId="0"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1" xfId="0" applyFont="1" applyFill="1" applyBorder="1" applyAlignment="1">
      <alignment horizontal="center" vertical="center"/>
    </xf>
  </cellXfs>
  <cellStyles count="581">
    <cellStyle name="Accent2 2" xfId="495"/>
    <cellStyle name="Comma" xfId="2" builtinId="3"/>
    <cellStyle name="Comma 11" xfId="496"/>
    <cellStyle name="Comma 12" xfId="497"/>
    <cellStyle name="Comma 13" xfId="498"/>
    <cellStyle name="Comma 16" xfId="499"/>
    <cellStyle name="Comma 18" xfId="500"/>
    <cellStyle name="Comma 2" xfId="9"/>
    <cellStyle name="Comma 2 2" xfId="494"/>
    <cellStyle name="Comma 20" xfId="501"/>
    <cellStyle name="Comma 22" xfId="502"/>
    <cellStyle name="Comma 24" xfId="503"/>
    <cellStyle name="Comma 26" xfId="504"/>
    <cellStyle name="Comma 28" xfId="505"/>
    <cellStyle name="Comma 3" xfId="10"/>
    <cellStyle name="Comma 3 2" xfId="506"/>
    <cellStyle name="Comma 30" xfId="507"/>
    <cellStyle name="Comma 32" xfId="508"/>
    <cellStyle name="Comma 36" xfId="509"/>
    <cellStyle name="Comma 38" xfId="510"/>
    <cellStyle name="Comma 4" xfId="580"/>
    <cellStyle name="Comma 40" xfId="511"/>
    <cellStyle name="Comma 42" xfId="512"/>
    <cellStyle name="Comma 44" xfId="513"/>
    <cellStyle name="Comma 46" xfId="514"/>
    <cellStyle name="Comma 48" xfId="515"/>
    <cellStyle name="Comma 5" xfId="516"/>
    <cellStyle name="Comma 50" xfId="517"/>
    <cellStyle name="Comma 52" xfId="518"/>
    <cellStyle name="Comma 53" xfId="519"/>
    <cellStyle name="Comma 54" xfId="520"/>
    <cellStyle name="Comma 55" xfId="521"/>
    <cellStyle name="Comma 56" xfId="522"/>
    <cellStyle name="Comma 57" xfId="523"/>
    <cellStyle name="Comma 58" xfId="524"/>
    <cellStyle name="Comma 62" xfId="525"/>
    <cellStyle name="Comma 64" xfId="526"/>
    <cellStyle name="Comma 66" xfId="527"/>
    <cellStyle name="Comma 68" xfId="528"/>
    <cellStyle name="Comma 7" xfId="529"/>
    <cellStyle name="Comma 70" xfId="530"/>
    <cellStyle name="Comma 71" xfId="531"/>
    <cellStyle name="Comma 72" xfId="532"/>
    <cellStyle name="Comma 74" xfId="533"/>
    <cellStyle name="Comma 76" xfId="534"/>
    <cellStyle name="Comma 9" xfId="535"/>
    <cellStyle name="Currency 11" xfId="536"/>
    <cellStyle name="Currency 2" xfId="3"/>
    <cellStyle name="Currency 2 2" xfId="579"/>
    <cellStyle name="Currency 3" xfId="537"/>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Normal" xfId="0" builtinId="0"/>
    <cellStyle name="Normal 10" xfId="538"/>
    <cellStyle name="Normal 10 2" xfId="539"/>
    <cellStyle name="Normal 100" xfId="540"/>
    <cellStyle name="Normal 114" xfId="541"/>
    <cellStyle name="Normal 13" xfId="542"/>
    <cellStyle name="Normal 16" xfId="543"/>
    <cellStyle name="Normal 18" xfId="544"/>
    <cellStyle name="Normal 2" xfId="4"/>
    <cellStyle name="Normal 2 2" xfId="5"/>
    <cellStyle name="Normal 2 2 2" xfId="11"/>
    <cellStyle name="Normal 2 2 3" xfId="545"/>
    <cellStyle name="Normal 2 2_ServiceHistory" xfId="470"/>
    <cellStyle name="Normal 21" xfId="546"/>
    <cellStyle name="Normal 26" xfId="547"/>
    <cellStyle name="Normal 28" xfId="548"/>
    <cellStyle name="Normal 3" xfId="6"/>
    <cellStyle name="Normal 30" xfId="549"/>
    <cellStyle name="Normal 32" xfId="550"/>
    <cellStyle name="Normal 34" xfId="551"/>
    <cellStyle name="Normal 36" xfId="552"/>
    <cellStyle name="Normal 4" xfId="12"/>
    <cellStyle name="Normal 4 2" xfId="553"/>
    <cellStyle name="Normal 42" xfId="554"/>
    <cellStyle name="Normal 44" xfId="555"/>
    <cellStyle name="Normal 46" xfId="556"/>
    <cellStyle name="Normal 48" xfId="557"/>
    <cellStyle name="Normal 50" xfId="558"/>
    <cellStyle name="Normal 52" xfId="559"/>
    <cellStyle name="Normal 54" xfId="560"/>
    <cellStyle name="Normal 56" xfId="561"/>
    <cellStyle name="Normal 58" xfId="562"/>
    <cellStyle name="Normal 60" xfId="563"/>
    <cellStyle name="Normal 62" xfId="564"/>
    <cellStyle name="Normal 64" xfId="565"/>
    <cellStyle name="Normal 66" xfId="566"/>
    <cellStyle name="Normal 70" xfId="567"/>
    <cellStyle name="Normal 74" xfId="568"/>
    <cellStyle name="Normal 78" xfId="569"/>
    <cellStyle name="Normal 80" xfId="570"/>
    <cellStyle name="Normal 82" xfId="571"/>
    <cellStyle name="Normal 84" xfId="572"/>
    <cellStyle name="Normal 88" xfId="573"/>
    <cellStyle name="Normal 90" xfId="574"/>
    <cellStyle name="Normal 92" xfId="575"/>
    <cellStyle name="Normal 94" xfId="576"/>
    <cellStyle name="Normal 95" xfId="577"/>
    <cellStyle name="Normal 96" xfId="578"/>
    <cellStyle name="Note 2" xfId="13"/>
    <cellStyle name="Percent" xfId="1" builtinId="5"/>
    <cellStyle name="Percent 2" xfId="7"/>
    <cellStyle name="Percent 2 2" xfId="493"/>
    <cellStyle name="Percent 3" xfId="8"/>
  </cellStyles>
  <dxfs count="0"/>
  <tableStyles count="0" defaultTableStyle="TableStyleMedium9" defaultPivotStyle="PivotStyleLight16"/>
  <colors>
    <mruColors>
      <color rgb="FF0065A6"/>
      <color rgb="FF76AD1C"/>
      <color rgb="FF13294B"/>
      <color rgb="FF209AD2"/>
      <color rgb="FFAC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90" zoomScaleNormal="90" zoomScalePageLayoutView="125" workbookViewId="0">
      <selection activeCell="B18" sqref="B18"/>
    </sheetView>
  </sheetViews>
  <sheetFormatPr defaultColWidth="11.42578125" defaultRowHeight="15" x14ac:dyDescent="0.25"/>
  <cols>
    <col min="1" max="3" width="2.28515625" customWidth="1"/>
  </cols>
  <sheetData>
    <row r="1" spans="1:9" x14ac:dyDescent="0.25">
      <c r="A1" t="str">
        <f>GlobalInputs!A1</f>
        <v>Ancillary Network Services Pricing Model</v>
      </c>
    </row>
    <row r="2" spans="1:9" ht="15.75" x14ac:dyDescent="0.25">
      <c r="A2" s="5" t="s">
        <v>17</v>
      </c>
      <c r="F2" s="74" t="str">
        <f>IF(ROUND($E$8,6)=0,"ok","Problem - review CheckSheet")</f>
        <v>ok</v>
      </c>
    </row>
    <row r="4" spans="1:9" x14ac:dyDescent="0.25">
      <c r="B4" t="s">
        <v>133</v>
      </c>
    </row>
    <row r="6" spans="1:9" x14ac:dyDescent="0.25">
      <c r="B6" t="s">
        <v>118</v>
      </c>
    </row>
    <row r="7" spans="1:9" x14ac:dyDescent="0.25">
      <c r="B7" t="s">
        <v>119</v>
      </c>
    </row>
    <row r="9" spans="1:9" x14ac:dyDescent="0.25">
      <c r="B9" t="s">
        <v>96</v>
      </c>
      <c r="I9" s="82"/>
    </row>
    <row r="10" spans="1:9" x14ac:dyDescent="0.25">
      <c r="B10" t="s">
        <v>91</v>
      </c>
    </row>
    <row r="11" spans="1:9" x14ac:dyDescent="0.25">
      <c r="B11" t="s">
        <v>92</v>
      </c>
    </row>
    <row r="12" spans="1:9" x14ac:dyDescent="0.25">
      <c r="B12" s="83" t="s">
        <v>93</v>
      </c>
    </row>
    <row r="14" spans="1:9" x14ac:dyDescent="0.25">
      <c r="B14" t="s">
        <v>97</v>
      </c>
      <c r="E14" s="106"/>
      <c r="F14" t="s">
        <v>98</v>
      </c>
    </row>
    <row r="15" spans="1:9" x14ac:dyDescent="0.25">
      <c r="B15" t="s">
        <v>99</v>
      </c>
      <c r="E15" s="2"/>
    </row>
    <row r="17" spans="2:2" x14ac:dyDescent="0.25">
      <c r="B17" t="s">
        <v>94</v>
      </c>
    </row>
    <row r="18" spans="2:2" x14ac:dyDescent="0.25">
      <c r="B18" t="s">
        <v>95</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G57"/>
  <sheetViews>
    <sheetView zoomScale="150" zoomScaleNormal="150" zoomScalePageLayoutView="150" workbookViewId="0">
      <selection activeCell="E7" sqref="E7"/>
    </sheetView>
  </sheetViews>
  <sheetFormatPr defaultColWidth="10.85546875" defaultRowHeight="15" x14ac:dyDescent="0.25"/>
  <cols>
    <col min="1" max="1" width="2.7109375" style="72" customWidth="1"/>
    <col min="2" max="3" width="2" style="72" customWidth="1"/>
    <col min="4" max="4" width="36" style="72" customWidth="1"/>
    <col min="5" max="5" width="10.85546875" style="72"/>
    <col min="6" max="6" width="3.85546875" style="72" customWidth="1"/>
    <col min="7" max="16384" width="10.85546875" style="72"/>
  </cols>
  <sheetData>
    <row r="1" spans="1:7" x14ac:dyDescent="0.25">
      <c r="A1" s="72" t="s">
        <v>186</v>
      </c>
    </row>
    <row r="2" spans="1:7" x14ac:dyDescent="0.25">
      <c r="A2" s="73" t="s">
        <v>89</v>
      </c>
      <c r="E2" s="74" t="str">
        <f>IF(ROUND($E$5,6)=0,"ok","Problem - review CheckSheet")</f>
        <v>ok</v>
      </c>
    </row>
    <row r="5" spans="1:7" x14ac:dyDescent="0.25">
      <c r="B5" s="72" t="s">
        <v>90</v>
      </c>
      <c r="E5" s="75">
        <f>SUM(E8:E57)</f>
        <v>0</v>
      </c>
    </row>
    <row r="7" spans="1:7" x14ac:dyDescent="0.25">
      <c r="E7" s="81"/>
    </row>
    <row r="8" spans="1:7" x14ac:dyDescent="0.25">
      <c r="E8" s="80"/>
      <c r="G8" s="79"/>
    </row>
    <row r="9" spans="1:7" x14ac:dyDescent="0.25">
      <c r="E9" s="76"/>
      <c r="G9" s="79"/>
    </row>
    <row r="10" spans="1:7" x14ac:dyDescent="0.25">
      <c r="E10" s="76"/>
      <c r="G10" s="79"/>
    </row>
    <row r="11" spans="1:7" x14ac:dyDescent="0.25">
      <c r="E11" s="77"/>
    </row>
    <row r="12" spans="1:7" x14ac:dyDescent="0.25">
      <c r="E12" s="77"/>
    </row>
    <row r="13" spans="1:7" x14ac:dyDescent="0.25">
      <c r="E13" s="77"/>
    </row>
    <row r="14" spans="1:7" x14ac:dyDescent="0.25">
      <c r="E14" s="77"/>
    </row>
    <row r="15" spans="1:7" x14ac:dyDescent="0.25">
      <c r="E15" s="77"/>
    </row>
    <row r="16" spans="1:7" x14ac:dyDescent="0.25">
      <c r="E16" s="77"/>
    </row>
    <row r="17" spans="5:5" x14ac:dyDescent="0.25">
      <c r="E17" s="77"/>
    </row>
    <row r="18" spans="5:5" x14ac:dyDescent="0.25">
      <c r="E18" s="77"/>
    </row>
    <row r="19" spans="5:5" x14ac:dyDescent="0.25">
      <c r="E19" s="77"/>
    </row>
    <row r="20" spans="5:5" x14ac:dyDescent="0.25">
      <c r="E20" s="77"/>
    </row>
    <row r="21" spans="5:5" x14ac:dyDescent="0.25">
      <c r="E21" s="77"/>
    </row>
    <row r="22" spans="5:5" x14ac:dyDescent="0.25">
      <c r="E22" s="77"/>
    </row>
    <row r="23" spans="5:5" x14ac:dyDescent="0.25">
      <c r="E23" s="77"/>
    </row>
    <row r="24" spans="5:5" x14ac:dyDescent="0.25">
      <c r="E24" s="77"/>
    </row>
    <row r="25" spans="5:5" x14ac:dyDescent="0.25">
      <c r="E25" s="77"/>
    </row>
    <row r="26" spans="5:5" x14ac:dyDescent="0.25">
      <c r="E26" s="77"/>
    </row>
    <row r="27" spans="5:5" x14ac:dyDescent="0.25">
      <c r="E27" s="77"/>
    </row>
    <row r="28" spans="5:5" x14ac:dyDescent="0.25">
      <c r="E28" s="77"/>
    </row>
    <row r="29" spans="5:5" x14ac:dyDescent="0.25">
      <c r="E29" s="77"/>
    </row>
    <row r="30" spans="5:5" x14ac:dyDescent="0.25">
      <c r="E30" s="77"/>
    </row>
    <row r="31" spans="5:5" x14ac:dyDescent="0.25">
      <c r="E31" s="77"/>
    </row>
    <row r="32" spans="5:5" x14ac:dyDescent="0.25">
      <c r="E32" s="77"/>
    </row>
    <row r="33" spans="5:5" x14ac:dyDescent="0.25">
      <c r="E33" s="77"/>
    </row>
    <row r="34" spans="5:5" x14ac:dyDescent="0.25">
      <c r="E34" s="77"/>
    </row>
    <row r="35" spans="5:5" x14ac:dyDescent="0.25">
      <c r="E35" s="77"/>
    </row>
    <row r="36" spans="5:5" x14ac:dyDescent="0.25">
      <c r="E36" s="77"/>
    </row>
    <row r="37" spans="5:5" x14ac:dyDescent="0.25">
      <c r="E37" s="77"/>
    </row>
    <row r="38" spans="5:5" x14ac:dyDescent="0.25">
      <c r="E38" s="77"/>
    </row>
    <row r="39" spans="5:5" x14ac:dyDescent="0.25">
      <c r="E39" s="77"/>
    </row>
    <row r="40" spans="5:5" x14ac:dyDescent="0.25">
      <c r="E40" s="77"/>
    </row>
    <row r="41" spans="5:5" x14ac:dyDescent="0.25">
      <c r="E41" s="77"/>
    </row>
    <row r="42" spans="5:5" x14ac:dyDescent="0.25">
      <c r="E42" s="77"/>
    </row>
    <row r="43" spans="5:5" x14ac:dyDescent="0.25">
      <c r="E43" s="77"/>
    </row>
    <row r="44" spans="5:5" x14ac:dyDescent="0.25">
      <c r="E44" s="77"/>
    </row>
    <row r="45" spans="5:5" x14ac:dyDescent="0.25">
      <c r="E45" s="77"/>
    </row>
    <row r="46" spans="5:5" x14ac:dyDescent="0.25">
      <c r="E46" s="77"/>
    </row>
    <row r="47" spans="5:5" x14ac:dyDescent="0.25">
      <c r="E47" s="77"/>
    </row>
    <row r="48" spans="5:5"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L46"/>
  <sheetViews>
    <sheetView tabSelected="1" zoomScale="90" zoomScaleNormal="90" zoomScalePageLayoutView="125" workbookViewId="0">
      <selection activeCell="H49" sqref="H49"/>
    </sheetView>
  </sheetViews>
  <sheetFormatPr defaultColWidth="9.140625" defaultRowHeight="15" x14ac:dyDescent="0.25"/>
  <cols>
    <col min="1" max="4" width="2.28515625" customWidth="1"/>
    <col min="5" max="5" width="33.140625" customWidth="1"/>
    <col min="6" max="6" width="10.42578125" customWidth="1"/>
    <col min="7" max="8" width="11.140625" bestFit="1" customWidth="1"/>
    <col min="9" max="9" width="14.5703125" bestFit="1" customWidth="1"/>
    <col min="10" max="11" width="11.140625" bestFit="1" customWidth="1"/>
    <col min="12" max="12" width="2.85546875" customWidth="1"/>
    <col min="13" max="20" width="10.42578125" customWidth="1"/>
  </cols>
  <sheetData>
    <row r="1" spans="1:12" x14ac:dyDescent="0.25">
      <c r="A1" s="14" t="s">
        <v>15</v>
      </c>
    </row>
    <row r="2" spans="1:12" x14ac:dyDescent="0.25">
      <c r="A2" s="16" t="s">
        <v>79</v>
      </c>
    </row>
    <row r="3" spans="1:12" x14ac:dyDescent="0.25">
      <c r="A3" s="6" t="str">
        <f>GlobalInputs!G9</f>
        <v>ASP Fees</v>
      </c>
      <c r="F3" s="74" t="str">
        <f>IF(ROUND($E$5,6)=0,"ok","Problem - review CheckSheet")</f>
        <v>ok</v>
      </c>
    </row>
    <row r="5" spans="1:12" x14ac:dyDescent="0.25">
      <c r="B5" s="54" t="s">
        <v>61</v>
      </c>
      <c r="C5" s="55"/>
      <c r="D5" s="55"/>
      <c r="E5" s="55"/>
      <c r="F5" s="55"/>
      <c r="G5" s="55"/>
      <c r="H5" s="55"/>
      <c r="I5" s="55"/>
      <c r="J5" s="55"/>
      <c r="K5" s="55"/>
      <c r="L5" s="56"/>
    </row>
    <row r="6" spans="1:12" ht="38.25" customHeight="1" x14ac:dyDescent="0.25">
      <c r="B6" s="61"/>
      <c r="C6" s="171" t="str">
        <f>ServiceDescription!C9</f>
        <v xml:space="preserve">09 - The initial issue and renewal of Network Authorisations to Level 1 and 2 ASP's and the provision of ASP Authorisation training for initial and currency (refresher) training of ASP employees and sub-contractors      
</v>
      </c>
      <c r="D6" s="171"/>
      <c r="E6" s="171"/>
      <c r="F6" s="171"/>
      <c r="G6" s="171"/>
      <c r="H6" s="171"/>
      <c r="I6" s="171"/>
      <c r="J6" s="171"/>
      <c r="K6" s="171"/>
      <c r="L6" s="62"/>
    </row>
    <row r="7" spans="1:12" ht="54" customHeight="1" x14ac:dyDescent="0.25">
      <c r="B7" s="61"/>
      <c r="C7" s="171" t="str">
        <f>ServiceDescription!C10</f>
        <v xml:space="preserve">24 - The investigation, review and implementation of remedial actions associated with contestable connection works, leading to corrective and disciplinary action against an ASP due to unsafe practices, substandard workmanship or other serious circumstances.
</v>
      </c>
      <c r="D7" s="171"/>
      <c r="E7" s="171"/>
      <c r="F7" s="171"/>
      <c r="G7" s="171"/>
      <c r="H7" s="171"/>
      <c r="I7" s="171"/>
      <c r="J7" s="171"/>
      <c r="K7" s="171"/>
      <c r="L7" s="62"/>
    </row>
    <row r="8" spans="1:12" ht="14.1" customHeight="1" x14ac:dyDescent="0.25">
      <c r="B8" s="60"/>
      <c r="C8" s="63"/>
      <c r="D8" s="63"/>
      <c r="E8" s="63"/>
      <c r="F8" s="63"/>
      <c r="G8" s="63"/>
      <c r="H8" s="63"/>
      <c r="I8" s="63"/>
      <c r="J8" s="63"/>
      <c r="K8" s="63"/>
      <c r="L8" s="64"/>
    </row>
    <row r="9" spans="1:12" ht="14.1" customHeight="1" x14ac:dyDescent="0.25">
      <c r="B9" s="47"/>
      <c r="C9" s="59"/>
      <c r="D9" s="59"/>
      <c r="E9" s="59"/>
      <c r="F9" s="59"/>
      <c r="G9" s="59"/>
      <c r="H9" s="59"/>
      <c r="I9" s="59"/>
      <c r="J9" s="59"/>
      <c r="K9" s="59"/>
    </row>
    <row r="10" spans="1:12" ht="14.1" customHeight="1" x14ac:dyDescent="0.25">
      <c r="B10" s="54" t="s">
        <v>83</v>
      </c>
      <c r="C10" s="65"/>
      <c r="D10" s="65"/>
      <c r="E10" s="65"/>
      <c r="F10" s="65"/>
      <c r="G10" s="65"/>
      <c r="H10" s="65"/>
      <c r="I10" s="65"/>
      <c r="J10" s="65"/>
      <c r="K10" s="65"/>
      <c r="L10" s="56"/>
    </row>
    <row r="11" spans="1:12" ht="153" customHeight="1" x14ac:dyDescent="0.25">
      <c r="B11" s="61"/>
      <c r="C11" s="171" t="str">
        <f>ServiceDescription!C13</f>
        <v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v>
      </c>
      <c r="D11" s="171"/>
      <c r="E11" s="171"/>
      <c r="F11" s="171"/>
      <c r="G11" s="171"/>
      <c r="H11" s="171"/>
      <c r="I11" s="171"/>
      <c r="J11" s="171"/>
      <c r="K11" s="171"/>
      <c r="L11" s="62"/>
    </row>
    <row r="12" spans="1:12" ht="14.1" customHeight="1" x14ac:dyDescent="0.25">
      <c r="B12" s="60"/>
      <c r="C12" s="63"/>
      <c r="D12" s="63"/>
      <c r="E12" s="63"/>
      <c r="F12" s="63"/>
      <c r="G12" s="63"/>
      <c r="H12" s="63"/>
      <c r="I12" s="63"/>
      <c r="J12" s="63"/>
      <c r="K12" s="63"/>
      <c r="L12" s="64"/>
    </row>
    <row r="13" spans="1:12" ht="14.1" customHeight="1" x14ac:dyDescent="0.25">
      <c r="B13" s="47"/>
      <c r="C13" s="59"/>
      <c r="D13" s="59"/>
      <c r="E13" s="59"/>
      <c r="F13" s="59"/>
      <c r="G13" s="59"/>
      <c r="H13" s="59"/>
      <c r="I13" s="59"/>
      <c r="J13" s="59"/>
      <c r="K13" s="59"/>
    </row>
    <row r="14" spans="1:12" x14ac:dyDescent="0.25">
      <c r="B14" s="54" t="s">
        <v>75</v>
      </c>
      <c r="C14" s="55"/>
      <c r="D14" s="55"/>
      <c r="E14" s="55"/>
      <c r="F14" s="55"/>
      <c r="G14" s="55"/>
      <c r="H14" s="55"/>
      <c r="I14" s="55"/>
      <c r="J14" s="55"/>
      <c r="K14" s="55"/>
      <c r="L14" s="56"/>
    </row>
    <row r="15" spans="1:12" x14ac:dyDescent="0.25">
      <c r="B15" s="61"/>
      <c r="C15" s="47"/>
      <c r="D15" s="47"/>
      <c r="E15" s="47"/>
      <c r="F15" s="172" t="s">
        <v>81</v>
      </c>
      <c r="G15" s="172"/>
      <c r="H15" s="47"/>
      <c r="I15" s="173" t="s">
        <v>80</v>
      </c>
      <c r="J15" s="173"/>
      <c r="K15" s="48"/>
      <c r="L15" s="62"/>
    </row>
    <row r="16" spans="1:12" x14ac:dyDescent="0.25">
      <c r="B16" s="61"/>
      <c r="C16" s="52"/>
      <c r="D16" s="52"/>
      <c r="E16" s="52"/>
      <c r="F16" s="57" t="s">
        <v>82</v>
      </c>
      <c r="G16" s="57" t="s">
        <v>116</v>
      </c>
      <c r="H16" s="57"/>
      <c r="I16" s="58" t="s">
        <v>82</v>
      </c>
      <c r="J16" s="58" t="s">
        <v>70</v>
      </c>
      <c r="K16" s="48"/>
      <c r="L16" s="62"/>
    </row>
    <row r="17" spans="2:12" x14ac:dyDescent="0.25">
      <c r="B17" s="61"/>
      <c r="C17" s="47" t="str">
        <f>FeeConstruction!C7</f>
        <v>Authorisation of ASPs - Initial</v>
      </c>
      <c r="D17" s="47"/>
      <c r="E17" s="47"/>
      <c r="F17" s="47"/>
      <c r="G17" s="47"/>
      <c r="H17" s="47"/>
      <c r="I17" s="49"/>
      <c r="J17" s="49"/>
      <c r="K17" s="47"/>
      <c r="L17" s="62"/>
    </row>
    <row r="18" spans="2:12" x14ac:dyDescent="0.25">
      <c r="B18" s="61"/>
      <c r="C18" s="47"/>
      <c r="D18" s="47" t="str">
        <f>FeeConstruction!D8</f>
        <v>Initial Authorisations</v>
      </c>
      <c r="E18" s="47"/>
      <c r="F18" s="47" t="str">
        <f>ServiceProjections!G8</f>
        <v>/ authorisation</v>
      </c>
      <c r="G18" s="50">
        <f>FeeConstruction!L8</f>
        <v>796.08405688205528</v>
      </c>
      <c r="H18" s="47"/>
      <c r="I18" s="49" t="str">
        <f>F18</f>
        <v>/ authorisation</v>
      </c>
      <c r="J18" s="51">
        <f>FeeConstruction!H8</f>
        <v>159</v>
      </c>
      <c r="K18" s="47"/>
      <c r="L18" s="62"/>
    </row>
    <row r="19" spans="2:12" x14ac:dyDescent="0.25">
      <c r="B19" s="61"/>
      <c r="C19" s="47"/>
      <c r="D19" s="47" t="str">
        <f>FeeConstruction!D9</f>
        <v>Authorisation Renewals</v>
      </c>
      <c r="E19" s="47"/>
      <c r="F19" s="47" t="str">
        <f>ServiceProjections!G9</f>
        <v>/ authorisation</v>
      </c>
      <c r="G19" s="50">
        <f>FeeConstruction!L9</f>
        <v>386.35894536907068</v>
      </c>
      <c r="H19" s="47"/>
      <c r="I19" s="49" t="str">
        <f t="shared" ref="I19" si="0">F19</f>
        <v>/ authorisation</v>
      </c>
      <c r="J19" s="51">
        <f>FeeConstruction!H9</f>
        <v>159</v>
      </c>
      <c r="K19" s="47"/>
      <c r="L19" s="62"/>
    </row>
    <row r="20" spans="2:12" x14ac:dyDescent="0.25">
      <c r="B20" s="61"/>
      <c r="C20" s="47" t="str">
        <f>FeeConstruction!C10</f>
        <v>Authorisation Training</v>
      </c>
      <c r="D20" s="47"/>
      <c r="E20" s="47"/>
      <c r="F20" s="47"/>
      <c r="G20" s="47"/>
      <c r="H20" s="47"/>
      <c r="I20" s="49"/>
      <c r="J20" s="49"/>
      <c r="K20" s="47"/>
      <c r="L20" s="62"/>
    </row>
    <row r="21" spans="2:12" x14ac:dyDescent="0.25">
      <c r="B21" s="61"/>
      <c r="C21" s="47"/>
      <c r="D21" s="47" t="str">
        <f>FeeConstruction!D11</f>
        <v>Authorisation Training</v>
      </c>
      <c r="E21" s="47"/>
      <c r="F21" s="47" t="str">
        <f>ServiceProjections!G11</f>
        <v>/ authorisation</v>
      </c>
      <c r="G21" s="50">
        <f>FeeConstruction!L11</f>
        <v>299.69385934045727</v>
      </c>
      <c r="H21" s="47"/>
      <c r="I21" s="49" t="str">
        <f t="shared" ref="I21" si="1">F21</f>
        <v>/ authorisation</v>
      </c>
      <c r="J21" s="51" t="str">
        <f>FeeConstruction!H11</f>
        <v>n.a.</v>
      </c>
      <c r="K21" s="47"/>
      <c r="L21" s="62"/>
    </row>
    <row r="22" spans="2:12" x14ac:dyDescent="0.25">
      <c r="B22" s="61"/>
      <c r="C22" s="47" t="str">
        <f>FeeConstruction!C12</f>
        <v>Remedial action of ASPs</v>
      </c>
      <c r="D22" s="47"/>
      <c r="E22" s="47"/>
      <c r="F22" s="47"/>
      <c r="G22" s="47"/>
      <c r="H22" s="47"/>
      <c r="I22" s="49"/>
      <c r="J22" s="49"/>
      <c r="K22" s="47"/>
      <c r="L22" s="62"/>
    </row>
    <row r="23" spans="2:12" x14ac:dyDescent="0.25">
      <c r="B23" s="61"/>
      <c r="C23" s="47"/>
      <c r="D23" s="47" t="str">
        <f>FeeConstruction!D13</f>
        <v>Remedial action of ASPs</v>
      </c>
      <c r="E23" s="47"/>
      <c r="F23" s="47" t="str">
        <f>ServiceProjections!G13</f>
        <v>/ hour</v>
      </c>
      <c r="G23" s="50">
        <f>FeeConstruction!L13</f>
        <v>171.02439713634485</v>
      </c>
      <c r="H23" s="47"/>
      <c r="I23" s="49" t="str">
        <f t="shared" ref="I23" si="2">F23</f>
        <v>/ hour</v>
      </c>
      <c r="J23" s="51" t="str">
        <f>FeeConstruction!H13</f>
        <v>n.a.</v>
      </c>
      <c r="K23" s="47"/>
      <c r="L23" s="62"/>
    </row>
    <row r="24" spans="2:12" x14ac:dyDescent="0.25">
      <c r="B24" s="60"/>
      <c r="C24" s="66"/>
      <c r="D24" s="66"/>
      <c r="E24" s="66"/>
      <c r="F24" s="66"/>
      <c r="G24" s="66"/>
      <c r="H24" s="66"/>
      <c r="I24" s="66"/>
      <c r="J24" s="66"/>
      <c r="K24" s="66"/>
      <c r="L24" s="64"/>
    </row>
    <row r="26" spans="2:12" x14ac:dyDescent="0.25">
      <c r="B26" s="53" t="s">
        <v>84</v>
      </c>
      <c r="C26" s="53"/>
      <c r="D26" s="53"/>
      <c r="E26" s="53"/>
      <c r="F26" s="53"/>
      <c r="G26" s="53"/>
      <c r="H26" s="53"/>
      <c r="I26" s="53"/>
      <c r="J26" s="53"/>
      <c r="K26" s="53"/>
      <c r="L26" s="53"/>
    </row>
    <row r="27" spans="2:12" x14ac:dyDescent="0.25">
      <c r="B27" s="53"/>
      <c r="L27" s="53"/>
    </row>
    <row r="28" spans="2:12" x14ac:dyDescent="0.25">
      <c r="B28" s="53"/>
      <c r="C28" s="46" t="s">
        <v>85</v>
      </c>
      <c r="D28" s="46"/>
      <c r="E28" s="46"/>
      <c r="F28" s="46"/>
      <c r="G28" s="46"/>
      <c r="H28" s="46"/>
      <c r="I28" s="46"/>
      <c r="J28" s="46"/>
      <c r="K28" s="46"/>
      <c r="L28" s="53"/>
    </row>
    <row r="29" spans="2:12" x14ac:dyDescent="0.25">
      <c r="B29" s="53"/>
      <c r="C29" s="46"/>
      <c r="D29" s="69"/>
      <c r="E29" s="130" t="s">
        <v>117</v>
      </c>
      <c r="F29" s="69"/>
      <c r="G29" s="58" t="str">
        <f>GlobalInputs!G12</f>
        <v>2009/10</v>
      </c>
      <c r="H29" s="58" t="str">
        <f>GlobalInputs!H12</f>
        <v>2010/11</v>
      </c>
      <c r="I29" s="58" t="str">
        <f>GlobalInputs!I12</f>
        <v>2011/12</v>
      </c>
      <c r="J29" s="58" t="str">
        <f>GlobalInputs!J12</f>
        <v>2012/13</v>
      </c>
      <c r="K29" s="58" t="str">
        <f>GlobalInputs!K12</f>
        <v>2013/14</v>
      </c>
      <c r="L29" s="53"/>
    </row>
    <row r="30" spans="2:12" x14ac:dyDescent="0.25">
      <c r="B30" s="53"/>
      <c r="C30" s="46"/>
      <c r="D30" s="46"/>
      <c r="E30" s="46"/>
      <c r="F30" s="46"/>
      <c r="G30" s="45"/>
      <c r="H30" s="45"/>
      <c r="I30" s="45"/>
      <c r="J30" s="45"/>
      <c r="K30" s="45"/>
      <c r="L30" s="53"/>
    </row>
    <row r="31" spans="2:12" x14ac:dyDescent="0.25">
      <c r="B31" s="53"/>
      <c r="C31" s="46"/>
      <c r="D31" s="46" t="s">
        <v>13</v>
      </c>
      <c r="E31" s="46"/>
      <c r="F31" s="46" t="s">
        <v>40</v>
      </c>
      <c r="G31" s="70">
        <f>ServiceHistory!G28</f>
        <v>23448</v>
      </c>
      <c r="H31" s="70">
        <f>ServiceHistory!H28</f>
        <v>32522.32</v>
      </c>
      <c r="I31" s="70">
        <f>ServiceHistory!I28</f>
        <v>36173.82</v>
      </c>
      <c r="J31" s="70">
        <f>ServiceHistory!J28</f>
        <v>55904</v>
      </c>
      <c r="K31" s="70">
        <f>ServiceHistory!K28</f>
        <v>49644.800000000003</v>
      </c>
      <c r="L31" s="53"/>
    </row>
    <row r="32" spans="2:12" x14ac:dyDescent="0.25">
      <c r="B32" s="53"/>
      <c r="C32" s="46"/>
      <c r="D32" s="46"/>
      <c r="E32" s="46"/>
      <c r="F32" s="46"/>
      <c r="G32" s="46"/>
      <c r="H32" s="46"/>
      <c r="I32" s="46"/>
      <c r="J32" s="46"/>
      <c r="K32" s="46"/>
      <c r="L32" s="53"/>
    </row>
    <row r="33" spans="2:12" x14ac:dyDescent="0.25">
      <c r="B33" s="53"/>
      <c r="C33" s="46"/>
      <c r="D33" s="46" t="s">
        <v>86</v>
      </c>
      <c r="E33" s="46"/>
      <c r="F33" s="46" t="s">
        <v>40</v>
      </c>
      <c r="G33" s="70">
        <f>ServiceHistory!G57</f>
        <v>517581.13170222228</v>
      </c>
      <c r="H33" s="70">
        <f>ServiceHistory!H57</f>
        <v>590644.58003199997</v>
      </c>
      <c r="I33" s="70">
        <f>ServiceHistory!I57</f>
        <v>684112.63392326829</v>
      </c>
      <c r="J33" s="70">
        <f>ServiceHistory!J57</f>
        <v>817898.24621999997</v>
      </c>
      <c r="K33" s="70">
        <f>ServiceHistory!K57</f>
        <v>758534.76836899295</v>
      </c>
      <c r="L33" s="53"/>
    </row>
    <row r="34" spans="2:12" x14ac:dyDescent="0.25">
      <c r="B34" s="53"/>
      <c r="C34" s="46"/>
      <c r="D34" s="46" t="s">
        <v>87</v>
      </c>
      <c r="E34" s="46"/>
      <c r="F34" s="46"/>
      <c r="G34" s="70">
        <f>ServiceHistory!G64</f>
        <v>246886.19982196001</v>
      </c>
      <c r="H34" s="70">
        <f>ServiceHistory!H64</f>
        <v>275240.37429491204</v>
      </c>
      <c r="I34" s="70">
        <f>ServiceHistory!I64</f>
        <v>305251.05725656229</v>
      </c>
      <c r="J34" s="70">
        <f>ServiceHistory!J64</f>
        <v>343762.63288626599</v>
      </c>
      <c r="K34" s="70">
        <f>ServiceHistory!K64</f>
        <v>329659.21033316426</v>
      </c>
      <c r="L34" s="53"/>
    </row>
    <row r="35" spans="2:12" x14ac:dyDescent="0.25">
      <c r="B35" s="53"/>
      <c r="C35" s="46"/>
      <c r="D35" s="46"/>
      <c r="E35" s="46"/>
      <c r="F35" s="46" t="s">
        <v>40</v>
      </c>
      <c r="G35" s="71">
        <f>SUM(G33:G34)</f>
        <v>764467.33152418234</v>
      </c>
      <c r="H35" s="71">
        <f t="shared" ref="H35:K35" si="3">SUM(H33:H34)</f>
        <v>865884.95432691206</v>
      </c>
      <c r="I35" s="71">
        <f t="shared" si="3"/>
        <v>989363.69117983058</v>
      </c>
      <c r="J35" s="71">
        <f t="shared" si="3"/>
        <v>1161660.879106266</v>
      </c>
      <c r="K35" s="71">
        <f t="shared" si="3"/>
        <v>1088193.9787021573</v>
      </c>
      <c r="L35" s="53"/>
    </row>
    <row r="36" spans="2:12" x14ac:dyDescent="0.25">
      <c r="B36" s="53"/>
      <c r="L36" s="53"/>
    </row>
    <row r="37" spans="2:12" x14ac:dyDescent="0.25">
      <c r="B37" s="53"/>
      <c r="C37" t="s">
        <v>88</v>
      </c>
      <c r="L37" s="53"/>
    </row>
    <row r="38" spans="2:12" x14ac:dyDescent="0.25">
      <c r="B38" s="53"/>
      <c r="D38" s="52"/>
      <c r="E38" s="131" t="s">
        <v>104</v>
      </c>
      <c r="F38" s="52"/>
      <c r="G38" s="57" t="str">
        <f>GlobalInputs!G13</f>
        <v>2014/15</v>
      </c>
      <c r="H38" s="57" t="str">
        <f>GlobalInputs!H13</f>
        <v>2015/16</v>
      </c>
      <c r="I38" s="57" t="str">
        <f>GlobalInputs!I13</f>
        <v>2016/17</v>
      </c>
      <c r="J38" s="57" t="str">
        <f>GlobalInputs!J13</f>
        <v>2017/18</v>
      </c>
      <c r="K38" s="57" t="str">
        <f>GlobalInputs!K13</f>
        <v>2018/19</v>
      </c>
      <c r="L38" s="53"/>
    </row>
    <row r="39" spans="2:12" x14ac:dyDescent="0.25">
      <c r="B39" s="53"/>
      <c r="G39" s="44"/>
      <c r="H39" s="44"/>
      <c r="I39" s="44"/>
      <c r="J39" s="44"/>
      <c r="K39" s="44"/>
      <c r="L39" s="53"/>
    </row>
    <row r="40" spans="2:12" x14ac:dyDescent="0.25">
      <c r="B40" s="53"/>
      <c r="D40" t="s">
        <v>13</v>
      </c>
      <c r="F40" t="s">
        <v>40</v>
      </c>
      <c r="G40" s="67">
        <f>SUM(FeeConstruction!U8:U13)</f>
        <v>1004839.2708914296</v>
      </c>
      <c r="H40" s="67">
        <f>SUM(FeeConstruction!V8:V13)</f>
        <v>1026861.7307774667</v>
      </c>
      <c r="I40" s="67">
        <f>SUM(FeeConstruction!W8:W13)</f>
        <v>1048884.1906635037</v>
      </c>
      <c r="J40" s="67">
        <f>SUM(FeeConstruction!X8:X13)</f>
        <v>1070906.6505495408</v>
      </c>
      <c r="K40" s="67">
        <f>SUM(FeeConstruction!Y8:Y13)</f>
        <v>1092929.1104355778</v>
      </c>
      <c r="L40" s="53"/>
    </row>
    <row r="41" spans="2:12" x14ac:dyDescent="0.25">
      <c r="B41" s="53"/>
      <c r="L41" s="53"/>
    </row>
    <row r="42" spans="2:12" x14ac:dyDescent="0.25">
      <c r="B42" s="53"/>
      <c r="D42" t="s">
        <v>86</v>
      </c>
      <c r="F42" t="s">
        <v>40</v>
      </c>
      <c r="G42" s="67">
        <f>SUM(FeeConstruction!AB8:AB13)</f>
        <v>693944.47840962198</v>
      </c>
      <c r="H42" s="67">
        <f>SUM(FeeConstruction!AC8:AC13)</f>
        <v>709153.26428141014</v>
      </c>
      <c r="I42" s="67">
        <f>SUM(FeeConstruction!AD8:AD13)</f>
        <v>724362.05015319819</v>
      </c>
      <c r="J42" s="67">
        <f>SUM(FeeConstruction!AE8:AE13)</f>
        <v>739570.83602498635</v>
      </c>
      <c r="K42" s="67">
        <f>SUM(FeeConstruction!AF8:AF13)</f>
        <v>754779.62189677439</v>
      </c>
      <c r="L42" s="53"/>
    </row>
    <row r="43" spans="2:12" x14ac:dyDescent="0.25">
      <c r="B43" s="53"/>
      <c r="D43" t="s">
        <v>87</v>
      </c>
      <c r="G43" s="67">
        <f>SUM(FeeConstruction!AI8:AI13)</f>
        <v>289168.00656389311</v>
      </c>
      <c r="H43" s="67">
        <f>SUM(FeeConstruction!AJ8:AJ13)</f>
        <v>295505.50763666723</v>
      </c>
      <c r="I43" s="67">
        <f>SUM(FeeConstruction!AK8:AK13)</f>
        <v>301843.00870944135</v>
      </c>
      <c r="J43" s="67">
        <f>SUM(FeeConstruction!AL8:AL13)</f>
        <v>308180.50978221546</v>
      </c>
      <c r="K43" s="67">
        <f>SUM(FeeConstruction!AM8:AM13)</f>
        <v>314518.01085498952</v>
      </c>
      <c r="L43" s="53"/>
    </row>
    <row r="44" spans="2:12" x14ac:dyDescent="0.25">
      <c r="B44" s="53"/>
      <c r="D44" t="s">
        <v>175</v>
      </c>
      <c r="G44" s="67">
        <f>SUM(FeeConstruction!AP8:AP13)</f>
        <v>21726.785917914676</v>
      </c>
      <c r="H44" s="67">
        <f>SUM(FeeConstruction!AQ8:AQ13)</f>
        <v>22202.958859389502</v>
      </c>
      <c r="I44" s="67">
        <f>SUM(FeeConstruction!AR8:AR13)</f>
        <v>22679.131800864321</v>
      </c>
      <c r="J44" s="67">
        <f>SUM(FeeConstruction!AS8:AS13)</f>
        <v>23155.304742339147</v>
      </c>
      <c r="K44" s="67">
        <f>SUM(FeeConstruction!AT8:AT13)</f>
        <v>23631.477683813973</v>
      </c>
      <c r="L44" s="53"/>
    </row>
    <row r="45" spans="2:12" x14ac:dyDescent="0.25">
      <c r="B45" s="53"/>
      <c r="F45" t="s">
        <v>40</v>
      </c>
      <c r="G45" s="68">
        <f>SUM(G42:G44)</f>
        <v>1004839.2708914299</v>
      </c>
      <c r="H45" s="68">
        <f t="shared" ref="H45:K45" si="4">SUM(H42:H44)</f>
        <v>1026861.7307774669</v>
      </c>
      <c r="I45" s="68">
        <f t="shared" si="4"/>
        <v>1048884.1906635039</v>
      </c>
      <c r="J45" s="68">
        <f t="shared" si="4"/>
        <v>1070906.650549541</v>
      </c>
      <c r="K45" s="68">
        <f t="shared" si="4"/>
        <v>1092929.1104355778</v>
      </c>
      <c r="L45" s="53"/>
    </row>
    <row r="46" spans="2:12" x14ac:dyDescent="0.25">
      <c r="B46" s="53"/>
      <c r="C46" s="53"/>
      <c r="D46" s="53"/>
      <c r="E46" s="53"/>
      <c r="F46" s="53"/>
      <c r="G46" s="53"/>
      <c r="H46" s="53"/>
      <c r="I46" s="53"/>
      <c r="J46" s="53"/>
      <c r="K46" s="53"/>
      <c r="L46" s="53"/>
    </row>
  </sheetData>
  <mergeCells count="5">
    <mergeCell ref="C11:K11"/>
    <mergeCell ref="C6:K6"/>
    <mergeCell ref="F15:G15"/>
    <mergeCell ref="I15:J15"/>
    <mergeCell ref="C7:K7"/>
  </mergeCells>
  <pageMargins left="0.39370078740157483" right="0.39370078740157483" top="0.39370078740157483" bottom="0.39370078740157483" header="0.19685039370078741" footer="0.19685039370078741"/>
  <pageSetup paperSize="9" scale="83" orientation="portrait" r:id="rId1"/>
  <headerFooter>
    <oddFooter>&amp;C&amp;F&amp;R&amp;A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E3"/>
  <sheetViews>
    <sheetView workbookViewId="0"/>
  </sheetViews>
  <sheetFormatPr defaultColWidth="0" defaultRowHeight="15" customHeight="1"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M30"/>
  <sheetViews>
    <sheetView topLeftCell="A4" zoomScale="90" zoomScaleNormal="90" zoomScalePageLayoutView="125" workbookViewId="0">
      <selection activeCell="J21" sqref="J21"/>
    </sheetView>
  </sheetViews>
  <sheetFormatPr defaultColWidth="10.85546875" defaultRowHeight="12.95" customHeight="1" x14ac:dyDescent="0.2"/>
  <cols>
    <col min="1" max="4" width="2.28515625" style="115" customWidth="1"/>
    <col min="5" max="5" width="39.28515625" style="115" customWidth="1"/>
    <col min="6" max="11" width="10.85546875" style="115"/>
    <col min="12" max="12" width="2.7109375" style="115" customWidth="1"/>
    <col min="13" max="13" width="45.85546875" style="115" customWidth="1"/>
    <col min="14" max="16384" width="10.85546875" style="115"/>
  </cols>
  <sheetData>
    <row r="1" spans="1:13" ht="12.95" customHeight="1" x14ac:dyDescent="0.2">
      <c r="A1" s="115" t="s">
        <v>15</v>
      </c>
    </row>
    <row r="2" spans="1:13" ht="18" customHeight="1" x14ac:dyDescent="0.25">
      <c r="A2" s="123" t="s">
        <v>16</v>
      </c>
      <c r="F2" s="116" t="str">
        <f>IF(ROUND($E$6,6)=0,"ok","Problem - review CheckSheet")</f>
        <v>ok</v>
      </c>
    </row>
    <row r="3" spans="1:13" ht="12.95" customHeight="1" x14ac:dyDescent="0.2">
      <c r="A3" s="115" t="str">
        <f>G9</f>
        <v>ASP Fees</v>
      </c>
      <c r="F3" s="116"/>
    </row>
    <row r="5" spans="1:13" ht="12.95" customHeight="1" x14ac:dyDescent="0.2">
      <c r="B5" s="115" t="s">
        <v>21</v>
      </c>
    </row>
    <row r="6" spans="1:13" ht="12.95" customHeight="1" x14ac:dyDescent="0.2">
      <c r="C6" s="115" t="s">
        <v>19</v>
      </c>
      <c r="G6" s="177" t="s">
        <v>20</v>
      </c>
      <c r="H6" s="177"/>
      <c r="M6" s="117" t="s">
        <v>38</v>
      </c>
    </row>
    <row r="7" spans="1:13" ht="12.95" customHeight="1" x14ac:dyDescent="0.2">
      <c r="C7" s="115" t="s">
        <v>18</v>
      </c>
      <c r="G7" s="177" t="s">
        <v>134</v>
      </c>
      <c r="H7" s="177"/>
      <c r="I7" s="177"/>
      <c r="J7" s="177"/>
      <c r="K7" s="177"/>
    </row>
    <row r="8" spans="1:13" ht="12.95" customHeight="1" x14ac:dyDescent="0.2">
      <c r="G8" s="138" t="s">
        <v>135</v>
      </c>
      <c r="H8" s="138"/>
      <c r="I8" s="138"/>
      <c r="J8" s="138"/>
      <c r="K8" s="138"/>
    </row>
    <row r="9" spans="1:13" ht="12.95" customHeight="1" x14ac:dyDescent="0.2">
      <c r="C9" s="115" t="s">
        <v>126</v>
      </c>
      <c r="G9" s="178" t="s">
        <v>136</v>
      </c>
      <c r="H9" s="178"/>
      <c r="I9" s="178"/>
    </row>
    <row r="11" spans="1:13" ht="12.95" customHeight="1" x14ac:dyDescent="0.2">
      <c r="B11" s="115" t="s">
        <v>22</v>
      </c>
    </row>
    <row r="12" spans="1:13" ht="12.95" customHeight="1" x14ac:dyDescent="0.2">
      <c r="C12" s="115" t="s">
        <v>23</v>
      </c>
      <c r="G12" s="118" t="s">
        <v>2</v>
      </c>
      <c r="H12" s="118" t="s">
        <v>3</v>
      </c>
      <c r="I12" s="118" t="s">
        <v>4</v>
      </c>
      <c r="J12" s="118" t="s">
        <v>5</v>
      </c>
      <c r="K12" s="118" t="s">
        <v>6</v>
      </c>
    </row>
    <row r="13" spans="1:13" ht="12.95" customHeight="1" x14ac:dyDescent="0.2">
      <c r="C13" s="115" t="s">
        <v>24</v>
      </c>
      <c r="G13" s="118" t="s">
        <v>7</v>
      </c>
      <c r="H13" s="118" t="s">
        <v>8</v>
      </c>
      <c r="I13" s="118" t="s">
        <v>9</v>
      </c>
      <c r="J13" s="118" t="s">
        <v>10</v>
      </c>
      <c r="K13" s="118" t="s">
        <v>11</v>
      </c>
    </row>
    <row r="15" spans="1:13" ht="12.95" customHeight="1" x14ac:dyDescent="0.2">
      <c r="B15" s="115" t="s">
        <v>25</v>
      </c>
    </row>
    <row r="16" spans="1:13" ht="12.95" customHeight="1" x14ac:dyDescent="0.2">
      <c r="B16" s="107" t="s">
        <v>26</v>
      </c>
      <c r="C16" s="108"/>
      <c r="D16" s="108"/>
      <c r="E16" s="108"/>
      <c r="F16" s="108"/>
      <c r="G16" s="124" t="s">
        <v>100</v>
      </c>
      <c r="H16" s="124" t="s">
        <v>101</v>
      </c>
      <c r="I16" s="124" t="s">
        <v>102</v>
      </c>
      <c r="J16" s="125" t="s">
        <v>103</v>
      </c>
      <c r="M16" s="174" t="s">
        <v>184</v>
      </c>
    </row>
    <row r="17" spans="2:13" ht="12.95" customHeight="1" x14ac:dyDescent="0.2">
      <c r="B17" s="109"/>
      <c r="C17" s="110"/>
      <c r="D17" s="110"/>
      <c r="E17" s="110" t="s">
        <v>104</v>
      </c>
      <c r="F17" s="110"/>
      <c r="G17" s="110" t="s">
        <v>105</v>
      </c>
      <c r="H17" s="110" t="s">
        <v>105</v>
      </c>
      <c r="I17" s="110" t="s">
        <v>106</v>
      </c>
      <c r="J17" s="111" t="s">
        <v>107</v>
      </c>
      <c r="M17" s="175"/>
    </row>
    <row r="18" spans="2:13" ht="12.95" customHeight="1" x14ac:dyDescent="0.2">
      <c r="B18" s="109"/>
      <c r="C18" s="112" t="s">
        <v>27</v>
      </c>
      <c r="D18" s="112"/>
      <c r="E18" s="112" t="s">
        <v>28</v>
      </c>
      <c r="F18" s="112" t="s">
        <v>29</v>
      </c>
      <c r="G18" s="119">
        <v>78.184626490066336</v>
      </c>
      <c r="H18" s="119">
        <v>32.590000000000003</v>
      </c>
      <c r="I18" s="119">
        <v>2.4500000000000002</v>
      </c>
      <c r="J18" s="120">
        <v>113.22462649006634</v>
      </c>
      <c r="M18" s="175"/>
    </row>
    <row r="19" spans="2:13" ht="12.95" customHeight="1" x14ac:dyDescent="0.2">
      <c r="B19" s="109"/>
      <c r="C19" s="112" t="s">
        <v>30</v>
      </c>
      <c r="D19" s="112"/>
      <c r="E19" s="112" t="s">
        <v>31</v>
      </c>
      <c r="F19" s="112"/>
      <c r="G19" s="119">
        <v>99.160031683948517</v>
      </c>
      <c r="H19" s="119">
        <v>41.33</v>
      </c>
      <c r="I19" s="119">
        <v>3.1</v>
      </c>
      <c r="J19" s="120">
        <v>143.59003168394852</v>
      </c>
      <c r="M19" s="175"/>
    </row>
    <row r="20" spans="2:13" ht="12.95" customHeight="1" x14ac:dyDescent="0.2">
      <c r="B20" s="109"/>
      <c r="C20" s="112" t="s">
        <v>32</v>
      </c>
      <c r="D20" s="112"/>
      <c r="E20" s="112" t="s">
        <v>33</v>
      </c>
      <c r="F20" s="112"/>
      <c r="G20" s="119">
        <v>118.11003168394852</v>
      </c>
      <c r="H20" s="119">
        <v>49.227195871359022</v>
      </c>
      <c r="I20" s="119">
        <v>3.6927860848396072</v>
      </c>
      <c r="J20" s="120">
        <v>171.03001364014716</v>
      </c>
      <c r="M20" s="175"/>
    </row>
    <row r="21" spans="2:13" ht="12.95" customHeight="1" x14ac:dyDescent="0.2">
      <c r="B21" s="109"/>
      <c r="C21" s="112" t="s">
        <v>34</v>
      </c>
      <c r="D21" s="112"/>
      <c r="E21" s="112" t="s">
        <v>35</v>
      </c>
      <c r="F21" s="112"/>
      <c r="G21" s="119">
        <v>132.85725843654632</v>
      </c>
      <c r="H21" s="119">
        <v>55.367195871359023</v>
      </c>
      <c r="I21" s="119">
        <v>4.1527860848396072</v>
      </c>
      <c r="J21" s="120">
        <v>192.37724039274497</v>
      </c>
      <c r="M21" s="175"/>
    </row>
    <row r="22" spans="2:13" ht="12.95" customHeight="1" x14ac:dyDescent="0.2">
      <c r="B22" s="109"/>
      <c r="C22" s="112" t="s">
        <v>36</v>
      </c>
      <c r="D22" s="112"/>
      <c r="E22" s="112" t="s">
        <v>37</v>
      </c>
      <c r="F22" s="112"/>
      <c r="G22" s="119">
        <v>89.78155428259754</v>
      </c>
      <c r="H22" s="119">
        <v>37.417195871359027</v>
      </c>
      <c r="I22" s="119">
        <v>2.8127860848396073</v>
      </c>
      <c r="J22" s="120">
        <v>130.01153623879617</v>
      </c>
      <c r="M22" s="175"/>
    </row>
    <row r="23" spans="2:13" ht="12.95" customHeight="1" x14ac:dyDescent="0.2">
      <c r="B23" s="109"/>
      <c r="C23" s="112" t="s">
        <v>14</v>
      </c>
      <c r="D23" s="112"/>
      <c r="E23" s="112" t="s">
        <v>14</v>
      </c>
      <c r="F23" s="112"/>
      <c r="G23" s="119">
        <v>0</v>
      </c>
      <c r="H23" s="119">
        <v>0</v>
      </c>
      <c r="I23" s="119">
        <v>0</v>
      </c>
      <c r="J23" s="120">
        <v>0</v>
      </c>
      <c r="M23" s="175"/>
    </row>
    <row r="24" spans="2:13" ht="12.95" customHeight="1" x14ac:dyDescent="0.2">
      <c r="B24" s="109"/>
      <c r="C24" s="112" t="s">
        <v>14</v>
      </c>
      <c r="D24" s="112"/>
      <c r="E24" s="112" t="s">
        <v>14</v>
      </c>
      <c r="F24" s="112"/>
      <c r="G24" s="119">
        <v>0</v>
      </c>
      <c r="H24" s="119">
        <v>0</v>
      </c>
      <c r="I24" s="119">
        <v>0</v>
      </c>
      <c r="J24" s="120">
        <v>0</v>
      </c>
      <c r="M24" s="175"/>
    </row>
    <row r="25" spans="2:13" ht="12.95" customHeight="1" x14ac:dyDescent="0.2">
      <c r="B25" s="109"/>
      <c r="C25" s="112" t="s">
        <v>14</v>
      </c>
      <c r="D25" s="112"/>
      <c r="E25" s="112" t="s">
        <v>14</v>
      </c>
      <c r="F25" s="112"/>
      <c r="G25" s="119">
        <v>0</v>
      </c>
      <c r="H25" s="119">
        <v>0</v>
      </c>
      <c r="I25" s="119">
        <v>0</v>
      </c>
      <c r="J25" s="120">
        <v>0</v>
      </c>
      <c r="M25" s="175"/>
    </row>
    <row r="26" spans="2:13" ht="12.95" customHeight="1" x14ac:dyDescent="0.2">
      <c r="B26" s="109"/>
      <c r="C26" s="112" t="s">
        <v>14</v>
      </c>
      <c r="D26" s="112"/>
      <c r="E26" s="112" t="s">
        <v>14</v>
      </c>
      <c r="F26" s="112"/>
      <c r="G26" s="119">
        <v>0</v>
      </c>
      <c r="H26" s="119">
        <v>0</v>
      </c>
      <c r="I26" s="119">
        <v>0</v>
      </c>
      <c r="J26" s="120">
        <v>0</v>
      </c>
      <c r="M26" s="175"/>
    </row>
    <row r="27" spans="2:13" ht="63.75" customHeight="1" x14ac:dyDescent="0.2">
      <c r="B27" s="113"/>
      <c r="C27" s="114" t="s">
        <v>14</v>
      </c>
      <c r="D27" s="114"/>
      <c r="E27" s="114" t="s">
        <v>14</v>
      </c>
      <c r="F27" s="114"/>
      <c r="G27" s="121">
        <v>0</v>
      </c>
      <c r="H27" s="121">
        <v>0</v>
      </c>
      <c r="I27" s="121">
        <v>0</v>
      </c>
      <c r="J27" s="122">
        <v>0</v>
      </c>
      <c r="M27" s="176"/>
    </row>
    <row r="30" spans="2:13" s="6" customFormat="1" ht="14.1" customHeight="1" x14ac:dyDescent="0.25"/>
  </sheetData>
  <mergeCells count="4">
    <mergeCell ref="M16:M27"/>
    <mergeCell ref="G6:H6"/>
    <mergeCell ref="G7:K7"/>
    <mergeCell ref="G9:I9"/>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F34"/>
  <sheetViews>
    <sheetView zoomScale="90" zoomScaleNormal="90" zoomScalePageLayoutView="125" workbookViewId="0">
      <selection activeCell="C20" sqref="C20"/>
    </sheetView>
  </sheetViews>
  <sheetFormatPr defaultColWidth="9.140625" defaultRowHeight="15" x14ac:dyDescent="0.25"/>
  <cols>
    <col min="1" max="1" width="2.28515625" customWidth="1"/>
    <col min="2" max="2" width="2.28515625" style="3" customWidth="1"/>
    <col min="3" max="3" width="26.42578125" style="3" customWidth="1"/>
    <col min="4" max="4" width="39.140625" style="3" customWidth="1"/>
    <col min="5" max="5" width="46.7109375" style="3" customWidth="1"/>
    <col min="6" max="6" width="9.140625" style="3" customWidth="1"/>
    <col min="7" max="7" width="9.140625" customWidth="1"/>
  </cols>
  <sheetData>
    <row r="1" spans="1:6" x14ac:dyDescent="0.25">
      <c r="A1" t="str">
        <f>GlobalInputs!A1</f>
        <v>Ancillary Network Services Pricing Model</v>
      </c>
    </row>
    <row r="2" spans="1:6" ht="15.75" x14ac:dyDescent="0.25">
      <c r="A2" s="5" t="s">
        <v>57</v>
      </c>
      <c r="B2"/>
      <c r="C2"/>
      <c r="D2" s="74" t="str">
        <f>IF(ROUND(CheckSheet!E5,6)=0,"ok","Problem - review CheckSheet")</f>
        <v>ok</v>
      </c>
      <c r="E2"/>
      <c r="F2"/>
    </row>
    <row r="3" spans="1:6" x14ac:dyDescent="0.25">
      <c r="A3" s="4" t="str">
        <f>GlobalInputs!G9</f>
        <v>ASP Fees</v>
      </c>
      <c r="B3"/>
      <c r="C3"/>
      <c r="D3" s="74"/>
      <c r="E3"/>
      <c r="F3"/>
    </row>
    <row r="5" spans="1:6" x14ac:dyDescent="0.25">
      <c r="B5" s="14" t="s">
        <v>18</v>
      </c>
      <c r="D5" s="3" t="str">
        <f>GlobalInputs!G7</f>
        <v>09 - Authorisation of ASPs</v>
      </c>
    </row>
    <row r="6" spans="1:6" x14ac:dyDescent="0.25">
      <c r="B6" s="14"/>
      <c r="D6" s="3" t="str">
        <f>GlobalInputs!G8</f>
        <v>24 - Remedial (ASPs)</v>
      </c>
    </row>
    <row r="7" spans="1:6" x14ac:dyDescent="0.25">
      <c r="B7" s="14"/>
    </row>
    <row r="8" spans="1:6" x14ac:dyDescent="0.25">
      <c r="B8" s="14" t="s">
        <v>61</v>
      </c>
    </row>
    <row r="9" spans="1:6" ht="41.25" customHeight="1" x14ac:dyDescent="0.25">
      <c r="B9" s="14"/>
      <c r="C9" s="179" t="s">
        <v>166</v>
      </c>
      <c r="D9" s="179"/>
      <c r="E9" s="179"/>
    </row>
    <row r="10" spans="1:6" ht="54.75" customHeight="1" x14ac:dyDescent="0.25">
      <c r="B10" s="14"/>
      <c r="C10" s="179" t="s">
        <v>167</v>
      </c>
      <c r="D10" s="179"/>
      <c r="E10" s="179"/>
    </row>
    <row r="11" spans="1:6" x14ac:dyDescent="0.25">
      <c r="B11" s="14"/>
    </row>
    <row r="12" spans="1:6" x14ac:dyDescent="0.25">
      <c r="B12" s="14" t="s">
        <v>1</v>
      </c>
    </row>
    <row r="13" spans="1:6" ht="120.95" customHeight="1" x14ac:dyDescent="0.25">
      <c r="B13" s="14"/>
      <c r="C13" s="179" t="s">
        <v>62</v>
      </c>
      <c r="D13" s="179"/>
      <c r="E13" s="179"/>
    </row>
    <row r="14" spans="1:6" x14ac:dyDescent="0.25">
      <c r="B14" s="14"/>
    </row>
    <row r="15" spans="1:6" x14ac:dyDescent="0.25">
      <c r="B15" s="3" t="s">
        <v>58</v>
      </c>
    </row>
    <row r="16" spans="1:6" x14ac:dyDescent="0.25">
      <c r="C16" s="25" t="s">
        <v>59</v>
      </c>
      <c r="D16" s="25" t="s">
        <v>60</v>
      </c>
      <c r="E16" s="25"/>
    </row>
    <row r="18" spans="3:5" ht="14.1" customHeight="1" x14ac:dyDescent="0.25">
      <c r="C18" s="104" t="s">
        <v>169</v>
      </c>
      <c r="D18" s="179" t="s">
        <v>138</v>
      </c>
      <c r="E18" s="179"/>
    </row>
    <row r="19" spans="3:5" x14ac:dyDescent="0.25">
      <c r="C19" s="27"/>
      <c r="D19" s="179"/>
      <c r="E19" s="179"/>
    </row>
    <row r="20" spans="3:5" x14ac:dyDescent="0.25">
      <c r="C20" s="104" t="s">
        <v>171</v>
      </c>
      <c r="D20" s="158" t="s">
        <v>170</v>
      </c>
      <c r="E20" s="158"/>
    </row>
    <row r="21" spans="3:5" x14ac:dyDescent="0.25">
      <c r="C21" s="27"/>
      <c r="D21" s="158"/>
      <c r="E21" s="158"/>
    </row>
    <row r="22" spans="3:5" ht="14.1" customHeight="1" x14ac:dyDescent="0.25">
      <c r="C22" s="104" t="s">
        <v>177</v>
      </c>
      <c r="D22" s="179" t="s">
        <v>165</v>
      </c>
      <c r="E22" s="179"/>
    </row>
    <row r="23" spans="3:5" x14ac:dyDescent="0.25">
      <c r="C23" s="105"/>
      <c r="D23" s="179"/>
      <c r="E23" s="179"/>
    </row>
    <row r="24" spans="3:5" ht="14.1" customHeight="1" x14ac:dyDescent="0.25">
      <c r="C24" s="104" t="s">
        <v>139</v>
      </c>
      <c r="D24" s="179" t="s">
        <v>140</v>
      </c>
      <c r="E24" s="179"/>
    </row>
    <row r="25" spans="3:5" x14ac:dyDescent="0.25">
      <c r="C25" s="27"/>
      <c r="D25" s="179"/>
      <c r="E25" s="179"/>
    </row>
    <row r="26" spans="3:5" x14ac:dyDescent="0.25">
      <c r="C26" s="28"/>
      <c r="D26" s="26"/>
      <c r="E26" s="26"/>
    </row>
    <row r="27" spans="3:5" x14ac:dyDescent="0.25">
      <c r="C27" s="28"/>
      <c r="D27" s="26"/>
      <c r="E27" s="26"/>
    </row>
    <row r="28" spans="3:5" x14ac:dyDescent="0.25">
      <c r="C28" s="28"/>
      <c r="D28" s="26"/>
      <c r="E28" s="26"/>
    </row>
    <row r="29" spans="3:5" x14ac:dyDescent="0.25">
      <c r="C29" s="28"/>
      <c r="D29" s="26"/>
      <c r="E29" s="26"/>
    </row>
    <row r="30" spans="3:5" x14ac:dyDescent="0.25">
      <c r="C30" s="28"/>
      <c r="D30" s="26"/>
      <c r="E30" s="26"/>
    </row>
    <row r="31" spans="3:5" x14ac:dyDescent="0.25">
      <c r="C31" s="28"/>
      <c r="D31" s="26"/>
      <c r="E31" s="26"/>
    </row>
    <row r="32" spans="3:5" x14ac:dyDescent="0.25">
      <c r="C32" s="28"/>
      <c r="D32" s="26"/>
      <c r="E32" s="26"/>
    </row>
    <row r="33" spans="4:5" x14ac:dyDescent="0.25">
      <c r="D33" s="26"/>
      <c r="E33" s="26"/>
    </row>
    <row r="34" spans="4:5" x14ac:dyDescent="0.25">
      <c r="D34" s="26"/>
      <c r="E34" s="26"/>
    </row>
  </sheetData>
  <mergeCells count="6">
    <mergeCell ref="C9:E9"/>
    <mergeCell ref="C13:E13"/>
    <mergeCell ref="D18:E19"/>
    <mergeCell ref="D22:E23"/>
    <mergeCell ref="D24:E25"/>
    <mergeCell ref="C10:E10"/>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O64"/>
  <sheetViews>
    <sheetView zoomScale="90" zoomScaleNormal="90" zoomScalePageLayoutView="125" workbookViewId="0">
      <pane xSplit="5" ySplit="4" topLeftCell="F5" activePane="bottomRight" state="frozenSplit"/>
      <selection pane="topRight" activeCell="F1" sqref="F1"/>
      <selection pane="bottomLeft" activeCell="A4" sqref="A4"/>
      <selection pane="bottomRight" activeCell="G12" sqref="G12"/>
    </sheetView>
  </sheetViews>
  <sheetFormatPr defaultColWidth="9.140625" defaultRowHeight="14.1" customHeight="1" x14ac:dyDescent="0.25"/>
  <cols>
    <col min="1" max="3" width="2.140625" style="87" customWidth="1"/>
    <col min="4" max="4" width="1.85546875" style="87" customWidth="1"/>
    <col min="5" max="5" width="42.140625" style="87" customWidth="1"/>
    <col min="6" max="12" width="10.85546875" style="87" customWidth="1"/>
    <col min="13" max="13" width="2.42578125" style="87" customWidth="1"/>
    <col min="14" max="14" width="48.85546875" style="86" customWidth="1"/>
    <col min="15" max="15" width="10.7109375" style="87" customWidth="1"/>
    <col min="16" max="18" width="9.140625" style="87" customWidth="1"/>
    <col min="19" max="16384" width="9.140625" style="87"/>
  </cols>
  <sheetData>
    <row r="1" spans="1:15" ht="14.1" customHeight="1" x14ac:dyDescent="0.2">
      <c r="A1" s="85" t="s">
        <v>15</v>
      </c>
      <c r="B1" s="85"/>
      <c r="C1" s="85"/>
      <c r="D1" s="85"/>
      <c r="E1" s="85"/>
      <c r="F1" s="85"/>
      <c r="G1" s="85"/>
      <c r="H1" s="85"/>
      <c r="I1" s="85"/>
      <c r="J1" s="85"/>
      <c r="K1" s="85"/>
      <c r="L1" s="85"/>
      <c r="M1" s="85"/>
      <c r="O1" s="85"/>
    </row>
    <row r="2" spans="1:15" ht="14.1" customHeight="1" x14ac:dyDescent="0.25">
      <c r="A2" s="88" t="s">
        <v>64</v>
      </c>
      <c r="B2" s="89"/>
      <c r="C2" s="89"/>
      <c r="D2" s="89"/>
      <c r="E2" s="89"/>
      <c r="F2" s="90" t="str">
        <f>IF(ROUND($E$5,6)=0,"ok","Problem - review CheckSheet")</f>
        <v>ok</v>
      </c>
      <c r="G2" s="89"/>
      <c r="H2" s="89"/>
      <c r="I2" s="89"/>
      <c r="J2" s="89"/>
      <c r="K2" s="89"/>
      <c r="L2" s="89"/>
      <c r="M2" s="89"/>
      <c r="N2" s="91"/>
      <c r="O2" s="89"/>
    </row>
    <row r="3" spans="1:15" ht="14.1" customHeight="1" x14ac:dyDescent="0.25">
      <c r="A3" s="87" t="str">
        <f>GlobalInputs!G9</f>
        <v>ASP Fees</v>
      </c>
      <c r="N3" s="92" t="s">
        <v>38</v>
      </c>
      <c r="O3" s="92" t="s">
        <v>185</v>
      </c>
    </row>
    <row r="5" spans="1:15" ht="14.1" customHeight="1" x14ac:dyDescent="0.25">
      <c r="B5" s="87" t="s">
        <v>63</v>
      </c>
    </row>
    <row r="6" spans="1:15" ht="14.1" customHeight="1" x14ac:dyDescent="0.25">
      <c r="C6" s="87" t="str">
        <f>ServiceDescription!C18</f>
        <v>Authorisation of ASPs - Initial</v>
      </c>
    </row>
    <row r="7" spans="1:15" ht="14.1" customHeight="1" x14ac:dyDescent="0.25">
      <c r="D7" s="87" t="s">
        <v>142</v>
      </c>
      <c r="F7" s="87" t="s">
        <v>40</v>
      </c>
      <c r="G7" s="84">
        <v>159</v>
      </c>
    </row>
    <row r="8" spans="1:15" ht="14.1" customHeight="1" x14ac:dyDescent="0.25">
      <c r="D8" s="87" t="s">
        <v>143</v>
      </c>
      <c r="G8" s="84">
        <v>159</v>
      </c>
    </row>
    <row r="9" spans="1:15" ht="14.1" customHeight="1" x14ac:dyDescent="0.25">
      <c r="C9" s="87" t="str">
        <f>ServiceDescription!C22</f>
        <v>Authorisation Training</v>
      </c>
      <c r="G9" s="93"/>
    </row>
    <row r="10" spans="1:15" ht="14.1" customHeight="1" x14ac:dyDescent="0.25">
      <c r="D10" s="87" t="str">
        <f>C9</f>
        <v>Authorisation Training</v>
      </c>
      <c r="G10" s="84" t="s">
        <v>188</v>
      </c>
    </row>
    <row r="11" spans="1:15" ht="14.1" customHeight="1" x14ac:dyDescent="0.25">
      <c r="C11" s="87" t="str">
        <f>ServiceDescription!C24</f>
        <v>Remedial action of ASPs</v>
      </c>
      <c r="G11" s="93"/>
    </row>
    <row r="12" spans="1:15" ht="14.1" customHeight="1" x14ac:dyDescent="0.25">
      <c r="D12" s="87" t="str">
        <f>C11</f>
        <v>Remedial action of ASPs</v>
      </c>
      <c r="G12" s="84" t="s">
        <v>188</v>
      </c>
    </row>
    <row r="13" spans="1:15" ht="14.1" customHeight="1" x14ac:dyDescent="0.25">
      <c r="G13" s="139"/>
      <c r="N13" s="87"/>
    </row>
    <row r="14" spans="1:15" ht="14.1" customHeight="1" x14ac:dyDescent="0.25">
      <c r="B14" s="87" t="s">
        <v>130</v>
      </c>
      <c r="G14" s="139"/>
      <c r="N14" s="87"/>
    </row>
    <row r="15" spans="1:15" ht="14.1" customHeight="1" x14ac:dyDescent="0.25">
      <c r="C15" s="87" t="str">
        <f>C6</f>
        <v>Authorisation of ASPs - Initial</v>
      </c>
      <c r="G15" s="139"/>
      <c r="N15" s="180" t="s">
        <v>176</v>
      </c>
      <c r="O15" s="87" t="s">
        <v>45</v>
      </c>
    </row>
    <row r="16" spans="1:15" ht="14.1" customHeight="1" x14ac:dyDescent="0.25">
      <c r="D16" s="87" t="s">
        <v>131</v>
      </c>
      <c r="G16" s="84">
        <v>1</v>
      </c>
      <c r="N16" s="181"/>
    </row>
    <row r="17" spans="2:15" ht="14.1" customHeight="1" x14ac:dyDescent="0.25">
      <c r="C17" s="87" t="str">
        <f>C9</f>
        <v>Authorisation Training</v>
      </c>
      <c r="G17" s="139"/>
      <c r="N17" s="181"/>
      <c r="O17" s="87" t="s">
        <v>44</v>
      </c>
    </row>
    <row r="18" spans="2:15" ht="14.1" customHeight="1" x14ac:dyDescent="0.25">
      <c r="D18" s="87" t="s">
        <v>131</v>
      </c>
      <c r="G18" s="84">
        <v>1</v>
      </c>
      <c r="N18" s="181"/>
    </row>
    <row r="19" spans="2:15" ht="14.1" customHeight="1" x14ac:dyDescent="0.25">
      <c r="C19" s="87" t="str">
        <f>C11</f>
        <v>Remedial action of ASPs</v>
      </c>
      <c r="G19" s="139"/>
      <c r="N19" s="181"/>
      <c r="O19" s="87" t="s">
        <v>46</v>
      </c>
    </row>
    <row r="20" spans="2:15" ht="14.1" customHeight="1" x14ac:dyDescent="0.25">
      <c r="D20" s="87" t="s">
        <v>131</v>
      </c>
      <c r="G20" s="84">
        <v>1</v>
      </c>
      <c r="N20" s="182"/>
    </row>
    <row r="22" spans="2:15" ht="14.1" customHeight="1" x14ac:dyDescent="0.25">
      <c r="B22" s="87" t="s">
        <v>39</v>
      </c>
    </row>
    <row r="23" spans="2:15" ht="14.1" customHeight="1" x14ac:dyDescent="0.25">
      <c r="C23" s="94"/>
      <c r="D23" s="94"/>
      <c r="E23" s="129" t="s">
        <v>117</v>
      </c>
      <c r="F23" s="94"/>
      <c r="G23" s="99" t="str">
        <f>GlobalInputs!G12</f>
        <v>2009/10</v>
      </c>
      <c r="H23" s="99" t="str">
        <f>GlobalInputs!H12</f>
        <v>2010/11</v>
      </c>
      <c r="I23" s="99" t="str">
        <f>GlobalInputs!I12</f>
        <v>2011/12</v>
      </c>
      <c r="J23" s="99" t="str">
        <f>GlobalInputs!J12</f>
        <v>2012/13</v>
      </c>
      <c r="K23" s="99" t="str">
        <f>GlobalInputs!K12</f>
        <v>2013/14</v>
      </c>
    </row>
    <row r="24" spans="2:15" ht="14.1" customHeight="1" x14ac:dyDescent="0.2">
      <c r="C24" s="87" t="str">
        <f>ServiceDescription!C18</f>
        <v>Authorisation of ASPs - Initial</v>
      </c>
      <c r="F24" s="87" t="s">
        <v>40</v>
      </c>
      <c r="G24" s="140">
        <v>23448</v>
      </c>
      <c r="H24" s="140">
        <v>32522.32</v>
      </c>
      <c r="I24" s="140">
        <v>36173.82</v>
      </c>
      <c r="J24" s="140">
        <v>55904</v>
      </c>
      <c r="K24" s="140">
        <v>49644.800000000003</v>
      </c>
      <c r="N24" s="184" t="s">
        <v>127</v>
      </c>
      <c r="O24" s="87" t="s">
        <v>144</v>
      </c>
    </row>
    <row r="25" spans="2:15" ht="14.1" customHeight="1" x14ac:dyDescent="0.2">
      <c r="C25" s="87" t="str">
        <f>ServiceDescription!C20</f>
        <v>Authorisation - renewal</v>
      </c>
      <c r="G25" s="165">
        <v>0</v>
      </c>
      <c r="H25" s="165">
        <v>0</v>
      </c>
      <c r="I25" s="165">
        <v>0</v>
      </c>
      <c r="J25" s="165">
        <v>0</v>
      </c>
      <c r="K25" s="165">
        <v>0</v>
      </c>
      <c r="N25" s="185"/>
    </row>
    <row r="26" spans="2:15" ht="14.1" customHeight="1" x14ac:dyDescent="0.25">
      <c r="C26" s="87" t="str">
        <f>ServiceDescription!C22</f>
        <v>Authorisation Training</v>
      </c>
      <c r="G26" s="100">
        <v>0</v>
      </c>
      <c r="H26" s="100">
        <v>0</v>
      </c>
      <c r="I26" s="100">
        <v>0</v>
      </c>
      <c r="J26" s="100">
        <v>0</v>
      </c>
      <c r="K26" s="100">
        <v>0</v>
      </c>
      <c r="N26" s="185"/>
      <c r="O26" s="87" t="s">
        <v>145</v>
      </c>
    </row>
    <row r="27" spans="2:15" ht="14.1" customHeight="1" x14ac:dyDescent="0.25">
      <c r="C27" s="87" t="str">
        <f>ServiceDescription!C24</f>
        <v>Remedial action of ASPs</v>
      </c>
      <c r="G27" s="100">
        <v>0</v>
      </c>
      <c r="H27" s="100">
        <v>0</v>
      </c>
      <c r="I27" s="100">
        <v>0</v>
      </c>
      <c r="J27" s="100">
        <v>0</v>
      </c>
      <c r="K27" s="100">
        <v>0</v>
      </c>
      <c r="N27" s="185"/>
      <c r="O27" s="87">
        <v>24</v>
      </c>
    </row>
    <row r="28" spans="2:15" ht="14.1" customHeight="1" x14ac:dyDescent="0.25">
      <c r="E28" s="132"/>
      <c r="F28" s="87" t="s">
        <v>40</v>
      </c>
      <c r="G28" s="96">
        <f>SUM(G24:G27)</f>
        <v>23448</v>
      </c>
      <c r="H28" s="96">
        <f>SUM(H24:H27)</f>
        <v>32522.32</v>
      </c>
      <c r="I28" s="96">
        <f>SUM(I24:I27)</f>
        <v>36173.82</v>
      </c>
      <c r="J28" s="96">
        <f>SUM(J24:J27)</f>
        <v>55904</v>
      </c>
      <c r="K28" s="96">
        <f>SUM(K24:K27)</f>
        <v>49644.800000000003</v>
      </c>
      <c r="N28" s="186"/>
    </row>
    <row r="29" spans="2:15" ht="14.1" customHeight="1" x14ac:dyDescent="0.25">
      <c r="E29" s="132"/>
    </row>
    <row r="30" spans="2:15" ht="14.1" customHeight="1" x14ac:dyDescent="0.25">
      <c r="B30" s="87" t="s">
        <v>42</v>
      </c>
      <c r="E30" s="132"/>
    </row>
    <row r="31" spans="2:15" ht="14.1" customHeight="1" x14ac:dyDescent="0.25">
      <c r="E31" s="132"/>
      <c r="G31" s="187" t="s">
        <v>121</v>
      </c>
      <c r="H31" s="187"/>
    </row>
    <row r="32" spans="2:15" ht="14.1" customHeight="1" x14ac:dyDescent="0.25">
      <c r="C32" s="94"/>
      <c r="D32" s="94"/>
      <c r="E32" s="133"/>
      <c r="F32" s="94"/>
      <c r="G32" s="183" t="s">
        <v>122</v>
      </c>
      <c r="H32" s="183"/>
    </row>
    <row r="33" spans="2:15" ht="13.5" customHeight="1" x14ac:dyDescent="0.25">
      <c r="C33" s="87" t="str">
        <f>C24</f>
        <v>Authorisation of ASPs - Initial</v>
      </c>
      <c r="F33" s="87" t="s">
        <v>47</v>
      </c>
      <c r="G33" s="100">
        <v>1435</v>
      </c>
      <c r="N33" s="188" t="s">
        <v>187</v>
      </c>
      <c r="O33" s="87" t="s">
        <v>144</v>
      </c>
    </row>
    <row r="34" spans="2:15" ht="14.1" customHeight="1" x14ac:dyDescent="0.2">
      <c r="D34" s="87" t="s">
        <v>146</v>
      </c>
      <c r="F34" s="87" t="s">
        <v>120</v>
      </c>
      <c r="H34" s="142">
        <v>2.996515679442513E-2</v>
      </c>
      <c r="N34" s="189"/>
    </row>
    <row r="35" spans="2:15" ht="14.1" customHeight="1" x14ac:dyDescent="0.2">
      <c r="D35" s="87" t="s">
        <v>147</v>
      </c>
      <c r="H35" s="143">
        <f>1-H34</f>
        <v>0.97003484320557487</v>
      </c>
      <c r="N35" s="189"/>
    </row>
    <row r="36" spans="2:15" ht="14.1" customHeight="1" x14ac:dyDescent="0.25">
      <c r="C36" s="87" t="str">
        <f>C26</f>
        <v>Authorisation Training</v>
      </c>
      <c r="F36" s="87" t="s">
        <v>47</v>
      </c>
      <c r="G36" s="100">
        <v>96</v>
      </c>
      <c r="N36" s="189"/>
      <c r="O36" s="87" t="s">
        <v>145</v>
      </c>
    </row>
    <row r="37" spans="2:15" ht="36.75" customHeight="1" x14ac:dyDescent="0.25">
      <c r="C37" s="87" t="str">
        <f>C27</f>
        <v>Remedial action of ASPs</v>
      </c>
      <c r="F37" s="87" t="s">
        <v>47</v>
      </c>
      <c r="G37" s="100">
        <v>100</v>
      </c>
      <c r="L37" s="21"/>
      <c r="N37" s="189"/>
      <c r="O37" s="87">
        <v>24</v>
      </c>
    </row>
    <row r="38" spans="2:15" ht="66" customHeight="1" x14ac:dyDescent="0.25">
      <c r="L38" s="6"/>
      <c r="N38" s="189"/>
    </row>
    <row r="39" spans="2:15" ht="14.1" customHeight="1" x14ac:dyDescent="0.25">
      <c r="B39" s="87" t="s">
        <v>43</v>
      </c>
      <c r="L39" s="6"/>
    </row>
    <row r="40" spans="2:15" ht="14.1" customHeight="1" x14ac:dyDescent="0.25">
      <c r="G40" s="134" t="s">
        <v>123</v>
      </c>
      <c r="I40" s="134" t="s">
        <v>124</v>
      </c>
      <c r="L40" s="6"/>
    </row>
    <row r="41" spans="2:15" ht="14.1" customHeight="1" x14ac:dyDescent="0.25">
      <c r="C41" s="94"/>
      <c r="D41" s="94"/>
      <c r="E41" s="94"/>
      <c r="F41" s="94"/>
      <c r="G41" s="95" t="s">
        <v>71</v>
      </c>
      <c r="H41" s="95"/>
      <c r="I41" s="95" t="s">
        <v>125</v>
      </c>
      <c r="J41" s="95"/>
      <c r="K41" s="99"/>
    </row>
    <row r="42" spans="2:15" ht="14.1" customHeight="1" x14ac:dyDescent="0.25">
      <c r="C42" s="87" t="str">
        <f>C33</f>
        <v>Authorisation of ASPs - Initial</v>
      </c>
      <c r="G42" s="98"/>
    </row>
    <row r="43" spans="2:15" ht="14.1" customHeight="1" x14ac:dyDescent="0.25">
      <c r="D43" s="87" t="str">
        <f t="shared" ref="D43:D44" si="0">D34</f>
        <v>Initial Authorisations</v>
      </c>
      <c r="G43" s="135">
        <v>2</v>
      </c>
      <c r="I43" s="84">
        <v>5.45</v>
      </c>
      <c r="N43" s="180" t="s">
        <v>178</v>
      </c>
    </row>
    <row r="44" spans="2:15" ht="14.1" customHeight="1" x14ac:dyDescent="0.25">
      <c r="D44" s="87" t="str">
        <f t="shared" si="0"/>
        <v>Authorisation Renewals</v>
      </c>
      <c r="G44" s="135">
        <v>2</v>
      </c>
      <c r="I44" s="84">
        <v>3.2</v>
      </c>
      <c r="N44" s="181"/>
    </row>
    <row r="45" spans="2:15" ht="14.25" customHeight="1" x14ac:dyDescent="0.25">
      <c r="C45" s="87" t="str">
        <f>C36</f>
        <v>Authorisation Training</v>
      </c>
      <c r="G45" s="136"/>
      <c r="I45" s="132"/>
      <c r="N45" s="181"/>
    </row>
    <row r="46" spans="2:15" ht="12.75" x14ac:dyDescent="0.25">
      <c r="D46" s="87" t="str">
        <f>D10</f>
        <v>Authorisation Training</v>
      </c>
      <c r="G46" s="156"/>
      <c r="I46" s="84">
        <v>1.3360648399999999</v>
      </c>
      <c r="N46" s="181"/>
    </row>
    <row r="47" spans="2:15" ht="14.1" customHeight="1" x14ac:dyDescent="0.25">
      <c r="C47" s="87" t="str">
        <f>C37</f>
        <v>Remedial action of ASPs</v>
      </c>
      <c r="G47" s="157"/>
      <c r="I47" s="132"/>
      <c r="N47" s="181"/>
    </row>
    <row r="48" spans="2:15" ht="14.1" customHeight="1" x14ac:dyDescent="0.25">
      <c r="D48" s="87" t="str">
        <f>D12</f>
        <v>Remedial action of ASPs</v>
      </c>
      <c r="G48" s="156"/>
      <c r="I48" s="84">
        <v>13.25</v>
      </c>
      <c r="N48" s="182"/>
    </row>
    <row r="49" spans="2:15" ht="14.1" customHeight="1" x14ac:dyDescent="0.25">
      <c r="K49" s="98"/>
      <c r="L49" s="136"/>
    </row>
    <row r="50" spans="2:15" ht="14.1" customHeight="1" x14ac:dyDescent="0.25">
      <c r="B50" s="87" t="s">
        <v>41</v>
      </c>
    </row>
    <row r="51" spans="2:15" ht="14.1" customHeight="1" x14ac:dyDescent="0.25">
      <c r="C51" s="94"/>
      <c r="D51" s="94"/>
      <c r="E51" s="129" t="s">
        <v>117</v>
      </c>
      <c r="F51" s="94"/>
      <c r="G51" s="95" t="str">
        <f>GlobalInputs!G12</f>
        <v>2009/10</v>
      </c>
      <c r="H51" s="95" t="str">
        <f>GlobalInputs!H12</f>
        <v>2010/11</v>
      </c>
      <c r="I51" s="95" t="str">
        <f>GlobalInputs!I12</f>
        <v>2011/12</v>
      </c>
      <c r="J51" s="95" t="str">
        <f>GlobalInputs!J12</f>
        <v>2012/13</v>
      </c>
      <c r="K51" s="95" t="str">
        <f>GlobalInputs!K12</f>
        <v>2013/14</v>
      </c>
      <c r="N51" s="97"/>
    </row>
    <row r="52" spans="2:15" ht="14.1" customHeight="1" x14ac:dyDescent="0.25">
      <c r="C52" s="98" t="s">
        <v>86</v>
      </c>
      <c r="D52" s="98"/>
      <c r="E52" s="98"/>
      <c r="F52" s="98"/>
      <c r="G52" s="99"/>
      <c r="H52" s="99"/>
      <c r="I52" s="99"/>
      <c r="J52" s="99"/>
      <c r="K52" s="99"/>
      <c r="N52" s="184" t="s">
        <v>168</v>
      </c>
    </row>
    <row r="53" spans="2:15" ht="14.1" customHeight="1" x14ac:dyDescent="0.25">
      <c r="D53" s="87" t="str">
        <f>C24</f>
        <v>Authorisation of ASPs - Initial</v>
      </c>
      <c r="F53" s="87" t="s">
        <v>40</v>
      </c>
      <c r="G53" s="100">
        <v>70001.248866666676</v>
      </c>
      <c r="H53" s="100">
        <v>98907.2356</v>
      </c>
      <c r="I53" s="100">
        <v>155224.86372526828</v>
      </c>
      <c r="J53" s="100">
        <v>246443.58288</v>
      </c>
      <c r="K53" s="100">
        <v>130920.36722459091</v>
      </c>
      <c r="N53" s="185"/>
      <c r="O53" s="87" t="s">
        <v>144</v>
      </c>
    </row>
    <row r="54" spans="2:15" ht="14.1" customHeight="1" x14ac:dyDescent="0.25">
      <c r="D54" s="87" t="str">
        <f>ServiceDescription!C20</f>
        <v>Authorisation - renewal</v>
      </c>
      <c r="G54" s="100">
        <v>230468.89848888892</v>
      </c>
      <c r="H54" s="100">
        <v>247832.831232</v>
      </c>
      <c r="I54" s="100">
        <v>276213.19334399997</v>
      </c>
      <c r="J54" s="100">
        <v>314399.21151999995</v>
      </c>
      <c r="K54" s="100">
        <v>359313.87635251204</v>
      </c>
      <c r="N54" s="185"/>
    </row>
    <row r="55" spans="2:15" ht="14.1" customHeight="1" x14ac:dyDescent="0.25">
      <c r="D55" s="87" t="str">
        <f>C26</f>
        <v>Authorisation Training</v>
      </c>
      <c r="G55" s="100">
        <v>85646.557235555549</v>
      </c>
      <c r="H55" s="100">
        <v>107973.8232</v>
      </c>
      <c r="I55" s="100">
        <v>110091.711104</v>
      </c>
      <c r="J55" s="100">
        <v>109991.60831999998</v>
      </c>
      <c r="K55" s="100">
        <v>116999.46833664</v>
      </c>
      <c r="N55" s="185"/>
      <c r="O55" s="87" t="s">
        <v>145</v>
      </c>
    </row>
    <row r="56" spans="2:15" ht="14.1" customHeight="1" x14ac:dyDescent="0.25">
      <c r="D56" s="87" t="str">
        <f>C27</f>
        <v>Remedial action of ASPs</v>
      </c>
      <c r="G56" s="100">
        <v>131464.42711111112</v>
      </c>
      <c r="H56" s="100">
        <v>135930.69</v>
      </c>
      <c r="I56" s="100">
        <v>142582.86574999997</v>
      </c>
      <c r="J56" s="100">
        <v>147063.84349999999</v>
      </c>
      <c r="K56" s="100">
        <v>151301.05645524999</v>
      </c>
      <c r="N56" s="185"/>
      <c r="O56" s="141">
        <v>24</v>
      </c>
    </row>
    <row r="57" spans="2:15" ht="14.1" customHeight="1" x14ac:dyDescent="0.25">
      <c r="F57" s="87" t="s">
        <v>40</v>
      </c>
      <c r="G57" s="96">
        <f>SUM(G53:G56)</f>
        <v>517581.13170222228</v>
      </c>
      <c r="H57" s="96">
        <f>SUM(H53:H56)</f>
        <v>590644.58003199997</v>
      </c>
      <c r="I57" s="96">
        <f>SUM(I53:I56)</f>
        <v>684112.63392326829</v>
      </c>
      <c r="J57" s="96">
        <f>SUM(J53:J56)</f>
        <v>817898.24621999997</v>
      </c>
      <c r="K57" s="96">
        <f>SUM(K53:K56)</f>
        <v>758534.76836899295</v>
      </c>
      <c r="N57" s="186"/>
    </row>
    <row r="59" spans="2:15" ht="14.1" customHeight="1" x14ac:dyDescent="0.25">
      <c r="C59" s="98" t="s">
        <v>87</v>
      </c>
      <c r="D59" s="98"/>
      <c r="E59" s="98"/>
      <c r="N59" s="184" t="s">
        <v>172</v>
      </c>
    </row>
    <row r="60" spans="2:15" ht="14.1" customHeight="1" x14ac:dyDescent="0.25">
      <c r="D60" s="87" t="str">
        <f>D53</f>
        <v>Authorisation of ASPs - Initial</v>
      </c>
      <c r="F60" s="87" t="s">
        <v>40</v>
      </c>
      <c r="G60" s="100">
        <v>33390.595709400004</v>
      </c>
      <c r="H60" s="100">
        <v>46090.771789600003</v>
      </c>
      <c r="I60" s="100">
        <v>69261.334194214709</v>
      </c>
      <c r="J60" s="100">
        <v>103580.237884464</v>
      </c>
      <c r="K60" s="100">
        <v>56897.991595807209</v>
      </c>
      <c r="N60" s="185"/>
    </row>
    <row r="61" spans="2:15" ht="14.1" customHeight="1" x14ac:dyDescent="0.25">
      <c r="D61" s="87" t="str">
        <f>ServiceDescription!C20</f>
        <v>Authorisation - renewal</v>
      </c>
      <c r="G61" s="100">
        <v>109933.66457920001</v>
      </c>
      <c r="H61" s="100">
        <v>115490.09935411201</v>
      </c>
      <c r="I61" s="100">
        <v>123246.32687009279</v>
      </c>
      <c r="J61" s="100">
        <v>132141.98860185599</v>
      </c>
      <c r="K61" s="100">
        <v>156157.81066280173</v>
      </c>
      <c r="N61" s="185"/>
    </row>
    <row r="62" spans="2:15" ht="14.1" customHeight="1" x14ac:dyDescent="0.25">
      <c r="D62" s="87" t="str">
        <f>D55</f>
        <v>Authorisation Training</v>
      </c>
      <c r="G62" s="100">
        <v>40853.407801359994</v>
      </c>
      <c r="H62" s="100">
        <v>50315.801611200004</v>
      </c>
      <c r="I62" s="100">
        <v>49122.921494604801</v>
      </c>
      <c r="J62" s="100">
        <v>46229.472976895995</v>
      </c>
      <c r="K62" s="100">
        <v>50847.968939103739</v>
      </c>
      <c r="N62" s="185"/>
    </row>
    <row r="63" spans="2:15" ht="14.1" customHeight="1" x14ac:dyDescent="0.25">
      <c r="D63" s="87" t="str">
        <f>D56</f>
        <v>Remedial action of ASPs</v>
      </c>
      <c r="G63" s="100">
        <v>62708.531732000003</v>
      </c>
      <c r="H63" s="100">
        <v>63343.701540000002</v>
      </c>
      <c r="I63" s="100">
        <v>63620.474697649981</v>
      </c>
      <c r="J63" s="100">
        <v>61810.933423049995</v>
      </c>
      <c r="K63" s="100">
        <v>65755.439135451641</v>
      </c>
      <c r="N63" s="185"/>
    </row>
    <row r="64" spans="2:15" ht="14.1" customHeight="1" x14ac:dyDescent="0.25">
      <c r="F64" s="87" t="s">
        <v>40</v>
      </c>
      <c r="G64" s="96">
        <f>SUM(G60:G63)</f>
        <v>246886.19982196001</v>
      </c>
      <c r="H64" s="96">
        <f>SUM(H60:H63)</f>
        <v>275240.37429491204</v>
      </c>
      <c r="I64" s="96">
        <f>SUM(I60:I63)</f>
        <v>305251.05725656229</v>
      </c>
      <c r="J64" s="96">
        <f>SUM(J60:J63)</f>
        <v>343762.63288626599</v>
      </c>
      <c r="K64" s="96">
        <f>SUM(K60:K63)</f>
        <v>329659.21033316426</v>
      </c>
      <c r="N64" s="186"/>
    </row>
  </sheetData>
  <mergeCells count="8">
    <mergeCell ref="N15:N20"/>
    <mergeCell ref="G32:H32"/>
    <mergeCell ref="N59:N64"/>
    <mergeCell ref="N52:N57"/>
    <mergeCell ref="N43:N48"/>
    <mergeCell ref="G31:H31"/>
    <mergeCell ref="N24:N28"/>
    <mergeCell ref="N33:N38"/>
  </mergeCells>
  <pageMargins left="0.70866141732283472" right="0.70866141732283472" top="0.74803149606299213" bottom="0.74803149606299213" header="0.31496062992125984" footer="0.31496062992125984"/>
  <pageSetup paperSize="8" scale="66" fitToHeight="0" orientation="portrait" r:id="rId1"/>
  <headerFooter>
    <oddFooter>&amp;C&amp;F&amp;R&amp;A</oddFooter>
  </headerFooter>
  <rowBreaks count="1" manualBreakCount="1">
    <brk id="1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P113"/>
  <sheetViews>
    <sheetView zoomScale="90" zoomScaleNormal="90" zoomScalePageLayoutView="125" workbookViewId="0">
      <pane xSplit="5" ySplit="4" topLeftCell="G11" activePane="bottomRight" state="frozenSplit"/>
      <selection pane="topRight" activeCell="E1" sqref="E1"/>
      <selection pane="bottomLeft" activeCell="A5" sqref="A5"/>
      <selection pane="bottomRight" activeCell="H37" sqref="H37"/>
    </sheetView>
  </sheetViews>
  <sheetFormatPr defaultColWidth="9.140625" defaultRowHeight="14.1" customHeight="1" x14ac:dyDescent="0.25"/>
  <cols>
    <col min="1" max="3" width="2.140625" style="6" customWidth="1"/>
    <col min="4" max="4" width="1.85546875" style="6" customWidth="1"/>
    <col min="5" max="5" width="42.140625" style="6" customWidth="1"/>
    <col min="6" max="6" width="10.85546875" style="6" customWidth="1"/>
    <col min="7" max="7" width="13.85546875" style="6" customWidth="1"/>
    <col min="8" max="8" width="15.140625" style="6" customWidth="1"/>
    <col min="9" max="9" width="16.140625" style="6" customWidth="1"/>
    <col min="10" max="13" width="10.85546875" style="6" customWidth="1"/>
    <col min="14" max="14" width="2.42578125" style="6" customWidth="1"/>
    <col min="15" max="15" width="46.7109375" style="19" customWidth="1"/>
    <col min="16" max="16" width="4.85546875" style="6" customWidth="1"/>
    <col min="17" max="19" width="9.140625" style="6" customWidth="1"/>
    <col min="20" max="16384" width="9.140625" style="6"/>
  </cols>
  <sheetData>
    <row r="1" spans="1:16" ht="14.1" customHeight="1" x14ac:dyDescent="0.2">
      <c r="A1" s="14" t="s">
        <v>15</v>
      </c>
      <c r="B1" s="14"/>
      <c r="C1" s="14"/>
      <c r="D1" s="14"/>
      <c r="E1" s="14"/>
      <c r="F1" s="14"/>
      <c r="G1" s="14"/>
      <c r="H1" s="14"/>
      <c r="I1" s="14"/>
      <c r="J1" s="14"/>
      <c r="K1" s="14"/>
      <c r="L1" s="14"/>
      <c r="M1" s="14"/>
      <c r="N1" s="14"/>
      <c r="P1" s="14"/>
    </row>
    <row r="2" spans="1:16" ht="15.95" customHeight="1" x14ac:dyDescent="0.25">
      <c r="A2" s="16" t="s">
        <v>65</v>
      </c>
      <c r="B2" s="15"/>
      <c r="C2" s="15"/>
      <c r="D2" s="15"/>
      <c r="E2" s="15"/>
      <c r="F2" s="74" t="str">
        <f>IF(ROUND($E$5,6)=0,"ok","Problem - review CheckSheet")</f>
        <v>ok</v>
      </c>
      <c r="G2" s="15"/>
      <c r="H2" s="15"/>
      <c r="I2" s="15"/>
      <c r="J2" s="15"/>
      <c r="K2" s="15"/>
      <c r="L2" s="15"/>
      <c r="M2" s="15"/>
      <c r="N2" s="15"/>
      <c r="O2" s="20"/>
      <c r="P2" s="15"/>
    </row>
    <row r="3" spans="1:16" ht="14.1" customHeight="1" x14ac:dyDescent="0.25">
      <c r="A3" s="6" t="str">
        <f>GlobalInputs!G9</f>
        <v>ASP Fees</v>
      </c>
      <c r="O3" s="17" t="s">
        <v>38</v>
      </c>
    </row>
    <row r="5" spans="1:16" ht="14.1" customHeight="1" x14ac:dyDescent="0.25">
      <c r="B5" s="6" t="s">
        <v>48</v>
      </c>
    </row>
    <row r="6" spans="1:16" ht="14.1" customHeight="1" x14ac:dyDescent="0.25">
      <c r="C6" s="6" t="s">
        <v>49</v>
      </c>
    </row>
    <row r="7" spans="1:16" ht="14.1" customHeight="1" x14ac:dyDescent="0.25">
      <c r="D7" s="6" t="str">
        <f>ServiceHistory!C42</f>
        <v>Authorisation of ASPs - Initial</v>
      </c>
      <c r="O7" s="184" t="s">
        <v>129</v>
      </c>
      <c r="P7" s="6" t="s">
        <v>144</v>
      </c>
    </row>
    <row r="8" spans="1:16" ht="14.1" customHeight="1" x14ac:dyDescent="0.25">
      <c r="E8" s="6" t="str">
        <f>ServiceHistory!D43</f>
        <v>Initial Authorisations</v>
      </c>
      <c r="G8" s="101" t="s">
        <v>150</v>
      </c>
      <c r="O8" s="185"/>
    </row>
    <row r="9" spans="1:16" ht="14.1" customHeight="1" x14ac:dyDescent="0.25">
      <c r="E9" s="6" t="str">
        <f>ServiceHistory!D44</f>
        <v>Authorisation Renewals</v>
      </c>
      <c r="G9" s="101" t="s">
        <v>150</v>
      </c>
      <c r="O9" s="185"/>
    </row>
    <row r="10" spans="1:16" ht="14.1" customHeight="1" x14ac:dyDescent="0.25">
      <c r="D10" s="6" t="str">
        <f>ServiceHistory!C45</f>
        <v>Authorisation Training</v>
      </c>
      <c r="G10" s="7"/>
      <c r="O10" s="185"/>
      <c r="P10" s="6" t="s">
        <v>145</v>
      </c>
    </row>
    <row r="11" spans="1:16" ht="14.1" customHeight="1" x14ac:dyDescent="0.25">
      <c r="E11" s="6" t="str">
        <f>ServiceHistory!D46</f>
        <v>Authorisation Training</v>
      </c>
      <c r="G11" s="101" t="s">
        <v>150</v>
      </c>
      <c r="O11" s="185"/>
    </row>
    <row r="12" spans="1:16" ht="14.1" customHeight="1" x14ac:dyDescent="0.25">
      <c r="D12" s="6" t="str">
        <f>ServiceHistory!C47</f>
        <v>Remedial action of ASPs</v>
      </c>
      <c r="G12" s="7"/>
      <c r="O12" s="185"/>
      <c r="P12" s="7">
        <v>24</v>
      </c>
    </row>
    <row r="13" spans="1:16" ht="14.1" customHeight="1" x14ac:dyDescent="0.25">
      <c r="E13" s="6" t="str">
        <f>ServiceHistory!D48</f>
        <v>Remedial action of ASPs</v>
      </c>
      <c r="G13" s="101" t="s">
        <v>50</v>
      </c>
      <c r="O13" s="186"/>
    </row>
    <row r="15" spans="1:16" ht="14.1" customHeight="1" x14ac:dyDescent="0.25">
      <c r="C15" s="6" t="s">
        <v>51</v>
      </c>
      <c r="G15" s="13" t="s">
        <v>72</v>
      </c>
      <c r="H15" s="13" t="s">
        <v>52</v>
      </c>
      <c r="I15" s="13" t="s">
        <v>73</v>
      </c>
    </row>
    <row r="16" spans="1:16" ht="14.1" customHeight="1" x14ac:dyDescent="0.25">
      <c r="D16" s="8"/>
      <c r="E16" s="8"/>
      <c r="F16" s="8"/>
      <c r="G16" s="9" t="s">
        <v>71</v>
      </c>
      <c r="H16" s="9" t="s">
        <v>53</v>
      </c>
      <c r="I16" s="9" t="s">
        <v>74</v>
      </c>
    </row>
    <row r="17" spans="3:16" ht="14.1" customHeight="1" x14ac:dyDescent="0.25">
      <c r="D17" s="6" t="str">
        <f>D7</f>
        <v>Authorisation of ASPs - Initial</v>
      </c>
      <c r="O17" s="180" t="s">
        <v>180</v>
      </c>
    </row>
    <row r="18" spans="3:16" ht="14.1" customHeight="1" x14ac:dyDescent="0.25">
      <c r="E18" s="6" t="str">
        <f t="shared" ref="E18" si="0">E8</f>
        <v>Initial Authorisations</v>
      </c>
      <c r="G18" s="22">
        <f>ServiceHistory!G43</f>
        <v>2</v>
      </c>
      <c r="H18" s="160">
        <f>ServiceHistory!I43</f>
        <v>5.45</v>
      </c>
      <c r="I18" s="159">
        <f>H18</f>
        <v>5.45</v>
      </c>
      <c r="O18" s="181"/>
    </row>
    <row r="19" spans="3:16" ht="14.1" customHeight="1" x14ac:dyDescent="0.25">
      <c r="E19" s="6" t="str">
        <f t="shared" ref="E19" si="1">E9</f>
        <v>Authorisation Renewals</v>
      </c>
      <c r="G19" s="22">
        <f>ServiceHistory!G44</f>
        <v>2</v>
      </c>
      <c r="H19" s="18">
        <f>ServiceHistory!I44</f>
        <v>3.2</v>
      </c>
      <c r="I19" s="102">
        <f t="shared" ref="I19" si="2">H19</f>
        <v>3.2</v>
      </c>
      <c r="O19" s="181"/>
    </row>
    <row r="20" spans="3:16" ht="14.1" customHeight="1" x14ac:dyDescent="0.25">
      <c r="D20" s="6" t="str">
        <f>D10</f>
        <v>Authorisation Training</v>
      </c>
      <c r="O20" s="181"/>
    </row>
    <row r="21" spans="3:16" ht="14.1" customHeight="1" x14ac:dyDescent="0.25">
      <c r="E21" s="6" t="str">
        <f t="shared" ref="E21" si="3">E11</f>
        <v>Authorisation Training</v>
      </c>
      <c r="G21" s="22">
        <f>ServiceHistory!G46</f>
        <v>0</v>
      </c>
      <c r="H21" s="18">
        <f>ServiceHistory!I46</f>
        <v>1.3360648399999999</v>
      </c>
      <c r="I21" s="102">
        <f t="shared" ref="I21" si="4">H21</f>
        <v>1.3360648399999999</v>
      </c>
      <c r="O21" s="182"/>
    </row>
    <row r="23" spans="3:16" ht="14.1" customHeight="1" x14ac:dyDescent="0.25">
      <c r="C23" s="6" t="s">
        <v>54</v>
      </c>
      <c r="G23" s="13" t="s">
        <v>52</v>
      </c>
      <c r="H23" s="13" t="s">
        <v>128</v>
      </c>
    </row>
    <row r="24" spans="3:16" ht="14.1" customHeight="1" x14ac:dyDescent="0.25">
      <c r="D24" s="8"/>
      <c r="E24" s="8"/>
      <c r="F24" s="8"/>
      <c r="G24" s="9" t="s">
        <v>53</v>
      </c>
      <c r="H24" s="9" t="s">
        <v>74</v>
      </c>
    </row>
    <row r="25" spans="3:16" ht="14.1" customHeight="1" x14ac:dyDescent="0.25">
      <c r="D25" s="6" t="str">
        <f>D12</f>
        <v>Remedial action of ASPs</v>
      </c>
      <c r="O25" s="184" t="s">
        <v>181</v>
      </c>
    </row>
    <row r="26" spans="3:16" ht="14.1" customHeight="1" x14ac:dyDescent="0.25">
      <c r="E26" s="6" t="str">
        <f>E13</f>
        <v>Remedial action of ASPs</v>
      </c>
      <c r="G26" s="18">
        <f>ServiceHistory!I48</f>
        <v>13.25</v>
      </c>
      <c r="H26" s="102">
        <f t="shared" ref="H26" si="5">G26</f>
        <v>13.25</v>
      </c>
      <c r="O26" s="186"/>
    </row>
    <row r="28" spans="3:16" ht="14.1" customHeight="1" x14ac:dyDescent="0.25">
      <c r="C28" s="6" t="s">
        <v>77</v>
      </c>
      <c r="K28" s="24"/>
    </row>
    <row r="29" spans="3:16" ht="14.1" customHeight="1" x14ac:dyDescent="0.25">
      <c r="D29" s="8"/>
      <c r="E29" s="8"/>
      <c r="F29" s="8"/>
      <c r="G29" s="9" t="s">
        <v>56</v>
      </c>
      <c r="H29" s="8" t="s">
        <v>0</v>
      </c>
      <c r="I29" s="8"/>
      <c r="J29" s="8"/>
    </row>
    <row r="30" spans="3:16" ht="14.1" customHeight="1" x14ac:dyDescent="0.25">
      <c r="D30" s="6" t="str">
        <f>D7</f>
        <v>Authorisation of ASPs - Initial</v>
      </c>
      <c r="F30" s="6" t="s">
        <v>151</v>
      </c>
      <c r="O30" s="184" t="s">
        <v>179</v>
      </c>
      <c r="P30" s="6" t="s">
        <v>144</v>
      </c>
    </row>
    <row r="31" spans="3:16" ht="14.1" customHeight="1" x14ac:dyDescent="0.25">
      <c r="E31" s="6" t="str">
        <f>E8</f>
        <v>Initial Authorisations</v>
      </c>
      <c r="F31" s="144">
        <v>0.26</v>
      </c>
      <c r="G31" s="103" t="s">
        <v>30</v>
      </c>
      <c r="H31" s="6" t="str">
        <f>VLOOKUP(G31,GlobalInputs!$C$18:$G$27,3,FALSE)</f>
        <v>Indoor technical officer</v>
      </c>
      <c r="O31" s="185"/>
    </row>
    <row r="32" spans="3:16" ht="14.1" customHeight="1" x14ac:dyDescent="0.25">
      <c r="F32" s="145">
        <f>1-F31</f>
        <v>0.74</v>
      </c>
      <c r="G32" s="103" t="s">
        <v>27</v>
      </c>
      <c r="H32" s="6" t="str">
        <f>VLOOKUP(G32,GlobalInputs!$C$18:$G$27,3,FALSE)</f>
        <v>Administration</v>
      </c>
      <c r="O32" s="185"/>
    </row>
    <row r="33" spans="3:16" ht="14.1" customHeight="1" x14ac:dyDescent="0.25">
      <c r="E33" s="6" t="str">
        <f>E9</f>
        <v>Authorisation Renewals</v>
      </c>
      <c r="G33" s="103" t="s">
        <v>27</v>
      </c>
      <c r="H33" s="6" t="str">
        <f>VLOOKUP(G33,GlobalInputs!$C$18:$G$27,3,FALSE)</f>
        <v>Administration</v>
      </c>
      <c r="O33" s="185"/>
    </row>
    <row r="34" spans="3:16" ht="14.1" customHeight="1" x14ac:dyDescent="0.25">
      <c r="D34" s="6" t="str">
        <f>D10</f>
        <v>Authorisation Training</v>
      </c>
      <c r="G34" s="13"/>
      <c r="O34" s="185"/>
      <c r="P34" s="6" t="s">
        <v>145</v>
      </c>
    </row>
    <row r="35" spans="3:16" ht="14.1" customHeight="1" x14ac:dyDescent="0.25">
      <c r="E35" s="6" t="str">
        <f>E11</f>
        <v>Authorisation Training</v>
      </c>
      <c r="G35" s="103" t="s">
        <v>27</v>
      </c>
      <c r="H35" s="6" t="str">
        <f>VLOOKUP(G35,GlobalInputs!$C$18:$G$27,3,FALSE)</f>
        <v>Administration</v>
      </c>
      <c r="O35" s="185"/>
    </row>
    <row r="36" spans="3:16" ht="14.1" customHeight="1" x14ac:dyDescent="0.25">
      <c r="D36" s="6" t="str">
        <f>D12</f>
        <v>Remedial action of ASPs</v>
      </c>
      <c r="G36" s="13"/>
      <c r="O36" s="185"/>
      <c r="P36" s="6">
        <v>24</v>
      </c>
    </row>
    <row r="37" spans="3:16" ht="14.1" customHeight="1" x14ac:dyDescent="0.25">
      <c r="E37" s="6" t="str">
        <f>E13</f>
        <v>Remedial action of ASPs</v>
      </c>
      <c r="G37" s="103" t="s">
        <v>32</v>
      </c>
      <c r="H37" s="6" t="str">
        <f>VLOOKUP(G37,GlobalInputs!$C$18:$G$27,3,FALSE)</f>
        <v>Outdoor technical officer</v>
      </c>
      <c r="O37" s="186"/>
    </row>
    <row r="39" spans="3:16" ht="14.1" customHeight="1" x14ac:dyDescent="0.25">
      <c r="C39" s="6" t="s">
        <v>108</v>
      </c>
    </row>
    <row r="40" spans="3:16" ht="14.1" customHeight="1" x14ac:dyDescent="0.25">
      <c r="G40" s="128" t="s">
        <v>100</v>
      </c>
      <c r="H40" s="128" t="s">
        <v>101</v>
      </c>
      <c r="I40" s="6" t="s">
        <v>161</v>
      </c>
      <c r="J40" s="128" t="s">
        <v>103</v>
      </c>
    </row>
    <row r="41" spans="3:16" ht="14.1" customHeight="1" x14ac:dyDescent="0.25">
      <c r="D41" s="8"/>
      <c r="E41" s="126" t="s">
        <v>104</v>
      </c>
      <c r="F41" s="8"/>
      <c r="G41" s="137" t="s">
        <v>86</v>
      </c>
      <c r="H41" s="137" t="s">
        <v>87</v>
      </c>
      <c r="I41" s="8"/>
      <c r="J41" s="127" t="s">
        <v>107</v>
      </c>
    </row>
    <row r="42" spans="3:16" ht="14.1" customHeight="1" x14ac:dyDescent="0.25">
      <c r="D42" s="6" t="str">
        <f>D30</f>
        <v>Authorisation of ASPs - Initial</v>
      </c>
    </row>
    <row r="43" spans="3:16" ht="14.1" customHeight="1" x14ac:dyDescent="0.25">
      <c r="E43" s="6" t="str">
        <f>E31</f>
        <v>Initial Authorisations</v>
      </c>
      <c r="F43" s="6" t="s">
        <v>29</v>
      </c>
      <c r="G43" s="22">
        <f>(GlobalInputs!G19*0.26)+(GlobalInputs!G18*0.74)+SUM(G75:G76)</f>
        <v>100.87676395056744</v>
      </c>
      <c r="H43" s="22">
        <f>G43*0.4167</f>
        <v>42.035347538201449</v>
      </c>
      <c r="I43" s="22">
        <f>SUM(G43:H43)*0.0221</f>
        <v>3.1583576639017927</v>
      </c>
      <c r="J43" s="22">
        <f>SUM(G43:I43)</f>
        <v>146.07046915267068</v>
      </c>
    </row>
    <row r="44" spans="3:16" ht="14.1" customHeight="1" x14ac:dyDescent="0.25">
      <c r="E44" s="6" t="str">
        <f>E33</f>
        <v>Authorisation Renewals</v>
      </c>
      <c r="G44" s="22">
        <f>GlobalInputs!G18+SUM(G78:G80)</f>
        <v>83.381501490066341</v>
      </c>
      <c r="H44" s="22">
        <f>G44*0.4167</f>
        <v>34.745071670910647</v>
      </c>
      <c r="I44" s="22">
        <f>SUM(G44:H44)*0.0221</f>
        <v>2.6105972668575919</v>
      </c>
      <c r="J44" s="22">
        <f>SUM(G44:I44)</f>
        <v>120.73717042783458</v>
      </c>
    </row>
    <row r="45" spans="3:16" ht="14.1" customHeight="1" x14ac:dyDescent="0.25">
      <c r="D45" s="6" t="str">
        <f>D34</f>
        <v>Authorisation Training</v>
      </c>
      <c r="H45" s="22"/>
    </row>
    <row r="46" spans="3:16" ht="14.1" customHeight="1" x14ac:dyDescent="0.25">
      <c r="E46" s="6" t="str">
        <f>E35</f>
        <v>Authorisation Training</v>
      </c>
      <c r="G46" s="22">
        <f>VLOOKUP($G35,GlobalInputs!$C$18:$K$27,5,FALSE)+SUM(G83:G85)</f>
        <v>154.90246003473175</v>
      </c>
      <c r="H46" s="22">
        <f>VLOOKUP($G35,GlobalInputs!$C$18:$K$27,6,FALSE)+SUM(H83:H85)</f>
        <v>64.558321238062078</v>
      </c>
      <c r="I46" s="22">
        <f>SUM(G46:H46)*0.0221</f>
        <v>4.8500832661287445</v>
      </c>
      <c r="J46" s="22">
        <f>SUM(G46:I46)</f>
        <v>224.31086453892257</v>
      </c>
    </row>
    <row r="47" spans="3:16" ht="14.1" customHeight="1" x14ac:dyDescent="0.25">
      <c r="D47" s="6" t="str">
        <f>D36</f>
        <v>Remedial action of ASPs</v>
      </c>
      <c r="H47" s="22"/>
    </row>
    <row r="48" spans="3:16" ht="14.1" customHeight="1" x14ac:dyDescent="0.25">
      <c r="E48" s="6" t="str">
        <f>E37</f>
        <v>Remedial action of ASPs</v>
      </c>
      <c r="G48" s="22">
        <f>VLOOKUP($G37,GlobalInputs!$C$18:$K$27,5,FALSE)</f>
        <v>118.11003168394852</v>
      </c>
      <c r="H48" s="22">
        <f>G48*0.4167</f>
        <v>49.216450202701353</v>
      </c>
      <c r="I48" s="22">
        <f>SUM(G48:H48)*0.0221</f>
        <v>3.6979152496949625</v>
      </c>
      <c r="J48" s="22">
        <f>SUM(G48:I48)</f>
        <v>171.02439713634485</v>
      </c>
    </row>
    <row r="49" spans="2:16" ht="14.1" customHeight="1" x14ac:dyDescent="0.25">
      <c r="H49" s="22"/>
    </row>
    <row r="51" spans="2:16" ht="14.1" customHeight="1" x14ac:dyDescent="0.25">
      <c r="C51" s="6" t="s">
        <v>55</v>
      </c>
      <c r="G51" s="13" t="s">
        <v>52</v>
      </c>
    </row>
    <row r="52" spans="2:16" ht="14.1" customHeight="1" x14ac:dyDescent="0.25">
      <c r="D52" s="8"/>
      <c r="E52" s="8"/>
      <c r="F52" s="8"/>
      <c r="G52" s="9" t="s">
        <v>53</v>
      </c>
      <c r="H52" s="9" t="str">
        <f>GlobalInputs!G13</f>
        <v>2014/15</v>
      </c>
      <c r="I52" s="9" t="str">
        <f>GlobalInputs!H13</f>
        <v>2015/16</v>
      </c>
      <c r="J52" s="9" t="str">
        <f>GlobalInputs!I13</f>
        <v>2016/17</v>
      </c>
      <c r="K52" s="9" t="str">
        <f>GlobalInputs!J13</f>
        <v>2017/18</v>
      </c>
      <c r="L52" s="9" t="str">
        <f>GlobalInputs!K13</f>
        <v>2018/19</v>
      </c>
    </row>
    <row r="53" spans="2:16" ht="14.1" customHeight="1" x14ac:dyDescent="0.25">
      <c r="D53" s="6" t="str">
        <f>D30</f>
        <v>Authorisation of ASPs - Initial</v>
      </c>
      <c r="O53" s="188" t="s">
        <v>182</v>
      </c>
      <c r="P53" s="6" t="s">
        <v>144</v>
      </c>
    </row>
    <row r="54" spans="2:16" ht="14.1" customHeight="1" x14ac:dyDescent="0.25">
      <c r="E54" s="6" t="str">
        <f>E31</f>
        <v>Initial Authorisations</v>
      </c>
      <c r="G54" s="23">
        <f>ServiceHistory!G$33*ServiceHistory!H34</f>
        <v>43.000000000000064</v>
      </c>
      <c r="H54" s="100">
        <v>238.2</v>
      </c>
      <c r="I54" s="100">
        <v>238.2</v>
      </c>
      <c r="J54" s="100">
        <v>238.2</v>
      </c>
      <c r="K54" s="100">
        <v>238.2</v>
      </c>
      <c r="L54" s="100">
        <v>238.2</v>
      </c>
      <c r="O54" s="189"/>
    </row>
    <row r="55" spans="2:16" ht="14.1" customHeight="1" x14ac:dyDescent="0.25">
      <c r="E55" s="6" t="str">
        <f>E33</f>
        <v>Authorisation Renewals</v>
      </c>
      <c r="G55" s="23">
        <f>ServiceHistory!G$33*ServiceHistory!H35</f>
        <v>1392</v>
      </c>
      <c r="H55" s="100">
        <v>1449</v>
      </c>
      <c r="I55" s="100">
        <v>1506</v>
      </c>
      <c r="J55" s="100">
        <v>1563</v>
      </c>
      <c r="K55" s="100">
        <v>1620</v>
      </c>
      <c r="L55" s="100">
        <v>1677</v>
      </c>
      <c r="O55" s="189"/>
    </row>
    <row r="56" spans="2:16" ht="14.1" customHeight="1" x14ac:dyDescent="0.25">
      <c r="D56" s="6" t="str">
        <f>D34</f>
        <v>Authorisation Training</v>
      </c>
      <c r="G56" s="23"/>
      <c r="H56" s="23"/>
      <c r="I56" s="23"/>
      <c r="J56" s="23"/>
      <c r="K56" s="23"/>
      <c r="L56" s="23"/>
      <c r="O56" s="189"/>
      <c r="P56" s="6" t="s">
        <v>145</v>
      </c>
    </row>
    <row r="57" spans="2:16" ht="14.1" customHeight="1" x14ac:dyDescent="0.25">
      <c r="E57" s="6" t="str">
        <f>E35</f>
        <v>Authorisation Training</v>
      </c>
      <c r="G57" s="23">
        <f>ServiceHistory!G$36</f>
        <v>96</v>
      </c>
      <c r="H57" s="100">
        <v>96</v>
      </c>
      <c r="I57" s="100">
        <v>96</v>
      </c>
      <c r="J57" s="100">
        <v>96</v>
      </c>
      <c r="K57" s="100">
        <v>96</v>
      </c>
      <c r="L57" s="100">
        <v>96</v>
      </c>
      <c r="O57" s="189"/>
    </row>
    <row r="58" spans="2:16" ht="14.1" customHeight="1" x14ac:dyDescent="0.25">
      <c r="D58" s="6" t="str">
        <f>D36</f>
        <v>Remedial action of ASPs</v>
      </c>
      <c r="G58" s="23"/>
      <c r="H58" s="23"/>
      <c r="I58" s="23"/>
      <c r="J58" s="23"/>
      <c r="K58" s="23"/>
      <c r="L58" s="23"/>
      <c r="O58" s="189"/>
      <c r="P58" s="146">
        <v>24</v>
      </c>
    </row>
    <row r="59" spans="2:16" ht="14.1" customHeight="1" x14ac:dyDescent="0.25">
      <c r="E59" s="6" t="str">
        <f>E37</f>
        <v>Remedial action of ASPs</v>
      </c>
      <c r="G59" s="23">
        <f>ServiceHistory!G$37</f>
        <v>100</v>
      </c>
      <c r="H59" s="100">
        <v>100</v>
      </c>
      <c r="I59" s="100">
        <v>100</v>
      </c>
      <c r="J59" s="100">
        <v>100</v>
      </c>
      <c r="K59" s="100">
        <v>100</v>
      </c>
      <c r="L59" s="100">
        <v>100</v>
      </c>
      <c r="O59" s="189"/>
    </row>
    <row r="60" spans="2:16" ht="14.1" customHeight="1" x14ac:dyDescent="0.25">
      <c r="O60" s="189"/>
    </row>
    <row r="61" spans="2:16" ht="14.1" customHeight="1" x14ac:dyDescent="0.25">
      <c r="B61" s="87" t="s">
        <v>132</v>
      </c>
      <c r="C61" s="87"/>
      <c r="D61" s="87"/>
      <c r="E61" s="87"/>
      <c r="F61" s="87"/>
      <c r="G61" s="139" t="s">
        <v>124</v>
      </c>
      <c r="H61" s="87"/>
      <c r="I61" s="87"/>
      <c r="J61" s="87"/>
      <c r="K61" s="87"/>
      <c r="L61" s="87"/>
      <c r="M61" s="87"/>
      <c r="N61" s="87"/>
      <c r="O61" s="189"/>
    </row>
    <row r="62" spans="2:16" ht="14.1" customHeight="1" x14ac:dyDescent="0.25">
      <c r="B62" s="87"/>
      <c r="C62" s="87" t="str">
        <f>D53</f>
        <v>Authorisation of ASPs - Initial</v>
      </c>
      <c r="D62" s="87"/>
      <c r="E62" s="87"/>
      <c r="F62" s="87"/>
      <c r="G62" s="139"/>
      <c r="H62" s="87"/>
      <c r="I62" s="87"/>
      <c r="J62" s="87"/>
      <c r="K62" s="87"/>
      <c r="L62" s="87"/>
      <c r="M62" s="87"/>
      <c r="N62" s="87"/>
      <c r="O62" s="189"/>
      <c r="P62" s="87" t="s">
        <v>144</v>
      </c>
    </row>
    <row r="63" spans="2:16" ht="14.1" customHeight="1" x14ac:dyDescent="0.25">
      <c r="B63" s="87"/>
      <c r="C63" s="87"/>
      <c r="D63" s="87" t="s">
        <v>131</v>
      </c>
      <c r="E63" s="87"/>
      <c r="F63" s="87"/>
      <c r="G63" s="84">
        <v>1</v>
      </c>
      <c r="H63" s="87"/>
      <c r="I63" s="87"/>
      <c r="J63" s="87"/>
      <c r="K63" s="87"/>
      <c r="L63" s="87"/>
      <c r="M63" s="87"/>
      <c r="N63" s="87"/>
      <c r="O63" s="189"/>
      <c r="P63" s="87"/>
    </row>
    <row r="64" spans="2:16" ht="14.1" customHeight="1" x14ac:dyDescent="0.25">
      <c r="B64" s="87"/>
      <c r="C64" s="87" t="str">
        <f>D56</f>
        <v>Authorisation Training</v>
      </c>
      <c r="D64" s="87"/>
      <c r="E64" s="87"/>
      <c r="F64" s="87"/>
      <c r="G64" s="139"/>
      <c r="H64" s="87"/>
      <c r="I64" s="87"/>
      <c r="J64" s="87"/>
      <c r="K64" s="87"/>
      <c r="L64" s="87"/>
      <c r="M64" s="87"/>
      <c r="N64" s="87"/>
      <c r="O64" s="189"/>
      <c r="P64" s="87" t="s">
        <v>145</v>
      </c>
    </row>
    <row r="65" spans="2:16" ht="14.1" customHeight="1" x14ac:dyDescent="0.25">
      <c r="B65" s="87"/>
      <c r="C65" s="87"/>
      <c r="D65" s="87" t="s">
        <v>131</v>
      </c>
      <c r="E65" s="87"/>
      <c r="F65" s="87"/>
      <c r="G65" s="84">
        <v>1</v>
      </c>
      <c r="H65" s="87"/>
      <c r="I65" s="87"/>
      <c r="J65" s="87"/>
      <c r="K65" s="87"/>
      <c r="L65" s="87"/>
      <c r="M65" s="87"/>
      <c r="N65" s="87"/>
      <c r="O65" s="189"/>
      <c r="P65" s="87"/>
    </row>
    <row r="66" spans="2:16" ht="14.1" customHeight="1" x14ac:dyDescent="0.25">
      <c r="B66" s="87"/>
      <c r="C66" s="87" t="str">
        <f>D58</f>
        <v>Remedial action of ASPs</v>
      </c>
      <c r="D66" s="87"/>
      <c r="E66" s="87"/>
      <c r="F66" s="87"/>
      <c r="G66" s="139"/>
      <c r="H66" s="87"/>
      <c r="I66" s="87"/>
      <c r="J66" s="87"/>
      <c r="K66" s="87"/>
      <c r="L66" s="87"/>
      <c r="M66" s="87"/>
      <c r="N66" s="87"/>
      <c r="O66" s="189"/>
      <c r="P66" s="149">
        <v>24</v>
      </c>
    </row>
    <row r="67" spans="2:16" ht="14.1" customHeight="1" x14ac:dyDescent="0.25">
      <c r="B67" s="87"/>
      <c r="C67" s="87"/>
      <c r="D67" s="87" t="s">
        <v>131</v>
      </c>
      <c r="E67" s="87"/>
      <c r="F67" s="87"/>
      <c r="G67" s="84">
        <v>1</v>
      </c>
      <c r="H67" s="87"/>
      <c r="I67" s="87"/>
      <c r="J67" s="87"/>
      <c r="K67" s="87"/>
      <c r="L67" s="87"/>
      <c r="M67" s="87"/>
      <c r="N67" s="87"/>
      <c r="O67" s="190"/>
      <c r="P67" s="87"/>
    </row>
    <row r="68" spans="2:16" ht="14.1" customHeight="1" x14ac:dyDescent="0.25">
      <c r="O68" s="6"/>
    </row>
    <row r="69" spans="2:16" ht="14.1" customHeight="1" x14ac:dyDescent="0.25">
      <c r="B69" s="10"/>
      <c r="C69" s="10"/>
      <c r="D69" s="10"/>
      <c r="E69" s="10"/>
      <c r="F69" s="10"/>
      <c r="G69" s="10"/>
      <c r="H69" s="10"/>
      <c r="I69" s="10"/>
      <c r="J69" s="10"/>
      <c r="K69" s="10"/>
      <c r="L69" s="10"/>
      <c r="O69" s="6"/>
    </row>
    <row r="70" spans="2:16" ht="14.1" customHeight="1" x14ac:dyDescent="0.25">
      <c r="B70" s="6" t="s">
        <v>153</v>
      </c>
      <c r="F70" s="6" t="s">
        <v>163</v>
      </c>
      <c r="G70" s="6" t="s">
        <v>164</v>
      </c>
      <c r="H70" s="6" t="s">
        <v>160</v>
      </c>
      <c r="I70" s="6" t="s">
        <v>161</v>
      </c>
      <c r="J70" s="6" t="s">
        <v>162</v>
      </c>
      <c r="M70" s="153"/>
      <c r="O70" s="153"/>
    </row>
    <row r="71" spans="2:16" ht="14.1" customHeight="1" x14ac:dyDescent="0.25">
      <c r="H71" s="155">
        <v>0.17249999999999999</v>
      </c>
      <c r="I71" s="155">
        <v>2.2100000000000002E-2</v>
      </c>
      <c r="M71" s="153"/>
      <c r="O71" s="153"/>
    </row>
    <row r="72" spans="2:16" ht="14.1" customHeight="1" x14ac:dyDescent="0.25">
      <c r="H72" s="155">
        <v>0.2442</v>
      </c>
      <c r="M72" s="153"/>
      <c r="O72" s="153"/>
    </row>
    <row r="73" spans="2:16" ht="14.1" customHeight="1" x14ac:dyDescent="0.25">
      <c r="C73" s="6" t="s">
        <v>137</v>
      </c>
      <c r="M73" s="153"/>
      <c r="O73" s="180" t="s">
        <v>183</v>
      </c>
    </row>
    <row r="74" spans="2:16" ht="14.1" customHeight="1" x14ac:dyDescent="0.25">
      <c r="D74" s="6" t="s">
        <v>146</v>
      </c>
      <c r="G74" s="151"/>
      <c r="M74" s="154"/>
      <c r="O74" s="181"/>
    </row>
    <row r="75" spans="2:16" ht="14.1" customHeight="1" x14ac:dyDescent="0.25">
      <c r="E75" s="6" t="s">
        <v>154</v>
      </c>
      <c r="F75" s="148">
        <v>77.95</v>
      </c>
      <c r="G75" s="152">
        <f>F75/ServiceHistory!$I$43</f>
        <v>14.302752293577981</v>
      </c>
      <c r="H75" s="150">
        <f>G75*0.4167</f>
        <v>5.9599568807339454</v>
      </c>
      <c r="I75" s="150">
        <f>SUM(G75:H75)*0.0221</f>
        <v>0.44780587275229361</v>
      </c>
      <c r="J75" s="150">
        <f t="shared" ref="J75:J85" si="6">SUM(G75:I75)</f>
        <v>20.71051504706422</v>
      </c>
      <c r="M75" s="154"/>
      <c r="O75" s="181"/>
    </row>
    <row r="76" spans="2:16" ht="14.1" customHeight="1" x14ac:dyDescent="0.25">
      <c r="E76" s="6" t="s">
        <v>173</v>
      </c>
      <c r="F76" s="147">
        <v>16</v>
      </c>
      <c r="G76" s="152">
        <f>F76/ServiceHistory!$I$43</f>
        <v>2.9357798165137612</v>
      </c>
      <c r="H76" s="150">
        <f>G76*0.4167</f>
        <v>1.2233394495412844</v>
      </c>
      <c r="I76" s="150">
        <f>SUM(G76:H76)*0.0221</f>
        <v>9.1916535779816511E-2</v>
      </c>
      <c r="J76" s="150">
        <f t="shared" si="6"/>
        <v>4.2510358018348615</v>
      </c>
      <c r="M76" s="154"/>
      <c r="O76" s="181"/>
    </row>
    <row r="77" spans="2:16" ht="14.1" customHeight="1" x14ac:dyDescent="0.25">
      <c r="D77" s="6" t="s">
        <v>147</v>
      </c>
      <c r="G77" s="151"/>
      <c r="H77" s="150"/>
      <c r="I77" s="150"/>
      <c r="J77" s="150"/>
      <c r="M77" s="154"/>
      <c r="O77" s="181"/>
    </row>
    <row r="78" spans="2:16" ht="14.1" customHeight="1" x14ac:dyDescent="0.25">
      <c r="E78" s="6" t="s">
        <v>154</v>
      </c>
      <c r="F78" s="147">
        <v>10</v>
      </c>
      <c r="G78" s="152">
        <f>F78/ServiceHistory!$I$44</f>
        <v>3.125</v>
      </c>
      <c r="H78" s="150">
        <f>G78*0.4167</f>
        <v>1.3021875000000001</v>
      </c>
      <c r="I78" s="150">
        <f>SUM(G78:H78)*0.0221</f>
        <v>9.7840843750000017E-2</v>
      </c>
      <c r="J78" s="150">
        <f t="shared" si="6"/>
        <v>4.5250283437500007</v>
      </c>
      <c r="M78" s="154"/>
      <c r="O78" s="181"/>
    </row>
    <row r="79" spans="2:16" ht="14.1" customHeight="1" x14ac:dyDescent="0.25">
      <c r="E79" s="6" t="s">
        <v>155</v>
      </c>
      <c r="F79" s="147">
        <v>1</v>
      </c>
      <c r="G79" s="152">
        <f>F79/ServiceHistory!$I$44</f>
        <v>0.3125</v>
      </c>
      <c r="H79" s="150">
        <f>G79*0.4167</f>
        <v>0.13021874999999999</v>
      </c>
      <c r="I79" s="150">
        <f>SUM(G79:H79)*0.0221</f>
        <v>9.784084375E-3</v>
      </c>
      <c r="J79" s="150">
        <f t="shared" si="6"/>
        <v>0.452502834375</v>
      </c>
      <c r="M79" s="154"/>
      <c r="O79" s="181"/>
    </row>
    <row r="80" spans="2:16" ht="14.1" customHeight="1" x14ac:dyDescent="0.25">
      <c r="E80" s="6" t="s">
        <v>156</v>
      </c>
      <c r="F80" s="147">
        <v>5.63</v>
      </c>
      <c r="G80" s="152">
        <f>F80/ServiceHistory!$I$44</f>
        <v>1.7593749999999999</v>
      </c>
      <c r="H80" s="150">
        <f>G80*0.4167</f>
        <v>0.7331315625</v>
      </c>
      <c r="I80" s="150">
        <f>SUM(G80:H80)*0.0221</f>
        <v>5.5084395031250004E-2</v>
      </c>
      <c r="J80" s="150">
        <f t="shared" si="6"/>
        <v>2.5475909575312499</v>
      </c>
      <c r="M80" s="154"/>
      <c r="O80" s="181"/>
    </row>
    <row r="81" spans="3:15" ht="14.1" customHeight="1" x14ac:dyDescent="0.25">
      <c r="C81" s="6" t="s">
        <v>141</v>
      </c>
      <c r="G81" s="151"/>
      <c r="H81" s="150"/>
      <c r="I81" s="150"/>
      <c r="J81" s="150"/>
      <c r="M81" s="153"/>
      <c r="O81" s="181"/>
    </row>
    <row r="82" spans="3:15" ht="14.1" customHeight="1" x14ac:dyDescent="0.25">
      <c r="D82" s="6" t="s">
        <v>148</v>
      </c>
      <c r="G82" s="151"/>
      <c r="H82" s="150"/>
      <c r="I82" s="150"/>
      <c r="J82" s="150"/>
      <c r="M82" s="154"/>
      <c r="O82" s="181"/>
    </row>
    <row r="83" spans="3:15" ht="14.1" customHeight="1" x14ac:dyDescent="0.25">
      <c r="E83" s="6" t="s">
        <v>157</v>
      </c>
      <c r="F83" s="147">
        <v>50</v>
      </c>
      <c r="G83" s="152">
        <f>F83/(ServiceHistory!$I$46*6)</f>
        <v>6.2372222394036907</v>
      </c>
      <c r="H83" s="150">
        <f>G83*0.4167</f>
        <v>2.599050507159518</v>
      </c>
      <c r="I83" s="150">
        <f>SUM(G83:H83)*0.0221</f>
        <v>0.19528162769904692</v>
      </c>
      <c r="J83" s="150">
        <f t="shared" si="6"/>
        <v>9.0315543742622548</v>
      </c>
      <c r="M83" s="154"/>
      <c r="O83" s="181"/>
    </row>
    <row r="84" spans="3:15" ht="14.1" customHeight="1" x14ac:dyDescent="0.25">
      <c r="E84" s="6" t="s">
        <v>158</v>
      </c>
      <c r="F84" s="147">
        <v>150</v>
      </c>
      <c r="G84" s="152">
        <f>F84/(ServiceHistory!$I$46*6)</f>
        <v>18.71166671821107</v>
      </c>
      <c r="H84" s="150">
        <f>G84*0.4167</f>
        <v>7.7971515214785532</v>
      </c>
      <c r="I84" s="150">
        <f>SUM(G84:H84)*0.0221</f>
        <v>0.58584488309714078</v>
      </c>
      <c r="J84" s="150">
        <f t="shared" si="6"/>
        <v>27.094663122786766</v>
      </c>
      <c r="M84" s="154"/>
      <c r="O84" s="181"/>
    </row>
    <row r="85" spans="3:15" ht="14.1" customHeight="1" x14ac:dyDescent="0.25">
      <c r="E85" s="6" t="s">
        <v>159</v>
      </c>
      <c r="F85" s="147">
        <v>415</v>
      </c>
      <c r="G85" s="152">
        <f>F85/(ServiceHistory!$I$46*6)</f>
        <v>51.768944587050633</v>
      </c>
      <c r="H85" s="150">
        <f>G85*0.4167</f>
        <v>21.572119209423999</v>
      </c>
      <c r="I85" s="150">
        <f>SUM(G85:H85)*0.0221</f>
        <v>1.6208375099020893</v>
      </c>
      <c r="J85" s="150">
        <f t="shared" si="6"/>
        <v>74.961901306376717</v>
      </c>
      <c r="M85" s="154"/>
      <c r="O85" s="182"/>
    </row>
    <row r="86" spans="3:15" ht="14.1" customHeight="1" x14ac:dyDescent="0.25">
      <c r="C86" s="6" t="s">
        <v>139</v>
      </c>
      <c r="O86" s="6"/>
    </row>
    <row r="87" spans="3:15" ht="14.1" customHeight="1" x14ac:dyDescent="0.25">
      <c r="D87" s="6" t="s">
        <v>149</v>
      </c>
      <c r="O87" s="6"/>
    </row>
    <row r="88" spans="3:15" ht="14.1" customHeight="1" x14ac:dyDescent="0.25">
      <c r="O88" s="6"/>
    </row>
    <row r="89" spans="3:15" ht="14.1" customHeight="1" x14ac:dyDescent="0.25">
      <c r="O89" s="6"/>
    </row>
    <row r="90" spans="3:15" ht="14.1" customHeight="1" x14ac:dyDescent="0.25">
      <c r="O90" s="6"/>
    </row>
    <row r="91" spans="3:15" ht="14.1" customHeight="1" x14ac:dyDescent="0.25">
      <c r="O91" s="6"/>
    </row>
    <row r="92" spans="3:15" ht="14.1" customHeight="1" x14ac:dyDescent="0.25">
      <c r="O92" s="6"/>
    </row>
    <row r="93" spans="3:15" ht="14.1" customHeight="1" x14ac:dyDescent="0.25">
      <c r="O93" s="6"/>
    </row>
    <row r="94" spans="3:15" ht="14.1" customHeight="1" x14ac:dyDescent="0.25">
      <c r="O94" s="6"/>
    </row>
    <row r="95" spans="3:15" ht="14.1" customHeight="1" x14ac:dyDescent="0.25">
      <c r="O95" s="6"/>
    </row>
    <row r="96" spans="3:15" ht="14.1" customHeight="1" x14ac:dyDescent="0.25">
      <c r="O96" s="6"/>
    </row>
    <row r="97" spans="15:15" ht="14.1" customHeight="1" x14ac:dyDescent="0.25">
      <c r="O97" s="6"/>
    </row>
    <row r="98" spans="15:15" ht="14.1" customHeight="1" x14ac:dyDescent="0.25">
      <c r="O98" s="6"/>
    </row>
    <row r="99" spans="15:15" ht="14.1" customHeight="1" x14ac:dyDescent="0.25">
      <c r="O99" s="6"/>
    </row>
    <row r="100" spans="15:15" ht="14.1" customHeight="1" x14ac:dyDescent="0.25">
      <c r="O100" s="6"/>
    </row>
    <row r="101" spans="15:15" ht="14.1" customHeight="1" x14ac:dyDescent="0.25">
      <c r="O101" s="6"/>
    </row>
    <row r="102" spans="15:15" ht="14.1" customHeight="1" x14ac:dyDescent="0.25">
      <c r="O102" s="6"/>
    </row>
    <row r="103" spans="15:15" ht="14.1" customHeight="1" x14ac:dyDescent="0.25">
      <c r="O103" s="6"/>
    </row>
    <row r="104" spans="15:15" ht="14.1" customHeight="1" x14ac:dyDescent="0.25">
      <c r="O104" s="6"/>
    </row>
    <row r="105" spans="15:15" ht="14.1" customHeight="1" x14ac:dyDescent="0.25">
      <c r="O105" s="6"/>
    </row>
    <row r="106" spans="15:15" ht="14.1" customHeight="1" x14ac:dyDescent="0.25">
      <c r="O106" s="6"/>
    </row>
    <row r="107" spans="15:15" ht="14.1" customHeight="1" x14ac:dyDescent="0.25">
      <c r="O107" s="6"/>
    </row>
    <row r="108" spans="15:15" ht="14.1" customHeight="1" x14ac:dyDescent="0.25">
      <c r="O108" s="6"/>
    </row>
    <row r="109" spans="15:15" ht="14.1" customHeight="1" x14ac:dyDescent="0.25">
      <c r="O109" s="6"/>
    </row>
    <row r="110" spans="15:15" ht="14.1" customHeight="1" x14ac:dyDescent="0.25">
      <c r="O110" s="6"/>
    </row>
    <row r="111" spans="15:15" ht="14.1" customHeight="1" x14ac:dyDescent="0.25">
      <c r="O111" s="6"/>
    </row>
    <row r="112" spans="15:15" ht="14.1" customHeight="1" x14ac:dyDescent="0.25">
      <c r="O112" s="6"/>
    </row>
    <row r="113" spans="15:15" ht="14.1" customHeight="1" x14ac:dyDescent="0.25">
      <c r="O113" s="6"/>
    </row>
  </sheetData>
  <mergeCells count="6">
    <mergeCell ref="O73:O85"/>
    <mergeCell ref="O7:O13"/>
    <mergeCell ref="O25:O26"/>
    <mergeCell ref="O30:O37"/>
    <mergeCell ref="O17:O21"/>
    <mergeCell ref="O53:O67"/>
  </mergeCells>
  <pageMargins left="0.39370078740157483" right="0.39370078740157483" top="0.39370078740157483" bottom="0.39370078740157483" header="0.19685039370078741" footer="0.19685039370078741"/>
  <pageSetup paperSize="9" scale="45" fitToHeight="0" orientation="landscape"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E3"/>
  <sheetViews>
    <sheetView workbookViewId="0"/>
  </sheetViews>
  <sheetFormatPr defaultColWidth="0" defaultRowHeight="15"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pageSetUpPr fitToPage="1"/>
  </sheetPr>
  <dimension ref="A1:AZ14"/>
  <sheetViews>
    <sheetView zoomScaleNormal="100" zoomScalePageLayoutView="125" workbookViewId="0">
      <pane xSplit="5" ySplit="6" topLeftCell="J7" activePane="bottomRight" state="frozenSplit"/>
      <selection pane="topRight" activeCell="E1" sqref="E1"/>
      <selection pane="bottomLeft" activeCell="A7" sqref="A7"/>
      <selection pane="bottomRight" activeCell="L13" sqref="L13"/>
    </sheetView>
  </sheetViews>
  <sheetFormatPr defaultColWidth="9.140625" defaultRowHeight="14.1" customHeight="1" x14ac:dyDescent="0.25"/>
  <cols>
    <col min="1" max="3" width="2.140625" style="6" customWidth="1"/>
    <col min="4" max="4" width="1.85546875" style="6" customWidth="1"/>
    <col min="5" max="5" width="42.140625" style="6" customWidth="1"/>
    <col min="6" max="8" width="10.42578125" style="6" customWidth="1"/>
    <col min="9" max="9" width="1.7109375" style="6" customWidth="1"/>
    <col min="10" max="12" width="10.42578125" style="6" customWidth="1"/>
    <col min="13" max="13" width="2" style="6" customWidth="1"/>
    <col min="14" max="16" width="10.42578125" style="6" customWidth="1"/>
    <col min="17" max="19" width="9.140625" style="6"/>
    <col min="20" max="20" width="1.85546875" style="6" customWidth="1"/>
    <col min="21" max="25" width="10.42578125" style="6" customWidth="1"/>
    <col min="26" max="26" width="1.85546875" style="6" customWidth="1"/>
    <col min="27" max="32" width="10.42578125" style="6" customWidth="1"/>
    <col min="33" max="33" width="1.85546875" style="6" customWidth="1"/>
    <col min="34" max="39" width="10.42578125" style="6" customWidth="1"/>
    <col min="40" max="40" width="3.5703125" style="6" customWidth="1"/>
    <col min="41" max="41" width="10.140625" style="6" bestFit="1" customWidth="1"/>
    <col min="42" max="46" width="10.28515625" style="6" bestFit="1" customWidth="1"/>
    <col min="47" max="16384" width="9.140625" style="6"/>
  </cols>
  <sheetData>
    <row r="1" spans="1:52" ht="14.1" customHeight="1" x14ac:dyDescent="0.2">
      <c r="A1" s="14" t="s">
        <v>15</v>
      </c>
      <c r="B1" s="14"/>
      <c r="C1" s="14"/>
      <c r="D1" s="14"/>
      <c r="E1" s="14"/>
      <c r="F1" s="14"/>
      <c r="G1" s="14"/>
      <c r="H1" s="14"/>
    </row>
    <row r="2" spans="1:52" ht="14.1" customHeight="1" x14ac:dyDescent="0.25">
      <c r="A2" s="16" t="s">
        <v>66</v>
      </c>
      <c r="B2" s="15"/>
      <c r="C2" s="15"/>
      <c r="D2" s="15"/>
      <c r="E2" s="15"/>
      <c r="F2" s="15"/>
      <c r="G2" s="15"/>
      <c r="H2" s="15"/>
    </row>
    <row r="3" spans="1:52" ht="14.1" customHeight="1" x14ac:dyDescent="0.25">
      <c r="A3" s="6" t="str">
        <f>GlobalInputs!G9</f>
        <v>ASP Fees</v>
      </c>
    </row>
    <row r="4" spans="1:52" ht="14.1" customHeight="1" x14ac:dyDescent="0.2">
      <c r="E4" s="74" t="str">
        <f>IF(ROUND($E$5,6)=0,"ok","Problem - review CheckSheet")</f>
        <v>ok</v>
      </c>
    </row>
    <row r="5" spans="1:52" ht="14.1" customHeight="1" x14ac:dyDescent="0.25">
      <c r="B5" s="30"/>
      <c r="C5" s="10"/>
      <c r="D5" s="10"/>
      <c r="E5" s="31"/>
      <c r="F5" s="191" t="s">
        <v>76</v>
      </c>
      <c r="G5" s="192"/>
      <c r="H5" s="193"/>
      <c r="J5" s="191" t="s">
        <v>110</v>
      </c>
      <c r="K5" s="192"/>
      <c r="L5" s="193"/>
      <c r="N5" s="191" t="s">
        <v>55</v>
      </c>
      <c r="O5" s="192"/>
      <c r="P5" s="192"/>
      <c r="Q5" s="192"/>
      <c r="R5" s="192"/>
      <c r="S5" s="193"/>
      <c r="U5" s="191" t="s">
        <v>112</v>
      </c>
      <c r="V5" s="192"/>
      <c r="W5" s="192"/>
      <c r="X5" s="192"/>
      <c r="Y5" s="193"/>
      <c r="AA5" s="191" t="s">
        <v>113</v>
      </c>
      <c r="AB5" s="192"/>
      <c r="AC5" s="192"/>
      <c r="AD5" s="192"/>
      <c r="AE5" s="192"/>
      <c r="AF5" s="193"/>
      <c r="AH5" s="191" t="s">
        <v>115</v>
      </c>
      <c r="AI5" s="192"/>
      <c r="AJ5" s="192"/>
      <c r="AK5" s="192"/>
      <c r="AL5" s="192"/>
      <c r="AM5" s="193"/>
      <c r="AO5" s="191" t="s">
        <v>174</v>
      </c>
      <c r="AP5" s="192"/>
      <c r="AQ5" s="192"/>
      <c r="AR5" s="192"/>
      <c r="AS5" s="192"/>
      <c r="AT5" s="193"/>
    </row>
    <row r="6" spans="1:52" ht="14.1" customHeight="1" x14ac:dyDescent="0.25">
      <c r="B6" s="12" t="s">
        <v>67</v>
      </c>
      <c r="C6" s="11"/>
      <c r="D6" s="11"/>
      <c r="E6" s="32"/>
      <c r="F6" s="29" t="s">
        <v>68</v>
      </c>
      <c r="G6" s="9" t="s">
        <v>69</v>
      </c>
      <c r="H6" s="35" t="s">
        <v>70</v>
      </c>
      <c r="J6" s="29" t="s">
        <v>68</v>
      </c>
      <c r="K6" s="9" t="s">
        <v>109</v>
      </c>
      <c r="L6" s="35" t="s">
        <v>111</v>
      </c>
      <c r="N6" s="29" t="s">
        <v>78</v>
      </c>
      <c r="O6" s="9" t="str">
        <f>GlobalInputs!G13</f>
        <v>2014/15</v>
      </c>
      <c r="P6" s="9" t="str">
        <f>GlobalInputs!H13</f>
        <v>2015/16</v>
      </c>
      <c r="Q6" s="9" t="str">
        <f>GlobalInputs!I13</f>
        <v>2016/17</v>
      </c>
      <c r="R6" s="9" t="str">
        <f>GlobalInputs!J13</f>
        <v>2017/18</v>
      </c>
      <c r="S6" s="35" t="str">
        <f>GlobalInputs!K13</f>
        <v>2018/19</v>
      </c>
      <c r="U6" s="29" t="str">
        <f>O6</f>
        <v>2014/15</v>
      </c>
      <c r="V6" s="9" t="str">
        <f t="shared" ref="V6:Y6" si="0">P6</f>
        <v>2015/16</v>
      </c>
      <c r="W6" s="9" t="str">
        <f t="shared" si="0"/>
        <v>2016/17</v>
      </c>
      <c r="X6" s="9" t="str">
        <f t="shared" si="0"/>
        <v>2017/18</v>
      </c>
      <c r="Y6" s="35" t="str">
        <f t="shared" si="0"/>
        <v>2018/19</v>
      </c>
      <c r="AA6" s="29" t="s">
        <v>114</v>
      </c>
      <c r="AB6" s="9" t="str">
        <f>U6</f>
        <v>2014/15</v>
      </c>
      <c r="AC6" s="9" t="str">
        <f t="shared" ref="AC6:AF6" si="1">V6</f>
        <v>2015/16</v>
      </c>
      <c r="AD6" s="9" t="str">
        <f t="shared" si="1"/>
        <v>2016/17</v>
      </c>
      <c r="AE6" s="9" t="str">
        <f t="shared" si="1"/>
        <v>2017/18</v>
      </c>
      <c r="AF6" s="35" t="str">
        <f t="shared" si="1"/>
        <v>2018/19</v>
      </c>
      <c r="AH6" s="29" t="s">
        <v>114</v>
      </c>
      <c r="AI6" s="9" t="str">
        <f>AB6</f>
        <v>2014/15</v>
      </c>
      <c r="AJ6" s="9" t="str">
        <f t="shared" ref="AJ6:AM6" si="2">AC6</f>
        <v>2015/16</v>
      </c>
      <c r="AK6" s="9" t="str">
        <f t="shared" si="2"/>
        <v>2016/17</v>
      </c>
      <c r="AL6" s="9" t="str">
        <f t="shared" si="2"/>
        <v>2017/18</v>
      </c>
      <c r="AM6" s="35" t="str">
        <f t="shared" si="2"/>
        <v>2018/19</v>
      </c>
      <c r="AO6" s="29" t="s">
        <v>114</v>
      </c>
      <c r="AP6" s="9" t="str">
        <f>AI6</f>
        <v>2014/15</v>
      </c>
      <c r="AQ6" s="9" t="str">
        <f t="shared" ref="AQ6" si="3">AJ6</f>
        <v>2015/16</v>
      </c>
      <c r="AR6" s="9" t="str">
        <f t="shared" ref="AR6" si="4">AK6</f>
        <v>2016/17</v>
      </c>
      <c r="AS6" s="9" t="str">
        <f t="shared" ref="AS6" si="5">AL6</f>
        <v>2017/18</v>
      </c>
      <c r="AT6" s="35" t="str">
        <f t="shared" ref="AT6" si="6">AM6</f>
        <v>2018/19</v>
      </c>
    </row>
    <row r="7" spans="1:52" ht="14.1" customHeight="1" x14ac:dyDescent="0.25">
      <c r="B7" s="12"/>
      <c r="C7" s="11" t="str">
        <f>ServiceProjections!D7</f>
        <v>Authorisation of ASPs - Initial</v>
      </c>
      <c r="D7" s="11"/>
      <c r="E7" s="32"/>
      <c r="F7" s="12"/>
      <c r="G7" s="11"/>
      <c r="H7" s="32"/>
      <c r="J7" s="12"/>
      <c r="K7" s="11"/>
      <c r="L7" s="32"/>
      <c r="N7" s="12"/>
      <c r="O7" s="11"/>
      <c r="P7" s="11"/>
      <c r="Q7" s="11"/>
      <c r="R7" s="11"/>
      <c r="S7" s="32"/>
      <c r="U7" s="12"/>
      <c r="V7" s="11"/>
      <c r="W7" s="11"/>
      <c r="X7" s="11"/>
      <c r="Y7" s="32"/>
      <c r="AA7" s="12"/>
      <c r="AB7" s="11"/>
      <c r="AC7" s="11"/>
      <c r="AD7" s="11"/>
      <c r="AE7" s="11"/>
      <c r="AF7" s="32"/>
      <c r="AH7" s="12"/>
      <c r="AI7" s="11"/>
      <c r="AJ7" s="11"/>
      <c r="AK7" s="11"/>
      <c r="AL7" s="11"/>
      <c r="AM7" s="32"/>
      <c r="AO7" s="30"/>
      <c r="AP7" s="10"/>
      <c r="AQ7" s="10"/>
      <c r="AR7" s="10"/>
      <c r="AS7" s="10"/>
      <c r="AT7" s="31"/>
    </row>
    <row r="8" spans="1:52" ht="14.1" customHeight="1" x14ac:dyDescent="0.25">
      <c r="B8" s="12"/>
      <c r="C8" s="11"/>
      <c r="D8" s="11" t="str">
        <f>ServiceProjections!E8</f>
        <v>Initial Authorisations</v>
      </c>
      <c r="E8" s="32"/>
      <c r="F8" s="36">
        <f>ServiceHistory!G43</f>
        <v>2</v>
      </c>
      <c r="G8" s="37">
        <f>H8/F8</f>
        <v>79.5</v>
      </c>
      <c r="H8" s="38">
        <f>ServiceHistory!G7</f>
        <v>159</v>
      </c>
      <c r="J8" s="36">
        <f>ServiceProjections!I18</f>
        <v>5.45</v>
      </c>
      <c r="K8" s="37">
        <f>ServiceProjections!J43</f>
        <v>146.07046915267068</v>
      </c>
      <c r="L8" s="39">
        <f>J8*K8</f>
        <v>796.08405688205528</v>
      </c>
      <c r="N8" s="12"/>
      <c r="O8" s="40">
        <f>ServiceProjections!H54</f>
        <v>238.2</v>
      </c>
      <c r="P8" s="40">
        <f>ServiceProjections!I54</f>
        <v>238.2</v>
      </c>
      <c r="Q8" s="40">
        <f>ServiceProjections!J54</f>
        <v>238.2</v>
      </c>
      <c r="R8" s="40">
        <f>ServiceProjections!K54</f>
        <v>238.2</v>
      </c>
      <c r="S8" s="41">
        <f>ServiceProjections!L54</f>
        <v>238.2</v>
      </c>
      <c r="U8" s="42">
        <f>L8*O8</f>
        <v>189627.22234930555</v>
      </c>
      <c r="V8" s="40">
        <f t="shared" ref="V8:Y8" si="7">P8*$L8</f>
        <v>189627.22234930555</v>
      </c>
      <c r="W8" s="40">
        <f t="shared" si="7"/>
        <v>189627.22234930555</v>
      </c>
      <c r="X8" s="40">
        <f t="shared" si="7"/>
        <v>189627.22234930555</v>
      </c>
      <c r="Y8" s="41">
        <f t="shared" si="7"/>
        <v>189627.22234930555</v>
      </c>
      <c r="AA8" s="43">
        <f>ServiceProjections!G43*FeeConstruction!J8</f>
        <v>549.77836353059251</v>
      </c>
      <c r="AB8" s="40">
        <f>O8*$AA8</f>
        <v>130957.20619298713</v>
      </c>
      <c r="AC8" s="40">
        <f t="shared" ref="AC8:AF8" si="8">P8*$AA8</f>
        <v>130957.20619298713</v>
      </c>
      <c r="AD8" s="40">
        <f t="shared" si="8"/>
        <v>130957.20619298713</v>
      </c>
      <c r="AE8" s="40">
        <f t="shared" si="8"/>
        <v>130957.20619298713</v>
      </c>
      <c r="AF8" s="41">
        <f t="shared" si="8"/>
        <v>130957.20619298713</v>
      </c>
      <c r="AH8" s="43">
        <f>ServiceProjections!H43*J8</f>
        <v>229.09264408319791</v>
      </c>
      <c r="AI8" s="40">
        <f>O8*$AH8</f>
        <v>54569.867820617743</v>
      </c>
      <c r="AJ8" s="40">
        <f t="shared" ref="AJ8:AM8" si="9">P8*$AH8</f>
        <v>54569.867820617743</v>
      </c>
      <c r="AK8" s="40">
        <f t="shared" si="9"/>
        <v>54569.867820617743</v>
      </c>
      <c r="AL8" s="40">
        <f t="shared" si="9"/>
        <v>54569.867820617743</v>
      </c>
      <c r="AM8" s="41">
        <f t="shared" si="9"/>
        <v>54569.867820617743</v>
      </c>
      <c r="AO8" s="161">
        <f>ServiceProjections!I43*FeeConstruction!J8</f>
        <v>17.213049268264772</v>
      </c>
      <c r="AP8" s="162">
        <f>$AO8*O8</f>
        <v>4100.1483357006682</v>
      </c>
      <c r="AQ8" s="162">
        <f t="shared" ref="AQ8:AT8" si="10">$AO8*P8</f>
        <v>4100.1483357006682</v>
      </c>
      <c r="AR8" s="162">
        <f t="shared" si="10"/>
        <v>4100.1483357006682</v>
      </c>
      <c r="AS8" s="162">
        <f t="shared" si="10"/>
        <v>4100.1483357006682</v>
      </c>
      <c r="AT8" s="163">
        <f t="shared" si="10"/>
        <v>4100.1483357006682</v>
      </c>
      <c r="AV8" s="164"/>
      <c r="AW8" s="164"/>
      <c r="AX8" s="164"/>
      <c r="AY8" s="164"/>
      <c r="AZ8" s="164"/>
    </row>
    <row r="9" spans="1:52" ht="14.1" customHeight="1" x14ac:dyDescent="0.25">
      <c r="B9" s="12"/>
      <c r="C9" s="11"/>
      <c r="D9" s="11" t="str">
        <f>ServiceProjections!E9</f>
        <v>Authorisation Renewals</v>
      </c>
      <c r="E9" s="32"/>
      <c r="F9" s="36">
        <f>ServiceHistory!G44</f>
        <v>2</v>
      </c>
      <c r="G9" s="37">
        <f t="shared" ref="G9" si="11">H9/F9</f>
        <v>79.5</v>
      </c>
      <c r="H9" s="38">
        <f>ServiceHistory!G8</f>
        <v>159</v>
      </c>
      <c r="J9" s="36">
        <f>ServiceProjections!I19</f>
        <v>3.2</v>
      </c>
      <c r="K9" s="37">
        <f>ServiceProjections!J44</f>
        <v>120.73717042783458</v>
      </c>
      <c r="L9" s="39">
        <f t="shared" ref="L9" si="12">J9*K9</f>
        <v>386.35894536907068</v>
      </c>
      <c r="N9" s="12"/>
      <c r="O9" s="40">
        <f>ServiceProjections!H55</f>
        <v>1449</v>
      </c>
      <c r="P9" s="40">
        <f>ServiceProjections!I55</f>
        <v>1506</v>
      </c>
      <c r="Q9" s="40">
        <f>ServiceProjections!J55</f>
        <v>1563</v>
      </c>
      <c r="R9" s="40">
        <f>ServiceProjections!K55</f>
        <v>1620</v>
      </c>
      <c r="S9" s="41">
        <f>ServiceProjections!L55</f>
        <v>1677</v>
      </c>
      <c r="U9" s="42">
        <f t="shared" ref="U9" si="13">O9*$L9</f>
        <v>559834.11183978338</v>
      </c>
      <c r="V9" s="40">
        <f t="shared" ref="V9" si="14">P9*$L9</f>
        <v>581856.57172582042</v>
      </c>
      <c r="W9" s="40">
        <f t="shared" ref="W9" si="15">Q9*$L9</f>
        <v>603879.03161185747</v>
      </c>
      <c r="X9" s="40">
        <f t="shared" ref="X9" si="16">R9*$L9</f>
        <v>625901.49149789452</v>
      </c>
      <c r="Y9" s="41">
        <f t="shared" ref="Y9" si="17">S9*$L9</f>
        <v>647923.95138393156</v>
      </c>
      <c r="AA9" s="43">
        <f>ServiceProjections!G44*FeeConstruction!J9</f>
        <v>266.82080476821233</v>
      </c>
      <c r="AB9" s="40">
        <f t="shared" ref="AB9" si="18">O9*$AA9</f>
        <v>386623.34610913967</v>
      </c>
      <c r="AC9" s="40">
        <f t="shared" ref="AC9" si="19">P9*$AA9</f>
        <v>401832.13198092778</v>
      </c>
      <c r="AD9" s="40">
        <f t="shared" ref="AD9" si="20">Q9*$AA9</f>
        <v>417040.91785271588</v>
      </c>
      <c r="AE9" s="40">
        <f t="shared" ref="AE9" si="21">R9*$AA9</f>
        <v>432249.70372450398</v>
      </c>
      <c r="AF9" s="41">
        <f t="shared" ref="AF9" si="22">S9*$AA9</f>
        <v>447458.48959629209</v>
      </c>
      <c r="AH9" s="43">
        <f>ServiceProjections!H44*J9</f>
        <v>111.18422934691408</v>
      </c>
      <c r="AI9" s="40">
        <f t="shared" ref="AI9" si="23">O9*$AH9</f>
        <v>161105.94832367849</v>
      </c>
      <c r="AJ9" s="40">
        <f t="shared" ref="AJ9" si="24">P9*$AH9</f>
        <v>167443.4493964526</v>
      </c>
      <c r="AK9" s="40">
        <f t="shared" ref="AK9" si="25">Q9*$AH9</f>
        <v>173780.95046922669</v>
      </c>
      <c r="AL9" s="40">
        <f t="shared" ref="AL9" si="26">R9*$AH9</f>
        <v>180118.45154200081</v>
      </c>
      <c r="AM9" s="41">
        <f t="shared" ref="AM9" si="27">S9*$AH9</f>
        <v>186455.9526147749</v>
      </c>
      <c r="AO9" s="161">
        <f>L9-AA9-AH9</f>
        <v>8.3539112539442755</v>
      </c>
      <c r="AP9" s="162">
        <f>$AO9*O9</f>
        <v>12104.817406965256</v>
      </c>
      <c r="AQ9" s="162">
        <f t="shared" ref="AQ9" si="28">$AO9*P9</f>
        <v>12580.990348440078</v>
      </c>
      <c r="AR9" s="162">
        <f t="shared" ref="AR9" si="29">$AO9*Q9</f>
        <v>13057.163289914903</v>
      </c>
      <c r="AS9" s="162">
        <f t="shared" ref="AS9" si="30">$AO9*R9</f>
        <v>13533.336231389727</v>
      </c>
      <c r="AT9" s="163">
        <f t="shared" ref="AT9" si="31">$AO9*S9</f>
        <v>14009.509172864549</v>
      </c>
      <c r="AV9" s="164"/>
      <c r="AW9" s="164"/>
      <c r="AX9" s="164"/>
      <c r="AY9" s="164"/>
      <c r="AZ9" s="164"/>
    </row>
    <row r="10" spans="1:52" ht="14.1" customHeight="1" x14ac:dyDescent="0.25">
      <c r="B10" s="12"/>
      <c r="C10" s="11" t="str">
        <f>ServiceProjections!D10</f>
        <v>Authorisation Training</v>
      </c>
      <c r="D10" s="11"/>
      <c r="E10" s="32"/>
      <c r="F10" s="12"/>
      <c r="G10" s="11"/>
      <c r="H10" s="32"/>
      <c r="J10" s="12"/>
      <c r="K10" s="11"/>
      <c r="L10" s="32"/>
      <c r="N10" s="12"/>
      <c r="O10" s="11"/>
      <c r="P10" s="11"/>
      <c r="Q10" s="11"/>
      <c r="R10" s="11"/>
      <c r="S10" s="32"/>
      <c r="U10" s="12"/>
      <c r="V10" s="11"/>
      <c r="W10" s="11"/>
      <c r="X10" s="11"/>
      <c r="Y10" s="32"/>
      <c r="AA10" s="12"/>
      <c r="AB10" s="11"/>
      <c r="AC10" s="11"/>
      <c r="AD10" s="11"/>
      <c r="AE10" s="11"/>
      <c r="AF10" s="32"/>
      <c r="AH10" s="12"/>
      <c r="AI10" s="11"/>
      <c r="AJ10" s="11"/>
      <c r="AK10" s="11"/>
      <c r="AL10" s="11"/>
      <c r="AM10" s="32"/>
      <c r="AO10" s="12"/>
      <c r="AP10" s="11"/>
      <c r="AQ10" s="11"/>
      <c r="AR10" s="11"/>
      <c r="AS10" s="11"/>
      <c r="AT10" s="32"/>
      <c r="AV10" s="164"/>
      <c r="AW10" s="164"/>
      <c r="AX10" s="164"/>
      <c r="AY10" s="164"/>
      <c r="AZ10" s="164"/>
    </row>
    <row r="11" spans="1:52" ht="14.1" customHeight="1" x14ac:dyDescent="0.25">
      <c r="B11" s="12"/>
      <c r="C11" s="11"/>
      <c r="D11" s="11" t="str">
        <f>ServiceProjections!E11</f>
        <v>Authorisation Training</v>
      </c>
      <c r="E11" s="32"/>
      <c r="F11" s="36">
        <f>ServiceHistory!G46</f>
        <v>0</v>
      </c>
      <c r="G11" s="37" t="str">
        <f>H11</f>
        <v>n.a.</v>
      </c>
      <c r="H11" s="38" t="str">
        <f>ServiceHistory!G10</f>
        <v>n.a.</v>
      </c>
      <c r="J11" s="36">
        <f>ServiceProjections!I21</f>
        <v>1.3360648399999999</v>
      </c>
      <c r="K11" s="37">
        <f>ServiceProjections!J46</f>
        <v>224.31086453892257</v>
      </c>
      <c r="L11" s="39">
        <f>J11*K11</f>
        <v>299.69385934045727</v>
      </c>
      <c r="N11" s="12"/>
      <c r="O11" s="40">
        <f>ServiceProjections!H57</f>
        <v>96</v>
      </c>
      <c r="P11" s="40">
        <f>ServiceProjections!I57</f>
        <v>96</v>
      </c>
      <c r="Q11" s="40">
        <f>ServiceProjections!J57</f>
        <v>96</v>
      </c>
      <c r="R11" s="40">
        <f>ServiceProjections!K57</f>
        <v>96</v>
      </c>
      <c r="S11" s="41">
        <f>ServiceProjections!L57</f>
        <v>96</v>
      </c>
      <c r="U11" s="42">
        <f t="shared" ref="U11" si="32">O11*$L11</f>
        <v>28770.610496683898</v>
      </c>
      <c r="V11" s="40">
        <f t="shared" ref="V11" si="33">P11*$L11</f>
        <v>28770.610496683898</v>
      </c>
      <c r="W11" s="40">
        <f t="shared" ref="W11" si="34">Q11*$L11</f>
        <v>28770.610496683898</v>
      </c>
      <c r="X11" s="40">
        <f t="shared" ref="X11" si="35">R11*$L11</f>
        <v>28770.610496683898</v>
      </c>
      <c r="Y11" s="41">
        <f t="shared" ref="Y11" si="36">S11*$L11</f>
        <v>28770.610496683898</v>
      </c>
      <c r="AA11" s="43">
        <f>ServiceProjections!G46*FeeConstruction!J11</f>
        <v>206.95973048191024</v>
      </c>
      <c r="AB11" s="40">
        <f>O11*$AA11</f>
        <v>19868.134126263383</v>
      </c>
      <c r="AC11" s="40">
        <f t="shared" ref="AC11" si="37">P11*$AA11</f>
        <v>19868.134126263383</v>
      </c>
      <c r="AD11" s="40">
        <f t="shared" ref="AD11" si="38">Q11*$AA11</f>
        <v>19868.134126263383</v>
      </c>
      <c r="AE11" s="40">
        <f t="shared" ref="AE11" si="39">R11*$AA11</f>
        <v>19868.134126263383</v>
      </c>
      <c r="AF11" s="41">
        <f t="shared" ref="AF11" si="40">S11*$AA11</f>
        <v>19868.134126263383</v>
      </c>
      <c r="AH11" s="43">
        <f>ServiceProjections!H46*J11</f>
        <v>86.254103135600005</v>
      </c>
      <c r="AI11" s="40">
        <f t="shared" ref="AI11" si="41">O11*$AH11</f>
        <v>8280.3939010176</v>
      </c>
      <c r="AJ11" s="40">
        <f t="shared" ref="AJ11" si="42">P11*$AH11</f>
        <v>8280.3939010176</v>
      </c>
      <c r="AK11" s="40">
        <f t="shared" ref="AK11" si="43">Q11*$AH11</f>
        <v>8280.3939010176</v>
      </c>
      <c r="AL11" s="40">
        <f t="shared" ref="AL11" si="44">R11*$AH11</f>
        <v>8280.3939010176</v>
      </c>
      <c r="AM11" s="41">
        <f t="shared" ref="AM11" si="45">S11*$AH11</f>
        <v>8280.3939010176</v>
      </c>
      <c r="AO11" s="161">
        <f>L11-AA11-AH11</f>
        <v>6.4800257229470191</v>
      </c>
      <c r="AP11" s="162">
        <f>$AO11*O11</f>
        <v>622.08246940291383</v>
      </c>
      <c r="AQ11" s="162">
        <f t="shared" ref="AQ11" si="46">$AO11*P11</f>
        <v>622.08246940291383</v>
      </c>
      <c r="AR11" s="162">
        <f t="shared" ref="AR11" si="47">$AO11*Q11</f>
        <v>622.08246940291383</v>
      </c>
      <c r="AS11" s="162">
        <f t="shared" ref="AS11" si="48">$AO11*R11</f>
        <v>622.08246940291383</v>
      </c>
      <c r="AT11" s="163">
        <f t="shared" ref="AT11" si="49">$AO11*S11</f>
        <v>622.08246940291383</v>
      </c>
      <c r="AV11" s="164"/>
      <c r="AW11" s="164"/>
      <c r="AX11" s="164"/>
      <c r="AY11" s="164"/>
      <c r="AZ11" s="164"/>
    </row>
    <row r="12" spans="1:52" ht="14.1" customHeight="1" x14ac:dyDescent="0.25">
      <c r="B12" s="12"/>
      <c r="C12" s="11" t="str">
        <f>ServiceProjections!D12</f>
        <v>Remedial action of ASPs</v>
      </c>
      <c r="D12" s="11"/>
      <c r="E12" s="32"/>
      <c r="F12" s="12"/>
      <c r="G12" s="11"/>
      <c r="H12" s="32"/>
      <c r="J12" s="12"/>
      <c r="K12" s="11"/>
      <c r="L12" s="32"/>
      <c r="N12" s="12"/>
      <c r="O12" s="11"/>
      <c r="P12" s="11"/>
      <c r="Q12" s="11"/>
      <c r="R12" s="11"/>
      <c r="S12" s="32"/>
      <c r="U12" s="12"/>
      <c r="V12" s="11"/>
      <c r="W12" s="11"/>
      <c r="X12" s="11"/>
      <c r="Y12" s="32"/>
      <c r="AA12" s="12"/>
      <c r="AB12" s="11"/>
      <c r="AC12" s="11"/>
      <c r="AD12" s="11"/>
      <c r="AE12" s="11"/>
      <c r="AF12" s="32"/>
      <c r="AH12" s="12"/>
      <c r="AI12" s="11"/>
      <c r="AJ12" s="11"/>
      <c r="AK12" s="11"/>
      <c r="AL12" s="11"/>
      <c r="AM12" s="32"/>
      <c r="AO12" s="12"/>
      <c r="AP12" s="11"/>
      <c r="AQ12" s="11"/>
      <c r="AR12" s="11"/>
      <c r="AS12" s="11"/>
      <c r="AT12" s="32"/>
      <c r="AV12" s="164"/>
      <c r="AW12" s="164"/>
      <c r="AX12" s="164"/>
      <c r="AY12" s="164"/>
      <c r="AZ12" s="164"/>
    </row>
    <row r="13" spans="1:52" ht="14.1" customHeight="1" x14ac:dyDescent="0.25">
      <c r="B13" s="12"/>
      <c r="C13" s="11"/>
      <c r="D13" s="11" t="str">
        <f>ServiceProjections!E13</f>
        <v>Remedial action of ASPs</v>
      </c>
      <c r="E13" s="32"/>
      <c r="F13" s="36">
        <f>ServiceHistory!G48</f>
        <v>0</v>
      </c>
      <c r="G13" s="37" t="str">
        <f>H13</f>
        <v>n.a.</v>
      </c>
      <c r="H13" s="38" t="str">
        <f>ServiceHistory!G12</f>
        <v>n.a.</v>
      </c>
      <c r="J13" s="36" t="s">
        <v>152</v>
      </c>
      <c r="K13" s="37">
        <f>ServiceProjections!J48</f>
        <v>171.02439713634485</v>
      </c>
      <c r="L13" s="39">
        <f>K13</f>
        <v>171.02439713634485</v>
      </c>
      <c r="N13" s="12">
        <f>ServiceProjections!H26</f>
        <v>13.25</v>
      </c>
      <c r="O13" s="40">
        <f>ServiceProjections!H59*$N13</f>
        <v>1325</v>
      </c>
      <c r="P13" s="40">
        <f>ServiceProjections!I59*$N13</f>
        <v>1325</v>
      </c>
      <c r="Q13" s="40">
        <f>ServiceProjections!J59*$N13</f>
        <v>1325</v>
      </c>
      <c r="R13" s="40">
        <f>ServiceProjections!K59*$N13</f>
        <v>1325</v>
      </c>
      <c r="S13" s="41">
        <f>ServiceProjections!L59*$N13</f>
        <v>1325</v>
      </c>
      <c r="U13" s="166">
        <f t="shared" ref="U13" si="50">O13*$L13</f>
        <v>226607.32620565692</v>
      </c>
      <c r="V13" s="167">
        <f t="shared" ref="V13" si="51">P13*$L13</f>
        <v>226607.32620565692</v>
      </c>
      <c r="W13" s="167">
        <f t="shared" ref="W13" si="52">Q13*$L13</f>
        <v>226607.32620565692</v>
      </c>
      <c r="X13" s="167">
        <f t="shared" ref="X13" si="53">R13*$L13</f>
        <v>226607.32620565692</v>
      </c>
      <c r="Y13" s="168">
        <f t="shared" ref="Y13" si="54">S13*$L13</f>
        <v>226607.32620565692</v>
      </c>
      <c r="AA13" s="43">
        <f>ServiceProjections!G48</f>
        <v>118.11003168394852</v>
      </c>
      <c r="AB13" s="40">
        <f t="shared" ref="AB13" si="55">O13*$AA13</f>
        <v>156495.7919812318</v>
      </c>
      <c r="AC13" s="40">
        <f t="shared" ref="AC13" si="56">P13*$AA13</f>
        <v>156495.7919812318</v>
      </c>
      <c r="AD13" s="40">
        <f t="shared" ref="AD13" si="57">Q13*$AA13</f>
        <v>156495.7919812318</v>
      </c>
      <c r="AE13" s="40">
        <f t="shared" ref="AE13" si="58">R13*$AA13</f>
        <v>156495.7919812318</v>
      </c>
      <c r="AF13" s="41">
        <f t="shared" ref="AF13" si="59">S13*$AA13</f>
        <v>156495.7919812318</v>
      </c>
      <c r="AH13" s="43">
        <f>ServiceProjections!H48</f>
        <v>49.216450202701353</v>
      </c>
      <c r="AI13" s="40">
        <f t="shared" ref="AI13" si="60">O13*$AH13</f>
        <v>65211.796518579293</v>
      </c>
      <c r="AJ13" s="40">
        <f t="shared" ref="AJ13" si="61">P13*$AH13</f>
        <v>65211.796518579293</v>
      </c>
      <c r="AK13" s="40">
        <f t="shared" ref="AK13" si="62">Q13*$AH13</f>
        <v>65211.796518579293</v>
      </c>
      <c r="AL13" s="40">
        <f t="shared" ref="AL13" si="63">R13*$AH13</f>
        <v>65211.796518579293</v>
      </c>
      <c r="AM13" s="41">
        <f t="shared" ref="AM13" si="64">S13*$AH13</f>
        <v>65211.796518579293</v>
      </c>
      <c r="AO13" s="161">
        <f>L13-AA13-AH13</f>
        <v>3.6979152496949723</v>
      </c>
      <c r="AP13" s="162">
        <f>$AO13*O13</f>
        <v>4899.7377058458387</v>
      </c>
      <c r="AQ13" s="162">
        <f t="shared" ref="AQ13" si="65">$AO13*P13</f>
        <v>4899.7377058458387</v>
      </c>
      <c r="AR13" s="162">
        <f t="shared" ref="AR13" si="66">$AO13*Q13</f>
        <v>4899.7377058458387</v>
      </c>
      <c r="AS13" s="162">
        <f t="shared" ref="AS13" si="67">$AO13*R13</f>
        <v>4899.7377058458387</v>
      </c>
      <c r="AT13" s="163">
        <f t="shared" ref="AT13" si="68">$AO13*S13</f>
        <v>4899.7377058458387</v>
      </c>
      <c r="AV13" s="164"/>
      <c r="AW13" s="164"/>
      <c r="AX13" s="164"/>
      <c r="AY13" s="164"/>
      <c r="AZ13" s="164"/>
    </row>
    <row r="14" spans="1:52" ht="14.1" customHeight="1" x14ac:dyDescent="0.25">
      <c r="B14" s="33"/>
      <c r="C14" s="8"/>
      <c r="D14" s="8"/>
      <c r="E14" s="34"/>
      <c r="F14" s="33"/>
      <c r="G14" s="8"/>
      <c r="H14" s="34"/>
      <c r="J14" s="33"/>
      <c r="K14" s="8"/>
      <c r="L14" s="34"/>
      <c r="N14" s="33"/>
      <c r="O14" s="8"/>
      <c r="P14" s="8"/>
      <c r="Q14" s="8"/>
      <c r="R14" s="8"/>
      <c r="S14" s="34"/>
      <c r="U14" s="166">
        <f>SUM(U8:U13)</f>
        <v>1004839.2708914296</v>
      </c>
      <c r="V14" s="169">
        <f t="shared" ref="V14:Y14" si="69">SUM(V8:V13)</f>
        <v>1026861.7307774667</v>
      </c>
      <c r="W14" s="169">
        <f t="shared" si="69"/>
        <v>1048884.1906635037</v>
      </c>
      <c r="X14" s="169">
        <f t="shared" si="69"/>
        <v>1070906.6505495408</v>
      </c>
      <c r="Y14" s="170">
        <f t="shared" si="69"/>
        <v>1092929.1104355778</v>
      </c>
      <c r="AA14" s="33"/>
      <c r="AB14" s="8"/>
      <c r="AC14" s="8"/>
      <c r="AD14" s="8"/>
      <c r="AE14" s="8"/>
      <c r="AF14" s="34"/>
      <c r="AH14" s="33"/>
      <c r="AI14" s="8"/>
      <c r="AJ14" s="8"/>
      <c r="AK14" s="8"/>
      <c r="AL14" s="8"/>
      <c r="AM14" s="34"/>
      <c r="AO14" s="33"/>
      <c r="AP14" s="8"/>
      <c r="AQ14" s="8"/>
      <c r="AR14" s="8"/>
      <c r="AS14" s="8"/>
      <c r="AT14" s="34"/>
    </row>
  </sheetData>
  <mergeCells count="7">
    <mergeCell ref="AO5:AT5"/>
    <mergeCell ref="AH5:AM5"/>
    <mergeCell ref="F5:H5"/>
    <mergeCell ref="J5:L5"/>
    <mergeCell ref="N5:S5"/>
    <mergeCell ref="U5:Y5"/>
    <mergeCell ref="AA5:AF5"/>
  </mergeCells>
  <pageMargins left="0.39370078740157483" right="0.39370078740157483" top="0.39370078740157483" bottom="0.39370078740157483" header="0.19685039370078741" footer="0.19685039370078741"/>
  <pageSetup paperSize="8" scale="48" orientation="landscape"/>
  <headerFooter>
    <oddFooter>&amp;C&amp;F&amp;R&amp;A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CBB7B4-D45D-466A-A20D-D57AC3802A6C}"/>
</file>

<file path=customXml/itemProps2.xml><?xml version="1.0" encoding="utf-8"?>
<ds:datastoreItem xmlns:ds="http://schemas.openxmlformats.org/officeDocument/2006/customXml" ds:itemID="{138FF6F6-CFAA-4DFA-85BE-378B2B19EAE6}"/>
</file>

<file path=customXml/itemProps3.xml><?xml version="1.0" encoding="utf-8"?>
<ds:datastoreItem xmlns:ds="http://schemas.openxmlformats.org/officeDocument/2006/customXml" ds:itemID="{5F7F41F6-708E-4422-BBF0-30AFCC9180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ReadMeFirst</vt:lpstr>
      <vt:lpstr>Summary</vt:lpstr>
      <vt:lpstr>InputSheets --&gt;</vt:lpstr>
      <vt:lpstr>GlobalInputs</vt:lpstr>
      <vt:lpstr>ServiceDescription</vt:lpstr>
      <vt:lpstr>ServiceHistory</vt:lpstr>
      <vt:lpstr>ServiceProjections</vt:lpstr>
      <vt:lpstr>OutputSheets --&gt;</vt:lpstr>
      <vt:lpstr>FeeConstruction</vt:lpstr>
      <vt:lpstr>CheckSheet</vt:lpstr>
    </vt:vector>
  </TitlesOfParts>
  <Company>Ausgrid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t53572</dc:creator>
  <cp:lastModifiedBy>Catherine Waddell</cp:lastModifiedBy>
  <cp:lastPrinted>2014-05-19T22:30:40Z</cp:lastPrinted>
  <dcterms:created xsi:type="dcterms:W3CDTF">2013-06-17T01:25:32Z</dcterms:created>
  <dcterms:modified xsi:type="dcterms:W3CDTF">2014-05-26T22:53:09Z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