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5480" windowHeight="11640"/>
  </bookViews>
  <sheets>
    <sheet name="DMIA Spend Summary" sheetId="1" r:id="rId1"/>
    <sheet name="DMIA Carryover calculation" sheetId="4" r:id="rId2"/>
    <sheet name="Notes" sheetId="5" r:id="rId3"/>
  </sheets>
  <calcPr calcId="145621"/>
</workbook>
</file>

<file path=xl/calcChain.xml><?xml version="1.0" encoding="utf-8"?>
<calcChain xmlns="http://schemas.openxmlformats.org/spreadsheetml/2006/main">
  <c r="N1" i="4" l="1"/>
  <c r="B3" i="5"/>
  <c r="G24" i="1" l="1"/>
  <c r="B24" i="1" l="1"/>
  <c r="H11" i="4" l="1"/>
  <c r="D24" i="1" l="1"/>
  <c r="E24" i="1"/>
  <c r="F24" i="1"/>
  <c r="C24" i="1"/>
  <c r="E11" i="4" l="1"/>
  <c r="G11" i="4" s="1"/>
  <c r="D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K12" i="4" l="1"/>
  <c r="K11" i="4"/>
  <c r="K15" i="4"/>
  <c r="K13" i="4"/>
  <c r="K14" i="4"/>
  <c r="M11" i="4"/>
  <c r="O11" i="4" s="1"/>
  <c r="E12" i="4" l="1"/>
  <c r="G12" i="4" s="1"/>
  <c r="E13" i="4"/>
  <c r="H1" i="1"/>
  <c r="E15" i="4" l="1"/>
  <c r="G15" i="4" s="1"/>
  <c r="M12" i="4"/>
  <c r="O12" i="4"/>
  <c r="G13" i="4"/>
  <c r="O15" i="4" l="1"/>
  <c r="E14" i="4"/>
  <c r="O13" i="4"/>
  <c r="M13" i="4"/>
  <c r="G14" i="4" l="1"/>
  <c r="E16" i="4"/>
  <c r="O14" i="4" l="1"/>
  <c r="M14" i="4"/>
  <c r="M15" i="4" l="1"/>
  <c r="M16" i="4" l="1"/>
  <c r="H24" i="4"/>
</calcChain>
</file>

<file path=xl/sharedStrings.xml><?xml version="1.0" encoding="utf-8"?>
<sst xmlns="http://schemas.openxmlformats.org/spreadsheetml/2006/main" count="65" uniqueCount="52">
  <si>
    <t>Total</t>
  </si>
  <si>
    <t>DMIA projected (based on latest information on project progress)</t>
  </si>
  <si>
    <t>Total 2009-14</t>
  </si>
  <si>
    <t>2010/11      (Actual)</t>
  </si>
  <si>
    <t>2009/10  (Actual)</t>
  </si>
  <si>
    <t>2011/12      (Actual)</t>
  </si>
  <si>
    <t>2013/14 (Estimated)</t>
  </si>
  <si>
    <t>Status</t>
  </si>
  <si>
    <t>In progress</t>
  </si>
  <si>
    <t>Complete</t>
  </si>
  <si>
    <t xml:space="preserve">Expenditure Profile </t>
  </si>
  <si>
    <t>Year</t>
  </si>
  <si>
    <t>Allowance</t>
  </si>
  <si>
    <t>Expenditure</t>
  </si>
  <si>
    <t xml:space="preserve">Carry over amount </t>
  </si>
  <si>
    <t>Annual</t>
  </si>
  <si>
    <t xml:space="preserve">Indicative numbers </t>
  </si>
  <si>
    <t>Real</t>
  </si>
  <si>
    <t>Nominal</t>
  </si>
  <si>
    <t>Wacc</t>
  </si>
  <si>
    <t>New wacc</t>
  </si>
  <si>
    <t>Inflation</t>
  </si>
  <si>
    <t>2012/13 (Actual)</t>
  </si>
  <si>
    <t>Grid Interactive Inverter program 20kVA based</t>
  </si>
  <si>
    <t>Grid Interactive Inverter program 5kVA based</t>
  </si>
  <si>
    <t>Conservation Voltage Reduction through low voltage regulators</t>
  </si>
  <si>
    <t>Capacitor Package Development</t>
  </si>
  <si>
    <t>Energy and Network Capacity cost evaluation</t>
  </si>
  <si>
    <t>Energy and Demand Audits</t>
  </si>
  <si>
    <t>Program Facilitation</t>
  </si>
  <si>
    <t>Total expenditure ie. Opex + capex</t>
  </si>
  <si>
    <t>Grid Interactive Inverters (60kVA Statcom)</t>
  </si>
  <si>
    <t>Grid Interactive Inverters (20kVA Energy Storage)</t>
  </si>
  <si>
    <t>Grid Interactive Inverters (60kVA, energy storage and solar)</t>
  </si>
  <si>
    <t>Grid Interactive Inverters (20kVA statcom)</t>
  </si>
  <si>
    <t>Integration of Solar, Wind and Storage Systems into Distribution Grids for Network Support - Study</t>
  </si>
  <si>
    <t>Grid Interactive Inverter Project</t>
  </si>
  <si>
    <t>Total Essential Energy DMIA projected expenditure</t>
  </si>
  <si>
    <t>Source:</t>
  </si>
  <si>
    <t>Demand management incentive scheme for the ACT and NSW 2009 distribution determinations</t>
  </si>
  <si>
    <t>Essential Energy - DMIA Project Summary</t>
  </si>
  <si>
    <t>Essential Energy - DMIA carryover calculation</t>
  </si>
  <si>
    <t>Switched Reactors</t>
  </si>
  <si>
    <r>
      <t>R</t>
    </r>
    <r>
      <rPr>
        <b/>
        <vertAlign val="subscript"/>
        <sz val="11"/>
        <color theme="1"/>
        <rFont val="Arial"/>
        <family val="2"/>
      </rPr>
      <t>t</t>
    </r>
  </si>
  <si>
    <r>
      <rPr>
        <b/>
        <sz val="11"/>
        <color theme="1"/>
        <rFont val="Arial"/>
        <family val="2"/>
      </rPr>
      <t>A</t>
    </r>
    <r>
      <rPr>
        <b/>
        <vertAlign val="subscript"/>
        <sz val="11"/>
        <color theme="1"/>
        <rFont val="Arial"/>
        <family val="2"/>
      </rPr>
      <t>t</t>
    </r>
  </si>
  <si>
    <r>
      <t>R</t>
    </r>
    <r>
      <rPr>
        <b/>
        <vertAlign val="subscript"/>
        <sz val="11"/>
        <color theme="1"/>
        <rFont val="Arial"/>
        <family val="2"/>
      </rPr>
      <t xml:space="preserve">t - </t>
    </r>
    <r>
      <rPr>
        <b/>
        <sz val="11"/>
        <color theme="1"/>
        <rFont val="Arial"/>
        <family val="2"/>
      </rPr>
      <t>A</t>
    </r>
    <r>
      <rPr>
        <b/>
        <vertAlign val="subscript"/>
        <sz val="11"/>
        <color theme="1"/>
        <rFont val="Arial"/>
        <family val="2"/>
      </rPr>
      <t>t</t>
    </r>
  </si>
  <si>
    <r>
      <t xml:space="preserve">  (1+i)</t>
    </r>
    <r>
      <rPr>
        <b/>
        <vertAlign val="superscript"/>
        <sz val="11"/>
        <color theme="1"/>
        <rFont val="Arial"/>
        <family val="2"/>
      </rPr>
      <t>t</t>
    </r>
  </si>
  <si>
    <r>
      <t xml:space="preserve">  (1+i*)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</si>
  <si>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  (1+i*)</t>
    </r>
    <r>
      <rPr>
        <b/>
        <vertAlign val="superscript"/>
        <sz val="11"/>
        <color theme="1"/>
        <rFont val="Arial"/>
        <family val="2"/>
      </rPr>
      <t>2</t>
    </r>
  </si>
  <si>
    <r>
      <t xml:space="preserve"> (1+i*)</t>
    </r>
    <r>
      <rPr>
        <b/>
        <vertAlign val="super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* (1+i*)</t>
    </r>
    <r>
      <rPr>
        <b/>
        <vertAlign val="superscript"/>
        <sz val="11"/>
        <color theme="1"/>
        <rFont val="Arial"/>
        <family val="2"/>
      </rPr>
      <t>1</t>
    </r>
  </si>
  <si>
    <r>
      <t>C</t>
    </r>
    <r>
      <rPr>
        <b/>
        <vertAlign val="subscript"/>
        <sz val="11"/>
        <color theme="1"/>
        <rFont val="Arial"/>
        <family val="2"/>
      </rPr>
      <t>t</t>
    </r>
  </si>
  <si>
    <r>
      <t>NPV Neutral test (must equal zero)</t>
    </r>
    <r>
      <rPr>
        <b/>
        <sz val="11"/>
        <color theme="1"/>
        <rFont val="Arial"/>
        <family val="2"/>
      </rPr>
      <t xml:space="preserve">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</si>
</sst>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&quot;$&quot;* #,##0_-;\-&quot;$&quot;* #,##0_-;_-&quot;$&quot;* &quot;-&quot;??_-;_-@_-"/>
    <numFmt numFmtId="166" formatCode="0.0%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 tint="-0.499984740745262"/>
      <name val="Arial"/>
      <family val="2"/>
    </font>
    <font>
      <b/>
      <sz val="16"/>
      <color indexed="8"/>
      <name val="Arial"/>
      <family val="2"/>
    </font>
    <font>
      <sz val="11"/>
      <color theme="1"/>
      <name val="Arial"/>
      <family val="2"/>
    </font>
    <font>
      <sz val="11"/>
      <color theme="0" tint="-0.499984740745262"/>
      <name val="Arial"/>
      <family val="2"/>
    </font>
    <font>
      <b/>
      <sz val="11"/>
      <color theme="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9" xfId="0" applyBorder="1"/>
    <xf numFmtId="0" fontId="4" fillId="0" borderId="0" xfId="0" applyFont="1"/>
    <xf numFmtId="17" fontId="0" fillId="0" borderId="9" xfId="0" applyNumberForma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22" fontId="8" fillId="0" borderId="0" xfId="0" applyNumberFormat="1" applyFont="1" applyBorder="1"/>
    <xf numFmtId="0" fontId="7" fillId="0" borderId="0" xfId="0" applyFont="1"/>
    <xf numFmtId="0" fontId="8" fillId="0" borderId="9" xfId="0" applyFont="1" applyBorder="1"/>
    <xf numFmtId="0" fontId="7" fillId="0" borderId="9" xfId="0" applyFont="1" applyBorder="1"/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0" fillId="0" borderId="1" xfId="0" applyFont="1" applyFill="1" applyBorder="1" applyAlignment="1">
      <alignment wrapText="1"/>
    </xf>
    <xf numFmtId="167" fontId="11" fillId="0" borderId="1" xfId="1" applyNumberFormat="1" applyFont="1" applyFill="1" applyBorder="1"/>
    <xf numFmtId="0" fontId="11" fillId="0" borderId="1" xfId="0" applyFont="1" applyFill="1" applyBorder="1" applyAlignment="1">
      <alignment horizontal="right"/>
    </xf>
    <xf numFmtId="0" fontId="7" fillId="0" borderId="0" xfId="0" applyFont="1" applyFill="1"/>
    <xf numFmtId="0" fontId="11" fillId="0" borderId="1" xfId="0" applyFont="1" applyFill="1" applyBorder="1"/>
    <xf numFmtId="0" fontId="7" fillId="0" borderId="1" xfId="0" applyFont="1" applyFill="1" applyBorder="1"/>
    <xf numFmtId="167" fontId="7" fillId="0" borderId="1" xfId="1" applyNumberFormat="1" applyFont="1" applyFill="1" applyBorder="1"/>
    <xf numFmtId="0" fontId="7" fillId="0" borderId="1" xfId="0" applyFont="1" applyFill="1" applyBorder="1" applyAlignment="1">
      <alignment horizontal="right"/>
    </xf>
    <xf numFmtId="0" fontId="9" fillId="2" borderId="1" xfId="0" applyFont="1" applyFill="1" applyBorder="1"/>
    <xf numFmtId="165" fontId="9" fillId="2" borderId="1" xfId="1" applyNumberFormat="1" applyFont="1" applyFill="1" applyBorder="1"/>
    <xf numFmtId="165" fontId="9" fillId="2" borderId="1" xfId="0" applyNumberFormat="1" applyFont="1" applyFill="1" applyBorder="1"/>
    <xf numFmtId="22" fontId="8" fillId="0" borderId="0" xfId="0" applyNumberFormat="1" applyFont="1" applyBorder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2" fillId="0" borderId="0" xfId="0" applyFont="1" applyBorder="1"/>
    <xf numFmtId="0" fontId="12" fillId="0" borderId="6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5" fillId="0" borderId="0" xfId="0" applyFont="1" applyBorder="1"/>
    <xf numFmtId="2" fontId="7" fillId="0" borderId="0" xfId="0" applyNumberFormat="1" applyFont="1" applyBorder="1"/>
    <xf numFmtId="2" fontId="7" fillId="0" borderId="6" xfId="0" applyNumberFormat="1" applyFont="1" applyBorder="1"/>
    <xf numFmtId="2" fontId="12" fillId="0" borderId="0" xfId="0" applyNumberFormat="1" applyFont="1" applyFill="1" applyBorder="1"/>
    <xf numFmtId="2" fontId="7" fillId="0" borderId="0" xfId="0" applyNumberFormat="1" applyFont="1"/>
    <xf numFmtId="0" fontId="12" fillId="0" borderId="7" xfId="0" applyFont="1" applyBorder="1"/>
    <xf numFmtId="0" fontId="7" fillId="0" borderId="7" xfId="0" applyFont="1" applyBorder="1"/>
    <xf numFmtId="2" fontId="7" fillId="0" borderId="7" xfId="0" applyNumberFormat="1" applyFont="1" applyBorder="1"/>
    <xf numFmtId="0" fontId="12" fillId="0" borderId="2" xfId="0" applyFont="1" applyBorder="1"/>
    <xf numFmtId="166" fontId="7" fillId="0" borderId="0" xfId="2" applyNumberFormat="1" applyFont="1" applyBorder="1"/>
    <xf numFmtId="10" fontId="7" fillId="0" borderId="6" xfId="0" applyNumberFormat="1" applyFont="1" applyBorder="1"/>
    <xf numFmtId="0" fontId="7" fillId="0" borderId="8" xfId="0" applyFont="1" applyBorder="1"/>
    <xf numFmtId="166" fontId="7" fillId="0" borderId="9" xfId="0" applyNumberFormat="1" applyFont="1" applyBorder="1"/>
    <xf numFmtId="166" fontId="7" fillId="0" borderId="10" xfId="2" applyNumberFormat="1" applyFont="1" applyBorder="1"/>
    <xf numFmtId="43" fontId="7" fillId="0" borderId="1" xfId="3" applyFont="1" applyBorder="1"/>
    <xf numFmtId="0" fontId="7" fillId="0" borderId="10" xfId="0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12</xdr:col>
      <xdr:colOff>321884</xdr:colOff>
      <xdr:row>54</xdr:row>
      <xdr:rowOff>40887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1050"/>
          <a:ext cx="7637084" cy="95468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114300</xdr:rowOff>
    </xdr:from>
    <xdr:to>
      <xdr:col>12</xdr:col>
      <xdr:colOff>341211</xdr:colOff>
      <xdr:row>60</xdr:row>
      <xdr:rowOff>47625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10825"/>
          <a:ext cx="7656411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276225</xdr:colOff>
      <xdr:row>61</xdr:row>
      <xdr:rowOff>180975</xdr:rowOff>
    </xdr:to>
    <xdr:sp macro="" textlink="">
      <xdr:nvSpPr>
        <xdr:cNvPr id="3073" name="AutoShape 1"/>
        <xdr:cNvSpPr>
          <a:spLocks noChangeAspect="1" noChangeArrowheads="1"/>
        </xdr:cNvSpPr>
      </xdr:nvSpPr>
      <xdr:spPr bwMode="auto">
        <a:xfrm>
          <a:off x="0" y="10296525"/>
          <a:ext cx="698182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tabSelected="1" zoomScaleNormal="100" workbookViewId="0">
      <selection activeCell="A4" sqref="A4"/>
    </sheetView>
  </sheetViews>
  <sheetFormatPr defaultRowHeight="14.25" x14ac:dyDescent="0.2"/>
  <cols>
    <col min="1" max="1" width="47.28515625" style="8" customWidth="1"/>
    <col min="2" max="5" width="10.7109375" style="8" customWidth="1"/>
    <col min="6" max="6" width="11.5703125" style="8" customWidth="1"/>
    <col min="7" max="7" width="15.85546875" style="8" customWidth="1"/>
    <col min="8" max="8" width="17.140625" style="8" customWidth="1"/>
    <col min="9" max="16384" width="9.140625" style="8"/>
  </cols>
  <sheetData>
    <row r="1" spans="1:8" ht="20.25" x14ac:dyDescent="0.3">
      <c r="A1" s="4" t="s">
        <v>40</v>
      </c>
      <c r="B1" s="5"/>
      <c r="C1" s="6"/>
      <c r="D1" s="6"/>
      <c r="E1" s="6"/>
      <c r="F1" s="6"/>
      <c r="G1" s="6"/>
      <c r="H1" s="7">
        <f ca="1">NOW()</f>
        <v>41787.786422800928</v>
      </c>
    </row>
    <row r="2" spans="1:8" ht="15" thickBot="1" x14ac:dyDescent="0.25">
      <c r="A2" s="9" t="s">
        <v>30</v>
      </c>
      <c r="B2" s="10"/>
      <c r="C2" s="10"/>
      <c r="D2" s="10"/>
      <c r="E2" s="10"/>
      <c r="F2" s="10"/>
      <c r="G2" s="10"/>
      <c r="H2" s="10"/>
    </row>
    <row r="4" spans="1:8" s="13" customFormat="1" ht="45" x14ac:dyDescent="0.25">
      <c r="A4" s="11" t="s">
        <v>1</v>
      </c>
      <c r="B4" s="12" t="s">
        <v>4</v>
      </c>
      <c r="C4" s="12" t="s">
        <v>3</v>
      </c>
      <c r="D4" s="12" t="s">
        <v>5</v>
      </c>
      <c r="E4" s="12" t="s">
        <v>22</v>
      </c>
      <c r="F4" s="12" t="s">
        <v>6</v>
      </c>
      <c r="G4" s="12" t="s">
        <v>2</v>
      </c>
      <c r="H4" s="12" t="s">
        <v>7</v>
      </c>
    </row>
    <row r="5" spans="1:8" x14ac:dyDescent="0.2">
      <c r="A5" s="14" t="s">
        <v>23</v>
      </c>
      <c r="B5" s="15"/>
      <c r="C5" s="15"/>
      <c r="D5" s="15"/>
      <c r="E5" s="15">
        <v>58612.350000000013</v>
      </c>
      <c r="F5" s="15">
        <v>13495</v>
      </c>
      <c r="G5" s="15">
        <v>72107.350000000006</v>
      </c>
      <c r="H5" s="16" t="s">
        <v>8</v>
      </c>
    </row>
    <row r="6" spans="1:8" x14ac:dyDescent="0.2">
      <c r="A6" s="14" t="s">
        <v>24</v>
      </c>
      <c r="B6" s="15"/>
      <c r="C6" s="15"/>
      <c r="D6" s="15"/>
      <c r="E6" s="15">
        <v>120260.6</v>
      </c>
      <c r="F6" s="15">
        <v>26945</v>
      </c>
      <c r="G6" s="15">
        <v>147205.6</v>
      </c>
      <c r="H6" s="16" t="s">
        <v>8</v>
      </c>
    </row>
    <row r="7" spans="1:8" x14ac:dyDescent="0.2">
      <c r="A7" s="14" t="s">
        <v>25</v>
      </c>
      <c r="B7" s="15"/>
      <c r="C7" s="15"/>
      <c r="D7" s="15"/>
      <c r="E7" s="15">
        <v>142355.29999999999</v>
      </c>
      <c r="F7" s="15">
        <v>131013</v>
      </c>
      <c r="G7" s="15">
        <v>273368.3</v>
      </c>
      <c r="H7" s="16" t="s">
        <v>8</v>
      </c>
    </row>
    <row r="8" spans="1:8" x14ac:dyDescent="0.2">
      <c r="A8" s="14" t="s">
        <v>26</v>
      </c>
      <c r="B8" s="15"/>
      <c r="C8" s="15"/>
      <c r="D8" s="15"/>
      <c r="E8" s="15">
        <v>24763.360000000015</v>
      </c>
      <c r="F8" s="15">
        <v>28452</v>
      </c>
      <c r="G8" s="15">
        <v>53215.360000000015</v>
      </c>
      <c r="H8" s="16" t="s">
        <v>8</v>
      </c>
    </row>
    <row r="9" spans="1:8" s="17" customFormat="1" x14ac:dyDescent="0.2">
      <c r="A9" s="14" t="s">
        <v>27</v>
      </c>
      <c r="B9" s="15"/>
      <c r="C9" s="15"/>
      <c r="D9" s="15"/>
      <c r="E9" s="15">
        <v>205023.96</v>
      </c>
      <c r="F9" s="15">
        <v>0</v>
      </c>
      <c r="G9" s="15">
        <v>205023.96</v>
      </c>
      <c r="H9" s="16" t="s">
        <v>9</v>
      </c>
    </row>
    <row r="10" spans="1:8" x14ac:dyDescent="0.2">
      <c r="A10" s="14" t="s">
        <v>28</v>
      </c>
      <c r="B10" s="15"/>
      <c r="C10" s="15"/>
      <c r="D10" s="15"/>
      <c r="E10" s="15">
        <v>43907.130000000005</v>
      </c>
      <c r="F10" s="15">
        <v>35855</v>
      </c>
      <c r="G10" s="15">
        <v>79762.13</v>
      </c>
      <c r="H10" s="16" t="s">
        <v>8</v>
      </c>
    </row>
    <row r="11" spans="1:8" x14ac:dyDescent="0.2">
      <c r="A11" s="14" t="s">
        <v>42</v>
      </c>
      <c r="B11" s="15"/>
      <c r="C11" s="15"/>
      <c r="D11" s="15"/>
      <c r="E11" s="15"/>
      <c r="F11" s="15">
        <v>104879</v>
      </c>
      <c r="G11" s="15">
        <v>104879</v>
      </c>
      <c r="H11" s="16" t="s">
        <v>8</v>
      </c>
    </row>
    <row r="12" spans="1:8" x14ac:dyDescent="0.2">
      <c r="A12" s="14" t="s">
        <v>29</v>
      </c>
      <c r="B12" s="15"/>
      <c r="C12" s="15"/>
      <c r="D12" s="15">
        <v>208564.53187200025</v>
      </c>
      <c r="E12" s="15">
        <v>381677.23999999976</v>
      </c>
      <c r="F12" s="15">
        <v>185260</v>
      </c>
      <c r="G12" s="15">
        <v>775501.77187200007</v>
      </c>
      <c r="H12" s="16" t="s">
        <v>8</v>
      </c>
    </row>
    <row r="13" spans="1:8" x14ac:dyDescent="0.2">
      <c r="A13" s="14" t="s">
        <v>31</v>
      </c>
      <c r="B13" s="15"/>
      <c r="C13" s="15"/>
      <c r="D13" s="15">
        <v>168964.60000000006</v>
      </c>
      <c r="E13" s="15"/>
      <c r="F13" s="15"/>
      <c r="G13" s="15">
        <v>168964.60000000006</v>
      </c>
      <c r="H13" s="16" t="s">
        <v>9</v>
      </c>
    </row>
    <row r="14" spans="1:8" x14ac:dyDescent="0.2">
      <c r="A14" s="14" t="s">
        <v>32</v>
      </c>
      <c r="B14" s="15"/>
      <c r="C14" s="15"/>
      <c r="D14" s="15">
        <v>107219.11000000002</v>
      </c>
      <c r="E14" s="15"/>
      <c r="F14" s="15"/>
      <c r="G14" s="15">
        <v>107219.11000000002</v>
      </c>
      <c r="H14" s="16" t="s">
        <v>9</v>
      </c>
    </row>
    <row r="15" spans="1:8" x14ac:dyDescent="0.2">
      <c r="A15" s="14" t="s">
        <v>33</v>
      </c>
      <c r="B15" s="15"/>
      <c r="C15" s="15"/>
      <c r="D15" s="15">
        <v>120976.82545454567</v>
      </c>
      <c r="E15" s="15"/>
      <c r="F15" s="15"/>
      <c r="G15" s="15">
        <v>120976.82545454567</v>
      </c>
      <c r="H15" s="16" t="s">
        <v>9</v>
      </c>
    </row>
    <row r="16" spans="1:8" x14ac:dyDescent="0.2">
      <c r="A16" s="14" t="s">
        <v>34</v>
      </c>
      <c r="B16" s="15"/>
      <c r="C16" s="15"/>
      <c r="D16" s="15">
        <v>99466.734545454558</v>
      </c>
      <c r="E16" s="15"/>
      <c r="F16" s="15"/>
      <c r="G16" s="15">
        <v>99466.734545454558</v>
      </c>
      <c r="H16" s="16" t="s">
        <v>9</v>
      </c>
    </row>
    <row r="17" spans="1:8" ht="22.5" x14ac:dyDescent="0.2">
      <c r="A17" s="14" t="s">
        <v>35</v>
      </c>
      <c r="B17" s="15"/>
      <c r="C17" s="15"/>
      <c r="D17" s="15">
        <v>50000</v>
      </c>
      <c r="E17" s="15"/>
      <c r="F17" s="15"/>
      <c r="G17" s="15">
        <v>50000</v>
      </c>
      <c r="H17" s="16" t="s">
        <v>9</v>
      </c>
    </row>
    <row r="18" spans="1:8" x14ac:dyDescent="0.2">
      <c r="A18" s="18" t="s">
        <v>36</v>
      </c>
      <c r="B18" s="15">
        <v>312885.35575563012</v>
      </c>
      <c r="C18" s="15">
        <v>245014.46000000002</v>
      </c>
      <c r="D18" s="15"/>
      <c r="E18" s="15"/>
      <c r="F18" s="15"/>
      <c r="G18" s="15">
        <v>557899.81575563014</v>
      </c>
      <c r="H18" s="16" t="s">
        <v>9</v>
      </c>
    </row>
    <row r="19" spans="1:8" x14ac:dyDescent="0.2">
      <c r="A19" s="19"/>
      <c r="B19" s="20"/>
      <c r="C19" s="20"/>
      <c r="D19" s="20"/>
      <c r="E19" s="20"/>
      <c r="F19" s="20"/>
      <c r="G19" s="20"/>
      <c r="H19" s="21"/>
    </row>
    <row r="20" spans="1:8" x14ac:dyDescent="0.2">
      <c r="A20" s="19"/>
      <c r="B20" s="20"/>
      <c r="C20" s="20"/>
      <c r="D20" s="20"/>
      <c r="E20" s="20"/>
      <c r="F20" s="20"/>
      <c r="G20" s="20"/>
      <c r="H20" s="21"/>
    </row>
    <row r="21" spans="1:8" x14ac:dyDescent="0.2">
      <c r="A21" s="19"/>
      <c r="B21" s="20"/>
      <c r="C21" s="20"/>
      <c r="D21" s="20"/>
      <c r="E21" s="20"/>
      <c r="F21" s="20"/>
      <c r="G21" s="20"/>
      <c r="H21" s="21"/>
    </row>
    <row r="22" spans="1:8" x14ac:dyDescent="0.2">
      <c r="A22" s="19"/>
      <c r="B22" s="20"/>
      <c r="C22" s="20"/>
      <c r="D22" s="20"/>
      <c r="E22" s="20"/>
      <c r="F22" s="20"/>
      <c r="G22" s="20"/>
      <c r="H22" s="21"/>
    </row>
    <row r="23" spans="1:8" s="17" customFormat="1" x14ac:dyDescent="0.2">
      <c r="A23" s="19"/>
      <c r="B23" s="20"/>
      <c r="C23" s="20"/>
      <c r="D23" s="20"/>
      <c r="E23" s="20"/>
      <c r="F23" s="20"/>
      <c r="G23" s="20"/>
      <c r="H23" s="21"/>
    </row>
    <row r="24" spans="1:8" ht="15" x14ac:dyDescent="0.25">
      <c r="A24" s="22" t="s">
        <v>37</v>
      </c>
      <c r="B24" s="23">
        <f t="shared" ref="B24:G24" si="0">SUM(B5:B23)</f>
        <v>312885.35575563012</v>
      </c>
      <c r="C24" s="23">
        <f t="shared" si="0"/>
        <v>245014.46000000002</v>
      </c>
      <c r="D24" s="23">
        <f t="shared" si="0"/>
        <v>755191.80187200056</v>
      </c>
      <c r="E24" s="23">
        <f t="shared" si="0"/>
        <v>976599.93999999971</v>
      </c>
      <c r="F24" s="23">
        <f t="shared" si="0"/>
        <v>525899</v>
      </c>
      <c r="G24" s="23">
        <f t="shared" si="0"/>
        <v>2815590.5576276304</v>
      </c>
      <c r="H24" s="24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zoomScaleNormal="100" workbookViewId="0">
      <selection activeCell="R12" sqref="R12"/>
    </sheetView>
  </sheetViews>
  <sheetFormatPr defaultRowHeight="14.25" x14ac:dyDescent="0.2"/>
  <cols>
    <col min="1" max="1" width="2.140625" style="8" customWidth="1"/>
    <col min="2" max="2" width="1.85546875" style="8" customWidth="1"/>
    <col min="3" max="3" width="9.140625" style="8"/>
    <col min="4" max="4" width="11.7109375" style="8" customWidth="1"/>
    <col min="5" max="5" width="13.7109375" style="8" customWidth="1"/>
    <col min="6" max="6" width="2.140625" style="8" customWidth="1"/>
    <col min="7" max="7" width="9.140625" style="8"/>
    <col min="8" max="8" width="9.140625" style="8" customWidth="1"/>
    <col min="9" max="10" width="9.140625" style="8"/>
    <col min="11" max="11" width="15" style="8" customWidth="1"/>
    <col min="12" max="12" width="3.7109375" style="8" customWidth="1"/>
    <col min="13" max="15" width="9.140625" style="8"/>
    <col min="16" max="16" width="5" style="8" customWidth="1"/>
    <col min="17" max="16384" width="9.140625" style="8"/>
  </cols>
  <sheetData>
    <row r="1" spans="1:21" ht="20.25" x14ac:dyDescent="0.3">
      <c r="A1" s="4" t="s">
        <v>41</v>
      </c>
      <c r="B1" s="4"/>
      <c r="C1" s="5"/>
      <c r="D1" s="6"/>
      <c r="E1" s="6"/>
      <c r="F1" s="6"/>
      <c r="G1" s="6"/>
      <c r="H1" s="6"/>
      <c r="N1" s="25">
        <f ca="1">NOW()</f>
        <v>41787.786422800928</v>
      </c>
      <c r="O1" s="25"/>
      <c r="P1" s="25"/>
    </row>
    <row r="2" spans="1:21" ht="15" thickBot="1" x14ac:dyDescent="0.25">
      <c r="A2" s="9" t="s">
        <v>30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4" spans="1:21" ht="15" thickBot="1" x14ac:dyDescent="0.25"/>
    <row r="5" spans="1:21" x14ac:dyDescent="0.2"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1:21" x14ac:dyDescent="0.2">
      <c r="B6" s="2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0"/>
    </row>
    <row r="7" spans="1:21" ht="15" x14ac:dyDescent="0.25">
      <c r="B7" s="29"/>
      <c r="C7" s="6"/>
      <c r="D7" s="31" t="s">
        <v>10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0"/>
    </row>
    <row r="8" spans="1:21" x14ac:dyDescent="0.2">
      <c r="B8" s="2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0"/>
    </row>
    <row r="9" spans="1:21" ht="15" x14ac:dyDescent="0.25">
      <c r="B9" s="29"/>
      <c r="C9" s="31" t="s">
        <v>11</v>
      </c>
      <c r="D9" s="31" t="s">
        <v>12</v>
      </c>
      <c r="E9" s="31" t="s">
        <v>13</v>
      </c>
      <c r="F9" s="31"/>
      <c r="G9" s="31"/>
      <c r="H9" s="31"/>
      <c r="I9" s="31"/>
      <c r="J9" s="31"/>
      <c r="K9" s="31"/>
      <c r="L9" s="31"/>
      <c r="M9" s="31" t="s">
        <v>14</v>
      </c>
      <c r="N9" s="31"/>
      <c r="O9" s="31"/>
      <c r="P9" s="32"/>
    </row>
    <row r="10" spans="1:21" ht="18" x14ac:dyDescent="0.3">
      <c r="B10" s="29"/>
      <c r="C10" s="33"/>
      <c r="D10" s="34" t="s">
        <v>43</v>
      </c>
      <c r="E10" s="35" t="s">
        <v>44</v>
      </c>
      <c r="F10" s="34"/>
      <c r="G10" s="34" t="s">
        <v>45</v>
      </c>
      <c r="H10" s="34" t="s">
        <v>46</v>
      </c>
      <c r="I10" s="34" t="s">
        <v>47</v>
      </c>
      <c r="J10" s="34" t="s">
        <v>48</v>
      </c>
      <c r="K10" s="34" t="s">
        <v>49</v>
      </c>
      <c r="L10" s="34"/>
      <c r="M10" s="34" t="s">
        <v>50</v>
      </c>
      <c r="N10" s="34"/>
      <c r="O10" s="34" t="s">
        <v>15</v>
      </c>
      <c r="P10" s="36"/>
    </row>
    <row r="11" spans="1:21" ht="15" x14ac:dyDescent="0.25">
      <c r="B11" s="29"/>
      <c r="C11" s="31">
        <v>1</v>
      </c>
      <c r="D11" s="6">
        <v>0.6</v>
      </c>
      <c r="E11" s="37">
        <f>'DMIA Spend Summary'!B24/10^6</f>
        <v>0.31288535575563015</v>
      </c>
      <c r="F11" s="6"/>
      <c r="G11" s="6">
        <f>+D11-E11</f>
        <v>0.28711464424436983</v>
      </c>
      <c r="H11" s="38">
        <f>+(1+$E$20)^C11</f>
        <v>1.1002000000000001</v>
      </c>
      <c r="I11" s="38">
        <f>+(1+$E$20)^5</f>
        <v>1.6119746324968094</v>
      </c>
      <c r="J11" s="38">
        <f>+(1+$E$21)^2</f>
        <v>1.1843968900000001</v>
      </c>
      <c r="K11" s="38">
        <f>+J11*I11</f>
        <v>1.9092177414881142</v>
      </c>
      <c r="L11" s="38"/>
      <c r="M11" s="38">
        <f>-(G11/H11)*K11</f>
        <v>-0.49824065863697431</v>
      </c>
      <c r="N11" s="38"/>
      <c r="O11" s="38">
        <f>+M11</f>
        <v>-0.49824065863697431</v>
      </c>
      <c r="P11" s="39"/>
    </row>
    <row r="12" spans="1:21" ht="15" x14ac:dyDescent="0.25">
      <c r="B12" s="29"/>
      <c r="C12" s="31">
        <v>2</v>
      </c>
      <c r="D12" s="6">
        <v>0.6</v>
      </c>
      <c r="E12" s="37">
        <f>'DMIA Spend Summary'!C24/10^6</f>
        <v>0.24501446000000002</v>
      </c>
      <c r="F12" s="6"/>
      <c r="G12" s="6">
        <f t="shared" ref="G12:G15" si="0">+D12-E12</f>
        <v>0.35498553999999993</v>
      </c>
      <c r="H12" s="38">
        <f t="shared" ref="H12:H15" si="1">+(1+$E$20)^C12</f>
        <v>1.2104400400000002</v>
      </c>
      <c r="I12" s="38">
        <f t="shared" ref="I12:I15" si="2">+(1+$E$20)^5</f>
        <v>1.6119746324968094</v>
      </c>
      <c r="J12" s="38">
        <f t="shared" ref="J12:J15" si="3">+(1+$E$21)^2</f>
        <v>1.1843968900000001</v>
      </c>
      <c r="K12" s="38">
        <f t="shared" ref="K12:K15" si="4">+J12*I12</f>
        <v>1.9092177414881142</v>
      </c>
      <c r="L12" s="38"/>
      <c r="M12" s="38">
        <f>-(G12/H12)*K12+M11</f>
        <v>-1.0581566136145861</v>
      </c>
      <c r="N12" s="38"/>
      <c r="O12" s="38">
        <f>-(G12/H12)*K12</f>
        <v>-0.55991595497761171</v>
      </c>
      <c r="P12" s="39"/>
    </row>
    <row r="13" spans="1:21" ht="15" x14ac:dyDescent="0.25">
      <c r="B13" s="29"/>
      <c r="C13" s="31">
        <v>3</v>
      </c>
      <c r="D13" s="6">
        <v>0.6</v>
      </c>
      <c r="E13" s="37">
        <f>'DMIA Spend Summary'!D24/10^6</f>
        <v>0.75519180187200052</v>
      </c>
      <c r="F13" s="6"/>
      <c r="G13" s="6">
        <f t="shared" si="0"/>
        <v>-0.15519180187200055</v>
      </c>
      <c r="H13" s="38">
        <f t="shared" si="1"/>
        <v>1.3317261320080003</v>
      </c>
      <c r="I13" s="38">
        <f t="shared" si="2"/>
        <v>1.6119746324968094</v>
      </c>
      <c r="J13" s="38">
        <f t="shared" si="3"/>
        <v>1.1843968900000001</v>
      </c>
      <c r="K13" s="38">
        <f t="shared" si="4"/>
        <v>1.9092177414881142</v>
      </c>
      <c r="L13" s="38"/>
      <c r="M13" s="38">
        <f>-(G13/H13)*K13+M12</f>
        <v>-0.83566721857600335</v>
      </c>
      <c r="N13" s="38"/>
      <c r="O13" s="38">
        <f>-(G13/H13)*K13</f>
        <v>0.22248939503858275</v>
      </c>
      <c r="P13" s="39"/>
    </row>
    <row r="14" spans="1:21" ht="15" x14ac:dyDescent="0.25">
      <c r="B14" s="29"/>
      <c r="C14" s="31">
        <v>4</v>
      </c>
      <c r="D14" s="6">
        <v>0.6</v>
      </c>
      <c r="E14" s="37">
        <f>'DMIA Spend Summary'!E24/10^6</f>
        <v>0.97659993999999972</v>
      </c>
      <c r="F14" s="6"/>
      <c r="G14" s="6">
        <f t="shared" si="0"/>
        <v>-0.37659993999999974</v>
      </c>
      <c r="H14" s="38">
        <f t="shared" si="1"/>
        <v>1.465165090435202</v>
      </c>
      <c r="I14" s="38">
        <f t="shared" si="2"/>
        <v>1.6119746324968094</v>
      </c>
      <c r="J14" s="38">
        <f t="shared" si="3"/>
        <v>1.1843968900000001</v>
      </c>
      <c r="K14" s="38">
        <f t="shared" si="4"/>
        <v>1.9092177414881142</v>
      </c>
      <c r="L14" s="38"/>
      <c r="M14" s="38">
        <f>-(G14/H14)*K14+M13</f>
        <v>-0.34492983233525631</v>
      </c>
      <c r="N14" s="38"/>
      <c r="O14" s="38">
        <f>-(G14/H14)*K14</f>
        <v>0.49073738624074703</v>
      </c>
      <c r="P14" s="39"/>
    </row>
    <row r="15" spans="1:21" ht="15" x14ac:dyDescent="0.25">
      <c r="B15" s="29"/>
      <c r="C15" s="31">
        <v>5</v>
      </c>
      <c r="D15" s="6">
        <v>0.6</v>
      </c>
      <c r="E15" s="37">
        <f>'DMIA Spend Summary'!F24/10^6</f>
        <v>0.52589900000000001</v>
      </c>
      <c r="F15" s="6"/>
      <c r="G15" s="6">
        <f t="shared" si="0"/>
        <v>7.4100999999999972E-2</v>
      </c>
      <c r="H15" s="38">
        <f t="shared" si="1"/>
        <v>1.6119746324968094</v>
      </c>
      <c r="I15" s="38">
        <f t="shared" si="2"/>
        <v>1.6119746324968094</v>
      </c>
      <c r="J15" s="38">
        <f t="shared" si="3"/>
        <v>1.1843968900000001</v>
      </c>
      <c r="K15" s="38">
        <f t="shared" si="4"/>
        <v>1.9092177414881142</v>
      </c>
      <c r="L15" s="38"/>
      <c r="M15" s="40">
        <f>-(G15/H15)*K15+M14</f>
        <v>-0.43269482628114631</v>
      </c>
      <c r="N15" s="38"/>
      <c r="O15" s="38">
        <f>-(G15/H15)*K15</f>
        <v>-8.7764993945889977E-2</v>
      </c>
      <c r="P15" s="39"/>
      <c r="U15" s="41"/>
    </row>
    <row r="16" spans="1:21" ht="15.75" thickBot="1" x14ac:dyDescent="0.3">
      <c r="B16" s="29"/>
      <c r="C16" s="42" t="s">
        <v>0</v>
      </c>
      <c r="D16" s="43">
        <f>SUM(D11:D15)</f>
        <v>3</v>
      </c>
      <c r="E16" s="43">
        <f>SUM(E11:E15)</f>
        <v>2.8155905576276306</v>
      </c>
      <c r="F16" s="6"/>
      <c r="G16" s="6"/>
      <c r="H16" s="38"/>
      <c r="I16" s="38"/>
      <c r="J16" s="38"/>
      <c r="K16" s="38"/>
      <c r="L16" s="38"/>
      <c r="M16" s="44">
        <f>+D16+M15</f>
        <v>2.5673051737188537</v>
      </c>
      <c r="N16" s="38"/>
      <c r="O16" s="38"/>
      <c r="P16" s="39"/>
    </row>
    <row r="17" spans="2:16" ht="15.75" thickTop="1" thickBot="1" x14ac:dyDescent="0.25">
      <c r="B17" s="29"/>
      <c r="C17" s="6"/>
      <c r="D17" s="6"/>
      <c r="E17" s="6"/>
      <c r="F17" s="6"/>
      <c r="G17" s="6"/>
      <c r="H17" s="38"/>
      <c r="I17" s="38"/>
      <c r="J17" s="38"/>
      <c r="K17" s="38"/>
      <c r="L17" s="38"/>
      <c r="M17" s="38"/>
      <c r="N17" s="38"/>
      <c r="O17" s="38"/>
      <c r="P17" s="39"/>
    </row>
    <row r="18" spans="2:16" ht="15" x14ac:dyDescent="0.25">
      <c r="B18" s="29"/>
      <c r="C18" s="45" t="s">
        <v>16</v>
      </c>
      <c r="D18" s="27"/>
      <c r="E18" s="2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</row>
    <row r="19" spans="2:16" x14ac:dyDescent="0.2">
      <c r="B19" s="29"/>
      <c r="C19" s="29"/>
      <c r="D19" s="6" t="s">
        <v>17</v>
      </c>
      <c r="E19" s="30" t="s">
        <v>18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</row>
    <row r="20" spans="2:16" x14ac:dyDescent="0.2">
      <c r="B20" s="29"/>
      <c r="C20" s="29" t="s">
        <v>19</v>
      </c>
      <c r="D20" s="46"/>
      <c r="E20" s="47">
        <v>0.1002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</row>
    <row r="21" spans="2:16" x14ac:dyDescent="0.2">
      <c r="B21" s="29"/>
      <c r="C21" s="29" t="s">
        <v>20</v>
      </c>
      <c r="D21" s="46"/>
      <c r="E21" s="47">
        <v>8.8300000000000003E-2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</row>
    <row r="22" spans="2:16" ht="15" thickBot="1" x14ac:dyDescent="0.25">
      <c r="B22" s="29"/>
      <c r="C22" s="48" t="s">
        <v>21</v>
      </c>
      <c r="D22" s="49"/>
      <c r="E22" s="50"/>
      <c r="F22" s="6"/>
      <c r="G22" s="6"/>
      <c r="H22" s="6"/>
      <c r="I22" s="6"/>
      <c r="J22" s="6"/>
      <c r="K22" s="6"/>
      <c r="L22" s="6"/>
      <c r="M22" s="6"/>
      <c r="N22" s="6"/>
      <c r="O22" s="6"/>
      <c r="P22" s="30"/>
    </row>
    <row r="23" spans="2:16" x14ac:dyDescent="0.2">
      <c r="B23" s="2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0"/>
    </row>
    <row r="24" spans="2:16" ht="15" x14ac:dyDescent="0.25">
      <c r="B24" s="29"/>
      <c r="C24" s="6"/>
      <c r="D24" s="6" t="s">
        <v>51</v>
      </c>
      <c r="E24" s="6"/>
      <c r="F24" s="6"/>
      <c r="H24" s="51">
        <f>G11/H11+G12/H12+G13/H13+G14/H14+G15/H15+M15/((1+E20)^5*(1+E21)^2)</f>
        <v>0</v>
      </c>
      <c r="I24" s="6"/>
      <c r="J24" s="6"/>
      <c r="K24" s="6"/>
      <c r="L24" s="6"/>
      <c r="M24" s="6"/>
      <c r="N24" s="6"/>
      <c r="O24" s="6"/>
      <c r="P24" s="30"/>
    </row>
    <row r="25" spans="2:16" ht="15" thickBot="1" x14ac:dyDescent="0.25">
      <c r="B25" s="4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2"/>
    </row>
  </sheetData>
  <mergeCells count="1">
    <mergeCell ref="N1:P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"/>
  <sheetViews>
    <sheetView showGridLines="0" workbookViewId="0">
      <selection activeCell="M68" sqref="M68"/>
    </sheetView>
  </sheetViews>
  <sheetFormatPr defaultRowHeight="15" x14ac:dyDescent="0.25"/>
  <sheetData>
    <row r="2" spans="1:12" x14ac:dyDescent="0.25">
      <c r="A2" s="2" t="s">
        <v>38</v>
      </c>
      <c r="B2" t="s">
        <v>39</v>
      </c>
    </row>
    <row r="3" spans="1:12" ht="15.75" thickBot="1" x14ac:dyDescent="0.3">
      <c r="A3" s="1"/>
      <c r="B3" s="3" t="str">
        <f>"November 2008"</f>
        <v>November 2008</v>
      </c>
      <c r="C3" s="1"/>
      <c r="D3" s="1"/>
      <c r="E3" s="1"/>
      <c r="F3" s="1"/>
      <c r="G3" s="1"/>
      <c r="H3" s="1"/>
      <c r="I3" s="1"/>
      <c r="J3" s="1"/>
      <c r="K3" s="1"/>
      <c r="L3" s="1"/>
    </row>
  </sheetData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47A0DDDD8764C80300D4204AB680A" ma:contentTypeVersion="0" ma:contentTypeDescription="Create a new document." ma:contentTypeScope="" ma:versionID="d0adda5341aa951b34e712b66b93f5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272BE-DFD7-4BC2-BF09-4077282BB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8EBF37-FB5F-44AB-B52F-BBC1AABAE44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AB915B0-B4BC-43BF-8D1C-7051E585C1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DMIA Spend Summary</vt:lpstr>
      <vt:lpstr>DMIA Carryover calculation</vt:lpstr>
      <vt:lpstr>Notes</vt:lpstr>
    </vt:vector>
  </TitlesOfParts>
  <Company>Ausgrid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t45324</dc:creator>
  <cp:lastModifiedBy>Catherine Gordon</cp:lastModifiedBy>
  <cp:lastPrinted>2014-04-22T06:18:53Z</cp:lastPrinted>
  <dcterms:created xsi:type="dcterms:W3CDTF">2011-10-05T06:18:25Z</dcterms:created>
  <dcterms:modified xsi:type="dcterms:W3CDTF">2014-05-28T08:53:11Z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0x0101003A147A0DDDD8764C80300D4204AB680A</vt:lpwstr>
  </property>
</Properties>
</file>