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Proposal Documents/03 - Regulatory Proposal Supporting Documents/"/>
    </mc:Choice>
  </mc:AlternateContent>
  <xr:revisionPtr revIDLastSave="8" documentId="8_{B44CCB66-65D5-467A-8877-447664F14546}" xr6:coauthVersionLast="47" xr6:coauthVersionMax="47" xr10:uidLastSave="{79EB60F9-806E-4593-BCBF-6749D97ECEA5}"/>
  <bookViews>
    <workbookView xWindow="28680" yWindow="-120" windowWidth="29040" windowHeight="15840" tabRatio="846" xr2:uid="{A83AEEF4-A39F-4204-A9BC-27FD5D9A6EFF}"/>
  </bookViews>
  <sheets>
    <sheet name="Description" sheetId="9" r:id="rId1"/>
    <sheet name="Key inputs" sheetId="21" r:id="rId2"/>
    <sheet name="Reporting template 2024–25 " sheetId="26" r:id="rId3"/>
    <sheet name="Reporting template 2025–26" sheetId="28" r:id="rId4"/>
    <sheet name="Reporting template 2026–27" sheetId="29" r:id="rId5"/>
    <sheet name="Reporting template 2027–28" sheetId="30" r:id="rId6"/>
    <sheet name="Reporting template 2028–29" sheetId="31" r:id="rId7"/>
  </sheets>
  <definedNames>
    <definedName name="ETR_tar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9" l="1"/>
  <c r="E55" i="29"/>
  <c r="F55" i="29"/>
  <c r="G55" i="29"/>
  <c r="H55" i="29"/>
  <c r="I55" i="29"/>
  <c r="C55" i="29"/>
  <c r="C43" i="29"/>
  <c r="C37" i="29"/>
  <c r="C23" i="29"/>
  <c r="C17" i="29"/>
  <c r="D55" i="28"/>
  <c r="E55" i="28"/>
  <c r="F55" i="28"/>
  <c r="G55" i="28"/>
  <c r="H55" i="28"/>
  <c r="I55" i="28"/>
  <c r="C55" i="28"/>
  <c r="C43" i="28"/>
  <c r="C37" i="28"/>
  <c r="C23" i="28"/>
  <c r="C17" i="28"/>
  <c r="C43" i="26"/>
  <c r="C37" i="26"/>
  <c r="C23" i="26"/>
  <c r="C17" i="26"/>
  <c r="D55" i="30"/>
  <c r="E55" i="30"/>
  <c r="F55" i="30"/>
  <c r="G55" i="30"/>
  <c r="H55" i="30"/>
  <c r="I55" i="30"/>
  <c r="C55" i="30"/>
  <c r="D55" i="26"/>
  <c r="E55" i="26"/>
  <c r="F55" i="26"/>
  <c r="G55" i="26"/>
  <c r="H55" i="26"/>
  <c r="I55" i="26"/>
  <c r="C55" i="26"/>
  <c r="C43" i="30"/>
  <c r="C37" i="30"/>
  <c r="C23" i="30"/>
  <c r="C17" i="30"/>
  <c r="D55" i="31"/>
  <c r="E55" i="31"/>
  <c r="F55" i="31"/>
  <c r="G55" i="31"/>
  <c r="H55" i="31"/>
  <c r="I55" i="31"/>
  <c r="C55" i="31"/>
  <c r="C43" i="31"/>
  <c r="C37" i="31"/>
  <c r="C23" i="31"/>
  <c r="C17" i="31"/>
  <c r="C19" i="26" l="1"/>
  <c r="D52" i="31"/>
  <c r="E52" i="31" s="1"/>
  <c r="F52" i="31" s="1"/>
  <c r="G52" i="31" s="1"/>
  <c r="H52" i="31" s="1"/>
  <c r="I52" i="31" s="1"/>
  <c r="D52" i="30"/>
  <c r="E52" i="30" s="1"/>
  <c r="F52" i="30" s="1"/>
  <c r="G52" i="30" s="1"/>
  <c r="H52" i="30" s="1"/>
  <c r="I52" i="30" s="1"/>
  <c r="D52" i="29"/>
  <c r="E52" i="29" s="1"/>
  <c r="F52" i="29" s="1"/>
  <c r="G52" i="29" s="1"/>
  <c r="H52" i="29" s="1"/>
  <c r="I52" i="29" s="1"/>
  <c r="D52" i="28"/>
  <c r="E52" i="28" s="1"/>
  <c r="F52" i="28" s="1"/>
  <c r="G52" i="28" s="1"/>
  <c r="H52" i="28" s="1"/>
  <c r="I52" i="28" s="1"/>
  <c r="I52" i="26"/>
  <c r="H52" i="26"/>
  <c r="G52" i="26"/>
  <c r="F52" i="26"/>
  <c r="E52" i="26"/>
  <c r="D52" i="26"/>
  <c r="H48" i="21" l="1"/>
  <c r="G48" i="21"/>
  <c r="F48" i="21"/>
  <c r="E48" i="21"/>
  <c r="D48" i="21"/>
  <c r="C21" i="31" l="1"/>
  <c r="C27" i="31" s="1"/>
  <c r="C20" i="31"/>
  <c r="C26" i="31" s="1"/>
  <c r="C19" i="31"/>
  <c r="C25" i="31" s="1"/>
  <c r="C18" i="31"/>
  <c r="C24" i="31" s="1"/>
  <c r="C21" i="30"/>
  <c r="C27" i="30" s="1"/>
  <c r="C20" i="30"/>
  <c r="C26" i="30" s="1"/>
  <c r="C19" i="30"/>
  <c r="C25" i="30" s="1"/>
  <c r="C18" i="30"/>
  <c r="C24" i="30" s="1"/>
  <c r="C21" i="29"/>
  <c r="C27" i="29" s="1"/>
  <c r="C20" i="29"/>
  <c r="C26" i="29" s="1"/>
  <c r="C19" i="29"/>
  <c r="C25" i="29" s="1"/>
  <c r="C18" i="29"/>
  <c r="C24" i="29" s="1"/>
  <c r="C18" i="28"/>
  <c r="C24" i="28" s="1"/>
  <c r="C21" i="28"/>
  <c r="C27" i="28" s="1"/>
  <c r="C20" i="28"/>
  <c r="C26" i="28" s="1"/>
  <c r="C19" i="28"/>
  <c r="C25" i="28" s="1"/>
  <c r="C18" i="26"/>
  <c r="C24" i="26" s="1"/>
  <c r="C21" i="26"/>
  <c r="C27" i="26" s="1"/>
  <c r="C20" i="26"/>
  <c r="C26" i="26" s="1"/>
  <c r="C25" i="26"/>
  <c r="D31" i="26"/>
  <c r="C31" i="26"/>
  <c r="C33" i="26"/>
  <c r="C38" i="26" l="1"/>
  <c r="C31" i="28" l="1"/>
  <c r="C32" i="28"/>
  <c r="D31" i="28"/>
  <c r="D33" i="28"/>
  <c r="C34" i="28"/>
  <c r="D34" i="28"/>
  <c r="D32" i="28"/>
  <c r="C33" i="28"/>
  <c r="C40" i="28" s="1"/>
  <c r="D34" i="30"/>
  <c r="D31" i="30"/>
  <c r="C31" i="30"/>
  <c r="C38" i="30" s="1"/>
  <c r="C32" i="30"/>
  <c r="D33" i="30"/>
  <c r="C34" i="30"/>
  <c r="C41" i="30" s="1"/>
  <c r="C33" i="30"/>
  <c r="C40" i="30" s="1"/>
  <c r="D32" i="30"/>
  <c r="C32" i="26"/>
  <c r="C34" i="26"/>
  <c r="D32" i="26"/>
  <c r="D33" i="26"/>
  <c r="C40" i="26" s="1"/>
  <c r="D34" i="26"/>
  <c r="C33" i="29"/>
  <c r="D32" i="29"/>
  <c r="D33" i="29"/>
  <c r="C34" i="29"/>
  <c r="D34" i="29"/>
  <c r="D31" i="29"/>
  <c r="C32" i="29"/>
  <c r="C31" i="29"/>
  <c r="C34" i="31"/>
  <c r="C41" i="31" s="1"/>
  <c r="C31" i="31"/>
  <c r="C38" i="31" s="1"/>
  <c r="D32" i="31"/>
  <c r="D33" i="31"/>
  <c r="C33" i="31"/>
  <c r="C40" i="31" s="1"/>
  <c r="D34" i="31"/>
  <c r="D31" i="31"/>
  <c r="C32" i="31"/>
  <c r="C39" i="31" l="1"/>
  <c r="C38" i="29"/>
  <c r="C41" i="28"/>
  <c r="C40" i="29"/>
  <c r="C39" i="30"/>
  <c r="C44" i="30" s="1"/>
  <c r="H56" i="30" s="1"/>
  <c r="C39" i="28"/>
  <c r="C39" i="29"/>
  <c r="C41" i="29"/>
  <c r="C38" i="28"/>
  <c r="C44" i="28" s="1"/>
  <c r="F56" i="28" s="1"/>
  <c r="C39" i="26"/>
  <c r="C41" i="26"/>
  <c r="D35" i="26"/>
  <c r="D35" i="31"/>
  <c r="C35" i="30"/>
  <c r="D35" i="28"/>
  <c r="D35" i="30"/>
  <c r="C35" i="31"/>
  <c r="D35" i="29"/>
  <c r="C35" i="29"/>
  <c r="C35" i="28"/>
  <c r="C35" i="26"/>
  <c r="C44" i="26" l="1"/>
  <c r="E56" i="26" s="1"/>
  <c r="C45" i="30"/>
  <c r="C45" i="28"/>
  <c r="C44" i="31"/>
  <c r="C44" i="29"/>
  <c r="C45" i="31" l="1"/>
  <c r="I56" i="31"/>
  <c r="C45" i="26"/>
  <c r="C45" i="29"/>
  <c r="G56" i="29"/>
</calcChain>
</file>

<file path=xl/sharedStrings.xml><?xml version="1.0" encoding="utf-8"?>
<sst xmlns="http://schemas.openxmlformats.org/spreadsheetml/2006/main" count="351" uniqueCount="71">
  <si>
    <t>Customer Service Incentive Scheme</t>
  </si>
  <si>
    <t>Description</t>
  </si>
  <si>
    <t>● Parameter 1: Percentage of unplanned outages that have an ETR communicated to customers</t>
  </si>
  <si>
    <t>● Parameter 2: Time to resolve customer complaints</t>
  </si>
  <si>
    <t>● Parameter 3a: Customer ease (Quarterly Survey)</t>
  </si>
  <si>
    <t>● Parameter 3b: Customer ease (Post-call survey)</t>
  </si>
  <si>
    <t xml:space="preserve">Revenue at risk, targets, incentive rates, caps and floors </t>
  </si>
  <si>
    <t xml:space="preserve">Revenue at risk </t>
  </si>
  <si>
    <t>Overall revenue at risk +</t>
  </si>
  <si>
    <t>Overall revenue at risk -</t>
  </si>
  <si>
    <t xml:space="preserve">Parameter weightings </t>
  </si>
  <si>
    <t>CSIS weighting for Unplanned outages with ETR</t>
  </si>
  <si>
    <t>CSIS weighting for Customer ease (quarterly survey)</t>
  </si>
  <si>
    <t>CSIS weighting for Customer ease (post call survey)</t>
  </si>
  <si>
    <t>CSIS weighting for Time to resolve customer complaints</t>
  </si>
  <si>
    <t>Performance targets</t>
  </si>
  <si>
    <t>2024-25</t>
  </si>
  <si>
    <t>2025-26</t>
  </si>
  <si>
    <t>2026-27</t>
  </si>
  <si>
    <t>2027-28</t>
  </si>
  <si>
    <t>2028-29</t>
  </si>
  <si>
    <t>Note:</t>
  </si>
  <si>
    <t>Unplanned outages with ETR</t>
  </si>
  <si>
    <t>per cent</t>
  </si>
  <si>
    <t>Customer ease (quarterly survey)</t>
  </si>
  <si>
    <t>Out of 5; A score of 1 represents best performance and a score of 5 represents worst performance</t>
  </si>
  <si>
    <t>Customer ease (post call survey)</t>
  </si>
  <si>
    <t>Out of 5; A score of 1 represets poorest performance and a score of 5 represents the best performance in this survey</t>
  </si>
  <si>
    <t xml:space="preserve">Time to resolve customer complaints </t>
  </si>
  <si>
    <t>Incentive rate</t>
  </si>
  <si>
    <t>Cap (best performance)</t>
  </si>
  <si>
    <t>Customer ease(quarterly survey)</t>
  </si>
  <si>
    <t>Floor (worst performance)</t>
  </si>
  <si>
    <t>Annual revenue requirement</t>
  </si>
  <si>
    <t>Update for actual</t>
  </si>
  <si>
    <t>CPI inflation</t>
  </si>
  <si>
    <t>Update for actual CPI inflation</t>
  </si>
  <si>
    <t>Actual performance</t>
  </si>
  <si>
    <t>Calculations</t>
  </si>
  <si>
    <t>Maximum reward</t>
  </si>
  <si>
    <t>Maximum penalty</t>
  </si>
  <si>
    <t>Total</t>
  </si>
  <si>
    <t xml:space="preserve"> </t>
  </si>
  <si>
    <t>Check (within +/- 0.5% or revenue)</t>
  </si>
  <si>
    <t>CSIS Reward or penalty</t>
  </si>
  <si>
    <t>CPI escalation factor</t>
  </si>
  <si>
    <t>CSIS reward/penalty nominal</t>
  </si>
  <si>
    <t>Days; less days represents better performance</t>
  </si>
  <si>
    <t xml:space="preserve">1. Apply floor and cap </t>
  </si>
  <si>
    <t xml:space="preserve">2. H-factor </t>
  </si>
  <si>
    <t>3. Revenue at risk per paramter</t>
  </si>
  <si>
    <t xml:space="preserve">4. Reward/penalty per paramter </t>
  </si>
  <si>
    <t>5. Summation and check</t>
  </si>
  <si>
    <t>6. CSIS reward or penalty</t>
  </si>
  <si>
    <t>Annual revenue requirement (nominal, smoothed)</t>
  </si>
  <si>
    <t>Instruction: Populate the grey box with actual performance data</t>
  </si>
  <si>
    <t>Note: Annual reporting templates have been populated with test data</t>
  </si>
  <si>
    <t>Essential Energy 2024–29</t>
  </si>
  <si>
    <t>2024–25</t>
  </si>
  <si>
    <t>2025–26</t>
  </si>
  <si>
    <t>2026–27</t>
  </si>
  <si>
    <t>2027–28</t>
  </si>
  <si>
    <t>2028–29</t>
  </si>
  <si>
    <t>2029–30</t>
  </si>
  <si>
    <t>2030–31</t>
  </si>
  <si>
    <t>Reporting template: 2028–29</t>
  </si>
  <si>
    <t>Reporting template: 2024–25</t>
  </si>
  <si>
    <t>Reporting template: 2025–26</t>
  </si>
  <si>
    <t>Reporting template: 2026–27</t>
  </si>
  <si>
    <t>Reporting template: 2027–28</t>
  </si>
  <si>
    <t>This model calculates the relevant CSIS rewards and penalties for the following parameters for each disclosure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</si>
</sst>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0.0000%"/>
    <numFmt numFmtId="168" formatCode="0.00000000000000"/>
    <numFmt numFmtId="169" formatCode="0.000"/>
    <numFmt numFmtId="170" formatCode="&quot;$&quot;#,##0"/>
  </numFmts>
  <fonts count="43" x14ac:knownFonts="1">
    <font>
      <sz val="11"/>
      <color theme="1"/>
      <name val="Open Sans"/>
      <family val="2"/>
    </font>
    <font>
      <sz val="11"/>
      <color theme="1"/>
      <name val="Open Sans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7F7F7F"/>
      <name val="Open Sans"/>
      <family val="2"/>
      <scheme val="minor"/>
    </font>
    <font>
      <sz val="18"/>
      <color theme="3"/>
      <name val="Open Sans Light"/>
      <family val="2"/>
      <scheme val="major"/>
    </font>
    <font>
      <b/>
      <sz val="13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color theme="1"/>
      <name val="Open Sans SemiBold"/>
      <family val="2"/>
    </font>
    <font>
      <sz val="11"/>
      <name val="Open Sans"/>
      <family val="2"/>
    </font>
    <font>
      <u/>
      <sz val="11"/>
      <color theme="10"/>
      <name val="Open Sans"/>
      <family val="2"/>
    </font>
    <font>
      <u/>
      <sz val="11"/>
      <color theme="11"/>
      <name val="Open Sans"/>
      <family val="2"/>
    </font>
    <font>
      <sz val="15"/>
      <color theme="3"/>
      <name val="Open Sans Light"/>
      <family val="2"/>
      <scheme val="major"/>
    </font>
    <font>
      <sz val="18"/>
      <color theme="1"/>
      <name val="Open Sans Light"/>
      <family val="2"/>
      <scheme val="major"/>
    </font>
    <font>
      <sz val="14"/>
      <color theme="1"/>
      <name val="Open Sans SemiBold"/>
      <family val="2"/>
    </font>
    <font>
      <sz val="12"/>
      <color theme="1"/>
      <name val="Open Sans SemiBold"/>
      <family val="2"/>
    </font>
    <font>
      <sz val="20"/>
      <color theme="0"/>
      <name val="Open Sans Light"/>
      <family val="2"/>
      <scheme val="major"/>
    </font>
    <font>
      <sz val="16"/>
      <color theme="0"/>
      <name val="Open Sans SemiBold"/>
      <family val="2"/>
    </font>
    <font>
      <b/>
      <sz val="20"/>
      <color indexed="9"/>
      <name val="Open Sans"/>
      <family val="2"/>
      <scheme val="minor"/>
    </font>
    <font>
      <sz val="20"/>
      <color indexed="9"/>
      <name val="Open Sans"/>
      <family val="2"/>
      <scheme val="minor"/>
    </font>
    <font>
      <sz val="16"/>
      <name val="Open Sans"/>
      <family val="2"/>
      <scheme val="minor"/>
    </font>
    <font>
      <sz val="11"/>
      <color theme="1"/>
      <name val="Open Sans"/>
      <family val="2"/>
    </font>
    <font>
      <sz val="13.5"/>
      <color rgb="FF000000"/>
      <name val="Verdana"/>
      <family val="2"/>
    </font>
    <font>
      <sz val="11"/>
      <color rgb="FF000000"/>
      <name val="Calibri"/>
      <family val="2"/>
    </font>
    <font>
      <i/>
      <sz val="11"/>
      <color theme="1"/>
      <name val="Open Sans"/>
      <family val="2"/>
    </font>
    <font>
      <b/>
      <sz val="11"/>
      <color theme="1"/>
      <name val="Open Sans"/>
      <family val="2"/>
    </font>
    <font>
      <b/>
      <i/>
      <sz val="11"/>
      <color theme="1"/>
      <name val="Open Sans"/>
      <family val="2"/>
    </font>
    <font>
      <sz val="8"/>
      <name val="Open Sans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2"/>
      <name val="Open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89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5802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1" applyNumberFormat="0" applyAlignment="0" applyProtection="0"/>
    <xf numFmtId="0" fontId="9" fillId="6" borderId="2" applyNumberFormat="0" applyAlignment="0" applyProtection="0"/>
    <xf numFmtId="0" fontId="10" fillId="6" borderId="1" applyNumberFormat="0" applyAlignment="0" applyProtection="0"/>
    <xf numFmtId="0" fontId="11" fillId="0" borderId="3" applyNumberFormat="0" applyFill="0" applyAlignment="0" applyProtection="0"/>
    <xf numFmtId="0" fontId="12" fillId="7" borderId="4" applyNumberFormat="0" applyAlignment="0" applyProtection="0"/>
    <xf numFmtId="0" fontId="13" fillId="0" borderId="0" applyNumberFormat="0" applyFill="0" applyBorder="0" applyAlignment="0" applyProtection="0"/>
    <xf numFmtId="0" fontId="4" fillId="8" borderId="5" applyNumberFormat="0" applyFont="0" applyAlignment="0" applyProtection="0"/>
    <xf numFmtId="0" fontId="14" fillId="0" borderId="0" applyNumberFormat="0" applyFill="0" applyBorder="0" applyAlignment="0" applyProtection="0"/>
    <xf numFmtId="0" fontId="25" fillId="0" borderId="0"/>
    <xf numFmtId="0" fontId="26" fillId="0" borderId="0"/>
    <xf numFmtId="0" fontId="20" fillId="0" borderId="0"/>
    <xf numFmtId="0" fontId="21" fillId="0" borderId="0" applyNumberFormat="0" applyFill="0" applyBorder="0" applyAlignment="0" applyProtection="0"/>
    <xf numFmtId="0" fontId="20" fillId="9" borderId="0"/>
    <xf numFmtId="0" fontId="20" fillId="11" borderId="0"/>
    <xf numFmtId="0" fontId="20" fillId="10" borderId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4" fillId="0" borderId="0">
      <alignment vertical="top"/>
    </xf>
    <xf numFmtId="0" fontId="19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4">
    <xf numFmtId="0" fontId="0" fillId="0" borderId="0" xfId="0"/>
    <xf numFmtId="0" fontId="0" fillId="12" borderId="0" xfId="0" applyFill="1"/>
    <xf numFmtId="0" fontId="33" fillId="12" borderId="0" xfId="0" applyFont="1" applyFill="1" applyAlignment="1">
      <alignment vertical="center" wrapText="1"/>
    </xf>
    <xf numFmtId="9" fontId="0" fillId="12" borderId="0" xfId="31" applyFont="1" applyFill="1"/>
    <xf numFmtId="166" fontId="0" fillId="12" borderId="0" xfId="31" applyNumberFormat="1" applyFont="1" applyFill="1"/>
    <xf numFmtId="9" fontId="0" fillId="12" borderId="0" xfId="0" applyNumberFormat="1" applyFill="1"/>
    <xf numFmtId="0" fontId="35" fillId="12" borderId="0" xfId="0" applyFont="1" applyFill="1"/>
    <xf numFmtId="0" fontId="0" fillId="13" borderId="0" xfId="0" applyFill="1"/>
    <xf numFmtId="10" fontId="0" fillId="12" borderId="0" xfId="0" applyNumberFormat="1" applyFill="1"/>
    <xf numFmtId="0" fontId="36" fillId="12" borderId="0" xfId="0" applyFont="1" applyFill="1"/>
    <xf numFmtId="0" fontId="37" fillId="12" borderId="0" xfId="0" applyFont="1" applyFill="1"/>
    <xf numFmtId="165" fontId="0" fillId="12" borderId="0" xfId="33" applyNumberFormat="1" applyFont="1" applyFill="1"/>
    <xf numFmtId="0" fontId="0" fillId="14" borderId="0" xfId="0" applyFill="1"/>
    <xf numFmtId="165" fontId="0" fillId="12" borderId="0" xfId="0" applyNumberFormat="1" applyFill="1"/>
    <xf numFmtId="164" fontId="0" fillId="12" borderId="0" xfId="30" applyNumberFormat="1" applyFont="1" applyFill="1"/>
    <xf numFmtId="0" fontId="35" fillId="12" borderId="0" xfId="0" applyFont="1" applyFill="1" applyAlignment="1">
      <alignment horizontal="center"/>
    </xf>
    <xf numFmtId="44" fontId="0" fillId="12" borderId="0" xfId="0" applyNumberFormat="1" applyFill="1"/>
    <xf numFmtId="0" fontId="36" fillId="0" borderId="0" xfId="0" applyFont="1"/>
    <xf numFmtId="167" fontId="0" fillId="12" borderId="0" xfId="0" applyNumberFormat="1" applyFill="1"/>
    <xf numFmtId="9" fontId="0" fillId="13" borderId="0" xfId="31" applyFont="1" applyFill="1"/>
    <xf numFmtId="44" fontId="0" fillId="12" borderId="0" xfId="33" applyFont="1" applyFill="1"/>
    <xf numFmtId="0" fontId="35" fillId="16" borderId="0" xfId="0" applyFont="1" applyFill="1"/>
    <xf numFmtId="165" fontId="0" fillId="16" borderId="0" xfId="33" applyNumberFormat="1" applyFont="1" applyFill="1"/>
    <xf numFmtId="168" fontId="0" fillId="12" borderId="0" xfId="0" applyNumberFormat="1" applyFill="1"/>
    <xf numFmtId="9" fontId="0" fillId="12" borderId="0" xfId="33" applyNumberFormat="1" applyFont="1" applyFill="1"/>
    <xf numFmtId="0" fontId="35" fillId="0" borderId="0" xfId="0" applyFont="1"/>
    <xf numFmtId="10" fontId="0" fillId="0" borderId="0" xfId="0" applyNumberFormat="1"/>
    <xf numFmtId="43" fontId="0" fillId="0" borderId="0" xfId="30" applyFont="1" applyFill="1" applyBorder="1"/>
    <xf numFmtId="43" fontId="39" fillId="12" borderId="0" xfId="36" applyNumberFormat="1" applyFont="1" applyFill="1"/>
    <xf numFmtId="166" fontId="0" fillId="15" borderId="0" xfId="0" applyNumberFormat="1" applyFill="1" applyAlignment="1">
      <alignment horizontal="center"/>
    </xf>
    <xf numFmtId="0" fontId="0" fillId="12" borderId="0" xfId="0" applyFont="1" applyFill="1"/>
    <xf numFmtId="169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165" fontId="0" fillId="17" borderId="0" xfId="0" applyNumberFormat="1" applyFill="1" applyAlignment="1">
      <alignment horizontal="center"/>
    </xf>
    <xf numFmtId="165" fontId="0" fillId="12" borderId="0" xfId="0" applyNumberFormat="1" applyFill="1" applyAlignment="1">
      <alignment horizontal="center"/>
    </xf>
    <xf numFmtId="170" fontId="0" fillId="17" borderId="0" xfId="0" applyNumberFormat="1" applyFill="1" applyAlignment="1">
      <alignment horizont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30" fillId="18" borderId="0" xfId="0" applyFont="1" applyFill="1" applyAlignment="1">
      <alignment vertical="center"/>
    </xf>
    <xf numFmtId="0" fontId="1" fillId="18" borderId="0" xfId="0" applyFont="1" applyFill="1"/>
    <xf numFmtId="0" fontId="31" fillId="18" borderId="0" xfId="0" applyFont="1" applyFill="1" applyAlignment="1">
      <alignment vertical="top"/>
    </xf>
    <xf numFmtId="0" fontId="27" fillId="18" borderId="0" xfId="0" applyFont="1" applyFill="1" applyAlignment="1">
      <alignment vertical="center"/>
    </xf>
    <xf numFmtId="0" fontId="0" fillId="19" borderId="0" xfId="0" applyFill="1"/>
    <xf numFmtId="0" fontId="42" fillId="19" borderId="0" xfId="0" applyFont="1" applyFill="1"/>
  </cellXfs>
  <cellStyles count="40">
    <cellStyle name="Bad" xfId="4" builtinId="27" hidden="1"/>
    <cellStyle name="Calculation" xfId="8" builtinId="22" hidden="1"/>
    <cellStyle name="Category" xfId="14" xr:uid="{0B7BB563-C5A4-4F2F-B66E-098B032ACF88}"/>
    <cellStyle name="Check Cell" xfId="10" builtinId="23" hidden="1"/>
    <cellStyle name="Comma" xfId="30" builtinId="3"/>
    <cellStyle name="Comma 2" xfId="34" xr:uid="{66C0E69B-C94E-47A1-97C0-D99B0155D6E7}"/>
    <cellStyle name="Comma 3" xfId="37" xr:uid="{0609FE85-0980-4B8A-956E-7533316C1DD2}"/>
    <cellStyle name="Currency" xfId="33" builtinId="4"/>
    <cellStyle name="Currency 2" xfId="35" xr:uid="{DB349550-DC97-4B23-8627-6E81E6FC8E81}"/>
    <cellStyle name="Currency 3" xfId="38" xr:uid="{81428BCA-A5E6-4A66-860C-AA3A7DA3592D}"/>
    <cellStyle name="Explanatory Text" xfId="13" builtinId="53" hidden="1"/>
    <cellStyle name="Followed Hyperlink" xfId="2" builtinId="9" hidden="1"/>
    <cellStyle name="Followed Hyperlink" xfId="21" builtinId="9" customBuiltin="1"/>
    <cellStyle name="Formula change cell" xfId="19" xr:uid="{E49FE87C-DBC2-45C1-9FF9-667C9CDA2707}"/>
    <cellStyle name="Good" xfId="3" builtinId="26" hidden="1"/>
    <cellStyle name="Heading 1" xfId="23" builtinId="16" hidden="1" customBuiltin="1"/>
    <cellStyle name="Heading 2" xfId="24" builtinId="17" hidden="1"/>
    <cellStyle name="Heading 3" xfId="25" builtinId="18" hidden="1"/>
    <cellStyle name="Heading 4" xfId="26" builtinId="19" hidden="1"/>
    <cellStyle name="Hyperlink" xfId="1" builtinId="8" hidden="1"/>
    <cellStyle name="Hyperlink" xfId="17" builtinId="8" customBuiltin="1"/>
    <cellStyle name="Input" xfId="6" builtinId="20" hidden="1"/>
    <cellStyle name="InputCell" xfId="18" xr:uid="{2D6EF06A-4E5E-418C-864D-73935DF5F533}"/>
    <cellStyle name="LineItem" xfId="16" xr:uid="{FD098ECF-44F1-4E9E-8541-48DF2E93B46C}"/>
    <cellStyle name="Linked Cell" xfId="9" builtinId="24" hidden="1"/>
    <cellStyle name="Main heading" xfId="28" xr:uid="{D26EDA8D-059C-4EA7-8387-D6D82099B44B}"/>
    <cellStyle name="Neutral" xfId="5" builtinId="28" hidden="1"/>
    <cellStyle name="Normal" xfId="0" builtinId="0" customBuiltin="1"/>
    <cellStyle name="Normal 2" xfId="32" xr:uid="{147C9E9B-2B25-4282-B12E-D1C76ADC48F4}"/>
    <cellStyle name="Normal 3" xfId="36" xr:uid="{147863A9-0F98-4AD2-ABCF-686AEB51FC04}"/>
    <cellStyle name="Note" xfId="12" builtinId="10" hidden="1"/>
    <cellStyle name="Output" xfId="7" builtinId="21" hidden="1"/>
    <cellStyle name="Percent" xfId="31" builtinId="5"/>
    <cellStyle name="Percent 2" xfId="39" xr:uid="{5C5E7CBC-F80C-4BF0-985A-A1D0B0CB1689}"/>
    <cellStyle name="Solver cell" xfId="20" xr:uid="{C903F9E8-9AA5-4CEB-BCE0-0AFE8624550D}"/>
    <cellStyle name="Subcategory" xfId="15" xr:uid="{911AE8DC-C55F-4732-9700-18C302F7EFA7}"/>
    <cellStyle name="Subheading" xfId="29" xr:uid="{86B8D6F9-798F-4906-90AC-49764B7673C0}"/>
    <cellStyle name="Title" xfId="22" builtinId="15" hidden="1"/>
    <cellStyle name="Total" xfId="27" builtinId="25" hidden="1"/>
    <cellStyle name="Warning Text" xfId="11" builtinId="11" hidden="1"/>
  </cellStyles>
  <dxfs count="2">
    <dxf>
      <font>
        <b/>
        <i val="0"/>
        <color theme="0"/>
      </font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 Style 1" defaultPivotStyle="PivotStyleLight16">
    <tableStyle name="Table Style 1" pivot="0" count="2" xr9:uid="{40DC8C16-070A-4096-8C31-BB2DC3A90D62}">
      <tableStyleElement type="wholeTable" dxfId="1"/>
      <tableStyleElement type="headerRow" dxfId="0"/>
    </tableStyle>
  </tableStyles>
  <colors>
    <mruColors>
      <color rgb="FFCFD1D2"/>
      <color rgb="FFE83F35"/>
      <color rgb="FF00A897"/>
      <color rgb="FF5E61AB"/>
      <color rgb="FFFBB216"/>
      <color rgb="FFEB7E00"/>
      <color rgb="FFA10000"/>
      <color rgb="FF37424A"/>
      <color rgb="FF6A7177"/>
      <color rgb="FF9BA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FE2020">
      <a:dk1>
        <a:srgbClr val="37424A"/>
      </a:dk1>
      <a:lt1>
        <a:sysClr val="window" lastClr="FFFFFF"/>
      </a:lt1>
      <a:dk2>
        <a:srgbClr val="37424A"/>
      </a:dk2>
      <a:lt2>
        <a:srgbClr val="F2F2F2"/>
      </a:lt2>
      <a:accent1>
        <a:srgbClr val="207BA1"/>
      </a:accent1>
      <a:accent2>
        <a:srgbClr val="599CB9"/>
      </a:accent2>
      <a:accent3>
        <a:srgbClr val="90BDCF"/>
      </a:accent3>
      <a:accent4>
        <a:srgbClr val="6A7177"/>
      </a:accent4>
      <a:accent5>
        <a:srgbClr val="9BA1A5"/>
      </a:accent5>
      <a:accent6>
        <a:srgbClr val="CFD1D2"/>
      </a:accent6>
      <a:hlink>
        <a:srgbClr val="207BA1"/>
      </a:hlink>
      <a:folHlink>
        <a:srgbClr val="90BDCF"/>
      </a:folHlink>
    </a:clrScheme>
    <a:fontScheme name="FE">
      <a:majorFont>
        <a:latin typeface="Open Sans Ligh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FE Red">
      <a:srgbClr val="E83F35"/>
    </a:custClr>
    <a:custClr name="Pine">
      <a:srgbClr val="00A897"/>
    </a:custClr>
    <a:custClr name="Forest">
      <a:srgbClr val="2B555A"/>
    </a:custClr>
    <a:custClr name="Deep blue">
      <a:srgbClr val="005F95"/>
    </a:custClr>
    <a:custClr name="Grey 3">
      <a:srgbClr val="6A7177"/>
    </a:custClr>
    <a:custClr name="Dark red">
      <a:srgbClr val="A10000"/>
    </a:custClr>
    <a:custClr name="Orange 1">
      <a:srgbClr val="EB7E00"/>
    </a:custClr>
    <a:custClr name="Orange 2">
      <a:srgbClr val="FBB216"/>
    </a:custClr>
    <a:custClr name="Purple">
      <a:srgbClr val="7261AB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40FB-452E-41FF-A07B-B3B5B997EA26}">
  <dimension ref="A1:Z11"/>
  <sheetViews>
    <sheetView tabSelected="1" zoomScaleNormal="100" workbookViewId="0">
      <selection activeCell="M19" sqref="M19"/>
    </sheetView>
  </sheetViews>
  <sheetFormatPr defaultColWidth="8.8984375" defaultRowHeight="15.6" x14ac:dyDescent="0.35"/>
  <cols>
    <col min="1" max="1" width="4.5" style="1" customWidth="1"/>
    <col min="2" max="16384" width="8.8984375" style="1"/>
  </cols>
  <sheetData>
    <row r="1" spans="1:26" s="39" customFormat="1" ht="35.1" customHeight="1" x14ac:dyDescent="0.35">
      <c r="A1" s="36"/>
      <c r="B1" s="37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35.1" customHeight="1" x14ac:dyDescent="0.35">
      <c r="A2" s="36"/>
      <c r="B2" s="37" t="s">
        <v>57</v>
      </c>
      <c r="C2" s="38"/>
      <c r="D2" s="38"/>
      <c r="E2" s="38"/>
      <c r="F2" s="38"/>
      <c r="G2" s="38"/>
      <c r="H2" s="3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s="39" customFormat="1" ht="26.1" customHeight="1" x14ac:dyDescent="0.35">
      <c r="A3" s="40"/>
      <c r="B3" s="37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26" x14ac:dyDescent="0.35">
      <c r="B5" s="1" t="s">
        <v>70</v>
      </c>
    </row>
    <row r="6" spans="1:26" x14ac:dyDescent="0.35">
      <c r="B6" s="1" t="s">
        <v>2</v>
      </c>
    </row>
    <row r="7" spans="1:26" ht="17.25" customHeight="1" x14ac:dyDescent="0.35">
      <c r="B7" s="1" t="s">
        <v>3</v>
      </c>
    </row>
    <row r="8" spans="1:26" x14ac:dyDescent="0.35">
      <c r="B8" s="1" t="s">
        <v>4</v>
      </c>
    </row>
    <row r="9" spans="1:26" x14ac:dyDescent="0.35">
      <c r="B9" s="1" t="s">
        <v>5</v>
      </c>
    </row>
    <row r="11" spans="1:26" ht="17.399999999999999" x14ac:dyDescent="0.35">
      <c r="B11" s="1" t="s">
        <v>56</v>
      </c>
      <c r="C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42C6-CDC4-495E-94CE-59E2939C66A8}">
  <dimension ref="A1:Z55"/>
  <sheetViews>
    <sheetView topLeftCell="A8" zoomScale="90" zoomScaleNormal="90" workbookViewId="0">
      <selection activeCell="D20" sqref="D20"/>
    </sheetView>
  </sheetViews>
  <sheetFormatPr defaultColWidth="8.8984375" defaultRowHeight="15.6" x14ac:dyDescent="0.35"/>
  <cols>
    <col min="1" max="1" width="3.5" style="1" customWidth="1"/>
    <col min="2" max="2" width="44" style="1" customWidth="1"/>
    <col min="3" max="3" width="16.59765625" style="1" bestFit="1" customWidth="1"/>
    <col min="4" max="8" width="15.5" style="1" customWidth="1"/>
    <col min="9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4" spans="1:26" s="42" customFormat="1" x14ac:dyDescent="0.35">
      <c r="B4" s="43" t="s">
        <v>7</v>
      </c>
    </row>
    <row r="6" spans="1:26" x14ac:dyDescent="0.35">
      <c r="B6" s="1" t="s">
        <v>8</v>
      </c>
      <c r="C6" s="4">
        <v>5.0000000000000001E-3</v>
      </c>
    </row>
    <row r="7" spans="1:26" x14ac:dyDescent="0.35">
      <c r="B7" s="1" t="s">
        <v>9</v>
      </c>
      <c r="C7" s="4">
        <v>-5.0000000000000001E-3</v>
      </c>
    </row>
    <row r="9" spans="1:26" s="42" customFormat="1" x14ac:dyDescent="0.35">
      <c r="B9" s="43" t="s">
        <v>10</v>
      </c>
    </row>
    <row r="11" spans="1:26" x14ac:dyDescent="0.35">
      <c r="B11" s="1" t="s">
        <v>11</v>
      </c>
      <c r="C11" s="3">
        <v>0.5</v>
      </c>
      <c r="D11" s="18"/>
    </row>
    <row r="12" spans="1:26" x14ac:dyDescent="0.35">
      <c r="B12" s="1" t="s">
        <v>12</v>
      </c>
      <c r="C12" s="3">
        <v>0.1</v>
      </c>
      <c r="D12" s="18"/>
    </row>
    <row r="13" spans="1:26" x14ac:dyDescent="0.35">
      <c r="B13" s="1" t="s">
        <v>13</v>
      </c>
      <c r="C13" s="3">
        <v>0.1</v>
      </c>
      <c r="D13" s="18"/>
    </row>
    <row r="14" spans="1:26" x14ac:dyDescent="0.35">
      <c r="B14" s="1" t="s">
        <v>14</v>
      </c>
      <c r="C14" s="3">
        <v>0.3</v>
      </c>
      <c r="D14" s="18"/>
    </row>
    <row r="16" spans="1:26" s="42" customFormat="1" x14ac:dyDescent="0.35">
      <c r="B16" s="43" t="s">
        <v>15</v>
      </c>
    </row>
    <row r="18" spans="2:9" x14ac:dyDescent="0.35">
      <c r="C18" s="15" t="s">
        <v>16</v>
      </c>
      <c r="D18" s="15" t="s">
        <v>17</v>
      </c>
      <c r="E18" s="15" t="s">
        <v>18</v>
      </c>
      <c r="F18" s="15" t="s">
        <v>19</v>
      </c>
      <c r="G18" s="15" t="s">
        <v>20</v>
      </c>
      <c r="I18" s="6" t="s">
        <v>21</v>
      </c>
    </row>
    <row r="19" spans="2:9" x14ac:dyDescent="0.35">
      <c r="B19" s="1" t="s">
        <v>22</v>
      </c>
      <c r="C19" s="5">
        <v>0.2</v>
      </c>
      <c r="D19" s="5">
        <v>0.2</v>
      </c>
      <c r="E19" s="5">
        <v>0.2</v>
      </c>
      <c r="F19" s="5">
        <v>0.2</v>
      </c>
      <c r="G19" s="5">
        <v>0.2</v>
      </c>
      <c r="I19" s="6" t="s">
        <v>23</v>
      </c>
    </row>
    <row r="20" spans="2:9" x14ac:dyDescent="0.35">
      <c r="B20" s="1" t="s">
        <v>24</v>
      </c>
      <c r="C20" s="1">
        <v>2.61</v>
      </c>
      <c r="D20" s="1">
        <v>2.61</v>
      </c>
      <c r="E20" s="1">
        <v>2.61</v>
      </c>
      <c r="F20" s="1">
        <v>2.61</v>
      </c>
      <c r="G20" s="1">
        <v>2.61</v>
      </c>
      <c r="I20" s="6" t="s">
        <v>25</v>
      </c>
    </row>
    <row r="21" spans="2:9" x14ac:dyDescent="0.35">
      <c r="B21" s="1" t="s">
        <v>26</v>
      </c>
      <c r="C21" s="1">
        <v>4.07</v>
      </c>
      <c r="D21" s="1">
        <v>4.07</v>
      </c>
      <c r="E21" s="1">
        <v>4.07</v>
      </c>
      <c r="F21" s="1">
        <v>4.07</v>
      </c>
      <c r="G21" s="1">
        <v>4.07</v>
      </c>
      <c r="I21" s="6" t="s">
        <v>27</v>
      </c>
    </row>
    <row r="22" spans="2:9" x14ac:dyDescent="0.35">
      <c r="B22" s="1" t="s">
        <v>28</v>
      </c>
      <c r="C22" s="1">
        <v>13.2</v>
      </c>
      <c r="D22" s="1">
        <v>13.2</v>
      </c>
      <c r="E22" s="1">
        <v>13.2</v>
      </c>
      <c r="F22" s="1">
        <v>13.2</v>
      </c>
      <c r="G22" s="1">
        <v>13.2</v>
      </c>
      <c r="I22" s="6" t="s">
        <v>47</v>
      </c>
    </row>
    <row r="24" spans="2:9" s="42" customFormat="1" x14ac:dyDescent="0.35">
      <c r="B24" s="43" t="s">
        <v>29</v>
      </c>
    </row>
    <row r="26" spans="2:9" x14ac:dyDescent="0.35">
      <c r="B26" s="1" t="s">
        <v>22</v>
      </c>
      <c r="C26" s="8">
        <v>5.0000000000000001E-4</v>
      </c>
    </row>
    <row r="27" spans="2:9" x14ac:dyDescent="0.35">
      <c r="B27" s="1" t="s">
        <v>24</v>
      </c>
      <c r="C27" s="8">
        <v>-4.16666666672067E-4</v>
      </c>
    </row>
    <row r="28" spans="2:9" x14ac:dyDescent="0.35">
      <c r="B28" s="1" t="s">
        <v>26</v>
      </c>
      <c r="C28" s="8">
        <v>4.1666666666666599E-4</v>
      </c>
    </row>
    <row r="29" spans="2:9" x14ac:dyDescent="0.35">
      <c r="B29" s="1" t="s">
        <v>28</v>
      </c>
      <c r="C29" s="8">
        <v>-5.0000000000000002E-5</v>
      </c>
    </row>
    <row r="31" spans="2:9" s="42" customFormat="1" x14ac:dyDescent="0.35">
      <c r="B31" s="43" t="s">
        <v>30</v>
      </c>
    </row>
    <row r="33" spans="2:10" x14ac:dyDescent="0.35">
      <c r="B33" s="1" t="s">
        <v>22</v>
      </c>
      <c r="C33" s="5">
        <v>0.3</v>
      </c>
    </row>
    <row r="34" spans="2:10" x14ac:dyDescent="0.35">
      <c r="B34" s="1" t="s">
        <v>31</v>
      </c>
      <c r="C34" s="1">
        <v>2.4900000000000002</v>
      </c>
    </row>
    <row r="35" spans="2:10" x14ac:dyDescent="0.35">
      <c r="B35" s="1" t="s">
        <v>26</v>
      </c>
      <c r="C35" s="1">
        <v>4.2</v>
      </c>
    </row>
    <row r="36" spans="2:10" x14ac:dyDescent="0.35">
      <c r="B36" s="1" t="s">
        <v>28</v>
      </c>
      <c r="C36" s="1">
        <v>12.2</v>
      </c>
    </row>
    <row r="38" spans="2:10" s="42" customFormat="1" x14ac:dyDescent="0.35">
      <c r="B38" s="43" t="s">
        <v>32</v>
      </c>
    </row>
    <row r="40" spans="2:10" x14ac:dyDescent="0.35">
      <c r="B40" s="1" t="s">
        <v>22</v>
      </c>
      <c r="C40" s="5">
        <v>0.1</v>
      </c>
    </row>
    <row r="41" spans="2:10" x14ac:dyDescent="0.35">
      <c r="B41" s="1" t="s">
        <v>24</v>
      </c>
      <c r="C41" s="1">
        <v>2.73</v>
      </c>
    </row>
    <row r="42" spans="2:10" x14ac:dyDescent="0.35">
      <c r="B42" s="1" t="s">
        <v>26</v>
      </c>
      <c r="C42" s="1">
        <v>3.95</v>
      </c>
    </row>
    <row r="43" spans="2:10" x14ac:dyDescent="0.35">
      <c r="B43" s="1" t="s">
        <v>28</v>
      </c>
      <c r="C43" s="1">
        <v>14.2</v>
      </c>
    </row>
    <row r="45" spans="2:10" s="42" customFormat="1" x14ac:dyDescent="0.35">
      <c r="B45" s="43" t="s">
        <v>33</v>
      </c>
    </row>
    <row r="47" spans="2:10" x14ac:dyDescent="0.35">
      <c r="C47" s="15"/>
      <c r="D47" s="6" t="s">
        <v>58</v>
      </c>
      <c r="E47" s="6" t="s">
        <v>59</v>
      </c>
      <c r="F47" s="6" t="s">
        <v>60</v>
      </c>
      <c r="G47" s="6" t="s">
        <v>61</v>
      </c>
      <c r="H47" s="6" t="s">
        <v>62</v>
      </c>
    </row>
    <row r="48" spans="2:10" x14ac:dyDescent="0.35">
      <c r="B48" s="1" t="s">
        <v>54</v>
      </c>
      <c r="C48" s="14"/>
      <c r="D48" s="11">
        <f>1142.13017909769*1000000</f>
        <v>1142130179.0976899</v>
      </c>
      <c r="E48" s="11">
        <f>1205.50047957106*1000000</f>
        <v>1205500479.5710599</v>
      </c>
      <c r="F48" s="11">
        <f>1272.38683719411*1000000</f>
        <v>1272386837.1941102</v>
      </c>
      <c r="G48" s="11">
        <f>1342.98433795804*1000000</f>
        <v>1342984337.95804</v>
      </c>
      <c r="H48" s="11">
        <f>1417.49889206488*1000000</f>
        <v>1417498892.0648799</v>
      </c>
      <c r="I48" s="12" t="s">
        <v>34</v>
      </c>
      <c r="J48" s="12"/>
    </row>
    <row r="50" spans="2:11" x14ac:dyDescent="0.35">
      <c r="D50" s="6" t="s">
        <v>58</v>
      </c>
      <c r="E50" s="6" t="s">
        <v>59</v>
      </c>
      <c r="F50" s="6" t="s">
        <v>60</v>
      </c>
      <c r="G50" s="6" t="s">
        <v>61</v>
      </c>
      <c r="H50" s="6" t="s">
        <v>62</v>
      </c>
      <c r="I50" s="6" t="s">
        <v>63</v>
      </c>
      <c r="J50" s="6" t="s">
        <v>64</v>
      </c>
    </row>
    <row r="51" spans="2:11" x14ac:dyDescent="0.35">
      <c r="B51" s="1" t="s">
        <v>35</v>
      </c>
      <c r="D51" s="29">
        <v>2.5000000000000001E-2</v>
      </c>
      <c r="E51" s="29">
        <v>2.5000000000000001E-2</v>
      </c>
      <c r="F51" s="29">
        <v>2.5000000000000001E-2</v>
      </c>
      <c r="G51" s="29">
        <v>2.5000000000000001E-2</v>
      </c>
      <c r="H51" s="29">
        <v>2.5000000000000001E-2</v>
      </c>
      <c r="I51" s="29">
        <v>2.5000000000000001E-2</v>
      </c>
      <c r="J51" s="29">
        <v>2.5000000000000001E-2</v>
      </c>
      <c r="K51" s="1" t="s">
        <v>36</v>
      </c>
    </row>
    <row r="53" spans="2:11" x14ac:dyDescent="0.35">
      <c r="D53" s="28"/>
      <c r="E53" s="28"/>
      <c r="F53" s="28"/>
      <c r="G53" s="28"/>
      <c r="H53" s="28"/>
    </row>
    <row r="54" spans="2:11" x14ac:dyDescent="0.35">
      <c r="D54" s="16"/>
      <c r="E54" s="16"/>
      <c r="F54" s="16"/>
      <c r="G54" s="16"/>
      <c r="H54" s="16"/>
    </row>
    <row r="55" spans="2:11" x14ac:dyDescent="0.35">
      <c r="C55" s="16"/>
      <c r="D55" s="16"/>
      <c r="E55" s="16"/>
      <c r="F55" s="16"/>
      <c r="G55" s="16"/>
      <c r="H55" s="16"/>
    </row>
  </sheetData>
  <phoneticPr fontId="3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46AF-60E3-42EA-BCF4-87184EDF3C9D}">
  <dimension ref="A1:Z56"/>
  <sheetViews>
    <sheetView topLeftCell="A11" zoomScale="85" zoomScaleNormal="85" workbookViewId="0">
      <selection activeCell="C11" sqref="C11"/>
    </sheetView>
  </sheetViews>
  <sheetFormatPr defaultColWidth="8.8984375" defaultRowHeight="15.6" x14ac:dyDescent="0.35"/>
  <cols>
    <col min="1" max="1" width="4.8984375" style="1" customWidth="1"/>
    <col min="2" max="2" width="34.09765625" style="1" customWidth="1"/>
    <col min="3" max="3" width="14.5" style="1" bestFit="1" customWidth="1"/>
    <col min="4" max="4" width="13.5" style="1" bestFit="1" customWidth="1"/>
    <col min="5" max="5" width="16.5" style="1" customWidth="1"/>
    <col min="6" max="6" width="14.3984375" style="1" customWidth="1"/>
    <col min="7" max="7" width="10.69921875" style="1" customWidth="1"/>
    <col min="8" max="8" width="12.8984375" style="1" customWidth="1"/>
    <col min="9" max="9" width="10.09765625" style="1" customWidth="1"/>
    <col min="10" max="12" width="8.8984375" style="1"/>
    <col min="13" max="13" width="38.5" style="1" customWidth="1"/>
    <col min="14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5" spans="1:26" s="42" customFormat="1" x14ac:dyDescent="0.35">
      <c r="B5" s="43" t="s">
        <v>37</v>
      </c>
    </row>
    <row r="7" spans="1:26" x14ac:dyDescent="0.35">
      <c r="B7" s="10" t="s">
        <v>55</v>
      </c>
    </row>
    <row r="8" spans="1:26" x14ac:dyDescent="0.35">
      <c r="B8" s="9"/>
    </row>
    <row r="9" spans="1:26" x14ac:dyDescent="0.35"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21</v>
      </c>
    </row>
    <row r="10" spans="1:26" x14ac:dyDescent="0.35">
      <c r="B10" s="1" t="s">
        <v>22</v>
      </c>
      <c r="C10" s="19">
        <v>0.31</v>
      </c>
      <c r="H10" s="6" t="s">
        <v>23</v>
      </c>
    </row>
    <row r="11" spans="1:26" x14ac:dyDescent="0.35">
      <c r="B11" s="1" t="s">
        <v>24</v>
      </c>
      <c r="C11" s="7">
        <v>2.4900000000000002</v>
      </c>
      <c r="H11" s="6" t="s">
        <v>25</v>
      </c>
    </row>
    <row r="12" spans="1:26" x14ac:dyDescent="0.35">
      <c r="B12" s="1" t="s">
        <v>26</v>
      </c>
      <c r="C12" s="7">
        <v>4.5</v>
      </c>
      <c r="H12" s="6" t="s">
        <v>27</v>
      </c>
    </row>
    <row r="13" spans="1:26" x14ac:dyDescent="0.35">
      <c r="B13" s="1" t="s">
        <v>28</v>
      </c>
      <c r="C13" s="7">
        <v>12</v>
      </c>
      <c r="H13" s="6" t="s">
        <v>47</v>
      </c>
    </row>
    <row r="14" spans="1:26" x14ac:dyDescent="0.35">
      <c r="I14" s="6"/>
    </row>
    <row r="15" spans="1:26" s="42" customFormat="1" x14ac:dyDescent="0.35">
      <c r="B15" s="43" t="s">
        <v>38</v>
      </c>
    </row>
    <row r="16" spans="1:26" x14ac:dyDescent="0.35">
      <c r="I16" s="6"/>
    </row>
    <row r="17" spans="2:10" x14ac:dyDescent="0.35">
      <c r="B17" s="9" t="s">
        <v>48</v>
      </c>
      <c r="C17" s="6" t="str">
        <f>C9</f>
        <v>2024–25</v>
      </c>
      <c r="D17" s="6"/>
      <c r="F17" s="6"/>
      <c r="G17" s="6"/>
      <c r="H17" s="6"/>
      <c r="J17" s="6"/>
    </row>
    <row r="18" spans="2:10" x14ac:dyDescent="0.35">
      <c r="B18" s="1" t="s">
        <v>22</v>
      </c>
      <c r="C18" s="26">
        <f>IF(C10&gt;'Key inputs'!C33,'Key inputs'!C33,IF(C10&lt;'Key inputs'!C40,'Key inputs'!C40,C10))</f>
        <v>0.3</v>
      </c>
      <c r="E18" s="24"/>
      <c r="F18" s="8"/>
      <c r="G18" s="8"/>
      <c r="H18" s="8"/>
      <c r="J18" s="6"/>
    </row>
    <row r="19" spans="2:10" x14ac:dyDescent="0.35">
      <c r="B19" s="1" t="s">
        <v>24</v>
      </c>
      <c r="C19" s="27">
        <f>IF(C11&lt;'Key inputs'!C34,'Key inputs'!C34,IF(C11&gt;'Key inputs'!C41,'Key inputs'!C41,C11))</f>
        <v>2.4900000000000002</v>
      </c>
      <c r="D19" s="8"/>
      <c r="F19" s="8"/>
      <c r="G19" s="8"/>
      <c r="H19" s="8"/>
      <c r="J19" s="6"/>
    </row>
    <row r="20" spans="2:10" x14ac:dyDescent="0.35">
      <c r="B20" s="1" t="s">
        <v>26</v>
      </c>
      <c r="C20" s="27">
        <f>IF(C12&gt;'Key inputs'!C35,'Key inputs'!C35,IF(C12&lt;'Key inputs'!C42,'Key inputs'!C42,C12))</f>
        <v>4.2</v>
      </c>
      <c r="D20" s="8"/>
      <c r="F20" s="8"/>
      <c r="G20" s="8"/>
      <c r="H20" s="8"/>
      <c r="J20" s="6"/>
    </row>
    <row r="21" spans="2:10" x14ac:dyDescent="0.35">
      <c r="B21" s="1" t="s">
        <v>28</v>
      </c>
      <c r="C21" s="27">
        <f>IF(C13&lt;'Key inputs'!C36,'Key inputs'!C36,IF(C13&gt;'Key inputs'!C43,'Key inputs'!C43,C13))</f>
        <v>12.2</v>
      </c>
      <c r="D21" s="8"/>
      <c r="F21" s="8"/>
      <c r="G21" s="8"/>
      <c r="H21" s="8"/>
      <c r="J21" s="6"/>
    </row>
    <row r="22" spans="2:10" x14ac:dyDescent="0.35">
      <c r="C22" s="8"/>
      <c r="D22" s="8"/>
      <c r="F22" s="8"/>
      <c r="G22" s="8"/>
      <c r="H22" s="8"/>
      <c r="J22" s="6"/>
    </row>
    <row r="23" spans="2:10" x14ac:dyDescent="0.35">
      <c r="B23" s="9" t="s">
        <v>49</v>
      </c>
      <c r="C23" s="6" t="str">
        <f>C9</f>
        <v>2024–25</v>
      </c>
      <c r="D23" s="6"/>
      <c r="F23" s="6"/>
      <c r="G23" s="6"/>
      <c r="H23" s="6"/>
      <c r="J23" s="6"/>
    </row>
    <row r="24" spans="2:10" x14ac:dyDescent="0.35">
      <c r="B24" s="1" t="s">
        <v>22</v>
      </c>
      <c r="C24" s="26">
        <f>(C18-'Key inputs'!C19)*'Key inputs'!$C26*100</f>
        <v>4.9999999999999992E-3</v>
      </c>
      <c r="E24" s="24"/>
      <c r="F24" s="8"/>
      <c r="G24" s="8"/>
      <c r="H24" s="8"/>
      <c r="J24" s="6"/>
    </row>
    <row r="25" spans="2:10" x14ac:dyDescent="0.35">
      <c r="B25" s="1" t="s">
        <v>24</v>
      </c>
      <c r="C25" s="8">
        <f>(C19-'Key inputs'!$C20)*'Key inputs'!$C27*100</f>
        <v>5.0000000000647903E-3</v>
      </c>
      <c r="D25" s="8"/>
      <c r="F25" s="8"/>
      <c r="G25" s="8"/>
      <c r="H25" s="8"/>
      <c r="J25" s="6"/>
    </row>
    <row r="26" spans="2:10" x14ac:dyDescent="0.35">
      <c r="B26" s="1" t="s">
        <v>26</v>
      </c>
      <c r="C26" s="8">
        <f>(C20-'Key inputs'!$C21)*'Key inputs'!$C28*100</f>
        <v>5.4166666666666538E-3</v>
      </c>
      <c r="D26" s="8"/>
      <c r="F26" s="8"/>
      <c r="G26" s="8"/>
      <c r="H26" s="8"/>
      <c r="J26" s="6"/>
    </row>
    <row r="27" spans="2:10" x14ac:dyDescent="0.35">
      <c r="B27" s="1" t="s">
        <v>28</v>
      </c>
      <c r="C27" s="8">
        <f>(C21-'Key inputs'!$C22)*'Key inputs'!$C29*100</f>
        <v>5.0000000000000001E-3</v>
      </c>
      <c r="D27" s="8"/>
      <c r="F27" s="8"/>
      <c r="G27" s="8"/>
      <c r="H27" s="8"/>
      <c r="J27" s="6"/>
    </row>
    <row r="28" spans="2:10" x14ac:dyDescent="0.35">
      <c r="J28" s="6"/>
    </row>
    <row r="29" spans="2:10" x14ac:dyDescent="0.35">
      <c r="B29" s="9" t="s">
        <v>50</v>
      </c>
      <c r="F29" s="6"/>
      <c r="G29" s="6"/>
      <c r="H29" s="6"/>
      <c r="J29" s="6"/>
    </row>
    <row r="30" spans="2:10" x14ac:dyDescent="0.35">
      <c r="B30" s="9"/>
      <c r="C30" s="6" t="s">
        <v>39</v>
      </c>
      <c r="D30" s="6" t="s">
        <v>40</v>
      </c>
      <c r="F30" s="6"/>
      <c r="G30" s="6"/>
      <c r="H30" s="6"/>
      <c r="J30" s="6"/>
    </row>
    <row r="31" spans="2:10" x14ac:dyDescent="0.35">
      <c r="B31" s="1" t="s">
        <v>22</v>
      </c>
      <c r="C31" s="22">
        <f>'Key inputs'!$C$6*'Key inputs'!$D$48*'Key inputs'!$C11</f>
        <v>2855325.4477442247</v>
      </c>
      <c r="D31" s="22">
        <f>'Key inputs'!$C$7*'Key inputs'!$D$48*'Key inputs'!$C11</f>
        <v>-2855325.4477442247</v>
      </c>
    </row>
    <row r="32" spans="2:10" x14ac:dyDescent="0.35">
      <c r="B32" s="1" t="s">
        <v>24</v>
      </c>
      <c r="C32" s="22">
        <f>'Key inputs'!$C$6*'Key inputs'!$D$48*'Key inputs'!$C12</f>
        <v>571065.08954884496</v>
      </c>
      <c r="D32" s="22">
        <f>'Key inputs'!$C$7*'Key inputs'!$D$48*'Key inputs'!$C12</f>
        <v>-571065.08954884496</v>
      </c>
      <c r="F32" s="23"/>
    </row>
    <row r="33" spans="2:13" x14ac:dyDescent="0.35">
      <c r="B33" s="1" t="s">
        <v>26</v>
      </c>
      <c r="C33" s="22">
        <f>'Key inputs'!$C$6*'Key inputs'!$D$48*'Key inputs'!$C13</f>
        <v>571065.08954884496</v>
      </c>
      <c r="D33" s="22">
        <f>'Key inputs'!$C$7*'Key inputs'!$D$48*'Key inputs'!$C13</f>
        <v>-571065.08954884496</v>
      </c>
    </row>
    <row r="34" spans="2:13" x14ac:dyDescent="0.35">
      <c r="B34" s="1" t="s">
        <v>28</v>
      </c>
      <c r="C34" s="22">
        <f>'Key inputs'!$C$6*'Key inputs'!$D$48*'Key inputs'!$C14</f>
        <v>1713195.2686465348</v>
      </c>
      <c r="D34" s="22">
        <f>'Key inputs'!$C$7*'Key inputs'!$D$48*'Key inputs'!$C14</f>
        <v>-1713195.2686465348</v>
      </c>
    </row>
    <row r="35" spans="2:13" x14ac:dyDescent="0.35">
      <c r="B35" s="1" t="s">
        <v>41</v>
      </c>
      <c r="C35" s="11">
        <f>SUM(C31:C34)</f>
        <v>5710650.8954884494</v>
      </c>
      <c r="D35" s="11">
        <f>SUM(D31:D34)</f>
        <v>-5710650.8954884494</v>
      </c>
    </row>
    <row r="36" spans="2:13" x14ac:dyDescent="0.35">
      <c r="J36" s="6"/>
    </row>
    <row r="37" spans="2:13" x14ac:dyDescent="0.35">
      <c r="B37" s="17" t="s">
        <v>51</v>
      </c>
      <c r="C37" s="6" t="str">
        <f>C9</f>
        <v>2024–25</v>
      </c>
      <c r="D37" s="6"/>
      <c r="F37" s="6"/>
      <c r="G37" s="6"/>
      <c r="H37" s="6"/>
      <c r="J37" s="6"/>
      <c r="L37" s="6"/>
    </row>
    <row r="38" spans="2:13" x14ac:dyDescent="0.35">
      <c r="B38" s="1" t="s">
        <v>22</v>
      </c>
      <c r="C38" s="13">
        <f>MAX(MIN(C24*'Key inputs'!$D$48*'Key inputs'!C11,$C31),$D31)</f>
        <v>2855325.4477442242</v>
      </c>
      <c r="D38" s="13"/>
      <c r="E38" s="20"/>
      <c r="F38" s="13"/>
      <c r="G38" s="13"/>
      <c r="H38" s="13"/>
      <c r="J38" s="6"/>
      <c r="L38" s="6"/>
    </row>
    <row r="39" spans="2:13" x14ac:dyDescent="0.35">
      <c r="B39" s="1" t="s">
        <v>24</v>
      </c>
      <c r="C39" s="13">
        <f>MAX(MIN(C25*'Key inputs'!$D$48*'Key inputs'!C12,'Reporting template 2024–25 '!$C32),$D32)</f>
        <v>571065.08954884496</v>
      </c>
      <c r="D39" s="13"/>
      <c r="F39" s="13"/>
      <c r="G39" s="13"/>
      <c r="H39" s="13"/>
      <c r="J39" s="6"/>
      <c r="L39" s="6"/>
    </row>
    <row r="40" spans="2:13" x14ac:dyDescent="0.35">
      <c r="B40" s="1" t="s">
        <v>26</v>
      </c>
      <c r="C40" s="13">
        <f>MAX(MIN(C26*'Key inputs'!$D$48*'Key inputs'!C13,'Reporting template 2024–25 '!$C33),$D33)</f>
        <v>571065.08954884496</v>
      </c>
      <c r="D40" s="13"/>
      <c r="F40" s="13"/>
      <c r="G40" s="13"/>
      <c r="H40" s="13"/>
      <c r="J40" s="6"/>
      <c r="L40" s="6"/>
      <c r="M40" s="1" t="s">
        <v>42</v>
      </c>
    </row>
    <row r="41" spans="2:13" x14ac:dyDescent="0.35">
      <c r="B41" s="1" t="s">
        <v>28</v>
      </c>
      <c r="C41" s="13">
        <f>MAX(MIN(C27*'Key inputs'!$D$48*'Key inputs'!C14,'Reporting template 2024–25 '!$C34),$D34)</f>
        <v>1713195.2686465348</v>
      </c>
      <c r="D41" s="13"/>
      <c r="F41" s="13"/>
      <c r="G41" s="13"/>
      <c r="H41" s="13"/>
      <c r="J41" s="6"/>
      <c r="L41" s="6"/>
    </row>
    <row r="42" spans="2:13" x14ac:dyDescent="0.35">
      <c r="C42" s="13"/>
      <c r="D42" s="13"/>
      <c r="F42" s="13"/>
      <c r="G42" s="13"/>
      <c r="H42" s="13"/>
      <c r="J42" s="6"/>
    </row>
    <row r="43" spans="2:13" x14ac:dyDescent="0.35">
      <c r="B43" s="9" t="s">
        <v>52</v>
      </c>
      <c r="C43" s="6" t="str">
        <f>C9</f>
        <v>2024–25</v>
      </c>
      <c r="D43" s="13"/>
      <c r="F43" s="13"/>
      <c r="G43" s="13"/>
      <c r="H43" s="13"/>
      <c r="J43" s="6"/>
    </row>
    <row r="44" spans="2:13" x14ac:dyDescent="0.35">
      <c r="B44" s="1" t="s">
        <v>41</v>
      </c>
      <c r="C44" s="13">
        <f>SUM(C38:C41)</f>
        <v>5710650.8954884484</v>
      </c>
      <c r="D44" s="13"/>
      <c r="F44" s="13"/>
      <c r="G44" s="13"/>
      <c r="H44" s="13"/>
      <c r="J44" s="6"/>
    </row>
    <row r="45" spans="2:13" x14ac:dyDescent="0.35">
      <c r="B45" s="6" t="s">
        <v>43</v>
      </c>
      <c r="C45" s="21" t="b">
        <f>IF(C44&gt;=$D$35,IF(C44&lt;=$C$35,TRUE,FALSE),FALSE)</f>
        <v>1</v>
      </c>
      <c r="H45" s="6"/>
      <c r="J45" s="6"/>
    </row>
    <row r="46" spans="2:13" x14ac:dyDescent="0.35">
      <c r="J46" s="6"/>
    </row>
    <row r="47" spans="2:13" s="42" customFormat="1" x14ac:dyDescent="0.35">
      <c r="B47" s="43" t="s">
        <v>44</v>
      </c>
    </row>
    <row r="48" spans="2:13" x14ac:dyDescent="0.35">
      <c r="B48" s="9"/>
      <c r="I48" s="6"/>
    </row>
    <row r="49" spans="2:9" x14ac:dyDescent="0.35">
      <c r="B49" s="9" t="s">
        <v>53</v>
      </c>
      <c r="I49" s="6"/>
    </row>
    <row r="51" spans="2:9" x14ac:dyDescent="0.35">
      <c r="C51" s="1" t="s">
        <v>58</v>
      </c>
      <c r="D51" s="1" t="s">
        <v>59</v>
      </c>
      <c r="E51" s="1" t="s">
        <v>60</v>
      </c>
      <c r="F51" s="1" t="s">
        <v>61</v>
      </c>
      <c r="G51" s="1" t="s">
        <v>62</v>
      </c>
      <c r="H51" s="1" t="s">
        <v>63</v>
      </c>
      <c r="I51" s="30" t="s">
        <v>64</v>
      </c>
    </row>
    <row r="52" spans="2:9" x14ac:dyDescent="0.35">
      <c r="B52" s="1" t="s">
        <v>45</v>
      </c>
      <c r="C52" s="31">
        <v>1</v>
      </c>
      <c r="D52" s="31">
        <f>C52*(1+'Key inputs'!E51)</f>
        <v>1.0249999999999999</v>
      </c>
      <c r="E52" s="31">
        <f>D52*(1+'Key inputs'!F51)</f>
        <v>1.0506249999999999</v>
      </c>
      <c r="F52" s="31">
        <f>E52*(1+'Key inputs'!G51)</f>
        <v>1.0768906249999999</v>
      </c>
      <c r="G52" s="31">
        <f>F52*(1+'Key inputs'!H51)</f>
        <v>1.1038128906249998</v>
      </c>
      <c r="H52" s="31">
        <f>G52*(1+'Key inputs'!I51)</f>
        <v>1.1314082128906247</v>
      </c>
      <c r="I52" s="31">
        <f>H52*(1+'Key inputs'!J51)</f>
        <v>1.1596934182128902</v>
      </c>
    </row>
    <row r="55" spans="2:9" x14ac:dyDescent="0.35">
      <c r="C55" s="1" t="str">
        <f>C51</f>
        <v>2024–25</v>
      </c>
      <c r="D55" s="1" t="str">
        <f t="shared" ref="D55:I55" si="0">D51</f>
        <v>2025–26</v>
      </c>
      <c r="E55" s="1" t="str">
        <f t="shared" si="0"/>
        <v>2026–27</v>
      </c>
      <c r="F55" s="1" t="str">
        <f t="shared" si="0"/>
        <v>2027–28</v>
      </c>
      <c r="G55" s="1" t="str">
        <f t="shared" si="0"/>
        <v>2028–29</v>
      </c>
      <c r="H55" s="1" t="str">
        <f t="shared" si="0"/>
        <v>2029–30</v>
      </c>
      <c r="I55" s="1" t="str">
        <f t="shared" si="0"/>
        <v>2030–31</v>
      </c>
    </row>
    <row r="56" spans="2:9" x14ac:dyDescent="0.35">
      <c r="B56" s="1" t="s">
        <v>46</v>
      </c>
      <c r="C56" s="32"/>
      <c r="D56" s="32"/>
      <c r="E56" s="35">
        <f>C44*(E52/C52)</f>
        <v>5999752.597072551</v>
      </c>
      <c r="F56" s="34"/>
      <c r="G56" s="34"/>
      <c r="H56" s="13"/>
      <c r="I56" s="13"/>
    </row>
  </sheetData>
  <phoneticPr fontId="3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FE0-A702-42D4-9EC5-7E42B555E265}">
  <dimension ref="A1:Z56"/>
  <sheetViews>
    <sheetView topLeftCell="A26" zoomScale="85" zoomScaleNormal="85" workbookViewId="0">
      <selection activeCell="D11" sqref="D11"/>
    </sheetView>
  </sheetViews>
  <sheetFormatPr defaultColWidth="8.8984375" defaultRowHeight="15.6" x14ac:dyDescent="0.35"/>
  <cols>
    <col min="1" max="1" width="4.8984375" style="1" customWidth="1"/>
    <col min="2" max="2" width="34.09765625" style="1" customWidth="1"/>
    <col min="3" max="3" width="14.5" style="1" bestFit="1" customWidth="1"/>
    <col min="4" max="4" width="13.5" style="1" bestFit="1" customWidth="1"/>
    <col min="5" max="5" width="16.5" style="1" customWidth="1"/>
    <col min="6" max="6" width="14.3984375" style="1" customWidth="1"/>
    <col min="7" max="7" width="10.69921875" style="1" customWidth="1"/>
    <col min="8" max="8" width="12.8984375" style="1" customWidth="1"/>
    <col min="9" max="9" width="10.09765625" style="1" customWidth="1"/>
    <col min="10" max="12" width="8.8984375" style="1"/>
    <col min="13" max="13" width="38.5" style="1" customWidth="1"/>
    <col min="14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5" spans="1:26" s="42" customFormat="1" x14ac:dyDescent="0.35">
      <c r="B5" s="43" t="s">
        <v>37</v>
      </c>
    </row>
    <row r="7" spans="1:26" x14ac:dyDescent="0.35">
      <c r="B7" s="10" t="s">
        <v>55</v>
      </c>
    </row>
    <row r="8" spans="1:26" x14ac:dyDescent="0.35">
      <c r="B8" s="9"/>
    </row>
    <row r="9" spans="1:26" x14ac:dyDescent="0.35"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I9" s="6" t="s">
        <v>21</v>
      </c>
    </row>
    <row r="10" spans="1:26" x14ac:dyDescent="0.35">
      <c r="B10" s="1" t="s">
        <v>22</v>
      </c>
      <c r="C10" s="5"/>
      <c r="D10" s="19">
        <v>0.31</v>
      </c>
      <c r="I10" s="6" t="s">
        <v>23</v>
      </c>
    </row>
    <row r="11" spans="1:26" x14ac:dyDescent="0.35">
      <c r="B11" s="1" t="s">
        <v>24</v>
      </c>
      <c r="C11" s="5"/>
      <c r="D11" s="7">
        <v>2.4</v>
      </c>
      <c r="I11" s="6" t="s">
        <v>25</v>
      </c>
    </row>
    <row r="12" spans="1:26" x14ac:dyDescent="0.35">
      <c r="B12" s="1" t="s">
        <v>26</v>
      </c>
      <c r="C12" s="5"/>
      <c r="D12" s="7">
        <v>4.5</v>
      </c>
      <c r="I12" s="6" t="s">
        <v>27</v>
      </c>
    </row>
    <row r="13" spans="1:26" x14ac:dyDescent="0.35">
      <c r="B13" s="1" t="s">
        <v>28</v>
      </c>
      <c r="C13" s="5"/>
      <c r="D13" s="7">
        <v>12</v>
      </c>
      <c r="I13" s="6" t="s">
        <v>47</v>
      </c>
    </row>
    <row r="14" spans="1:26" x14ac:dyDescent="0.35">
      <c r="I14" s="6"/>
    </row>
    <row r="15" spans="1:26" s="42" customFormat="1" x14ac:dyDescent="0.35">
      <c r="B15" s="43" t="s">
        <v>38</v>
      </c>
    </row>
    <row r="16" spans="1:26" x14ac:dyDescent="0.35">
      <c r="I16" s="6"/>
    </row>
    <row r="17" spans="2:10" x14ac:dyDescent="0.35">
      <c r="B17" s="9" t="s">
        <v>48</v>
      </c>
      <c r="C17" s="6" t="str">
        <f>D9</f>
        <v>2025–26</v>
      </c>
      <c r="I17" s="6"/>
    </row>
    <row r="18" spans="2:10" x14ac:dyDescent="0.35">
      <c r="B18" s="1" t="s">
        <v>22</v>
      </c>
      <c r="C18" s="26">
        <f>IF(D10&gt;'Key inputs'!C33,'Key inputs'!C33,IF(D10&lt;'Key inputs'!C40,'Key inputs'!C40,D10))</f>
        <v>0.3</v>
      </c>
      <c r="I18" s="6"/>
    </row>
    <row r="19" spans="2:10" x14ac:dyDescent="0.35">
      <c r="B19" s="1" t="s">
        <v>24</v>
      </c>
      <c r="C19" s="27">
        <f>IF(D11&lt;'Key inputs'!C34,'Key inputs'!C34,IF(D11&gt;'Key inputs'!C41,'Key inputs'!C41,D11))</f>
        <v>2.4900000000000002</v>
      </c>
      <c r="I19" s="6"/>
    </row>
    <row r="20" spans="2:10" x14ac:dyDescent="0.35">
      <c r="B20" s="1" t="s">
        <v>26</v>
      </c>
      <c r="C20" s="27">
        <f>IF(D12&gt;'Key inputs'!C35,'Key inputs'!C35,IF(D12&lt;'Key inputs'!C42,'Key inputs'!C42,D12))</f>
        <v>4.2</v>
      </c>
      <c r="I20" s="6"/>
    </row>
    <row r="21" spans="2:10" x14ac:dyDescent="0.35">
      <c r="B21" s="1" t="s">
        <v>28</v>
      </c>
      <c r="C21" s="27">
        <f>IF(D13&lt;'Key inputs'!C36,'Key inputs'!C36,IF(D13&gt;'Key inputs'!C43,'Key inputs'!C43,D13))</f>
        <v>12.2</v>
      </c>
      <c r="I21" s="6"/>
    </row>
    <row r="22" spans="2:10" x14ac:dyDescent="0.35">
      <c r="I22" s="6"/>
    </row>
    <row r="23" spans="2:10" x14ac:dyDescent="0.35">
      <c r="B23" s="9" t="s">
        <v>49</v>
      </c>
      <c r="C23" s="6" t="str">
        <f>D9</f>
        <v>2025–26</v>
      </c>
      <c r="D23" s="6"/>
      <c r="F23" s="6"/>
      <c r="G23" s="6"/>
      <c r="H23" s="6"/>
      <c r="J23" s="6"/>
    </row>
    <row r="24" spans="2:10" x14ac:dyDescent="0.35">
      <c r="B24" s="1" t="s">
        <v>22</v>
      </c>
      <c r="C24" s="8">
        <f>(C18-'Key inputs'!C19)*'Key inputs'!$C26*100</f>
        <v>4.9999999999999992E-3</v>
      </c>
      <c r="E24" s="20"/>
      <c r="F24" s="8"/>
      <c r="G24" s="8"/>
      <c r="H24" s="8"/>
      <c r="J24" s="6"/>
    </row>
    <row r="25" spans="2:10" x14ac:dyDescent="0.35">
      <c r="B25" s="1" t="s">
        <v>24</v>
      </c>
      <c r="C25" s="8">
        <f>(C19-'Key inputs'!$C20)*'Key inputs'!$C27*100</f>
        <v>5.0000000000647903E-3</v>
      </c>
      <c r="D25" s="8"/>
      <c r="F25" s="8"/>
      <c r="G25" s="8"/>
      <c r="H25" s="8"/>
      <c r="J25" s="6"/>
    </row>
    <row r="26" spans="2:10" x14ac:dyDescent="0.35">
      <c r="B26" s="1" t="s">
        <v>26</v>
      </c>
      <c r="C26" s="8">
        <f>(C20-'Key inputs'!$C21)*'Key inputs'!$C28*100</f>
        <v>5.4166666666666538E-3</v>
      </c>
      <c r="D26" s="8"/>
      <c r="F26" s="8"/>
      <c r="G26" s="8"/>
      <c r="H26" s="8"/>
      <c r="J26" s="6"/>
    </row>
    <row r="27" spans="2:10" x14ac:dyDescent="0.35">
      <c r="B27" s="1" t="s">
        <v>28</v>
      </c>
      <c r="C27" s="8">
        <f>(C21-'Key inputs'!$C22)*'Key inputs'!$C29*100</f>
        <v>5.0000000000000001E-3</v>
      </c>
      <c r="D27" s="8"/>
      <c r="F27" s="8"/>
      <c r="G27" s="8"/>
      <c r="H27" s="8"/>
      <c r="J27" s="6"/>
    </row>
    <row r="28" spans="2:10" x14ac:dyDescent="0.35">
      <c r="J28" s="6"/>
    </row>
    <row r="29" spans="2:10" x14ac:dyDescent="0.35">
      <c r="B29" s="9" t="s">
        <v>50</v>
      </c>
      <c r="F29" s="6"/>
      <c r="G29" s="6"/>
      <c r="H29" s="6"/>
      <c r="J29" s="6"/>
    </row>
    <row r="30" spans="2:10" x14ac:dyDescent="0.35">
      <c r="B30" s="9"/>
      <c r="C30" s="6" t="s">
        <v>39</v>
      </c>
      <c r="D30" s="6" t="s">
        <v>40</v>
      </c>
      <c r="F30" s="6"/>
      <c r="G30" s="6"/>
      <c r="H30" s="6"/>
      <c r="J30" s="6"/>
    </row>
    <row r="31" spans="2:10" x14ac:dyDescent="0.35">
      <c r="B31" s="1" t="s">
        <v>22</v>
      </c>
      <c r="C31" s="22">
        <f>'Key inputs'!$C$6*'Key inputs'!$E$48*'Key inputs'!$C11</f>
        <v>3013751.1989276498</v>
      </c>
      <c r="D31" s="22">
        <f>'Key inputs'!$C$7*'Key inputs'!$E$48*'Key inputs'!$C11</f>
        <v>-3013751.1989276498</v>
      </c>
    </row>
    <row r="32" spans="2:10" x14ac:dyDescent="0.35">
      <c r="B32" s="1" t="s">
        <v>24</v>
      </c>
      <c r="C32" s="22">
        <f>'Key inputs'!$C$6*'Key inputs'!$E$48*'Key inputs'!$C12</f>
        <v>602750.23978553002</v>
      </c>
      <c r="D32" s="22">
        <f>'Key inputs'!$C$7*'Key inputs'!$E$48*'Key inputs'!$C12</f>
        <v>-602750.23978553002</v>
      </c>
      <c r="F32" s="23"/>
    </row>
    <row r="33" spans="2:13" x14ac:dyDescent="0.35">
      <c r="B33" s="1" t="s">
        <v>26</v>
      </c>
      <c r="C33" s="22">
        <f>'Key inputs'!$C$6*'Key inputs'!$E$48*'Key inputs'!$C13</f>
        <v>602750.23978553002</v>
      </c>
      <c r="D33" s="22">
        <f>'Key inputs'!$C$7*'Key inputs'!$E$48*'Key inputs'!$C13</f>
        <v>-602750.23978553002</v>
      </c>
    </row>
    <row r="34" spans="2:13" x14ac:dyDescent="0.35">
      <c r="B34" s="1" t="s">
        <v>28</v>
      </c>
      <c r="C34" s="22">
        <f>'Key inputs'!$C$6*'Key inputs'!$E$48*'Key inputs'!$C14</f>
        <v>1808250.7193565897</v>
      </c>
      <c r="D34" s="22">
        <f>'Key inputs'!$C$7*'Key inputs'!$E$48*'Key inputs'!$C14</f>
        <v>-1808250.7193565897</v>
      </c>
    </row>
    <row r="35" spans="2:13" x14ac:dyDescent="0.35">
      <c r="B35" s="1" t="s">
        <v>41</v>
      </c>
      <c r="C35" s="11">
        <f>SUM(C31:C34)</f>
        <v>6027502.3978552995</v>
      </c>
      <c r="D35" s="11">
        <f>SUM(D31:D34)</f>
        <v>-6027502.3978552995</v>
      </c>
    </row>
    <row r="36" spans="2:13" x14ac:dyDescent="0.35">
      <c r="J36" s="6"/>
    </row>
    <row r="37" spans="2:13" x14ac:dyDescent="0.35">
      <c r="B37" s="17" t="s">
        <v>51</v>
      </c>
      <c r="C37" s="6" t="str">
        <f>D9</f>
        <v>2025–26</v>
      </c>
      <c r="D37" s="6"/>
      <c r="F37" s="6"/>
      <c r="G37" s="6"/>
      <c r="H37" s="6"/>
      <c r="J37" s="6"/>
      <c r="L37" s="6"/>
    </row>
    <row r="38" spans="2:13" x14ac:dyDescent="0.35">
      <c r="B38" s="1" t="s">
        <v>22</v>
      </c>
      <c r="C38" s="13">
        <f>MAX(MIN(C24*'Key inputs'!$E$48*'Key inputs'!C11,$C31),$D31)</f>
        <v>3013751.1989276493</v>
      </c>
      <c r="D38" s="13"/>
      <c r="E38" s="20"/>
      <c r="F38" s="13"/>
      <c r="G38" s="13"/>
      <c r="H38" s="13"/>
      <c r="J38" s="6"/>
      <c r="L38" s="6"/>
    </row>
    <row r="39" spans="2:13" x14ac:dyDescent="0.35">
      <c r="B39" s="1" t="s">
        <v>24</v>
      </c>
      <c r="C39" s="13">
        <f>MAX(MIN(C25*'Key inputs'!$E$48*'Key inputs'!C12,$C32),$D32)</f>
        <v>602750.23978553002</v>
      </c>
      <c r="D39" s="13"/>
      <c r="F39" s="13"/>
      <c r="G39" s="13"/>
      <c r="H39" s="13"/>
      <c r="J39" s="6"/>
      <c r="L39" s="6"/>
    </row>
    <row r="40" spans="2:13" x14ac:dyDescent="0.35">
      <c r="B40" s="1" t="s">
        <v>26</v>
      </c>
      <c r="C40" s="13">
        <f>MAX(MIN(C26*'Key inputs'!$E$48*'Key inputs'!C13,$C33),$D33)</f>
        <v>602750.23978553002</v>
      </c>
      <c r="D40" s="13"/>
      <c r="F40" s="13"/>
      <c r="G40" s="13"/>
      <c r="H40" s="13"/>
      <c r="J40" s="6"/>
      <c r="L40" s="6"/>
      <c r="M40" s="1" t="s">
        <v>42</v>
      </c>
    </row>
    <row r="41" spans="2:13" x14ac:dyDescent="0.35">
      <c r="B41" s="1" t="s">
        <v>28</v>
      </c>
      <c r="C41" s="13">
        <f>MAX(MIN(C27*'Key inputs'!$E$48*'Key inputs'!C14,$C34),$D34)</f>
        <v>1808250.7193565897</v>
      </c>
      <c r="D41" s="13"/>
      <c r="F41" s="13"/>
      <c r="G41" s="13"/>
      <c r="H41" s="13"/>
      <c r="J41" s="6"/>
      <c r="L41" s="6"/>
    </row>
    <row r="42" spans="2:13" x14ac:dyDescent="0.35">
      <c r="C42" s="13"/>
      <c r="D42" s="13"/>
      <c r="F42" s="13"/>
      <c r="G42" s="13"/>
      <c r="H42" s="13"/>
      <c r="J42" s="6"/>
    </row>
    <row r="43" spans="2:13" x14ac:dyDescent="0.35">
      <c r="B43" s="9" t="s">
        <v>52</v>
      </c>
      <c r="C43" s="6" t="str">
        <f>D9</f>
        <v>2025–26</v>
      </c>
      <c r="D43" s="13"/>
      <c r="F43" s="13"/>
      <c r="G43" s="13"/>
      <c r="H43" s="13"/>
      <c r="J43" s="6"/>
    </row>
    <row r="44" spans="2:13" x14ac:dyDescent="0.35">
      <c r="B44" s="1" t="s">
        <v>41</v>
      </c>
      <c r="C44" s="13">
        <f>SUM(C38:C41)</f>
        <v>6027502.3978552995</v>
      </c>
      <c r="D44" s="13"/>
      <c r="F44" s="13"/>
      <c r="G44" s="13"/>
      <c r="H44" s="13"/>
      <c r="J44" s="6"/>
    </row>
    <row r="45" spans="2:13" x14ac:dyDescent="0.35">
      <c r="B45" s="6" t="s">
        <v>43</v>
      </c>
      <c r="C45" s="21" t="b">
        <f>IF(C44&gt;=$D$35,IF(C44&lt;=$C$35,TRUE,FALSE),FALSE)</f>
        <v>1</v>
      </c>
      <c r="D45" s="25"/>
      <c r="F45" s="6"/>
      <c r="G45" s="6"/>
      <c r="H45" s="6"/>
      <c r="J45" s="6"/>
    </row>
    <row r="46" spans="2:13" x14ac:dyDescent="0.35">
      <c r="J46" s="6"/>
    </row>
    <row r="47" spans="2:13" s="42" customFormat="1" x14ac:dyDescent="0.35">
      <c r="B47" s="43" t="s">
        <v>44</v>
      </c>
    </row>
    <row r="48" spans="2:13" x14ac:dyDescent="0.35">
      <c r="B48" s="9"/>
      <c r="I48" s="6"/>
    </row>
    <row r="49" spans="2:9" x14ac:dyDescent="0.35">
      <c r="B49" s="9" t="s">
        <v>53</v>
      </c>
      <c r="I49" s="6"/>
    </row>
    <row r="51" spans="2:9" x14ac:dyDescent="0.35">
      <c r="C51" s="1" t="s">
        <v>58</v>
      </c>
      <c r="D51" s="1" t="s">
        <v>59</v>
      </c>
      <c r="E51" s="1" t="s">
        <v>60</v>
      </c>
      <c r="F51" s="1" t="s">
        <v>61</v>
      </c>
      <c r="G51" s="1" t="s">
        <v>62</v>
      </c>
      <c r="H51" s="1" t="s">
        <v>63</v>
      </c>
      <c r="I51" s="30" t="s">
        <v>64</v>
      </c>
    </row>
    <row r="52" spans="2:9" x14ac:dyDescent="0.35">
      <c r="B52" s="1" t="s">
        <v>45</v>
      </c>
      <c r="C52" s="31">
        <v>1</v>
      </c>
      <c r="D52" s="31">
        <f>C52*(1+'Key inputs'!E51)</f>
        <v>1.0249999999999999</v>
      </c>
      <c r="E52" s="31">
        <f>D52*(1+'Key inputs'!F51)</f>
        <v>1.0506249999999999</v>
      </c>
      <c r="F52" s="31">
        <f>E52*(1+'Key inputs'!G51)</f>
        <v>1.0768906249999999</v>
      </c>
      <c r="G52" s="31">
        <f>F52*(1+'Key inputs'!H51)</f>
        <v>1.1038128906249998</v>
      </c>
      <c r="H52" s="31">
        <f>G52*(1+'Key inputs'!I51)</f>
        <v>1.1314082128906247</v>
      </c>
      <c r="I52" s="31">
        <f>H52*(1+'Key inputs'!J51)</f>
        <v>1.1596934182128902</v>
      </c>
    </row>
    <row r="55" spans="2:9" x14ac:dyDescent="0.35">
      <c r="C55" s="1" t="str">
        <f>C51</f>
        <v>2024–25</v>
      </c>
      <c r="D55" s="1" t="str">
        <f t="shared" ref="D55:I55" si="0">D51</f>
        <v>2025–26</v>
      </c>
      <c r="E55" s="1" t="str">
        <f t="shared" si="0"/>
        <v>2026–27</v>
      </c>
      <c r="F55" s="1" t="str">
        <f t="shared" si="0"/>
        <v>2027–28</v>
      </c>
      <c r="G55" s="1" t="str">
        <f t="shared" si="0"/>
        <v>2028–29</v>
      </c>
      <c r="H55" s="1" t="str">
        <f t="shared" si="0"/>
        <v>2029–30</v>
      </c>
      <c r="I55" s="1" t="str">
        <f t="shared" si="0"/>
        <v>2030–31</v>
      </c>
    </row>
    <row r="56" spans="2:9" x14ac:dyDescent="0.35">
      <c r="B56" s="1" t="s">
        <v>46</v>
      </c>
      <c r="C56" s="32"/>
      <c r="D56" s="32"/>
      <c r="E56" s="32"/>
      <c r="F56" s="35">
        <f>C44*(F52/C52)</f>
        <v>6490960.8244153913</v>
      </c>
      <c r="G56" s="34"/>
      <c r="H56" s="13"/>
      <c r="I56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3984-E21F-4175-8CD3-9E476741E5FF}">
  <dimension ref="A1:Z56"/>
  <sheetViews>
    <sheetView zoomScale="85" zoomScaleNormal="85" workbookViewId="0">
      <selection activeCell="B2" sqref="B2"/>
    </sheetView>
  </sheetViews>
  <sheetFormatPr defaultColWidth="8.8984375" defaultRowHeight="15.6" x14ac:dyDescent="0.35"/>
  <cols>
    <col min="1" max="1" width="4.8984375" style="1" customWidth="1"/>
    <col min="2" max="2" width="34.09765625" style="1" customWidth="1"/>
    <col min="3" max="3" width="14.5" style="1" bestFit="1" customWidth="1"/>
    <col min="4" max="4" width="13.5" style="1" bestFit="1" customWidth="1"/>
    <col min="5" max="5" width="16.5" style="1" customWidth="1"/>
    <col min="6" max="6" width="14.3984375" style="1" customWidth="1"/>
    <col min="7" max="7" width="12" style="1" customWidth="1"/>
    <col min="8" max="8" width="12.8984375" style="1" customWidth="1"/>
    <col min="9" max="9" width="10.09765625" style="1" customWidth="1"/>
    <col min="10" max="12" width="8.8984375" style="1"/>
    <col min="13" max="13" width="38.5" style="1" customWidth="1"/>
    <col min="14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5" spans="1:26" s="42" customFormat="1" x14ac:dyDescent="0.35">
      <c r="B5" s="43" t="s">
        <v>37</v>
      </c>
    </row>
    <row r="7" spans="1:26" x14ac:dyDescent="0.35">
      <c r="B7" s="10" t="s">
        <v>55</v>
      </c>
    </row>
    <row r="8" spans="1:26" x14ac:dyDescent="0.35">
      <c r="B8" s="9"/>
    </row>
    <row r="9" spans="1:26" x14ac:dyDescent="0.35"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I9" s="6" t="s">
        <v>21</v>
      </c>
    </row>
    <row r="10" spans="1:26" x14ac:dyDescent="0.35">
      <c r="B10" s="1" t="s">
        <v>22</v>
      </c>
      <c r="C10" s="5"/>
      <c r="E10" s="19">
        <v>0.31</v>
      </c>
      <c r="I10" s="6" t="s">
        <v>23</v>
      </c>
    </row>
    <row r="11" spans="1:26" x14ac:dyDescent="0.35">
      <c r="B11" s="1" t="s">
        <v>24</v>
      </c>
      <c r="C11" s="5"/>
      <c r="E11" s="7">
        <v>2.4</v>
      </c>
      <c r="I11" s="6" t="s">
        <v>25</v>
      </c>
    </row>
    <row r="12" spans="1:26" x14ac:dyDescent="0.35">
      <c r="B12" s="1" t="s">
        <v>26</v>
      </c>
      <c r="C12" s="5"/>
      <c r="E12" s="7">
        <v>4.5</v>
      </c>
      <c r="I12" s="6" t="s">
        <v>27</v>
      </c>
    </row>
    <row r="13" spans="1:26" x14ac:dyDescent="0.35">
      <c r="B13" s="1" t="s">
        <v>28</v>
      </c>
      <c r="C13" s="5"/>
      <c r="E13" s="7">
        <v>12</v>
      </c>
      <c r="I13" s="6" t="s">
        <v>47</v>
      </c>
    </row>
    <row r="14" spans="1:26" x14ac:dyDescent="0.35">
      <c r="I14" s="6"/>
    </row>
    <row r="15" spans="1:26" s="42" customFormat="1" x14ac:dyDescent="0.35">
      <c r="B15" s="43" t="s">
        <v>38</v>
      </c>
    </row>
    <row r="16" spans="1:26" x14ac:dyDescent="0.35">
      <c r="I16" s="6"/>
    </row>
    <row r="17" spans="2:10" x14ac:dyDescent="0.35">
      <c r="B17" s="9" t="s">
        <v>48</v>
      </c>
      <c r="C17" s="6" t="str">
        <f>E9</f>
        <v>2026–27</v>
      </c>
      <c r="D17" s="6"/>
      <c r="F17" s="6"/>
      <c r="G17" s="6"/>
      <c r="H17" s="6"/>
      <c r="J17" s="6"/>
    </row>
    <row r="18" spans="2:10" x14ac:dyDescent="0.35">
      <c r="B18" s="1" t="s">
        <v>22</v>
      </c>
      <c r="C18" s="26">
        <f>IF(E10&gt;'Key inputs'!C33,'Key inputs'!C33,IF(E10&lt;'Key inputs'!C40,'Key inputs'!C40,E10))</f>
        <v>0.3</v>
      </c>
      <c r="E18" s="20"/>
      <c r="F18" s="8"/>
      <c r="G18" s="8"/>
      <c r="H18" s="8"/>
      <c r="J18" s="6"/>
    </row>
    <row r="19" spans="2:10" x14ac:dyDescent="0.35">
      <c r="B19" s="1" t="s">
        <v>24</v>
      </c>
      <c r="C19" s="27">
        <f>IF(E11&lt;'Key inputs'!C34,'Key inputs'!C34,IF(E11&gt;'Key inputs'!C41,'Key inputs'!C41,E11))</f>
        <v>2.4900000000000002</v>
      </c>
      <c r="D19" s="8"/>
      <c r="F19" s="8"/>
      <c r="G19" s="8"/>
      <c r="H19" s="8"/>
      <c r="J19" s="6"/>
    </row>
    <row r="20" spans="2:10" x14ac:dyDescent="0.35">
      <c r="B20" s="1" t="s">
        <v>26</v>
      </c>
      <c r="C20" s="27">
        <f>IF(E12&gt;'Key inputs'!C35,'Key inputs'!C35,IF(E12&lt;'Key inputs'!C42,'Key inputs'!C42,E12))</f>
        <v>4.2</v>
      </c>
      <c r="D20" s="8"/>
      <c r="F20" s="8"/>
      <c r="G20" s="8"/>
      <c r="H20" s="8"/>
      <c r="J20" s="6"/>
    </row>
    <row r="21" spans="2:10" x14ac:dyDescent="0.35">
      <c r="B21" s="1" t="s">
        <v>28</v>
      </c>
      <c r="C21" s="27">
        <f>IF(E13&lt;'Key inputs'!C36,'Key inputs'!C36,IF(E13&gt;'Key inputs'!C43,'Key inputs'!C43,E13))</f>
        <v>12.2</v>
      </c>
      <c r="D21" s="8"/>
      <c r="F21" s="8"/>
      <c r="G21" s="8"/>
      <c r="H21" s="8"/>
      <c r="J21" s="6"/>
    </row>
    <row r="22" spans="2:10" x14ac:dyDescent="0.35">
      <c r="J22" s="6"/>
    </row>
    <row r="23" spans="2:10" x14ac:dyDescent="0.35">
      <c r="B23" s="9" t="s">
        <v>49</v>
      </c>
      <c r="C23" s="6" t="str">
        <f>E9</f>
        <v>2026–27</v>
      </c>
      <c r="D23" s="6"/>
      <c r="F23" s="6"/>
      <c r="G23" s="6"/>
      <c r="H23" s="6"/>
      <c r="J23" s="6"/>
    </row>
    <row r="24" spans="2:10" x14ac:dyDescent="0.35">
      <c r="B24" s="1" t="s">
        <v>22</v>
      </c>
      <c r="C24" s="8">
        <f>(C18-'Key inputs'!C19)*'Key inputs'!$C26*100</f>
        <v>4.9999999999999992E-3</v>
      </c>
      <c r="E24" s="20"/>
      <c r="F24" s="8"/>
      <c r="G24" s="8"/>
      <c r="H24" s="8"/>
      <c r="J24" s="6"/>
    </row>
    <row r="25" spans="2:10" x14ac:dyDescent="0.35">
      <c r="B25" s="1" t="s">
        <v>24</v>
      </c>
      <c r="C25" s="8">
        <f>(C19-'Key inputs'!$C20)*'Key inputs'!$C27*100</f>
        <v>5.0000000000647903E-3</v>
      </c>
      <c r="D25" s="8"/>
      <c r="F25" s="8"/>
      <c r="G25" s="8"/>
      <c r="H25" s="8"/>
      <c r="J25" s="6"/>
    </row>
    <row r="26" spans="2:10" x14ac:dyDescent="0.35">
      <c r="B26" s="1" t="s">
        <v>26</v>
      </c>
      <c r="C26" s="8">
        <f>(C20-'Key inputs'!$C21)*'Key inputs'!$C28*100</f>
        <v>5.4166666666666538E-3</v>
      </c>
      <c r="D26" s="8"/>
      <c r="F26" s="8"/>
      <c r="G26" s="8"/>
      <c r="H26" s="8"/>
      <c r="J26" s="6"/>
    </row>
    <row r="27" spans="2:10" x14ac:dyDescent="0.35">
      <c r="B27" s="1" t="s">
        <v>28</v>
      </c>
      <c r="C27" s="8">
        <f>(C21-'Key inputs'!$C22)*'Key inputs'!$C29*100</f>
        <v>5.0000000000000001E-3</v>
      </c>
      <c r="D27" s="8"/>
      <c r="F27" s="8"/>
      <c r="G27" s="8"/>
      <c r="H27" s="8"/>
      <c r="J27" s="6"/>
    </row>
    <row r="28" spans="2:10" x14ac:dyDescent="0.35">
      <c r="J28" s="6"/>
    </row>
    <row r="29" spans="2:10" x14ac:dyDescent="0.35">
      <c r="B29" s="9" t="s">
        <v>50</v>
      </c>
      <c r="F29" s="6"/>
      <c r="G29" s="6"/>
      <c r="H29" s="6"/>
      <c r="J29" s="6"/>
    </row>
    <row r="30" spans="2:10" x14ac:dyDescent="0.35">
      <c r="B30" s="9"/>
      <c r="C30" s="6" t="s">
        <v>39</v>
      </c>
      <c r="D30" s="6" t="s">
        <v>40</v>
      </c>
      <c r="F30" s="6"/>
      <c r="G30" s="6"/>
      <c r="H30" s="6"/>
      <c r="J30" s="6"/>
    </row>
    <row r="31" spans="2:10" x14ac:dyDescent="0.35">
      <c r="B31" s="1" t="s">
        <v>22</v>
      </c>
      <c r="C31" s="22">
        <f>'Key inputs'!$C$6*'Key inputs'!$F$48*'Key inputs'!$C11</f>
        <v>3180967.0929852757</v>
      </c>
      <c r="D31" s="22">
        <f>'Key inputs'!$C$7*'Key inputs'!$F$48*'Key inputs'!$C11</f>
        <v>-3180967.0929852757</v>
      </c>
    </row>
    <row r="32" spans="2:10" x14ac:dyDescent="0.35">
      <c r="B32" s="1" t="s">
        <v>24</v>
      </c>
      <c r="C32" s="22">
        <f>'Key inputs'!$C$6*'Key inputs'!$F$48*'Key inputs'!$C12</f>
        <v>636193.41859705513</v>
      </c>
      <c r="D32" s="22">
        <f>'Key inputs'!$C$7*'Key inputs'!$F$48*'Key inputs'!$C12</f>
        <v>-636193.41859705513</v>
      </c>
      <c r="F32" s="23"/>
    </row>
    <row r="33" spans="2:13" x14ac:dyDescent="0.35">
      <c r="B33" s="1" t="s">
        <v>26</v>
      </c>
      <c r="C33" s="22">
        <f>'Key inputs'!$C$6*'Key inputs'!$F$48*'Key inputs'!$C13</f>
        <v>636193.41859705513</v>
      </c>
      <c r="D33" s="22">
        <f>'Key inputs'!$C$7*'Key inputs'!$F$48*'Key inputs'!$C13</f>
        <v>-636193.41859705513</v>
      </c>
    </row>
    <row r="34" spans="2:13" x14ac:dyDescent="0.35">
      <c r="B34" s="1" t="s">
        <v>28</v>
      </c>
      <c r="C34" s="22">
        <f>'Key inputs'!$C$6*'Key inputs'!$F$48*'Key inputs'!$C14</f>
        <v>1908580.2557911654</v>
      </c>
      <c r="D34" s="22">
        <f>'Key inputs'!$C$7*'Key inputs'!$F$48*'Key inputs'!$C14</f>
        <v>-1908580.2557911654</v>
      </c>
    </row>
    <row r="35" spans="2:13" x14ac:dyDescent="0.35">
      <c r="B35" s="1" t="s">
        <v>41</v>
      </c>
      <c r="C35" s="11">
        <f>SUM(C31:C34)</f>
        <v>6361934.1859705504</v>
      </c>
      <c r="D35" s="11">
        <f>SUM(D31:D34)</f>
        <v>-6361934.1859705504</v>
      </c>
    </row>
    <row r="36" spans="2:13" x14ac:dyDescent="0.35">
      <c r="J36" s="6"/>
    </row>
    <row r="37" spans="2:13" x14ac:dyDescent="0.35">
      <c r="B37" s="17" t="s">
        <v>51</v>
      </c>
      <c r="C37" s="6" t="str">
        <f>E9</f>
        <v>2026–27</v>
      </c>
      <c r="D37" s="6"/>
      <c r="F37" s="6"/>
      <c r="G37" s="6"/>
      <c r="H37" s="6"/>
      <c r="J37" s="6"/>
      <c r="L37" s="6"/>
    </row>
    <row r="38" spans="2:13" x14ac:dyDescent="0.35">
      <c r="B38" s="1" t="s">
        <v>22</v>
      </c>
      <c r="C38" s="13">
        <f>MAX(MIN(C24*'Key inputs'!$F$48*'Key inputs'!C11,$C31),$D31)</f>
        <v>3180967.0929852747</v>
      </c>
      <c r="D38" s="13"/>
      <c r="E38" s="20"/>
      <c r="F38" s="13"/>
      <c r="G38" s="13"/>
      <c r="H38" s="13"/>
      <c r="J38" s="6"/>
      <c r="L38" s="6"/>
    </row>
    <row r="39" spans="2:13" x14ac:dyDescent="0.35">
      <c r="B39" s="1" t="s">
        <v>24</v>
      </c>
      <c r="C39" s="13">
        <f>MAX(MIN(C25*'Key inputs'!$F$48*'Key inputs'!C12,$C32),$D32)</f>
        <v>636193.41859705513</v>
      </c>
      <c r="D39" s="13"/>
      <c r="F39" s="13"/>
      <c r="G39" s="13"/>
      <c r="H39" s="13"/>
      <c r="J39" s="6"/>
      <c r="L39" s="6"/>
    </row>
    <row r="40" spans="2:13" x14ac:dyDescent="0.35">
      <c r="B40" s="1" t="s">
        <v>26</v>
      </c>
      <c r="C40" s="13">
        <f>MAX(MIN(C26*'Key inputs'!$F$48*'Key inputs'!C13,$C33),$D33)</f>
        <v>636193.41859705513</v>
      </c>
      <c r="D40" s="13"/>
      <c r="F40" s="13"/>
      <c r="G40" s="13"/>
      <c r="H40" s="13"/>
      <c r="J40" s="6"/>
      <c r="L40" s="6"/>
      <c r="M40" s="1" t="s">
        <v>42</v>
      </c>
    </row>
    <row r="41" spans="2:13" x14ac:dyDescent="0.35">
      <c r="B41" s="1" t="s">
        <v>28</v>
      </c>
      <c r="C41" s="13">
        <f>MAX(MIN(C27*'Key inputs'!$F$48*'Key inputs'!C14,$C34),$D34)</f>
        <v>1908580.2557911654</v>
      </c>
      <c r="D41" s="13"/>
      <c r="F41" s="13"/>
      <c r="G41" s="13"/>
      <c r="H41" s="13"/>
      <c r="J41" s="6"/>
      <c r="L41" s="6"/>
    </row>
    <row r="42" spans="2:13" x14ac:dyDescent="0.35">
      <c r="C42" s="13"/>
      <c r="D42" s="13"/>
      <c r="F42" s="13"/>
      <c r="G42" s="13"/>
      <c r="H42" s="13"/>
      <c r="J42" s="6"/>
    </row>
    <row r="43" spans="2:13" x14ac:dyDescent="0.35">
      <c r="B43" s="9" t="s">
        <v>52</v>
      </c>
      <c r="C43" s="6" t="str">
        <f>E9</f>
        <v>2026–27</v>
      </c>
      <c r="D43" s="13"/>
      <c r="F43" s="13"/>
      <c r="G43" s="13"/>
      <c r="H43" s="13"/>
      <c r="J43" s="6"/>
    </row>
    <row r="44" spans="2:13" x14ac:dyDescent="0.35">
      <c r="B44" s="1" t="s">
        <v>41</v>
      </c>
      <c r="C44" s="13">
        <f>SUM(C38:C41)</f>
        <v>6361934.1859705504</v>
      </c>
      <c r="D44" s="13"/>
      <c r="F44" s="13"/>
      <c r="G44" s="13"/>
      <c r="H44" s="13"/>
      <c r="J44" s="6"/>
    </row>
    <row r="45" spans="2:13" x14ac:dyDescent="0.35">
      <c r="B45" s="6" t="s">
        <v>43</v>
      </c>
      <c r="C45" s="21" t="b">
        <f>IF(C44&gt;=$D$35,IF(C44&lt;=$C$35,TRUE,FALSE),FALSE)</f>
        <v>1</v>
      </c>
      <c r="D45" s="25"/>
      <c r="F45" s="6"/>
      <c r="G45" s="6"/>
      <c r="H45" s="6"/>
      <c r="J45" s="6"/>
    </row>
    <row r="46" spans="2:13" x14ac:dyDescent="0.35">
      <c r="J46" s="6"/>
    </row>
    <row r="47" spans="2:13" s="42" customFormat="1" x14ac:dyDescent="0.35">
      <c r="B47" s="43" t="s">
        <v>44</v>
      </c>
    </row>
    <row r="48" spans="2:13" x14ac:dyDescent="0.35">
      <c r="B48" s="9"/>
      <c r="I48" s="6"/>
    </row>
    <row r="49" spans="2:9" x14ac:dyDescent="0.35">
      <c r="B49" s="9" t="s">
        <v>53</v>
      </c>
      <c r="I49" s="6"/>
    </row>
    <row r="51" spans="2:9" x14ac:dyDescent="0.35">
      <c r="C51" s="1" t="s">
        <v>58</v>
      </c>
      <c r="D51" s="1" t="s">
        <v>59</v>
      </c>
      <c r="E51" s="1" t="s">
        <v>60</v>
      </c>
      <c r="F51" s="1" t="s">
        <v>61</v>
      </c>
      <c r="G51" s="1" t="s">
        <v>62</v>
      </c>
      <c r="H51" s="1" t="s">
        <v>63</v>
      </c>
      <c r="I51" s="30" t="s">
        <v>64</v>
      </c>
    </row>
    <row r="52" spans="2:9" x14ac:dyDescent="0.35">
      <c r="B52" s="1" t="s">
        <v>45</v>
      </c>
      <c r="C52" s="31">
        <v>1</v>
      </c>
      <c r="D52" s="31">
        <f>C52*(1+'Key inputs'!E51)</f>
        <v>1.0249999999999999</v>
      </c>
      <c r="E52" s="31">
        <f>D52*(1+'Key inputs'!F51)</f>
        <v>1.0506249999999999</v>
      </c>
      <c r="F52" s="31">
        <f>E52*(1+'Key inputs'!G51)</f>
        <v>1.0768906249999999</v>
      </c>
      <c r="G52" s="31">
        <f>F52*(1+'Key inputs'!H51)</f>
        <v>1.1038128906249998</v>
      </c>
      <c r="H52" s="31">
        <f>G52*(1+'Key inputs'!I51)</f>
        <v>1.1314082128906247</v>
      </c>
      <c r="I52" s="31">
        <f>H52*(1+'Key inputs'!J51)</f>
        <v>1.1596934182128902</v>
      </c>
    </row>
    <row r="55" spans="2:9" x14ac:dyDescent="0.35">
      <c r="C55" s="1" t="str">
        <f>C51</f>
        <v>2024–25</v>
      </c>
      <c r="D55" s="1" t="str">
        <f t="shared" ref="D55:I55" si="0">D51</f>
        <v>2025–26</v>
      </c>
      <c r="E55" s="1" t="str">
        <f t="shared" si="0"/>
        <v>2026–27</v>
      </c>
      <c r="F55" s="1" t="str">
        <f t="shared" si="0"/>
        <v>2027–28</v>
      </c>
      <c r="G55" s="1" t="str">
        <f t="shared" si="0"/>
        <v>2028–29</v>
      </c>
      <c r="H55" s="1" t="str">
        <f t="shared" si="0"/>
        <v>2029–30</v>
      </c>
      <c r="I55" s="1" t="str">
        <f t="shared" si="0"/>
        <v>2030–31</v>
      </c>
    </row>
    <row r="56" spans="2:9" x14ac:dyDescent="0.35">
      <c r="B56" s="1" t="s">
        <v>46</v>
      </c>
      <c r="G56" s="33">
        <f>C44*(G52/C52)</f>
        <v>7022384.9637821577</v>
      </c>
      <c r="H56" s="13"/>
      <c r="I56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0B63-8D72-4588-87C8-BDC7EB5AD012}">
  <dimension ref="A1:Z56"/>
  <sheetViews>
    <sheetView zoomScale="85" zoomScaleNormal="85" workbookViewId="0">
      <selection activeCell="E58" sqref="E58"/>
    </sheetView>
  </sheetViews>
  <sheetFormatPr defaultColWidth="8.8984375" defaultRowHeight="15.6" x14ac:dyDescent="0.35"/>
  <cols>
    <col min="1" max="1" width="4.8984375" style="1" customWidth="1"/>
    <col min="2" max="2" width="34.09765625" style="1" customWidth="1"/>
    <col min="3" max="3" width="14.5" style="1" bestFit="1" customWidth="1"/>
    <col min="4" max="4" width="13.5" style="1" bestFit="1" customWidth="1"/>
    <col min="5" max="5" width="16.5" style="1" customWidth="1"/>
    <col min="6" max="6" width="14.3984375" style="1" customWidth="1"/>
    <col min="7" max="7" width="10.69921875" style="1" customWidth="1"/>
    <col min="8" max="8" width="12.8984375" style="1" customWidth="1"/>
    <col min="9" max="9" width="10.09765625" style="1" customWidth="1"/>
    <col min="10" max="12" width="8.8984375" style="1"/>
    <col min="13" max="13" width="38.5" style="1" customWidth="1"/>
    <col min="14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5" spans="1:26" s="42" customFormat="1" x14ac:dyDescent="0.35">
      <c r="B5" s="43" t="s">
        <v>37</v>
      </c>
    </row>
    <row r="7" spans="1:26" x14ac:dyDescent="0.35">
      <c r="B7" s="10" t="s">
        <v>55</v>
      </c>
    </row>
    <row r="8" spans="1:26" x14ac:dyDescent="0.35">
      <c r="B8" s="9"/>
    </row>
    <row r="9" spans="1:26" x14ac:dyDescent="0.35"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I9" s="6" t="s">
        <v>21</v>
      </c>
    </row>
    <row r="10" spans="1:26" x14ac:dyDescent="0.35">
      <c r="B10" s="1" t="s">
        <v>22</v>
      </c>
      <c r="C10" s="5"/>
      <c r="F10" s="19">
        <v>0.31</v>
      </c>
      <c r="I10" s="6" t="s">
        <v>23</v>
      </c>
    </row>
    <row r="11" spans="1:26" x14ac:dyDescent="0.35">
      <c r="B11" s="1" t="s">
        <v>24</v>
      </c>
      <c r="C11" s="5"/>
      <c r="F11" s="7">
        <v>2.4</v>
      </c>
      <c r="I11" s="6" t="s">
        <v>25</v>
      </c>
    </row>
    <row r="12" spans="1:26" x14ac:dyDescent="0.35">
      <c r="B12" s="1" t="s">
        <v>26</v>
      </c>
      <c r="C12" s="5"/>
      <c r="F12" s="7">
        <v>4.5</v>
      </c>
      <c r="I12" s="6" t="s">
        <v>27</v>
      </c>
    </row>
    <row r="13" spans="1:26" x14ac:dyDescent="0.35">
      <c r="B13" s="1" t="s">
        <v>28</v>
      </c>
      <c r="C13" s="5"/>
      <c r="F13" s="7">
        <v>12</v>
      </c>
      <c r="I13" s="6" t="s">
        <v>47</v>
      </c>
    </row>
    <row r="14" spans="1:26" x14ac:dyDescent="0.35">
      <c r="I14" s="6"/>
    </row>
    <row r="15" spans="1:26" s="42" customFormat="1" x14ac:dyDescent="0.35">
      <c r="B15" s="43" t="s">
        <v>38</v>
      </c>
    </row>
    <row r="16" spans="1:26" x14ac:dyDescent="0.35">
      <c r="I16" s="6"/>
    </row>
    <row r="17" spans="2:10" x14ac:dyDescent="0.35">
      <c r="B17" s="9" t="s">
        <v>48</v>
      </c>
      <c r="C17" s="6" t="str">
        <f>F9</f>
        <v>2027–28</v>
      </c>
      <c r="D17" s="6"/>
      <c r="F17" s="6"/>
      <c r="G17" s="6"/>
      <c r="H17" s="6"/>
      <c r="J17" s="6"/>
    </row>
    <row r="18" spans="2:10" x14ac:dyDescent="0.35">
      <c r="B18" s="1" t="s">
        <v>22</v>
      </c>
      <c r="C18" s="26">
        <f>IF(F10&gt;'Key inputs'!C33,'Key inputs'!C33,IF(F10&lt;'Key inputs'!C40,'Key inputs'!C40,F10))</f>
        <v>0.3</v>
      </c>
      <c r="E18" s="20"/>
      <c r="F18" s="8"/>
      <c r="G18" s="8"/>
      <c r="H18" s="8"/>
      <c r="J18" s="6"/>
    </row>
    <row r="19" spans="2:10" x14ac:dyDescent="0.35">
      <c r="B19" s="1" t="s">
        <v>24</v>
      </c>
      <c r="C19" s="27">
        <f>IF(F11&lt;'Key inputs'!C34,'Key inputs'!C34,IF(F11&gt;'Key inputs'!C41,'Key inputs'!C41,F11))</f>
        <v>2.4900000000000002</v>
      </c>
      <c r="D19" s="8"/>
      <c r="F19" s="8"/>
      <c r="G19" s="8"/>
      <c r="H19" s="8"/>
      <c r="J19" s="6"/>
    </row>
    <row r="20" spans="2:10" x14ac:dyDescent="0.35">
      <c r="B20" s="1" t="s">
        <v>26</v>
      </c>
      <c r="C20" s="27">
        <f>IF(F12&gt;'Key inputs'!C35,'Key inputs'!C35,IF(F12&lt;'Key inputs'!C42,'Key inputs'!C42,F12))</f>
        <v>4.2</v>
      </c>
      <c r="D20" s="8"/>
      <c r="F20" s="8"/>
      <c r="G20" s="8"/>
      <c r="H20" s="8"/>
      <c r="J20" s="6"/>
    </row>
    <row r="21" spans="2:10" x14ac:dyDescent="0.35">
      <c r="B21" s="1" t="s">
        <v>28</v>
      </c>
      <c r="C21" s="27">
        <f>IF(F13&lt;'Key inputs'!C36,'Key inputs'!C36,IF(F13&gt;'Key inputs'!C43,'Key inputs'!C43,F13))</f>
        <v>12.2</v>
      </c>
      <c r="D21" s="8"/>
      <c r="F21" s="8"/>
      <c r="G21" s="8"/>
      <c r="H21" s="8"/>
      <c r="J21" s="6"/>
    </row>
    <row r="22" spans="2:10" x14ac:dyDescent="0.35">
      <c r="J22" s="6"/>
    </row>
    <row r="23" spans="2:10" x14ac:dyDescent="0.35">
      <c r="B23" s="9" t="s">
        <v>49</v>
      </c>
      <c r="C23" s="6" t="str">
        <f>F9</f>
        <v>2027–28</v>
      </c>
      <c r="D23" s="6"/>
      <c r="F23" s="6"/>
      <c r="G23" s="6"/>
      <c r="H23" s="6"/>
      <c r="J23" s="6"/>
    </row>
    <row r="24" spans="2:10" x14ac:dyDescent="0.35">
      <c r="B24" s="1" t="s">
        <v>22</v>
      </c>
      <c r="C24" s="8">
        <f>(C18-'Key inputs'!C19)*'Key inputs'!$C26*100</f>
        <v>4.9999999999999992E-3</v>
      </c>
      <c r="E24" s="20"/>
      <c r="F24" s="8"/>
      <c r="G24" s="8"/>
      <c r="H24" s="8"/>
      <c r="J24" s="6"/>
    </row>
    <row r="25" spans="2:10" x14ac:dyDescent="0.35">
      <c r="B25" s="1" t="s">
        <v>24</v>
      </c>
      <c r="C25" s="8">
        <f>(C19-'Key inputs'!$C20)*'Key inputs'!$C27*100</f>
        <v>5.0000000000647903E-3</v>
      </c>
      <c r="D25" s="8"/>
      <c r="F25" s="8"/>
      <c r="G25" s="8"/>
      <c r="H25" s="8"/>
      <c r="J25" s="6"/>
    </row>
    <row r="26" spans="2:10" x14ac:dyDescent="0.35">
      <c r="B26" s="1" t="s">
        <v>26</v>
      </c>
      <c r="C26" s="8">
        <f>(C20-'Key inputs'!$C21)*'Key inputs'!$C28*100</f>
        <v>5.4166666666666538E-3</v>
      </c>
      <c r="D26" s="8"/>
      <c r="F26" s="8"/>
      <c r="G26" s="8"/>
      <c r="H26" s="8"/>
      <c r="J26" s="6"/>
    </row>
    <row r="27" spans="2:10" x14ac:dyDescent="0.35">
      <c r="B27" s="1" t="s">
        <v>28</v>
      </c>
      <c r="C27" s="8">
        <f>(C21-'Key inputs'!$C22)*'Key inputs'!$C29*100</f>
        <v>5.0000000000000001E-3</v>
      </c>
      <c r="D27" s="8"/>
      <c r="F27" s="8"/>
      <c r="G27" s="8"/>
      <c r="H27" s="8"/>
      <c r="J27" s="6"/>
    </row>
    <row r="28" spans="2:10" x14ac:dyDescent="0.35">
      <c r="J28" s="6"/>
    </row>
    <row r="29" spans="2:10" x14ac:dyDescent="0.35">
      <c r="B29" s="9" t="s">
        <v>50</v>
      </c>
      <c r="F29" s="6"/>
      <c r="G29" s="6"/>
      <c r="H29" s="6"/>
      <c r="J29" s="6"/>
    </row>
    <row r="30" spans="2:10" x14ac:dyDescent="0.35">
      <c r="B30" s="9"/>
      <c r="C30" s="6" t="s">
        <v>39</v>
      </c>
      <c r="D30" s="6" t="s">
        <v>40</v>
      </c>
      <c r="F30" s="6"/>
      <c r="G30" s="6"/>
      <c r="H30" s="6"/>
      <c r="J30" s="6"/>
    </row>
    <row r="31" spans="2:10" x14ac:dyDescent="0.35">
      <c r="B31" s="1" t="s">
        <v>22</v>
      </c>
      <c r="C31" s="22">
        <f>'Key inputs'!$C$6*'Key inputs'!$G$48*'Key inputs'!$C11</f>
        <v>3357460.8448951002</v>
      </c>
      <c r="D31" s="22">
        <f>'Key inputs'!$C$7*'Key inputs'!$G$48*'Key inputs'!$C11</f>
        <v>-3357460.8448951002</v>
      </c>
    </row>
    <row r="32" spans="2:10" x14ac:dyDescent="0.35">
      <c r="B32" s="1" t="s">
        <v>24</v>
      </c>
      <c r="C32" s="22">
        <f>'Key inputs'!$C$6*'Key inputs'!$G$48*'Key inputs'!$C12</f>
        <v>671492.16897902009</v>
      </c>
      <c r="D32" s="22">
        <f>'Key inputs'!$C$7*'Key inputs'!$G$48*'Key inputs'!$C12</f>
        <v>-671492.16897902009</v>
      </c>
      <c r="F32" s="23"/>
    </row>
    <row r="33" spans="2:13" x14ac:dyDescent="0.35">
      <c r="B33" s="1" t="s">
        <v>26</v>
      </c>
      <c r="C33" s="22">
        <f>'Key inputs'!$C$6*'Key inputs'!$G$48*'Key inputs'!$C13</f>
        <v>671492.16897902009</v>
      </c>
      <c r="D33" s="22">
        <f>'Key inputs'!$C$7*'Key inputs'!$G$48*'Key inputs'!$C13</f>
        <v>-671492.16897902009</v>
      </c>
    </row>
    <row r="34" spans="2:13" x14ac:dyDescent="0.35">
      <c r="B34" s="1" t="s">
        <v>28</v>
      </c>
      <c r="C34" s="22">
        <f>'Key inputs'!$C$6*'Key inputs'!$G$48*'Key inputs'!$C14</f>
        <v>2014476.50693706</v>
      </c>
      <c r="D34" s="22">
        <f>'Key inputs'!$C$7*'Key inputs'!$G$48*'Key inputs'!$C14</f>
        <v>-2014476.50693706</v>
      </c>
    </row>
    <row r="35" spans="2:13" x14ac:dyDescent="0.35">
      <c r="B35" s="1" t="s">
        <v>41</v>
      </c>
      <c r="C35" s="11">
        <f>SUM(C31:C34)</f>
        <v>6714921.6897902004</v>
      </c>
      <c r="D35" s="11">
        <f>SUM(D31:D34)</f>
        <v>-6714921.6897902004</v>
      </c>
    </row>
    <row r="36" spans="2:13" x14ac:dyDescent="0.35">
      <c r="J36" s="6"/>
    </row>
    <row r="37" spans="2:13" x14ac:dyDescent="0.35">
      <c r="B37" s="17" t="s">
        <v>51</v>
      </c>
      <c r="C37" s="6" t="str">
        <f>F9</f>
        <v>2027–28</v>
      </c>
      <c r="D37" s="6"/>
      <c r="F37" s="6"/>
      <c r="G37" s="6"/>
      <c r="H37" s="6"/>
      <c r="J37" s="6"/>
      <c r="L37" s="6"/>
    </row>
    <row r="38" spans="2:13" x14ac:dyDescent="0.35">
      <c r="B38" s="1" t="s">
        <v>22</v>
      </c>
      <c r="C38" s="13">
        <f>MAX(MIN(C24*'Key inputs'!$G$48*'Key inputs'!C11,$C31),$D31)</f>
        <v>3357460.8448950993</v>
      </c>
      <c r="D38" s="13"/>
      <c r="E38" s="20"/>
      <c r="F38" s="13"/>
      <c r="G38" s="13"/>
      <c r="H38" s="13"/>
      <c r="J38" s="6"/>
      <c r="L38" s="6"/>
    </row>
    <row r="39" spans="2:13" x14ac:dyDescent="0.35">
      <c r="B39" s="1" t="s">
        <v>24</v>
      </c>
      <c r="C39" s="13">
        <f>MAX(MIN(C25*'Key inputs'!$G$48*'Key inputs'!C12,$C32),$D32)</f>
        <v>671492.16897902009</v>
      </c>
      <c r="D39" s="13"/>
      <c r="F39" s="13"/>
      <c r="G39" s="13"/>
      <c r="H39" s="13"/>
      <c r="J39" s="6"/>
      <c r="L39" s="6"/>
    </row>
    <row r="40" spans="2:13" x14ac:dyDescent="0.35">
      <c r="B40" s="1" t="s">
        <v>26</v>
      </c>
      <c r="C40" s="13">
        <f>MAX(MIN(C26*'Key inputs'!$G$48*'Key inputs'!C13,$C33),$D33)</f>
        <v>671492.16897902009</v>
      </c>
      <c r="D40" s="13"/>
      <c r="F40" s="13"/>
      <c r="G40" s="13"/>
      <c r="H40" s="13"/>
      <c r="J40" s="6"/>
      <c r="L40" s="6"/>
      <c r="M40" s="1" t="s">
        <v>42</v>
      </c>
    </row>
    <row r="41" spans="2:13" x14ac:dyDescent="0.35">
      <c r="B41" s="1" t="s">
        <v>28</v>
      </c>
      <c r="C41" s="13">
        <f>MAX(MIN(C27*'Key inputs'!$G$48*'Key inputs'!C14,$C34),$D34)</f>
        <v>2014476.50693706</v>
      </c>
      <c r="D41" s="13"/>
      <c r="F41" s="13"/>
      <c r="G41" s="13"/>
      <c r="H41" s="13"/>
      <c r="J41" s="6"/>
      <c r="L41" s="6"/>
    </row>
    <row r="42" spans="2:13" x14ac:dyDescent="0.35">
      <c r="C42" s="13"/>
      <c r="D42" s="13"/>
      <c r="F42" s="13"/>
      <c r="G42" s="13"/>
      <c r="H42" s="13"/>
      <c r="J42" s="6"/>
    </row>
    <row r="43" spans="2:13" x14ac:dyDescent="0.35">
      <c r="B43" s="9" t="s">
        <v>52</v>
      </c>
      <c r="C43" s="6" t="str">
        <f>F9</f>
        <v>2027–28</v>
      </c>
      <c r="D43" s="13"/>
      <c r="F43" s="13"/>
      <c r="G43" s="13"/>
      <c r="H43" s="13"/>
      <c r="J43" s="6"/>
    </row>
    <row r="44" spans="2:13" x14ac:dyDescent="0.35">
      <c r="B44" s="1" t="s">
        <v>41</v>
      </c>
      <c r="C44" s="13">
        <f>SUM(C38:C41)</f>
        <v>6714921.6897901986</v>
      </c>
      <c r="D44" s="13"/>
      <c r="F44" s="13"/>
      <c r="G44" s="13"/>
      <c r="H44" s="13"/>
      <c r="J44" s="6"/>
    </row>
    <row r="45" spans="2:13" x14ac:dyDescent="0.35">
      <c r="B45" s="6" t="s">
        <v>43</v>
      </c>
      <c r="C45" s="21" t="b">
        <f>IF(C44&gt;=$D$35,IF(C44&lt;=$C$35,TRUE,FALSE),FALSE)</f>
        <v>1</v>
      </c>
      <c r="D45" s="25"/>
      <c r="F45" s="6"/>
      <c r="G45" s="6"/>
      <c r="H45" s="6"/>
      <c r="J45" s="6"/>
    </row>
    <row r="46" spans="2:13" x14ac:dyDescent="0.35">
      <c r="J46" s="6"/>
    </row>
    <row r="47" spans="2:13" s="42" customFormat="1" x14ac:dyDescent="0.35">
      <c r="B47" s="43" t="s">
        <v>44</v>
      </c>
    </row>
    <row r="48" spans="2:13" x14ac:dyDescent="0.35">
      <c r="B48" s="9"/>
      <c r="I48" s="6"/>
    </row>
    <row r="49" spans="2:9" x14ac:dyDescent="0.35">
      <c r="B49" s="9" t="s">
        <v>53</v>
      </c>
      <c r="I49" s="6"/>
    </row>
    <row r="51" spans="2:9" x14ac:dyDescent="0.35">
      <c r="C51" s="1" t="s">
        <v>58</v>
      </c>
      <c r="D51" s="1" t="s">
        <v>59</v>
      </c>
      <c r="E51" s="1" t="s">
        <v>60</v>
      </c>
      <c r="F51" s="1" t="s">
        <v>61</v>
      </c>
      <c r="G51" s="1" t="s">
        <v>62</v>
      </c>
      <c r="H51" s="1" t="s">
        <v>63</v>
      </c>
      <c r="I51" s="30" t="s">
        <v>64</v>
      </c>
    </row>
    <row r="52" spans="2:9" x14ac:dyDescent="0.35">
      <c r="B52" s="1" t="s">
        <v>45</v>
      </c>
      <c r="C52" s="31">
        <v>1</v>
      </c>
      <c r="D52" s="31">
        <f>C52*(1+'Key inputs'!E51)</f>
        <v>1.0249999999999999</v>
      </c>
      <c r="E52" s="31">
        <f>D52*(1+'Key inputs'!F51)</f>
        <v>1.0506249999999999</v>
      </c>
      <c r="F52" s="31">
        <f>E52*(1+'Key inputs'!G51)</f>
        <v>1.0768906249999999</v>
      </c>
      <c r="G52" s="31">
        <f>F52*(1+'Key inputs'!H51)</f>
        <v>1.1038128906249998</v>
      </c>
      <c r="H52" s="31">
        <f>G52*(1+'Key inputs'!I51)</f>
        <v>1.1314082128906247</v>
      </c>
      <c r="I52" s="31">
        <f>H52*(1+'Key inputs'!J51)</f>
        <v>1.1596934182128902</v>
      </c>
    </row>
    <row r="55" spans="2:9" x14ac:dyDescent="0.35">
      <c r="C55" s="1" t="str">
        <f>C51</f>
        <v>2024–25</v>
      </c>
      <c r="D55" s="1" t="str">
        <f t="shared" ref="D55:I55" si="0">D51</f>
        <v>2025–26</v>
      </c>
      <c r="E55" s="1" t="str">
        <f t="shared" si="0"/>
        <v>2026–27</v>
      </c>
      <c r="F55" s="1" t="str">
        <f t="shared" si="0"/>
        <v>2027–28</v>
      </c>
      <c r="G55" s="1" t="str">
        <f t="shared" si="0"/>
        <v>2028–29</v>
      </c>
      <c r="H55" s="1" t="str">
        <f t="shared" si="0"/>
        <v>2029–30</v>
      </c>
      <c r="I55" s="1" t="str">
        <f t="shared" si="0"/>
        <v>2030–31</v>
      </c>
    </row>
    <row r="56" spans="2:9" x14ac:dyDescent="0.35">
      <c r="B56" s="1" t="s">
        <v>46</v>
      </c>
      <c r="C56" s="32"/>
      <c r="D56" s="32"/>
      <c r="E56" s="32"/>
      <c r="F56" s="32"/>
      <c r="G56" s="32"/>
      <c r="H56" s="35">
        <f>C44*(H52/C52)</f>
        <v>7597317.5487460224</v>
      </c>
      <c r="I56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DEE-531F-4DA1-9C1D-CCD1FFCF88A3}">
  <dimension ref="A1:Z56"/>
  <sheetViews>
    <sheetView topLeftCell="A8" zoomScale="85" zoomScaleNormal="85" workbookViewId="0">
      <selection activeCell="F24" sqref="F24"/>
    </sheetView>
  </sheetViews>
  <sheetFormatPr defaultColWidth="8.8984375" defaultRowHeight="15.6" x14ac:dyDescent="0.35"/>
  <cols>
    <col min="1" max="1" width="4.8984375" style="1" customWidth="1"/>
    <col min="2" max="2" width="34.09765625" style="1" customWidth="1"/>
    <col min="3" max="3" width="14.5" style="1" bestFit="1" customWidth="1"/>
    <col min="4" max="4" width="13.5" style="1" bestFit="1" customWidth="1"/>
    <col min="5" max="5" width="16.5" style="1" customWidth="1"/>
    <col min="6" max="6" width="14.3984375" style="1" customWidth="1"/>
    <col min="7" max="7" width="10.69921875" style="1" customWidth="1"/>
    <col min="8" max="8" width="12.8984375" style="1" customWidth="1"/>
    <col min="9" max="9" width="13.8984375" style="1" customWidth="1"/>
    <col min="10" max="12" width="8.8984375" style="1"/>
    <col min="13" max="13" width="38.5" style="1" customWidth="1"/>
    <col min="14" max="16384" width="8.8984375" style="1"/>
  </cols>
  <sheetData>
    <row r="1" spans="1:26" s="39" customFormat="1" ht="35.1" customHeight="1" x14ac:dyDescent="0.35">
      <c r="A1" s="36"/>
      <c r="B1" s="41" t="s">
        <v>0</v>
      </c>
      <c r="C1" s="38"/>
      <c r="D1" s="38"/>
      <c r="E1" s="38"/>
      <c r="F1" s="38"/>
      <c r="G1" s="38"/>
      <c r="H1" s="3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39" customFormat="1" ht="26.1" customHeight="1" x14ac:dyDescent="0.35">
      <c r="A2" s="40"/>
      <c r="B2" s="37" t="s">
        <v>65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5" spans="1:26" s="42" customFormat="1" x14ac:dyDescent="0.35">
      <c r="B5" s="43" t="s">
        <v>37</v>
      </c>
    </row>
    <row r="7" spans="1:26" x14ac:dyDescent="0.35">
      <c r="B7" s="10" t="s">
        <v>55</v>
      </c>
    </row>
    <row r="8" spans="1:26" x14ac:dyDescent="0.35">
      <c r="B8" s="9"/>
    </row>
    <row r="9" spans="1:26" x14ac:dyDescent="0.35"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I9" s="6" t="s">
        <v>21</v>
      </c>
    </row>
    <row r="10" spans="1:26" x14ac:dyDescent="0.35">
      <c r="B10" s="1" t="s">
        <v>22</v>
      </c>
      <c r="C10" s="5"/>
      <c r="G10" s="19">
        <v>0.31</v>
      </c>
      <c r="I10" s="6" t="s">
        <v>23</v>
      </c>
    </row>
    <row r="11" spans="1:26" x14ac:dyDescent="0.35">
      <c r="B11" s="1" t="s">
        <v>24</v>
      </c>
      <c r="C11" s="5"/>
      <c r="G11" s="7">
        <v>2.4</v>
      </c>
      <c r="I11" s="6" t="s">
        <v>25</v>
      </c>
    </row>
    <row r="12" spans="1:26" x14ac:dyDescent="0.35">
      <c r="B12" s="1" t="s">
        <v>26</v>
      </c>
      <c r="C12" s="5"/>
      <c r="G12" s="7">
        <v>4.5</v>
      </c>
      <c r="I12" s="6" t="s">
        <v>27</v>
      </c>
    </row>
    <row r="13" spans="1:26" x14ac:dyDescent="0.35">
      <c r="B13" s="1" t="s">
        <v>28</v>
      </c>
      <c r="C13" s="5"/>
      <c r="G13" s="7">
        <v>12</v>
      </c>
      <c r="I13" s="6" t="s">
        <v>47</v>
      </c>
    </row>
    <row r="14" spans="1:26" x14ac:dyDescent="0.35">
      <c r="I14" s="6"/>
    </row>
    <row r="15" spans="1:26" s="42" customFormat="1" x14ac:dyDescent="0.35">
      <c r="B15" s="43" t="s">
        <v>38</v>
      </c>
    </row>
    <row r="16" spans="1:26" x14ac:dyDescent="0.35">
      <c r="I16" s="6"/>
    </row>
    <row r="17" spans="2:10" x14ac:dyDescent="0.35">
      <c r="B17" s="9" t="s">
        <v>48</v>
      </c>
      <c r="C17" s="6" t="str">
        <f>G9</f>
        <v>2028–29</v>
      </c>
      <c r="D17" s="6"/>
      <c r="F17" s="6"/>
      <c r="G17" s="6"/>
      <c r="H17" s="6"/>
      <c r="J17" s="6"/>
    </row>
    <row r="18" spans="2:10" x14ac:dyDescent="0.35">
      <c r="B18" s="1" t="s">
        <v>22</v>
      </c>
      <c r="C18" s="26">
        <f>IF(G10&gt;'Key inputs'!C33,'Key inputs'!C33,IF(G10&lt;'Key inputs'!C40,'Key inputs'!C40,G10))</f>
        <v>0.3</v>
      </c>
      <c r="E18" s="20"/>
      <c r="F18" s="8"/>
      <c r="G18" s="8"/>
      <c r="H18" s="8"/>
      <c r="J18" s="6"/>
    </row>
    <row r="19" spans="2:10" x14ac:dyDescent="0.35">
      <c r="B19" s="1" t="s">
        <v>24</v>
      </c>
      <c r="C19" s="27">
        <f>IF(G11&lt;'Key inputs'!C34,'Key inputs'!C34,IF(G11&gt;'Key inputs'!C41,'Key inputs'!C41,G11))</f>
        <v>2.4900000000000002</v>
      </c>
      <c r="D19" s="8"/>
      <c r="F19" s="8"/>
      <c r="G19" s="8"/>
      <c r="H19" s="8"/>
      <c r="J19" s="6"/>
    </row>
    <row r="20" spans="2:10" x14ac:dyDescent="0.35">
      <c r="B20" s="1" t="s">
        <v>26</v>
      </c>
      <c r="C20" s="27">
        <f>IF(G12&gt;'Key inputs'!C35,'Key inputs'!C35,IF(G12&lt;'Key inputs'!C42,'Key inputs'!C42,G12))</f>
        <v>4.2</v>
      </c>
      <c r="D20" s="8"/>
      <c r="F20" s="8"/>
      <c r="G20" s="8"/>
      <c r="H20" s="8"/>
      <c r="J20" s="6"/>
    </row>
    <row r="21" spans="2:10" x14ac:dyDescent="0.35">
      <c r="B21" s="1" t="s">
        <v>28</v>
      </c>
      <c r="C21" s="27">
        <f>IF(G13&lt;'Key inputs'!C36,'Key inputs'!C36,IF(G13&gt;'Key inputs'!C43,'Key inputs'!C43,G13))</f>
        <v>12.2</v>
      </c>
      <c r="D21" s="8"/>
      <c r="F21" s="8"/>
      <c r="G21" s="8"/>
      <c r="H21" s="8"/>
      <c r="J21" s="6"/>
    </row>
    <row r="22" spans="2:10" x14ac:dyDescent="0.35">
      <c r="J22" s="6"/>
    </row>
    <row r="23" spans="2:10" x14ac:dyDescent="0.35">
      <c r="B23" s="9" t="s">
        <v>49</v>
      </c>
      <c r="C23" s="6" t="str">
        <f>G9</f>
        <v>2028–29</v>
      </c>
      <c r="D23" s="6"/>
      <c r="F23" s="6"/>
      <c r="G23" s="6"/>
      <c r="H23" s="6"/>
      <c r="J23" s="6"/>
    </row>
    <row r="24" spans="2:10" x14ac:dyDescent="0.35">
      <c r="B24" s="1" t="s">
        <v>22</v>
      </c>
      <c r="C24" s="8">
        <f>(C18-'Key inputs'!C19)*'Key inputs'!$C26*100</f>
        <v>4.9999999999999992E-3</v>
      </c>
      <c r="E24" s="20"/>
      <c r="F24" s="8"/>
      <c r="G24" s="8"/>
      <c r="H24" s="8"/>
      <c r="J24" s="6"/>
    </row>
    <row r="25" spans="2:10" x14ac:dyDescent="0.35">
      <c r="B25" s="1" t="s">
        <v>24</v>
      </c>
      <c r="C25" s="8">
        <f>(C19-'Key inputs'!$C20)*'Key inputs'!$C27*100</f>
        <v>5.0000000000647903E-3</v>
      </c>
      <c r="D25" s="8"/>
      <c r="F25" s="8"/>
      <c r="G25" s="8"/>
      <c r="H25" s="8"/>
      <c r="J25" s="6"/>
    </row>
    <row r="26" spans="2:10" x14ac:dyDescent="0.35">
      <c r="B26" s="1" t="s">
        <v>26</v>
      </c>
      <c r="C26" s="8">
        <f>(C20-'Key inputs'!$C21)*'Key inputs'!$C28*100</f>
        <v>5.4166666666666538E-3</v>
      </c>
      <c r="D26" s="8"/>
      <c r="F26" s="8"/>
      <c r="G26" s="8"/>
      <c r="H26" s="8"/>
      <c r="J26" s="6"/>
    </row>
    <row r="27" spans="2:10" x14ac:dyDescent="0.35">
      <c r="B27" s="1" t="s">
        <v>28</v>
      </c>
      <c r="C27" s="8">
        <f>(C21-'Key inputs'!$C22)*'Key inputs'!$C29*100</f>
        <v>5.0000000000000001E-3</v>
      </c>
      <c r="D27" s="8"/>
      <c r="F27" s="8"/>
      <c r="G27" s="8"/>
      <c r="H27" s="8"/>
      <c r="J27" s="6"/>
    </row>
    <row r="28" spans="2:10" x14ac:dyDescent="0.35">
      <c r="J28" s="6"/>
    </row>
    <row r="29" spans="2:10" x14ac:dyDescent="0.35">
      <c r="B29" s="9" t="s">
        <v>50</v>
      </c>
      <c r="F29" s="6"/>
      <c r="G29" s="6"/>
      <c r="H29" s="6"/>
      <c r="J29" s="6"/>
    </row>
    <row r="30" spans="2:10" x14ac:dyDescent="0.35">
      <c r="B30" s="9"/>
      <c r="C30" s="6" t="s">
        <v>39</v>
      </c>
      <c r="D30" s="6" t="s">
        <v>40</v>
      </c>
      <c r="F30" s="6"/>
      <c r="G30" s="6"/>
      <c r="H30" s="6"/>
      <c r="J30" s="6"/>
    </row>
    <row r="31" spans="2:10" x14ac:dyDescent="0.35">
      <c r="B31" s="1" t="s">
        <v>22</v>
      </c>
      <c r="C31" s="22">
        <f>'Key inputs'!$C$6*'Key inputs'!$H$48*'Key inputs'!$C11</f>
        <v>3543747.2301621996</v>
      </c>
      <c r="D31" s="22">
        <f>'Key inputs'!$C$7*'Key inputs'!$H$48*'Key inputs'!$C11</f>
        <v>-3543747.2301621996</v>
      </c>
    </row>
    <row r="32" spans="2:10" x14ac:dyDescent="0.35">
      <c r="B32" s="1" t="s">
        <v>24</v>
      </c>
      <c r="C32" s="22">
        <f>'Key inputs'!$C$6*'Key inputs'!$H$48*'Key inputs'!$C12</f>
        <v>708749.44603243994</v>
      </c>
      <c r="D32" s="22">
        <f>'Key inputs'!$C$7*'Key inputs'!$H$48*'Key inputs'!$C12</f>
        <v>-708749.44603243994</v>
      </c>
      <c r="F32" s="23"/>
    </row>
    <row r="33" spans="2:13" x14ac:dyDescent="0.35">
      <c r="B33" s="1" t="s">
        <v>26</v>
      </c>
      <c r="C33" s="22">
        <f>'Key inputs'!$C$6*'Key inputs'!$H$48*'Key inputs'!$C13</f>
        <v>708749.44603243994</v>
      </c>
      <c r="D33" s="22">
        <f>'Key inputs'!$C$7*'Key inputs'!$H$48*'Key inputs'!$C13</f>
        <v>-708749.44603243994</v>
      </c>
    </row>
    <row r="34" spans="2:13" x14ac:dyDescent="0.35">
      <c r="B34" s="1" t="s">
        <v>28</v>
      </c>
      <c r="C34" s="22">
        <f>'Key inputs'!$C$6*'Key inputs'!$H$48*'Key inputs'!$C14</f>
        <v>2126248.3380973195</v>
      </c>
      <c r="D34" s="22">
        <f>'Key inputs'!$C$7*'Key inputs'!$H$48*'Key inputs'!$C14</f>
        <v>-2126248.3380973195</v>
      </c>
    </row>
    <row r="35" spans="2:13" x14ac:dyDescent="0.35">
      <c r="B35" s="1" t="s">
        <v>41</v>
      </c>
      <c r="C35" s="11">
        <f>SUM(C31:C34)</f>
        <v>7087494.4603243992</v>
      </c>
      <c r="D35" s="11">
        <f>SUM(D31:D34)</f>
        <v>-7087494.4603243992</v>
      </c>
    </row>
    <row r="36" spans="2:13" x14ac:dyDescent="0.35">
      <c r="J36" s="6"/>
    </row>
    <row r="37" spans="2:13" x14ac:dyDescent="0.35">
      <c r="B37" s="17" t="s">
        <v>51</v>
      </c>
      <c r="C37" s="6" t="str">
        <f>G9</f>
        <v>2028–29</v>
      </c>
      <c r="D37" s="6"/>
      <c r="F37" s="6"/>
      <c r="G37" s="6"/>
      <c r="H37" s="6"/>
      <c r="J37" s="6"/>
      <c r="L37" s="6"/>
    </row>
    <row r="38" spans="2:13" x14ac:dyDescent="0.35">
      <c r="B38" s="1" t="s">
        <v>22</v>
      </c>
      <c r="C38" s="13">
        <f>MAX(MIN(C24*'Key inputs'!$H$48*'Key inputs'!C11,$C31),$D31)</f>
        <v>3543747.2301621991</v>
      </c>
      <c r="D38" s="13"/>
      <c r="E38" s="20"/>
      <c r="F38" s="13"/>
      <c r="G38" s="13"/>
      <c r="H38" s="13"/>
      <c r="J38" s="6"/>
      <c r="L38" s="6"/>
    </row>
    <row r="39" spans="2:13" x14ac:dyDescent="0.35">
      <c r="B39" s="1" t="s">
        <v>24</v>
      </c>
      <c r="C39" s="13">
        <f>MAX(MIN(C25*'Key inputs'!$H$48*'Key inputs'!C12,$C32),$D32)</f>
        <v>708749.44603243994</v>
      </c>
      <c r="D39" s="13"/>
      <c r="F39" s="13"/>
      <c r="G39" s="13"/>
      <c r="H39" s="13"/>
      <c r="J39" s="6"/>
      <c r="L39" s="6"/>
    </row>
    <row r="40" spans="2:13" x14ac:dyDescent="0.35">
      <c r="B40" s="1" t="s">
        <v>26</v>
      </c>
      <c r="C40" s="13">
        <f>MAX(MIN(C26*'Key inputs'!$H$48*'Key inputs'!C13,$C33),$D33)</f>
        <v>708749.44603243994</v>
      </c>
      <c r="D40" s="13"/>
      <c r="F40" s="13"/>
      <c r="G40" s="13"/>
      <c r="H40" s="13"/>
      <c r="J40" s="6"/>
      <c r="L40" s="6"/>
      <c r="M40" s="1" t="s">
        <v>42</v>
      </c>
    </row>
    <row r="41" spans="2:13" x14ac:dyDescent="0.35">
      <c r="B41" s="1" t="s">
        <v>28</v>
      </c>
      <c r="C41" s="13">
        <f>MAX(MIN(C27*'Key inputs'!$H$48*'Key inputs'!C14,$C34),$D34)</f>
        <v>2126248.3380973195</v>
      </c>
      <c r="D41" s="13"/>
      <c r="F41" s="13"/>
      <c r="G41" s="13"/>
      <c r="H41" s="13"/>
      <c r="J41" s="6"/>
      <c r="L41" s="6"/>
    </row>
    <row r="42" spans="2:13" x14ac:dyDescent="0.35">
      <c r="C42" s="13"/>
      <c r="D42" s="13"/>
      <c r="F42" s="13"/>
      <c r="G42" s="13"/>
      <c r="H42" s="13"/>
      <c r="J42" s="6"/>
    </row>
    <row r="43" spans="2:13" x14ac:dyDescent="0.35">
      <c r="B43" s="9" t="s">
        <v>52</v>
      </c>
      <c r="C43" s="6" t="str">
        <f>G9</f>
        <v>2028–29</v>
      </c>
      <c r="D43" s="13"/>
      <c r="F43" s="13"/>
      <c r="G43" s="13"/>
      <c r="H43" s="13"/>
      <c r="J43" s="6"/>
    </row>
    <row r="44" spans="2:13" x14ac:dyDescent="0.35">
      <c r="B44" s="1" t="s">
        <v>41</v>
      </c>
      <c r="C44" s="13">
        <f>SUM(C38:C41)</f>
        <v>7087494.4603243992</v>
      </c>
      <c r="D44" s="13"/>
      <c r="F44" s="13"/>
      <c r="G44" s="13"/>
      <c r="H44" s="13"/>
      <c r="J44" s="6"/>
    </row>
    <row r="45" spans="2:13" x14ac:dyDescent="0.35">
      <c r="B45" s="6" t="s">
        <v>43</v>
      </c>
      <c r="C45" s="21" t="b">
        <f>IF(C44&gt;=$D$35,IF(C44&lt;=$C$35,TRUE,FALSE),FALSE)</f>
        <v>1</v>
      </c>
      <c r="D45" s="25"/>
      <c r="F45" s="6"/>
      <c r="G45" s="6"/>
      <c r="H45" s="6"/>
      <c r="J45" s="6"/>
    </row>
    <row r="46" spans="2:13" x14ac:dyDescent="0.35">
      <c r="J46" s="6"/>
    </row>
    <row r="47" spans="2:13" s="42" customFormat="1" x14ac:dyDescent="0.35">
      <c r="B47" s="43" t="s">
        <v>44</v>
      </c>
    </row>
    <row r="48" spans="2:13" x14ac:dyDescent="0.35">
      <c r="B48" s="9"/>
      <c r="I48" s="6"/>
    </row>
    <row r="49" spans="2:9" x14ac:dyDescent="0.35">
      <c r="B49" s="9" t="s">
        <v>53</v>
      </c>
      <c r="I49" s="6"/>
    </row>
    <row r="51" spans="2:9" x14ac:dyDescent="0.35">
      <c r="C51" s="1" t="s">
        <v>58</v>
      </c>
      <c r="D51" s="1" t="s">
        <v>59</v>
      </c>
      <c r="E51" s="1" t="s">
        <v>60</v>
      </c>
      <c r="F51" s="1" t="s">
        <v>61</v>
      </c>
      <c r="G51" s="1" t="s">
        <v>62</v>
      </c>
      <c r="H51" s="1" t="s">
        <v>63</v>
      </c>
      <c r="I51" s="30" t="s">
        <v>64</v>
      </c>
    </row>
    <row r="52" spans="2:9" x14ac:dyDescent="0.35">
      <c r="B52" s="1" t="s">
        <v>45</v>
      </c>
      <c r="C52" s="31">
        <v>1</v>
      </c>
      <c r="D52" s="31">
        <f>C52*(1+'Key inputs'!E51)</f>
        <v>1.0249999999999999</v>
      </c>
      <c r="E52" s="31">
        <f>D52*(1+'Key inputs'!F51)</f>
        <v>1.0506249999999999</v>
      </c>
      <c r="F52" s="31">
        <f>E52*(1+'Key inputs'!G51)</f>
        <v>1.0768906249999999</v>
      </c>
      <c r="G52" s="31">
        <f>F52*(1+'Key inputs'!H51)</f>
        <v>1.1038128906249998</v>
      </c>
      <c r="H52" s="31">
        <f>G52*(1+'Key inputs'!I51)</f>
        <v>1.1314082128906247</v>
      </c>
      <c r="I52" s="31">
        <f>H52*(1+'Key inputs'!J51)</f>
        <v>1.1596934182128902</v>
      </c>
    </row>
    <row r="55" spans="2:9" x14ac:dyDescent="0.35">
      <c r="C55" s="1" t="str">
        <f>C51</f>
        <v>2024–25</v>
      </c>
      <c r="D55" s="1" t="str">
        <f t="shared" ref="D55:I55" si="0">D51</f>
        <v>2025–26</v>
      </c>
      <c r="E55" s="1" t="str">
        <f t="shared" si="0"/>
        <v>2026–27</v>
      </c>
      <c r="F55" s="1" t="str">
        <f t="shared" si="0"/>
        <v>2027–28</v>
      </c>
      <c r="G55" s="1" t="str">
        <f t="shared" si="0"/>
        <v>2028–29</v>
      </c>
      <c r="H55" s="1" t="str">
        <f t="shared" si="0"/>
        <v>2029–30</v>
      </c>
      <c r="I55" s="1" t="str">
        <f t="shared" si="0"/>
        <v>2030–31</v>
      </c>
    </row>
    <row r="56" spans="2:9" x14ac:dyDescent="0.35">
      <c r="B56" s="1" t="s">
        <v>46</v>
      </c>
      <c r="C56" s="32"/>
      <c r="D56" s="32"/>
      <c r="E56" s="32"/>
      <c r="F56" s="32"/>
      <c r="G56" s="32"/>
      <c r="H56" s="32"/>
      <c r="I56" s="35">
        <f>C44*(I52/C52)</f>
        <v>8219320.677258526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>AC done</Status>
    <DocumentStatus xmlns="932545b7-43c1-4c02-bb28-ebe8c535fd25">Submitted</Document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B6FCC-9985-4832-9988-F54543DE5F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61993-F983-4F60-9F2F-F36D63F7A906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932545b7-43c1-4c02-bb28-ebe8c535fd25"/>
    <ds:schemaRef ds:uri="http://purl.org/dc/dcmitype/"/>
    <ds:schemaRef ds:uri="4dbedddb-8287-4e51-a936-62a216b952f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853d85d-552a-45e5-ad9d-b3f83c98e320"/>
  </ds:schemaRefs>
</ds:datastoreItem>
</file>

<file path=customXml/itemProps3.xml><?xml version="1.0" encoding="utf-8"?>
<ds:datastoreItem xmlns:ds="http://schemas.openxmlformats.org/officeDocument/2006/customXml" ds:itemID="{B4C454FD-DA86-4DE7-ABFF-6E3769CF3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Description</vt:lpstr>
      <vt:lpstr>Key inputs</vt:lpstr>
      <vt:lpstr>Reporting template 2024–25 </vt:lpstr>
      <vt:lpstr>Reporting template 2025–26</vt:lpstr>
      <vt:lpstr>Reporting template 2026–27</vt:lpstr>
      <vt:lpstr>Reporting template 2027–28</vt:lpstr>
      <vt:lpstr>Reporting template 2028–29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 Phelan</dc:creator>
  <cp:keywords/>
  <dc:description/>
  <cp:lastModifiedBy>Mary-Clare Crowley</cp:lastModifiedBy>
  <cp:revision/>
  <dcterms:created xsi:type="dcterms:W3CDTF">2018-07-20T04:36:44Z</dcterms:created>
  <dcterms:modified xsi:type="dcterms:W3CDTF">2023-01-12T07:34:14Z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