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9040" windowHeight="1764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<sst xmlns="http://schemas.openxmlformats.org/spreadsheetml/2006/main" count="199" uniqueCount="105">
  <si>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</si>
  <si>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</si>
  <si>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</si>
  <si>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</si>
  <si>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</si>
  <si>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</si>
  <si>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</si>
  <si>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</si>
  <si>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</si>
  <si>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</si>
  <si>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</si>
  <si>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</si>
  <si>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</si>
  <si>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</si>
  <si>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</si>
  <si>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</si>
  <si>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</si>
  <si>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</si>
  <si>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</si>
  <si>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</si>
  <si>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</si>
  <si>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</si>
  <si>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</si>
  <si>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</si>
  <si>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</si>
  <si>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</si>
  <si>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</si>
  <si>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</si>
  <si>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</si>
  <si>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</si>
  <si>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</si>
  <si>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</si>
  <si>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</si>
  <si>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</si>
  <si>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</si>
  <si>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</si>
  <si>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</si>
  <si>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</si>
  <si>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</si>
  <si>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</si>
  <si>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</si>
  <si>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</si>
  <si>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</si>
  <si>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</si>
  <si>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</si>
  <si>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</si>
  <si>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</si>
  <si>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</si>
  <si>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</si>
  <si>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</si>
  <si>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</si>
  <si>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</si>
  <si>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</si>
  <si>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</si>
  <si>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</si>
  <si>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</si>
  <si>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</si>
  <si>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</si>
  <si>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</si>
  <si>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</si>
  <si>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</si>
  <si>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</si>
  <si>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</si>
  <si>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</si>
  <si>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</si>
  <si>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</si>
  <si>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</si>
  <si>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</si>
  <si>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</si>
  <si>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</si>
  <si>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</si>
  <si>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</si>
  <si>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</si>
  <si>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</si>
  <si>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</si>
  <si>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</si>
  <si>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</si>
  <si>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</si>
  <si>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</si>
  <si>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</si>
  <si>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</si>
  <si>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</si>
  <si>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</si>
  <si>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</si>
  <si>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</si>
  <si>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</si>
  <si>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</si>
  <si>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</si>
  <si>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</si>
  <si>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</si>
  <si>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</si>
  <si>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</si>
  <si>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</si>
  <si>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</si>
  <si>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</si>
  <si>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</si>
  <si>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</si>
  <si>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</si>
  <si>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</si>
  <si>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</si>
  <si>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</si>
  <si>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Ergon Energy</t>
  </si>
  <si>
    <t>DNSP</t>
  </si>
  <si>
    <t>2020-21</t>
  </si>
  <si>
    <t>Revised Regulatory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</si>
</sst>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5" fillId="50" borderId="0" applyBorder="0" applyAlignment="0"/>
    <xf numFmtId="190" fontId="96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Ergon Energy 2021-25 Revised Regulatory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20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Ergon Energy 2021-25 Revised Regulatory Proposal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101</v>
      </c>
      <c r="J6" s="79"/>
      <c r="K6" s="79"/>
      <c r="L6" s="79"/>
      <c r="M6" s="79"/>
    </row>
    <row r="7" spans="1:13" s="70" customFormat="1" ht="11.25" customHeight="1">
      <c r="C7" s="69" t="s">
        <v>88</v>
      </c>
      <c r="D7" s="160" t="s">
        <v>104</v>
      </c>
      <c r="I7" s="79"/>
      <c r="J7" s="79"/>
      <c r="K7" s="79"/>
      <c r="L7" s="79"/>
    </row>
    <row r="8" spans="1:13" s="70" customFormat="1" ht="11.25" customHeight="1">
      <c r="C8" s="69" t="s">
        <v>89</v>
      </c>
      <c r="D8" s="160" t="s">
        <v>99</v>
      </c>
      <c r="J8" s="79"/>
      <c r="K8" s="79"/>
      <c r="L8" s="79"/>
      <c r="M8" s="79"/>
    </row>
    <row r="9" spans="1:13" s="70" customFormat="1" ht="11.25" customHeight="1">
      <c r="C9" s="191" t="s">
        <v>100</v>
      </c>
      <c r="D9" s="160" t="s">
        <v>103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4" t="s">
        <v>87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0" t="str">
        <f t="shared" ref="D13:F13" si="0">IF(LEN(E13)&gt;4,CONCATENATE(LEFT(E13,4)-1&amp;"–"&amp;IF(RIGHT(E13,2)="00","99",IF(RIGHT(E13,2)-1&lt;10,"0","")&amp;RIGHT(E13,2)-1)),E13-1)</f>
        <v>2015–16</v>
      </c>
      <c r="E13" s="190" t="str">
        <f t="shared" si="0"/>
        <v>2016–17</v>
      </c>
      <c r="F13" s="190" t="str">
        <f t="shared" si="0"/>
        <v>2017–18</v>
      </c>
      <c r="G13" s="190" t="str">
        <f>IF(LEN(H13)&gt;4,CONCATENATE(LEFT(H13,4)-1&amp;"–"&amp;IF(RIGHT(H13,2)="00","99",IF(RIGHT(H13,2)-1&lt;10,"0","")&amp;RIGHT(H13,2)-1)),H13-1)</f>
        <v>2018–19</v>
      </c>
      <c r="H13" s="190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8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7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0" t="str">
        <f>D9</f>
        <v>2020-21</v>
      </c>
      <c r="E18" s="190" t="str">
        <f>IF(LEN(D18)&gt;4,CONCATENATE(LEFT(D18,4)+1&amp;"–"&amp;IF(RIGHT(D18,2)+1&gt;9,"","0")&amp;RIGHT(D18,2)+1),D18+1)</f>
        <v>2021–22</v>
      </c>
      <c r="F18" s="190" t="str">
        <f t="shared" ref="F18:H18" si="1">IF(LEN(E18)&gt;4,CONCATENATE(LEFT(E18,4)+1&amp;"–"&amp;IF(RIGHT(E18,2)+1&gt;9,"","0")&amp;RIGHT(E18,2)+1),E18+1)</f>
        <v>2022–23</v>
      </c>
      <c r="G18" s="190" t="str">
        <f t="shared" si="1"/>
        <v>2023–24</v>
      </c>
      <c r="H18" s="190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Ergon Energy 2021-25 Revised Regulatory Proposal - Capital expenditure sharing scheme model</v>
      </c>
      <c r="D1" s="12"/>
      <c r="E1" s="12"/>
      <c r="F1" s="12"/>
      <c r="G1" s="105"/>
      <c r="H1" s="106" t="s">
        <v>47</v>
      </c>
      <c r="I1" s="159" t="s">
        <v>48</v>
      </c>
      <c r="J1" s="164" t="s">
        <v>36</v>
      </c>
      <c r="K1" s="155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7" t="str">
        <f>IF(LEN(G7)&gt;4,CONCATENATE(LEFT(G7,4)-1&amp;"–"&amp;IF(RIGHT(G7,2)="00","99",IF(RIGHT(G7,2)-1&lt;10,"0","")&amp;RIGHT(G7,2)-1)),G7-1)</f>
        <v>2014–15</v>
      </c>
      <c r="G7" s="176" t="str">
        <f>'Input | General'!D13</f>
        <v>2015–16</v>
      </c>
      <c r="H7" s="176" t="str">
        <f>'Input | General'!E13</f>
        <v>2016–17</v>
      </c>
      <c r="I7" s="176" t="str">
        <f>'Input | General'!F13</f>
        <v>2017–18</v>
      </c>
      <c r="J7" s="176" t="str">
        <f>'Input | General'!G13</f>
        <v>2018–19</v>
      </c>
      <c r="K7" s="176" t="str">
        <f>'Input | General'!H13</f>
        <v>2019–20</v>
      </c>
      <c r="L7" s="176" t="str">
        <f>'Input | General'!D18</f>
        <v>2020-21</v>
      </c>
      <c r="M7" s="176" t="str">
        <f>'Input | General'!E18</f>
        <v>2021–22</v>
      </c>
      <c r="N7" s="176" t="str">
        <f>'Input | General'!F18</f>
        <v>2022–23</v>
      </c>
      <c r="O7" s="176" t="str">
        <f>'Input | General'!G18</f>
        <v>2023–24</v>
      </c>
      <c r="P7" s="176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102</v>
      </c>
      <c r="E8" s="78" t="s">
        <v>51</v>
      </c>
      <c r="F8" s="78"/>
      <c r="G8" s="161">
        <v>1.6885553470919357E-2</v>
      </c>
      <c r="H8" s="161">
        <v>1.4760147601476037E-2</v>
      </c>
      <c r="I8" s="161">
        <v>1.9090909090909047E-2</v>
      </c>
      <c r="J8" s="161">
        <v>1.7500000000000071E-2</v>
      </c>
      <c r="K8" s="161">
        <v>2.2499999999999964E-2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102</v>
      </c>
      <c r="E9" s="78" t="s">
        <v>51</v>
      </c>
      <c r="F9" s="78"/>
      <c r="G9" s="130"/>
      <c r="H9" s="130"/>
      <c r="I9" s="130"/>
      <c r="J9" s="130"/>
      <c r="K9" s="130"/>
      <c r="L9" s="161">
        <v>2.4199999999999999E-2</v>
      </c>
      <c r="M9" s="142">
        <f t="shared" ref="M9:P9" si="0">L9</f>
        <v>2.4199999999999999E-2</v>
      </c>
      <c r="N9" s="142">
        <f t="shared" si="0"/>
        <v>2.4199999999999999E-2</v>
      </c>
      <c r="O9" s="142">
        <f t="shared" si="0"/>
        <v>2.4199999999999999E-2</v>
      </c>
      <c r="P9" s="142">
        <f t="shared" si="0"/>
        <v>2.4199999999999999E-2</v>
      </c>
    </row>
    <row r="10" spans="1:20" ht="11.25" customHeight="1">
      <c r="A10" s="11"/>
      <c r="B10" s="11"/>
      <c r="C10" s="139" t="str">
        <f>"CPI Index (base year "&amp;F7&amp;")"</f>
        <v>CPI Index (base year 2014–15)</v>
      </c>
      <c r="D10" s="78" t="s">
        <v>102</v>
      </c>
      <c r="E10" s="78" t="s">
        <v>30</v>
      </c>
      <c r="F10" s="137">
        <v>1</v>
      </c>
      <c r="G10" s="123">
        <f>IF(G7&lt;&gt;"",(F10*(1+G8)),"")</f>
        <v>1.0168855534709194</v>
      </c>
      <c r="H10" s="123">
        <f>IF(H7&lt;&gt;"",(G10*(1+H8)),"")</f>
        <v>1.0318949343339587</v>
      </c>
      <c r="I10" s="123">
        <f>IF(I7&lt;&gt;"",(H10*(1+I8)),"")</f>
        <v>1.0515947467166979</v>
      </c>
      <c r="J10" s="123">
        <f>IF(J7&lt;&gt;"",(I10*(1+J8)),"")</f>
        <v>1.0699976547842402</v>
      </c>
      <c r="K10" s="123">
        <f>IF(K7&lt;&gt;"",(J10*(1+K8)),"")</f>
        <v>1.0940726020168856</v>
      </c>
      <c r="L10" s="87">
        <f t="shared" ref="L10:P10" si="1">IF(L7&lt;&gt;"",(K10*(1+L9)),"")</f>
        <v>1.1205491589856942</v>
      </c>
      <c r="M10" s="87">
        <f t="shared" si="1"/>
        <v>1.147666448633148</v>
      </c>
      <c r="N10" s="87">
        <f t="shared" si="1"/>
        <v>1.1754399766900703</v>
      </c>
      <c r="O10" s="87">
        <f t="shared" si="1"/>
        <v>1.2038856241259699</v>
      </c>
      <c r="P10" s="87">
        <f t="shared" si="1"/>
        <v>1.2330196562298184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1">
        <v>1.6885553470919357E-2</v>
      </c>
      <c r="H13" s="161">
        <v>1.4760147601476037E-2</v>
      </c>
      <c r="I13" s="161">
        <v>1.9090909090909047E-2</v>
      </c>
      <c r="J13" s="161">
        <v>1.7841213202497874E-2</v>
      </c>
      <c r="K13" s="161">
        <v>1.7000000000000001E-2</v>
      </c>
      <c r="L13" s="193"/>
      <c r="M13" s="193"/>
      <c r="N13" s="193"/>
      <c r="O13" s="193"/>
      <c r="P13" s="193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131"/>
      <c r="K14" s="131"/>
      <c r="L14" s="161">
        <v>2.3699999999999999E-2</v>
      </c>
      <c r="M14" s="142">
        <f t="shared" ref="M14:P14" si="2">L14</f>
        <v>2.3699999999999999E-2</v>
      </c>
      <c r="N14" s="142">
        <f t="shared" si="2"/>
        <v>2.3699999999999999E-2</v>
      </c>
      <c r="O14" s="142">
        <f t="shared" si="2"/>
        <v>2.3699999999999999E-2</v>
      </c>
      <c r="P14" s="142">
        <f t="shared" si="2"/>
        <v>2.3699999999999999E-2</v>
      </c>
    </row>
    <row r="15" spans="1:20" ht="11.25" customHeight="1">
      <c r="A15" s="11"/>
      <c r="B15" s="11"/>
      <c r="C15" s="139" t="str">
        <f>"CPI Index (base year "&amp;F7&amp;")"</f>
        <v>CPI Index (base year 2014–15)</v>
      </c>
      <c r="D15" s="78" t="s">
        <v>49</v>
      </c>
      <c r="E15" s="78" t="s">
        <v>30</v>
      </c>
      <c r="F15" s="137">
        <v>1</v>
      </c>
      <c r="G15" s="123">
        <f>IF(G7&lt;&gt;"",(F15*(1+G13)),"")</f>
        <v>1.0168855534709194</v>
      </c>
      <c r="H15" s="123">
        <f>IF(H7&lt;&gt;"",(G15*(1+H13)),"")</f>
        <v>1.0318949343339587</v>
      </c>
      <c r="I15" s="123">
        <f>IF(I7&lt;&gt;"",(H15*(1+I13)),"")</f>
        <v>1.0515947467166979</v>
      </c>
      <c r="J15" s="194">
        <f>IF(J7&lt;&gt;"",(I15*(1+J13)),"")</f>
        <v>1.0703564727954973</v>
      </c>
      <c r="K15" s="195">
        <f>IF(K7&lt;&gt;"",(J15*(1+K13)),"")</f>
        <v>1.0885525328330206</v>
      </c>
      <c r="L15" s="195">
        <f t="shared" ref="L15:P15" si="3">IF(L7&lt;&gt;"",(K15*(1+L14)),"")</f>
        <v>1.1143512278611631</v>
      </c>
      <c r="M15" s="195">
        <f t="shared" si="3"/>
        <v>1.1407613519614728</v>
      </c>
      <c r="N15" s="195">
        <f t="shared" si="3"/>
        <v>1.1677973960029597</v>
      </c>
      <c r="O15" s="195">
        <f t="shared" si="3"/>
        <v>1.1954741942882299</v>
      </c>
      <c r="P15" s="195">
        <f t="shared" si="3"/>
        <v>1.2238069326928609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131"/>
      <c r="K16" s="196"/>
      <c r="L16" s="196"/>
      <c r="M16" s="196"/>
      <c r="N16" s="196"/>
      <c r="O16" s="196"/>
      <c r="P16" s="196"/>
    </row>
    <row r="17" spans="1:16" s="81" customFormat="1" ht="12.75" customHeight="1">
      <c r="C17" s="29" t="s">
        <v>68</v>
      </c>
      <c r="D17" s="82"/>
      <c r="E17" s="82"/>
      <c r="F17" s="82"/>
      <c r="J17" s="197"/>
      <c r="K17" s="197"/>
      <c r="L17" s="197"/>
      <c r="M17" s="198"/>
      <c r="N17" s="197"/>
      <c r="O17" s="197"/>
      <c r="P17" s="197"/>
    </row>
    <row r="18" spans="1:16" ht="11.25" customHeight="1">
      <c r="A18" s="16"/>
      <c r="B18" s="79"/>
      <c r="C18" s="79"/>
      <c r="D18" s="79"/>
      <c r="E18" s="79"/>
      <c r="F18" s="75"/>
      <c r="J18" s="14"/>
      <c r="K18" s="14"/>
      <c r="L18" s="14"/>
      <c r="M18" s="199"/>
      <c r="N18" s="14"/>
      <c r="O18" s="200"/>
      <c r="P18" s="200"/>
    </row>
    <row r="19" spans="1:16" ht="11.25" customHeight="1">
      <c r="C19" s="16"/>
      <c r="D19" s="75" t="s">
        <v>6</v>
      </c>
      <c r="E19" s="75" t="s">
        <v>52</v>
      </c>
      <c r="F19" s="79"/>
      <c r="G19" s="176" t="str">
        <f>G7</f>
        <v>2015–16</v>
      </c>
      <c r="H19" s="176" t="str">
        <f t="shared" ref="H19:P19" si="4">H7</f>
        <v>2016–17</v>
      </c>
      <c r="I19" s="176" t="str">
        <f t="shared" si="4"/>
        <v>2017–18</v>
      </c>
      <c r="J19" s="201" t="str">
        <f t="shared" si="4"/>
        <v>2018–19</v>
      </c>
      <c r="K19" s="201" t="str">
        <f t="shared" si="4"/>
        <v>2019–20</v>
      </c>
      <c r="L19" s="201" t="str">
        <f t="shared" si="4"/>
        <v>2020-21</v>
      </c>
      <c r="M19" s="201" t="str">
        <f t="shared" si="4"/>
        <v>2021–22</v>
      </c>
      <c r="N19" s="201" t="str">
        <f t="shared" si="4"/>
        <v>2022–23</v>
      </c>
      <c r="O19" s="201" t="str">
        <f t="shared" si="4"/>
        <v>2023–24</v>
      </c>
      <c r="P19" s="201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3.4223677885352854E-2</v>
      </c>
      <c r="H20" s="161">
        <v>3.4525892490292698E-2</v>
      </c>
      <c r="I20" s="161">
        <v>3.4583434536381352E-2</v>
      </c>
      <c r="J20" s="161">
        <v>3.4290771868183745E-2</v>
      </c>
      <c r="K20" s="161">
        <v>3.3975376840037708E-2</v>
      </c>
      <c r="L20" s="131"/>
      <c r="M20" s="131"/>
      <c r="N20" s="131"/>
      <c r="O20" s="131"/>
      <c r="P20" s="131"/>
    </row>
    <row r="21" spans="1:16" ht="11.25" customHeight="1">
      <c r="C21" s="154" t="s">
        <v>95</v>
      </c>
      <c r="D21" s="78" t="s">
        <v>49</v>
      </c>
      <c r="E21" s="78" t="s">
        <v>51</v>
      </c>
      <c r="F21" s="79"/>
      <c r="G21" s="79"/>
      <c r="H21" s="79"/>
      <c r="I21" s="79"/>
      <c r="J21" s="202"/>
      <c r="K21" s="202"/>
      <c r="L21" s="161">
        <v>2.2500915501016697E-2</v>
      </c>
      <c r="M21" s="161">
        <v>2.1203731772142343E-2</v>
      </c>
      <c r="N21" s="161">
        <v>1.9906548043268125E-2</v>
      </c>
      <c r="O21" s="161">
        <v>1.8609364314393771E-2</v>
      </c>
      <c r="P21" s="161">
        <v>1.7312180585519421E-2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3">
        <f>IF(AND(G13&lt;&gt;"",G20&lt;&gt;""),((1+G20)*(1+G13)-1),"")</f>
        <v>5.1687117099176838E-2</v>
      </c>
      <c r="H22" s="143">
        <f>IF(AND(H13&lt;&gt;"",H20&lt;&gt;""),((1+H20)*(1+H13)-1),"")</f>
        <v>4.9795647360998174E-2</v>
      </c>
      <c r="I22" s="143">
        <f>IF(AND(I13&lt;&gt;"",I20&lt;&gt;""),((1+I20)*(1+I13)-1),"")</f>
        <v>5.4334572832075878E-2</v>
      </c>
      <c r="J22" s="143">
        <f>IF(AND(J13&lt;&gt;"",J20&lt;&gt;""),((1+J20)*(1+J13)-1),"")</f>
        <v>5.2743774042460112E-2</v>
      </c>
      <c r="K22" s="143">
        <f>IF(AND(K13&lt;&gt;"",K20&lt;&gt;""),((1+K20)*(1+K13)-1),"")</f>
        <v>5.1552958246318337E-2</v>
      </c>
      <c r="L22" s="143">
        <f>IF(AND(L14&lt;&gt;"",L21&lt;&gt;""),((1+L21)*(1+L14)-1),"")</f>
        <v>4.6734187198390842E-2</v>
      </c>
      <c r="M22" s="143">
        <f t="shared" ref="M22:P22" si="5">IF(AND(M14&lt;&gt;"",M21&lt;&gt;""),((1+M21)*(1+M14)-1),"")</f>
        <v>4.5406260215142158E-2</v>
      </c>
      <c r="N22" s="143">
        <f t="shared" si="5"/>
        <v>4.4078333231893696E-2</v>
      </c>
      <c r="O22" s="143">
        <f t="shared" si="5"/>
        <v>4.2750406248645012E-2</v>
      </c>
      <c r="P22" s="143">
        <f t="shared" si="5"/>
        <v>4.1422479265396328E-2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Ergon Energy 2021-25 Revised Regulatory Proposal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8" t="str">
        <f>IF('Input | General'!D14="Yes",'Input | General'!D13,"n/a")</f>
        <v>2015–16</v>
      </c>
      <c r="I6" s="178" t="str">
        <f>IF('Input | General'!E14="Yes",'Input | General'!E13,"n/a")</f>
        <v>2016–17</v>
      </c>
      <c r="J6" s="178" t="str">
        <f>IF('Input | General'!F14="Yes",'Input | General'!F13,"n/a")</f>
        <v>2017–18</v>
      </c>
      <c r="K6" s="178" t="str">
        <f>IF('Input | General'!G14="Yes",'Input | General'!G13,"n/a")</f>
        <v>2018–19</v>
      </c>
      <c r="L6" s="178" t="str">
        <f>IF('Input | General'!H14="Yes",'Input | General'!H13,"n/a")</f>
        <v>2019–20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1" t="str">
        <f>'Input | Inflation and Disc Rate'!$F$7</f>
        <v>2014–15</v>
      </c>
      <c r="G8" s="68"/>
      <c r="H8" s="162">
        <v>696.62820898912275</v>
      </c>
      <c r="I8" s="162">
        <v>632.20989699665256</v>
      </c>
      <c r="J8" s="162">
        <v>585.59690832026251</v>
      </c>
      <c r="K8" s="162">
        <v>555.4274800165897</v>
      </c>
      <c r="L8" s="162">
        <v>547.06765487603479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81" t="str">
        <f>'Input | Inflation and Disc Rate'!$F$7</f>
        <v>2014–15</v>
      </c>
      <c r="G9" s="68"/>
      <c r="H9" s="162">
        <v>29.619999999999994</v>
      </c>
      <c r="I9" s="162">
        <v>30.81</v>
      </c>
      <c r="J9" s="162">
        <v>32.030000000000008</v>
      </c>
      <c r="K9" s="162">
        <v>32.819999999999993</v>
      </c>
      <c r="L9" s="162">
        <v>33.519999999999996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81" t="str">
        <f>'Input | Inflation and Disc Rate'!$F$7</f>
        <v>2014–15</v>
      </c>
      <c r="G10" s="68"/>
      <c r="H10" s="162">
        <v>7</v>
      </c>
      <c r="I10" s="162">
        <v>7</v>
      </c>
      <c r="J10" s="162">
        <v>7</v>
      </c>
      <c r="K10" s="162">
        <v>15.75</v>
      </c>
      <c r="L10" s="162">
        <v>16.689999999999998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79" t="s">
        <v>50</v>
      </c>
      <c r="F12" s="180" t="str">
        <f>'Input | Inflation and Disc Rate'!$F$7</f>
        <v>2014–15</v>
      </c>
      <c r="G12" s="68"/>
      <c r="H12" s="66">
        <f>IF(H6="", "", H8-H9-H10)</f>
        <v>660.00820898912275</v>
      </c>
      <c r="I12" s="66">
        <f t="shared" ref="I12:L12" si="0">IF(I6="", "", I8-I9-I10)</f>
        <v>594.39989699665261</v>
      </c>
      <c r="J12" s="66">
        <f t="shared" si="0"/>
        <v>546.56690832026254</v>
      </c>
      <c r="K12" s="66">
        <f t="shared" si="0"/>
        <v>506.85748001658976</v>
      </c>
      <c r="L12" s="66">
        <f t="shared" si="0"/>
        <v>496.85765487603481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8" t="str">
        <f>H6</f>
        <v>2015–16</v>
      </c>
      <c r="I16" s="178" t="str">
        <f t="shared" ref="I16:L16" si="1">I6</f>
        <v>2016–17</v>
      </c>
      <c r="J16" s="178" t="str">
        <f t="shared" si="1"/>
        <v>2017–18</v>
      </c>
      <c r="K16" s="178" t="str">
        <f t="shared" si="1"/>
        <v>2018–19</v>
      </c>
      <c r="L16" s="178" t="str">
        <f t="shared" si="1"/>
        <v>2019–20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2">
        <v>627.46929799999998</v>
      </c>
      <c r="I18" s="162">
        <v>515.30375265339001</v>
      </c>
      <c r="J18" s="162">
        <v>540.25127872732173</v>
      </c>
      <c r="K18" s="162">
        <v>618.13974399999984</v>
      </c>
      <c r="L18" s="162">
        <v>587.97760116700772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1"/>
      <c r="H19" s="163">
        <v>25.621829000000002</v>
      </c>
      <c r="I19" s="162">
        <v>9.3205489499999992</v>
      </c>
      <c r="J19" s="162">
        <v>42.755462922527542</v>
      </c>
      <c r="K19" s="162">
        <v>71.36591700000001</v>
      </c>
      <c r="L19" s="162">
        <v>47.735027780554276</v>
      </c>
    </row>
    <row r="20" spans="2:14" s="2" customFormat="1" ht="10.5" customHeight="1">
      <c r="B20" s="73"/>
      <c r="C20" s="140" t="s">
        <v>91</v>
      </c>
      <c r="D20" s="78" t="s">
        <v>49</v>
      </c>
      <c r="E20" s="78" t="s">
        <v>50</v>
      </c>
      <c r="F20" s="78" t="s">
        <v>53</v>
      </c>
      <c r="G20" s="141"/>
      <c r="H20" s="163">
        <v>5.6313649999999997</v>
      </c>
      <c r="I20" s="162">
        <v>8.5529909999999987</v>
      </c>
      <c r="J20" s="162">
        <v>3.8312844199999998</v>
      </c>
      <c r="K20" s="162">
        <v>1.154325</v>
      </c>
      <c r="L20" s="162">
        <v>3.83</v>
      </c>
    </row>
    <row r="21" spans="2:14" s="2" customFormat="1" ht="10.5" customHeight="1">
      <c r="B21" s="73"/>
      <c r="C21" s="156" t="s">
        <v>96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162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2" t="s">
        <v>50</v>
      </c>
      <c r="F23" s="182" t="s">
        <v>53</v>
      </c>
      <c r="G23" s="68"/>
      <c r="H23" s="66">
        <f>IF(H16="", "", H18-H19-H20-H21)</f>
        <v>596.21610399999997</v>
      </c>
      <c r="I23" s="66">
        <f t="shared" ref="I23:L23" si="2">IF(I16="", "", I18-I19-I20-I21)</f>
        <v>497.43021270339</v>
      </c>
      <c r="J23" s="66">
        <f t="shared" si="2"/>
        <v>493.6645313847942</v>
      </c>
      <c r="K23" s="66">
        <f t="shared" si="2"/>
        <v>545.6195019999999</v>
      </c>
      <c r="L23" s="66">
        <f t="shared" si="2"/>
        <v>536.41257338645335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8" t="str">
        <f>'Input | General'!D18</f>
        <v>2020-21</v>
      </c>
      <c r="I27" s="178" t="str">
        <f>'Input | General'!E18</f>
        <v>2021–22</v>
      </c>
      <c r="J27" s="178" t="str">
        <f>'Input | General'!F18</f>
        <v>2022–23</v>
      </c>
      <c r="K27" s="178" t="str">
        <f>'Input | General'!G18</f>
        <v>2023–24</v>
      </c>
      <c r="L27" s="178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102</v>
      </c>
      <c r="E29" s="78" t="s">
        <v>50</v>
      </c>
      <c r="F29" s="78" t="s">
        <v>53</v>
      </c>
      <c r="G29" s="68"/>
      <c r="H29" s="162">
        <v>19.401901055858673</v>
      </c>
      <c r="I29" s="162">
        <v>14.147878146201986</v>
      </c>
      <c r="J29" s="162">
        <v>18.08136445155192</v>
      </c>
      <c r="K29" s="162">
        <v>11.42598100329562</v>
      </c>
      <c r="L29" s="162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49">
        <f>IF(H29&lt;&gt;"",H29/('Input | Inflation and Disc Rate'!K10*(1+'Input | Inflation and Disc Rate'!L9)^0.5),"")</f>
        <v>17.522890910432011</v>
      </c>
      <c r="I30" s="149">
        <f>IF(I29&lt;&gt;"",I29/('Input | Inflation and Disc Rate'!L10*(1+'Input | Inflation and Disc Rate'!M9)^0.5),"")</f>
        <v>12.475788709277829</v>
      </c>
      <c r="J30" s="149">
        <f>IF(J29&lt;&gt;"",J29/('Input | Inflation and Disc Rate'!M10*(1+'Input | Inflation and Disc Rate'!N9)^0.5),"")</f>
        <v>15.567652501121842</v>
      </c>
      <c r="K30" s="149">
        <f>IF(K29&lt;&gt;"",K29/('Input | Inflation and Disc Rate'!N10*(1+'Input | Inflation and Disc Rate'!O9)^0.5),"")</f>
        <v>9.6050726689843344</v>
      </c>
      <c r="L30" s="149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9">
        <f>IF(H29&lt;&gt;"",H30*'Input | Inflation and Disc Rate'!K15*(1+'Input | Inflation and Disc Rate'!L14)^0.5,"")</f>
        <v>19.299297530671438</v>
      </c>
      <c r="I31" s="149">
        <f>IF(I29&lt;&gt;"",I30*'Input | Inflation and Disc Rate'!L15*(1+'Input | Inflation and Disc Rate'!M14)^0.5,"")</f>
        <v>14.066189323444339</v>
      </c>
      <c r="J31" s="149">
        <f>IF(J29&lt;&gt;"",J30*'Input | Inflation and Disc Rate'!M15*(1+'Input | Inflation and Disc Rate'!N14)^0.5,"")</f>
        <v>17.968187863674068</v>
      </c>
      <c r="K31" s="149">
        <f>IF(K29&lt;&gt;"",K30*'Input | Inflation and Disc Rate'!N15*(1+'Input | Inflation and Disc Rate'!O14)^0.5,"")</f>
        <v>11.348919332996751</v>
      </c>
      <c r="L31" s="149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9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Ergon Energy 2021-25 Revised Regulatory Proposal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8" t="str">
        <f>IF('Input | General'!D14="Yes",'Input | General'!D13,"n/a")</f>
        <v>2015–16</v>
      </c>
      <c r="E7" s="178" t="str">
        <f>IF('Input | General'!E14="Yes",'Input | General'!E13,"n/a")</f>
        <v>2016–17</v>
      </c>
      <c r="F7" s="178" t="str">
        <f>IF('Input | General'!F14="Yes",'Input | General'!F13,"n/a")</f>
        <v>2017–18</v>
      </c>
      <c r="G7" s="178" t="str">
        <f>IF('Input | General'!G14="Yes",'Input | General'!G13,"n/a")</f>
        <v>2018–19</v>
      </c>
      <c r="H7" s="183" t="str">
        <f>IF('Input | General'!H14="Yes",'Input | General'!H13,"n/a")</f>
        <v>2019–20</v>
      </c>
      <c r="I7" s="97"/>
    </row>
    <row r="8" spans="2:23" ht="11.25" customHeight="1">
      <c r="C8" s="144" t="s">
        <v>93</v>
      </c>
      <c r="D8" s="165">
        <f>'Input | Inflation and Disc Rate'!G20</f>
        <v>3.4223677885352854E-2</v>
      </c>
      <c r="E8" s="166">
        <f>'Input | Inflation and Disc Rate'!H20</f>
        <v>3.4525892490292698E-2</v>
      </c>
      <c r="F8" s="166">
        <f>'Input | Inflation and Disc Rate'!I20</f>
        <v>3.4583434536381352E-2</v>
      </c>
      <c r="G8" s="166">
        <f>'Input | Inflation and Disc Rate'!J20</f>
        <v>3.4290771868183745E-2</v>
      </c>
      <c r="H8" s="167">
        <f>'Input | Inflation and Disc Rate'!K20</f>
        <v>3.3975376840037708E-2</v>
      </c>
      <c r="I8" s="97"/>
      <c r="J8" s="79"/>
      <c r="K8" s="79"/>
    </row>
    <row r="9" spans="2:23" ht="11.25" customHeight="1">
      <c r="C9" s="147" t="s">
        <v>94</v>
      </c>
      <c r="D9" s="166">
        <f>'Input | Inflation and Disc Rate'!G22</f>
        <v>5.1687117099176838E-2</v>
      </c>
      <c r="E9" s="166">
        <f>'Input | Inflation and Disc Rate'!H22</f>
        <v>4.9795647360998174E-2</v>
      </c>
      <c r="F9" s="166">
        <f>'Input | Inflation and Disc Rate'!I22</f>
        <v>5.4334572832075878E-2</v>
      </c>
      <c r="G9" s="166">
        <f>'Input | Inflation and Disc Rate'!J22</f>
        <v>5.2743774042460112E-2</v>
      </c>
      <c r="H9" s="167">
        <f>'Input | Inflation and Disc Rate'!K22</f>
        <v>5.1552958246318337E-2</v>
      </c>
      <c r="I9" s="97"/>
      <c r="J9" s="79"/>
      <c r="K9" s="79"/>
    </row>
    <row r="10" spans="2:23" ht="11.25" customHeight="1">
      <c r="C10" s="113" t="s">
        <v>13</v>
      </c>
      <c r="D10" s="168">
        <f>'Input | Reported Capex'!H$12*'Input | Inflation and Disc Rate'!G$15*(1+'Input | Inflation and Disc Rate'!G$20)^0.5</f>
        <v>682.54085623199478</v>
      </c>
      <c r="E10" s="169">
        <f>'Input | Reported Capex'!I$12*'Input | Inflation and Disc Rate'!H$15*(1+'Input | Inflation and Disc Rate'!H$20)^0.5</f>
        <v>623.85676429109265</v>
      </c>
      <c r="F10" s="169">
        <f>'Input | Reported Capex'!J$12*'Input | Inflation and Disc Rate'!I$15*(1+'Input | Inflation and Disc Rate'!I$20)^0.5</f>
        <v>584.62112191121935</v>
      </c>
      <c r="G10" s="169">
        <f>'Input | Reported Capex'!K$12*'Input | Inflation and Disc Rate'!J$15*(1+'Input | Inflation and Disc Rate'!J$20)^0.5</f>
        <v>551.74146625835442</v>
      </c>
      <c r="H10" s="170">
        <f>'Input | Reported Capex'!L$12*'Input | Inflation and Disc Rate'!K$15*(1+'Input | Inflation and Disc Rate'!K$20)^0.5</f>
        <v>549.96680382726652</v>
      </c>
      <c r="I10" s="97"/>
      <c r="J10" s="79"/>
      <c r="K10" s="79"/>
      <c r="N10" s="138"/>
    </row>
    <row r="11" spans="2:23" ht="11.25" customHeight="1">
      <c r="C11" s="113" t="s">
        <v>15</v>
      </c>
      <c r="D11" s="171">
        <f>'Input | Reported Capex'!H23*(1+D$9)^0.5</f>
        <v>611.43033165131669</v>
      </c>
      <c r="E11" s="169">
        <f>'Input | Reported Capex'!I23*(1+E$9)^0.5</f>
        <v>509.66468679829757</v>
      </c>
      <c r="F11" s="169">
        <f>'Input | Reported Capex'!J23*(1+F$9)^0.5</f>
        <v>506.89866705724029</v>
      </c>
      <c r="G11" s="169">
        <f>'Input | Reported Capex'!K23*(1+G$9)^0.5</f>
        <v>559.82362963880109</v>
      </c>
      <c r="H11" s="170">
        <f>'Input | Reported Capex'!L23*(1+H$9)^0.5</f>
        <v>550.06564801704633</v>
      </c>
      <c r="I11" s="97"/>
      <c r="J11" s="79"/>
      <c r="K11" s="79"/>
    </row>
    <row r="12" spans="2:23" s="19" customFormat="1" ht="11.25" customHeight="1">
      <c r="C12" s="113" t="s">
        <v>17</v>
      </c>
      <c r="D12" s="158">
        <f>(D10-D11)</f>
        <v>71.110524580678089</v>
      </c>
      <c r="E12" s="145">
        <f>(E10-E11)</f>
        <v>114.19207749279508</v>
      </c>
      <c r="F12" s="145">
        <f t="shared" ref="F12:H12" si="0">(F10-F11)</f>
        <v>77.722454853979059</v>
      </c>
      <c r="G12" s="145">
        <f t="shared" si="0"/>
        <v>-8.0821633804466728</v>
      </c>
      <c r="H12" s="150">
        <f t="shared" si="0"/>
        <v>-9.8844189779811131E-2</v>
      </c>
      <c r="I12" s="97"/>
      <c r="J12" s="79"/>
      <c r="K12" s="79"/>
    </row>
    <row r="13" spans="2:23" ht="11.25" customHeight="1">
      <c r="C13" s="113" t="s">
        <v>71</v>
      </c>
      <c r="D13" s="89"/>
      <c r="E13" s="145">
        <f>$D$12*$E$8</f>
        <v>2.455154326600808</v>
      </c>
      <c r="F13" s="145">
        <f>$D$12*$F$8*(1+'Input | Inflation and Disc Rate'!H13)</f>
        <v>2.4955450081660331</v>
      </c>
      <c r="G13" s="145">
        <f>$D$12*$G$8*(1+'Input | Inflation and Disc Rate'!H13)*(1+'Input | Inflation and Disc Rate'!I13)</f>
        <v>2.5216654831157532</v>
      </c>
      <c r="H13" s="150">
        <f>$D$12*$H$8*(1+'Input | Inflation and Disc Rate'!H13)*(1+'Input | Inflation and Disc Rate'!I13)*(1+'Input | Inflation and Disc Rate'!J13)</f>
        <v>2.543047821568456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6"/>
      <c r="F14" s="145">
        <f>$E$12*F$8</f>
        <v>3.949154236545465</v>
      </c>
      <c r="G14" s="145">
        <f>$E$12*G$8*(1+'Input | Inflation and Disc Rate'!I13)</f>
        <v>3.990489409411802</v>
      </c>
      <c r="H14" s="150">
        <f>$E$12*H$8*(1+'Input | Inflation and Disc Rate'!I13)*(1+'Input | Inflation and Disc Rate'!J13)</f>
        <v>4.0243265681131781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5"/>
      <c r="F15" s="145"/>
      <c r="G15" s="145">
        <f>$F$12*G$8</f>
        <v>2.6651629684330063</v>
      </c>
      <c r="H15" s="150">
        <f>$F$12*$H$8*(1+'Input | Inflation and Disc Rate'!J13)</f>
        <v>2.6877620867554857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5"/>
      <c r="F16" s="145"/>
      <c r="G16" s="145"/>
      <c r="H16" s="150">
        <f>$G$12*$H$8</f>
        <v>-0.27459454653342874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5"/>
      <c r="F17" s="145"/>
      <c r="G17" s="145"/>
      <c r="H17" s="150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1">
        <f>SUM(E13:E17)</f>
        <v>2.455154326600808</v>
      </c>
      <c r="F18" s="151">
        <f t="shared" ref="F18:H18" si="1">SUM(F13:F17)</f>
        <v>6.4446992447114981</v>
      </c>
      <c r="G18" s="151">
        <f t="shared" si="1"/>
        <v>9.1773178609605601</v>
      </c>
      <c r="H18" s="152">
        <f t="shared" si="1"/>
        <v>8.9805419299036906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92</v>
      </c>
      <c r="D19" s="126">
        <f>E19*(1+E$9)</f>
        <v>1.2252848019486724</v>
      </c>
      <c r="E19" s="151">
        <f>F19*(1+F$9)</f>
        <v>1.167165062104061</v>
      </c>
      <c r="F19" s="151">
        <f>G19*(1+G$9)</f>
        <v>1.1070158298697426</v>
      </c>
      <c r="G19" s="151">
        <f>H19*(1+H$9)</f>
        <v>1.0515529582463183</v>
      </c>
      <c r="H19" s="153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87.13064502730235</v>
      </c>
      <c r="E20" s="145">
        <f>E12*E19</f>
        <v>133.28100321866992</v>
      </c>
      <c r="F20" s="145">
        <f t="shared" ref="F20:H20" si="2">F12*F19</f>
        <v>86.039987859691223</v>
      </c>
      <c r="G20" s="145">
        <f t="shared" si="2"/>
        <v>-8.4988228117387639</v>
      </c>
      <c r="H20" s="150">
        <f t="shared" si="2"/>
        <v>-9.8844189779811131E-2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1">
        <f>E18*E19</f>
        <v>2.8655703520820861</v>
      </c>
      <c r="F21" s="151">
        <f t="shared" ref="F21:H21" si="3">F18*F19</f>
        <v>7.1343840826452025</v>
      </c>
      <c r="G21" s="151">
        <f t="shared" si="3"/>
        <v>9.6504357454598519</v>
      </c>
      <c r="H21" s="152">
        <f t="shared" si="3"/>
        <v>8.9805419299036906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4" t="str">
        <f>'Input | General'!$D$18</f>
        <v>2020-21</v>
      </c>
      <c r="E24" s="184" t="str">
        <f>'Input | General'!$E$18</f>
        <v>2021–22</v>
      </c>
      <c r="F24" s="184" t="str">
        <f>'Input | General'!$F$18</f>
        <v>2022–23</v>
      </c>
      <c r="G24" s="184" t="str">
        <f>'Input | General'!$G$18</f>
        <v>2023–24</v>
      </c>
      <c r="H24" s="185" t="str">
        <f>'Input | General'!$H$18</f>
        <v>2024–25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2">
        <f>'Input | Inflation and Disc Rate'!L$22</f>
        <v>4.6734187198390842E-2</v>
      </c>
      <c r="E25" s="172">
        <f>'Input | Inflation and Disc Rate'!M$22</f>
        <v>4.5406260215142158E-2</v>
      </c>
      <c r="F25" s="172">
        <f>'Input | Inflation and Disc Rate'!N$22</f>
        <v>4.4078333231893696E-2</v>
      </c>
      <c r="G25" s="172">
        <f>'Input | Inflation and Disc Rate'!O$22</f>
        <v>4.2750406248645012E-2</v>
      </c>
      <c r="H25" s="173">
        <f>'Input | Inflation and Disc Rate'!P$22</f>
        <v>4.1422479265396328E-2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9">
        <f>'Input | Reported Capex'!H31</f>
        <v>19.299297530671438</v>
      </c>
      <c r="E26" s="169">
        <f>'Input | Reported Capex'!I31</f>
        <v>14.066189323444339</v>
      </c>
      <c r="F26" s="169">
        <f>'Input | Reported Capex'!J31</f>
        <v>17.968187863674068</v>
      </c>
      <c r="G26" s="169">
        <f>'Input | Reported Capex'!K31</f>
        <v>11.348919332996751</v>
      </c>
      <c r="H26" s="170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0.97742129243087961</v>
      </c>
      <c r="E27" s="124">
        <f>1/((1+E25)^(0.5)*(1+D25))</f>
        <v>0.93437464060022735</v>
      </c>
      <c r="F27" s="124">
        <f>1/((1+F25)^(0.5)*(1+E25)*(1+D25))</f>
        <v>0.89435914696470153</v>
      </c>
      <c r="G27" s="124">
        <f>1/((1+G25)^(0.5)*(1+F25)*(1+E25)*(1+D25))</f>
        <v>0.85714683828022098</v>
      </c>
      <c r="H27" s="125">
        <f>1/((1+H25)^(0.5)*(1+G25)*(1+F25)*(1+E25)*(1+D25))</f>
        <v>0.82252966461714283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18.863544335436959</v>
      </c>
      <c r="E28" s="91">
        <f t="shared" ref="E28:G28" si="4">E26*E27</f>
        <v>13.14309059370806</v>
      </c>
      <c r="F28" s="91">
        <f t="shared" si="4"/>
        <v>16.070013170257042</v>
      </c>
      <c r="G28" s="91">
        <f t="shared" si="4"/>
        <v>9.7276903241754393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240.04963068056742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168.03474147639719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72.014889204170217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28.630932110090832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43.383957094079385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6" t="str">
        <f>'Input | General'!D18</f>
        <v>2020-21</v>
      </c>
      <c r="E40" s="186" t="str">
        <f>'Input | General'!E18</f>
        <v>2021–22</v>
      </c>
      <c r="F40" s="186" t="str">
        <f>'Input | General'!F18</f>
        <v>2022–23</v>
      </c>
      <c r="G40" s="186" t="str">
        <f>'Input | General'!G18</f>
        <v>2023–24</v>
      </c>
      <c r="H40" s="186" t="str">
        <f>'Input | General'!H18</f>
        <v>2024–25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98</v>
      </c>
      <c r="D41" s="174">
        <f>1/(1+'Input | Inflation and Disc Rate'!L21)</f>
        <v>0.9779942343719159</v>
      </c>
      <c r="E41" s="174">
        <f>D41/(1+'Input | Inflation and Disc Rate'!M21)</f>
        <v>0.95768768164875095</v>
      </c>
      <c r="F41" s="174">
        <f>E41/(1+'Input | Inflation and Disc Rate'!N21)</f>
        <v>0.93899552217417714</v>
      </c>
      <c r="G41" s="174">
        <f>F41/(1+'Input | Inflation and Disc Rate'!O21)</f>
        <v>0.92184065361130541</v>
      </c>
      <c r="H41" s="175">
        <f>G41/(1+'Input | Inflation and Disc Rate'!P21)</f>
        <v>0.90615316635718957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2" t="str">
        <f>CONCATENATE("CESS Payment Per Year ($", 'Output | Models'!$F$8," million)")</f>
        <v>CESS Payment Per Year ($2019–20 million)</v>
      </c>
      <c r="D42" s="110">
        <f>D36/(SUM(D41:H41))</f>
        <v>9.2253858950419794</v>
      </c>
      <c r="E42" s="110">
        <f>D42</f>
        <v>9.2253858950419794</v>
      </c>
      <c r="F42" s="110">
        <f t="shared" ref="F42:H42" si="5">E42</f>
        <v>9.2253858950419794</v>
      </c>
      <c r="G42" s="110">
        <f t="shared" si="5"/>
        <v>9.2253858950419794</v>
      </c>
      <c r="H42" s="148">
        <f t="shared" si="5"/>
        <v>9.2253858950419794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2" t="str">
        <f>CONCATENATE("Total CESS Payment ($", 'Output | Models'!$F$8," million)")</f>
        <v>Total CESS Payment ($2019–20 million)</v>
      </c>
      <c r="D44" s="157">
        <f>SUM(D42:H42)</f>
        <v>46.126929475209899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Energy 2021-25 Revised Regulatory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3"/>
      <c r="K3" s="203"/>
      <c r="L3" s="203"/>
      <c r="M3" s="42"/>
      <c r="N3" s="203"/>
      <c r="O3" s="203"/>
      <c r="P3" s="203"/>
      <c r="Q3" s="203"/>
      <c r="R3" s="203"/>
      <c r="S3" s="203"/>
      <c r="T3" s="20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7" t="str">
        <f>'Calc | CESS Revenue Increments'!D40</f>
        <v>2020-21</v>
      </c>
      <c r="K6" s="187" t="str">
        <f>'Calc | CESS Revenue Increments'!E40</f>
        <v>2021–22</v>
      </c>
      <c r="L6" s="187" t="str">
        <f>'Calc | CESS Revenue Increments'!F40</f>
        <v>2022–23</v>
      </c>
      <c r="M6" s="187" t="str">
        <f>'Calc | CESS Revenue Increments'!G40</f>
        <v>2023–24</v>
      </c>
      <c r="N6" s="187" t="str">
        <f>'Calc | CESS Revenue Increments'!H40</f>
        <v>2024–25</v>
      </c>
      <c r="O6" s="56" t="s">
        <v>86</v>
      </c>
      <c r="P6" s="135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9" t="s">
        <v>58</v>
      </c>
      <c r="E8" s="52" t="s">
        <v>50</v>
      </c>
      <c r="F8" s="188" t="str">
        <f>IF(LEN(J6)&gt;4,CONCATENATE(LEFT(J6,4)-1&amp;"–"&amp;IF(RIGHT(J6,2)="00","99",IF(RIGHT(J6,2)-1&lt;10,"0","")&amp;RIGHT(J6,2)-1)),J6-1)</f>
        <v>2019–20</v>
      </c>
      <c r="H8" s="55"/>
      <c r="I8" s="55"/>
      <c r="J8" s="132">
        <f>'Calc | CESS Revenue Increments'!D42</f>
        <v>9.2253858950419794</v>
      </c>
      <c r="K8" s="132">
        <f>'Calc | CESS Revenue Increments'!E42</f>
        <v>9.2253858950419794</v>
      </c>
      <c r="L8" s="132">
        <f>'Calc | CESS Revenue Increments'!F42</f>
        <v>9.2253858950419794</v>
      </c>
      <c r="M8" s="132">
        <f>'Calc | CESS Revenue Increments'!G42</f>
        <v>9.2253858950419794</v>
      </c>
      <c r="N8" s="132">
        <f>'Calc | CESS Revenue Increments'!H42</f>
        <v>9.2253858950419794</v>
      </c>
      <c r="O8" s="60">
        <f>SUM(J8:N8)</f>
        <v>46.126929475209899</v>
      </c>
      <c r="P8" s="136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3"/>
      <c r="K10" s="133"/>
      <c r="L10" s="133"/>
      <c r="M10" s="133"/>
      <c r="N10" s="133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4DACF-E465-4A48-8AB6-8ED413C528D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5930c9a-4307-4bf5-9068-61a0eebb0c4e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426D70-69AF-467A-80D6-8E715790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2019-12-12T00:46:45Z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_MarkAsFinal">
    <vt:bool>true</vt:bool>
  </property>
</Properties>
</file>