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847" activeTab="4"/>
  </bookViews>
  <sheets>
    <sheet name="Input Documents --&gt;" sheetId="16" r:id="rId1"/>
    <sheet name="Input Sheet" sheetId="13" r:id="rId2"/>
    <sheet name="Standard Hour Calcs" sheetId="17" r:id="rId3"/>
    <sheet name="Methodology Statements --&gt;" sheetId="15" r:id="rId4"/>
    <sheet name="AER Summary" sheetId="8" r:id="rId5"/>
    <sheet name="Service Description" sheetId="9" r:id="rId6"/>
    <sheet name="Fee Breakdown" sheetId="11" r:id="rId7"/>
  </sheets>
  <definedNames>
    <definedName name="_xlnm.Print_Area" localSheetId="4">'AER Summary'!$A:$I</definedName>
    <definedName name="_xlnm.Print_Area" localSheetId="6">'Fee Breakdown'!$A$1:$AG$26</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K87" i="13" l="1"/>
  <c r="K68" i="13"/>
  <c r="T19" i="11"/>
  <c r="K78" i="13"/>
  <c r="Z19" i="11"/>
  <c r="AF19" i="11"/>
  <c r="T20" i="11"/>
  <c r="Z20" i="11"/>
  <c r="AF20" i="11"/>
  <c r="T21" i="11"/>
  <c r="Z21" i="11"/>
  <c r="AF21" i="11"/>
  <c r="AF23" i="11"/>
  <c r="J87" i="13"/>
  <c r="J68" i="13"/>
  <c r="S19" i="11"/>
  <c r="J78" i="13"/>
  <c r="Y19" i="11"/>
  <c r="AE19" i="11"/>
  <c r="S20" i="11"/>
  <c r="Y20" i="11"/>
  <c r="AE20" i="11"/>
  <c r="S21" i="11"/>
  <c r="Y21" i="11"/>
  <c r="AE21" i="11"/>
  <c r="AE23" i="11"/>
  <c r="I87" i="13"/>
  <c r="I68" i="13"/>
  <c r="R19" i="11"/>
  <c r="I78" i="13"/>
  <c r="X19" i="11"/>
  <c r="AD19" i="11"/>
  <c r="R20" i="11"/>
  <c r="X20" i="11"/>
  <c r="AD20" i="11"/>
  <c r="R21" i="11"/>
  <c r="X21" i="11"/>
  <c r="AD21" i="11"/>
  <c r="AD23" i="11"/>
  <c r="H87" i="13"/>
  <c r="H68" i="13"/>
  <c r="Q19" i="11"/>
  <c r="H78" i="13"/>
  <c r="W19" i="11"/>
  <c r="AC19" i="11"/>
  <c r="Q20" i="11"/>
  <c r="W20" i="11"/>
  <c r="AC20" i="11"/>
  <c r="Q21" i="11"/>
  <c r="W21" i="11"/>
  <c r="AC21" i="11"/>
  <c r="AC23" i="11"/>
  <c r="G87" i="13"/>
  <c r="G68" i="13"/>
  <c r="P19" i="11"/>
  <c r="G78" i="13"/>
  <c r="V19" i="11"/>
  <c r="AB19" i="11"/>
  <c r="P20" i="11"/>
  <c r="V20" i="11"/>
  <c r="AB20" i="11"/>
  <c r="P21" i="11"/>
  <c r="V21" i="11"/>
  <c r="AB21" i="11"/>
  <c r="AB23" i="11"/>
  <c r="Z23" i="11"/>
  <c r="Y23" i="11"/>
  <c r="X23" i="11"/>
  <c r="W23" i="11"/>
  <c r="V23" i="11"/>
  <c r="T23" i="11"/>
  <c r="S23" i="11"/>
  <c r="R23" i="11"/>
  <c r="Q23" i="11"/>
  <c r="P23" i="11"/>
  <c r="K80" i="13"/>
  <c r="J60" i="13"/>
  <c r="J62" i="13"/>
  <c r="G69" i="13"/>
  <c r="H9" i="11"/>
  <c r="P9" i="11"/>
  <c r="AB9" i="11"/>
  <c r="H10" i="11"/>
  <c r="P10" i="11"/>
  <c r="AB10" i="11"/>
  <c r="H11" i="11"/>
  <c r="P11" i="11"/>
  <c r="AB11" i="11"/>
  <c r="AB13" i="11"/>
  <c r="C34" i="8"/>
  <c r="H69" i="13"/>
  <c r="I9" i="11"/>
  <c r="Q9" i="11"/>
  <c r="AC9" i="11"/>
  <c r="I10" i="11"/>
  <c r="Q10" i="11"/>
  <c r="AC10" i="11"/>
  <c r="I11" i="11"/>
  <c r="Q11" i="11"/>
  <c r="AC11" i="11"/>
  <c r="AC13" i="11"/>
  <c r="D34" i="8"/>
  <c r="I69" i="13"/>
  <c r="J9" i="11"/>
  <c r="R9" i="11"/>
  <c r="AD9" i="11"/>
  <c r="J10" i="11"/>
  <c r="R10" i="11"/>
  <c r="AD10" i="11"/>
  <c r="J11" i="11"/>
  <c r="R11" i="11"/>
  <c r="AD11" i="11"/>
  <c r="AD13" i="11"/>
  <c r="E34" i="8"/>
  <c r="J69" i="13"/>
  <c r="K9" i="11"/>
  <c r="S9" i="11"/>
  <c r="AE9" i="11"/>
  <c r="K10" i="11"/>
  <c r="S10" i="11"/>
  <c r="AE10" i="11"/>
  <c r="K11" i="11"/>
  <c r="S11" i="11"/>
  <c r="AE11" i="11"/>
  <c r="AE13" i="11"/>
  <c r="F34" i="8"/>
  <c r="K69" i="13"/>
  <c r="L9" i="11"/>
  <c r="T9" i="11"/>
  <c r="AF9" i="11"/>
  <c r="L10" i="11"/>
  <c r="T10" i="11"/>
  <c r="AF10" i="11"/>
  <c r="L11" i="11"/>
  <c r="T11" i="11"/>
  <c r="AF11" i="11"/>
  <c r="AF13" i="11"/>
  <c r="G34" i="8"/>
  <c r="H34" i="8"/>
  <c r="F11" i="11"/>
  <c r="E11" i="11"/>
  <c r="D11" i="11"/>
  <c r="C11" i="11"/>
  <c r="F10" i="11"/>
  <c r="E10" i="11"/>
  <c r="D10" i="11"/>
  <c r="C10" i="11"/>
  <c r="F9" i="11"/>
  <c r="E9" i="11"/>
  <c r="D9" i="11"/>
  <c r="C9" i="11"/>
  <c r="N11" i="17"/>
  <c r="O11" i="17"/>
  <c r="P11" i="17"/>
  <c r="N12" i="17"/>
  <c r="O12" i="17"/>
  <c r="P12" i="17"/>
  <c r="O10" i="17"/>
  <c r="P10" i="17"/>
  <c r="N10" i="17"/>
  <c r="K11" i="13"/>
  <c r="G12" i="17"/>
  <c r="F12" i="17"/>
  <c r="E12" i="17"/>
  <c r="G11" i="13"/>
  <c r="H11" i="13"/>
  <c r="D12" i="17"/>
  <c r="C12" i="17"/>
  <c r="K10" i="13"/>
  <c r="G11" i="17"/>
  <c r="F11" i="17"/>
  <c r="E11" i="17"/>
  <c r="G10" i="13"/>
  <c r="H10" i="13"/>
  <c r="D11" i="17"/>
  <c r="C11" i="17"/>
  <c r="K9" i="13"/>
  <c r="G10" i="17"/>
  <c r="F10" i="17"/>
  <c r="E10" i="17"/>
  <c r="G9" i="13"/>
  <c r="H9" i="13"/>
  <c r="D10" i="17"/>
  <c r="C10" i="17"/>
  <c r="D19" i="11"/>
  <c r="E19" i="11"/>
  <c r="F19" i="11"/>
  <c r="L19" i="11"/>
  <c r="H26" i="13"/>
  <c r="H52" i="13"/>
  <c r="H47" i="13"/>
  <c r="H53" i="13"/>
  <c r="H54" i="13"/>
  <c r="H55" i="13"/>
  <c r="I55" i="13"/>
  <c r="H56" i="13"/>
  <c r="I26" i="13"/>
  <c r="I52" i="13"/>
  <c r="I47" i="13"/>
  <c r="I53" i="13"/>
  <c r="I54" i="13"/>
  <c r="I56" i="13"/>
  <c r="J26" i="13"/>
  <c r="J52" i="13"/>
  <c r="J47" i="13"/>
  <c r="J53" i="13"/>
  <c r="J54" i="13"/>
  <c r="J56" i="13"/>
  <c r="J58" i="13"/>
  <c r="Z10" i="17"/>
  <c r="N9" i="11"/>
  <c r="D20" i="11"/>
  <c r="E20" i="11"/>
  <c r="F20" i="11"/>
  <c r="L20" i="11"/>
  <c r="Z11" i="17"/>
  <c r="N10" i="11"/>
  <c r="D21" i="11"/>
  <c r="E21" i="11"/>
  <c r="F21" i="11"/>
  <c r="L21" i="11"/>
  <c r="Z12" i="17"/>
  <c r="N11" i="11"/>
  <c r="K19" i="11"/>
  <c r="K20" i="11"/>
  <c r="K21" i="11"/>
  <c r="J19" i="11"/>
  <c r="J20" i="11"/>
  <c r="J21" i="11"/>
  <c r="I19" i="11"/>
  <c r="I20" i="11"/>
  <c r="I21" i="11"/>
  <c r="H19" i="11"/>
  <c r="H20" i="11"/>
  <c r="H21" i="11"/>
  <c r="F68" i="13"/>
  <c r="K12" i="17"/>
  <c r="K10" i="17"/>
  <c r="P14" i="17"/>
  <c r="U12" i="17"/>
  <c r="U10" i="17"/>
  <c r="U11" i="17"/>
  <c r="G27" i="8"/>
  <c r="J12" i="17"/>
  <c r="J10" i="17"/>
  <c r="O14" i="17"/>
  <c r="T12" i="17"/>
  <c r="T10" i="17"/>
  <c r="T11" i="17"/>
  <c r="F27" i="8"/>
  <c r="I12" i="17"/>
  <c r="I10" i="17"/>
  <c r="N14" i="17"/>
  <c r="S12" i="17"/>
  <c r="S10" i="17"/>
  <c r="S11" i="17"/>
  <c r="E27" i="8"/>
  <c r="K11" i="17"/>
  <c r="J11" i="17"/>
  <c r="I11" i="17"/>
  <c r="U14" i="17"/>
  <c r="T14" i="17"/>
  <c r="S14" i="17"/>
  <c r="K89" i="13"/>
  <c r="B5" i="11"/>
  <c r="H8" i="8"/>
  <c r="G8" i="8"/>
  <c r="F8" i="8"/>
  <c r="E8" i="8"/>
  <c r="D8" i="8"/>
  <c r="G26" i="8"/>
  <c r="F26" i="8"/>
  <c r="E26" i="8"/>
  <c r="B3" i="17"/>
  <c r="K34" i="13"/>
  <c r="J34" i="13"/>
  <c r="I34" i="13"/>
  <c r="H34" i="13"/>
  <c r="V10" i="17"/>
  <c r="L10" i="17"/>
  <c r="X10" i="17"/>
  <c r="AA10" i="17"/>
  <c r="V11" i="17"/>
  <c r="L11" i="17"/>
  <c r="X11" i="17"/>
  <c r="AA11" i="17"/>
  <c r="V12" i="17"/>
  <c r="L12" i="17"/>
  <c r="X12" i="17"/>
  <c r="AA12" i="17"/>
  <c r="AA14" i="17"/>
  <c r="V14" i="17"/>
  <c r="Q10" i="17"/>
  <c r="Q11" i="17"/>
  <c r="Q12" i="17"/>
  <c r="Q14" i="17"/>
  <c r="L14" i="17"/>
  <c r="K14" i="17"/>
  <c r="J14" i="17"/>
  <c r="I14" i="17"/>
  <c r="L23" i="11"/>
  <c r="K23" i="11"/>
  <c r="J23" i="11"/>
  <c r="I23" i="11"/>
  <c r="H23" i="11"/>
  <c r="F23" i="11"/>
  <c r="E23" i="11"/>
  <c r="D23" i="11"/>
  <c r="C23" i="11"/>
  <c r="E28" i="8"/>
  <c r="B3" i="13"/>
  <c r="D40" i="8"/>
  <c r="E40" i="8"/>
  <c r="F40" i="8"/>
  <c r="G40" i="8"/>
  <c r="C40" i="8"/>
  <c r="D37" i="8"/>
  <c r="E37" i="8"/>
  <c r="F37" i="8"/>
  <c r="G37" i="8"/>
  <c r="C37" i="8"/>
  <c r="D36" i="8"/>
  <c r="E36" i="8"/>
  <c r="F36" i="8"/>
  <c r="G36" i="8"/>
  <c r="C36" i="8"/>
  <c r="F28" i="8"/>
  <c r="G28" i="8"/>
  <c r="H26" i="8"/>
  <c r="C3" i="11"/>
  <c r="K71" i="13"/>
  <c r="J71" i="13"/>
  <c r="I71" i="13"/>
  <c r="H71" i="13"/>
  <c r="H36" i="8"/>
  <c r="H37" i="8"/>
  <c r="H38" i="8"/>
  <c r="G38" i="8"/>
  <c r="F38" i="8"/>
  <c r="E38" i="8"/>
  <c r="D38" i="8"/>
  <c r="C38" i="8"/>
  <c r="C46" i="8"/>
  <c r="D46" i="8"/>
  <c r="E46" i="8"/>
  <c r="F46" i="8"/>
  <c r="G46" i="8"/>
  <c r="H46" i="8"/>
  <c r="H28" i="8"/>
  <c r="H27" i="8"/>
  <c r="H40" i="8"/>
  <c r="J55" i="13"/>
  <c r="G47" i="13"/>
  <c r="D3" i="9"/>
</calcChain>
</file>

<file path=xl/comments1.xml><?xml version="1.0" encoding="utf-8"?>
<comments xmlns="http://schemas.openxmlformats.org/spreadsheetml/2006/main">
  <authors>
    <author>Jacob Muscat</author>
  </authors>
  <commentList>
    <comment ref="F18"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<sst xmlns="http://schemas.openxmlformats.org/spreadsheetml/2006/main" count="320" uniqueCount="156">
  <si>
    <t>Service:</t>
  </si>
  <si>
    <t>Total</t>
  </si>
  <si>
    <t>Historical Revenue</t>
  </si>
  <si>
    <t>Description</t>
  </si>
  <si>
    <t>Volumes</t>
  </si>
  <si>
    <t>Source</t>
  </si>
  <si>
    <t>Current Fee</t>
  </si>
  <si>
    <t>AER Framework and Approach paper March 2013</t>
  </si>
  <si>
    <t>Standard Hours</t>
  </si>
  <si>
    <t>Fee Type</t>
  </si>
  <si>
    <t>Not available</t>
  </si>
  <si>
    <t>2009/10</t>
  </si>
  <si>
    <t>2010/11</t>
  </si>
  <si>
    <t>2011/12</t>
  </si>
  <si>
    <t>2012/13</t>
  </si>
  <si>
    <t>2013/14</t>
  </si>
  <si>
    <t>2014/15</t>
  </si>
  <si>
    <t>2015/16</t>
  </si>
  <si>
    <t>2016/17</t>
  </si>
  <si>
    <t>2017/18</t>
  </si>
  <si>
    <t>2018/19</t>
  </si>
  <si>
    <t>Average Hours per job</t>
  </si>
  <si>
    <t>Overhead Factor (Nominal)</t>
  </si>
  <si>
    <t>Direct Costs (Nominal)</t>
  </si>
  <si>
    <t>Work Order</t>
  </si>
  <si>
    <t>Indirect Costs (Nominal)</t>
  </si>
  <si>
    <t>Work Order Description</t>
  </si>
  <si>
    <t>Historical Work Order Costs</t>
  </si>
  <si>
    <t>Average Hourly Rate (Nominal)</t>
  </si>
  <si>
    <t>Assumed annual labour growth</t>
  </si>
  <si>
    <t>Total Hours</t>
  </si>
  <si>
    <t>Historical Volumes</t>
  </si>
  <si>
    <t>Labour Growth</t>
  </si>
  <si>
    <t>Total Operating Expenditure</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</si>
  <si>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</si>
  <si>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</si>
  <si>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</si>
  <si>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</si>
  <si>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</si>
  <si>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</si>
  <si>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</si>
  <si>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</si>
  <si>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</si>
  <si>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</si>
  <si>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</si>
  <si>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</si>
  <si>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</si>
  <si>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</si>
  <si>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</si>
  <si>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</si>
  <si>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</si>
  <si>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</si>
  <si>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</si>
  <si>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</si>
  <si>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</si>
  <si>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</si>
  <si>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</si>
  <si>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</si>
  <si>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</si>
  <si>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</si>
  <si>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</si>
  <si>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</si>
  <si>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</si>
  <si>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</si>
  <si>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Revised Standard Hours</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</si>
  <si>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</si>
  <si>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</si>
  <si>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</si>
  <si>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</si>
  <si>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</si>
  <si>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</si>
  <si>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</si>
  <si>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</si>
  <si>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</si>
  <si>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</si>
  <si>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</si>
  <si>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</si>
  <si>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Work orders relating to this service were identified and extracted from the general ledger. These work orders capture the costs associated with performing this ancillary network service.</t>
  </si>
  <si>
    <t>ASP Inspection Services - Inspection and re-inspection of contestable connection and relocation works performed by Accredited Service Providers (ASPs).</t>
  </si>
  <si>
    <t>Current Fees</t>
  </si>
  <si>
    <t>Estimated Hours Based on Standard Hours</t>
  </si>
  <si>
    <t>Actual Hours Booked to Work Orders - Pro Rata Based on Standard Hours</t>
  </si>
  <si>
    <t>Average per Job (Hourly Only)</t>
  </si>
  <si>
    <t>2010/11 Volumes</t>
  </si>
  <si>
    <t>2011/12 Volumes</t>
  </si>
  <si>
    <t>2012/13 Volumes</t>
  </si>
  <si>
    <t>Total Volumes</t>
  </si>
  <si>
    <t>Standard Hours
2010/11</t>
  </si>
  <si>
    <t>Standard Hours
2011/12</t>
  </si>
  <si>
    <t>Standard Hours
2012/13</t>
  </si>
  <si>
    <t>Total Standard Hours</t>
  </si>
  <si>
    <t>Actual Hours 2010/11</t>
  </si>
  <si>
    <t>Actual Hours 2011/12</t>
  </si>
  <si>
    <t>Actual Hours 2012/13</t>
  </si>
  <si>
    <t>Total Actual Hours for 3 Years</t>
  </si>
  <si>
    <t>Actual Hours per job</t>
  </si>
  <si>
    <t>Revised Standard Hours per job (Rounded)</t>
  </si>
  <si>
    <t>Total Hours Based on Revised Standard</t>
  </si>
  <si>
    <t>Inspection of Service Work (Level 2 work)</t>
  </si>
  <si>
    <t>Historical Revenue - Grade A</t>
  </si>
  <si>
    <t>Historical Revenue - Grade B</t>
  </si>
  <si>
    <t>Historical Revenue - Grade C</t>
  </si>
  <si>
    <t>NCA10003</t>
  </si>
  <si>
    <t>NCS10001</t>
  </si>
  <si>
    <t>NCS10004</t>
  </si>
  <si>
    <t>EXISTING PREMISES NOSW &amp; CCEW</t>
  </si>
  <si>
    <t>INSTALLATION INSP &amp; ADVICE EXIST PREMISE</t>
  </si>
  <si>
    <t>INSTALLATION INSP. &amp; ADVICE NEW PREMISE</t>
  </si>
  <si>
    <t>Inspections - Grade A</t>
  </si>
  <si>
    <t>Inspections - Grade B</t>
  </si>
  <si>
    <t>Inspections - Grade C</t>
  </si>
  <si>
    <t>Per NOSW - Grade A</t>
  </si>
  <si>
    <t>Per NOSW - Grade B</t>
  </si>
  <si>
    <t>Per NOSW - Grade C</t>
  </si>
  <si>
    <t>Based on the following average labour rates per hour for the 2015-19 regulatory period - Refer to the Fee Breakdown schedule for specific fees</t>
  </si>
  <si>
    <t>Proposed Revenue (Nominal)</t>
  </si>
  <si>
    <t>2008/09</t>
  </si>
  <si>
    <t>2009-14 Current Fees</t>
  </si>
  <si>
    <t>Current fees approved by the AER for the 2009-14 regulatory period.</t>
  </si>
  <si>
    <t>N/A</t>
  </si>
  <si>
    <t>Revenue related to this service is billed through Endeavour Energy's Banner billing system and is extracted from the general ledger. To split the revenue between the different categories a separate Banner Billing Report was used (only available from 2010/11 to 2012/13).</t>
  </si>
  <si>
    <t>The calculation of individual fees relies on a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</si>
  <si>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Average Hourly Rate (2012/13$) - Excl OH</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</si>
  <si>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</si>
  <si>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</si>
  <si>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</si>
  <si>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</si>
  <si>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Average Overhead Factor for Regulatory Period</t>
  </si>
  <si>
    <t>Average Conversion Factor Real to Nominal</t>
  </si>
  <si>
    <t xml:space="preserve">In order to calculate a fee for each service sub-category, revised standard hours are required to be calculated for the 2015-19 regulatory period.  Revised standard hours are calculated by pro-rataing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t>
  </si>
  <si>
    <t>The inspection by a DNSP of work performed by an ASP accredited to perform level 2 work, complying with the condition below:
The minimum number of inspections required must correspond to the grade of the ASP as shown:
Grade A - 1 inspection per 25 jobs 
Grade B - 1 inspection per 5 jobs
Grade C - Each job to be inspected</t>
  </si>
  <si>
    <t>The inspection by a DNSP, in accordance with the DTIRIS Accredited of Service Provider Scheme of work undertaken by a Level 2 ASP, for the purpose of ensuring the quality of assets to be handed over to the DNSP.
The inspection by a DNSP of work performed by an ASP accredited to perform Level 2 work, complying with the following condition:
The minimum number of inspections required must correspond to the grade of the DNSP as shown:
Grade A - 1 inspection per 25 jobs 
Grade B - 1 inspection per 5 jobs
Grade C - Each job to be inspected</t>
  </si>
  <si>
    <t>Per Notification of Service Works (NOSW)</t>
  </si>
  <si>
    <t>Pricing Mechanism:</t>
  </si>
  <si>
    <t>Proposed Fee (Excl GST):</t>
  </si>
  <si>
    <t>Current Fee (Excl GST):</t>
  </si>
  <si>
    <t>Based on average rate of $80 per hour - Refer to the Fee Breakdown schedule for specific fees</t>
  </si>
  <si>
    <t>2) Work orders used to capture the costs associated with the provision of this service were identified and extracted from the general ledger over a 3 year historic period (2010/11 to 2012/13). Adjustments were made to remove costs from the work order that were not relevant to the service.</t>
  </si>
  <si>
    <t xml:space="preserve">3) Historic work order data was used to derive an average hourly rate for each year in the historic analysis period. These hourly rates were converted to real 2012/13 dollars using actual award wage increases for the period, and an average 2012/13 hourly rate derived based on the 3 years data.  </t>
  </si>
  <si>
    <t>4)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</si>
  <si>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5) Historic service volumes were extracted from business systems and used in conjunction with current approved standard hours and actual historic hours to calculate revised standard hours for each fee sub category.</t>
  </si>
  <si>
    <t>2015-19 Pricing Methodology for Service (Summary)</t>
  </si>
  <si>
    <t>Work orders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</si>
  <si>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</si>
  <si>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All unit rates have been calculated in real 2012/13 dollars for comparison purposes. To estimate labour rates in real 2012/13 dollars for prior years, the actual salary increases for award staff in those years has been used.</t>
  </si>
  <si>
    <t>Direct ANS (Real 2012/13$)</t>
  </si>
  <si>
    <t>6)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</si>
  <si>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Historic revenue was extracted from Endeavour Energy's general ledger via an account code combination specifically set up to capture the revenue related to this service (as defined in the 2009-14 regulatory period). As outlined above, historic costs were obtained from actual costs recorded to specific work orders. Historic volumes were derived based on revenue billed throughout the year for this service divided by 2009-14 current service fees.</t>
  </si>
  <si>
    <t>Revenue / current fees</t>
  </si>
  <si>
    <t>Volumes were derived based on the revenue billed through Banner divided by the fee to determine how many individual jobs had been charged.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</si>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</sst>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 numFmtId="172" formatCode="0.0%"/>
    <numFmt numFmtId="173" formatCode="_-* #,##0_-;* \(#,##0\)_-;_-* &quot;-&quot;_-;_-@_-"/>
  </numFmts>
  <fonts count="2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b/>
      <sz val="10"/>
      <color rgb="FFFF0000"/>
      <name val="Calibri"/>
      <family val="2"/>
      <scheme val="minor"/>
    </font>
    <font>
      <sz val="9"/>
      <color indexed="81"/>
      <name val="Tahoma"/>
      <family val="2"/>
    </font>
    <font>
      <b/>
      <sz val="9"/>
      <color indexed="81"/>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19">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9" fillId="0" borderId="0"/>
    <xf numFmtId="0" fontId="16" fillId="0" borderId="0"/>
    <xf numFmtId="0" fontId="3" fillId="0" borderId="0"/>
    <xf numFmtId="9" fontId="16" fillId="0" borderId="0" applyFont="0" applyFill="0" applyBorder="0" applyAlignment="0" applyProtection="0"/>
    <xf numFmtId="9" fontId="3" fillId="0" borderId="0" applyFont="0" applyFill="0" applyBorder="0" applyAlignment="0" applyProtection="0"/>
    <xf numFmtId="165" fontId="9" fillId="0" borderId="0" applyFont="0" applyFill="0" applyBorder="0" applyAlignment="0" applyProtection="0"/>
    <xf numFmtId="165" fontId="16" fillId="0" borderId="0" applyFont="0" applyFill="0" applyBorder="0" applyAlignment="0" applyProtection="0"/>
    <xf numFmtId="0" fontId="9" fillId="0" borderId="0"/>
    <xf numFmtId="0" fontId="3" fillId="0" borderId="0"/>
    <xf numFmtId="0" fontId="4" fillId="6" borderId="22" applyNumberFormat="0" applyFont="0" applyAlignment="0" applyProtection="0"/>
    <xf numFmtId="0" fontId="2" fillId="0" borderId="0"/>
    <xf numFmtId="9" fontId="2" fillId="0" borderId="0" applyFont="0" applyFill="0" applyBorder="0" applyAlignment="0" applyProtection="0"/>
    <xf numFmtId="0" fontId="1" fillId="0" borderId="0"/>
    <xf numFmtId="0" fontId="16" fillId="0" borderId="0"/>
  </cellStyleXfs>
  <cellXfs count="419">
    <xf numFmtId="0" fontId="0" fillId="0" borderId="0" xfId="0"/>
    <xf numFmtId="0" fontId="6"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10" fillId="0" borderId="0" xfId="0" applyFont="1" applyAlignment="1">
      <alignment horizontal="left" indent="15"/>
    </xf>
    <xf numFmtId="0" fontId="11" fillId="0" borderId="0" xfId="0" applyFont="1" applyAlignment="1">
      <alignment horizontal="left" indent="15"/>
    </xf>
    <xf numFmtId="169" fontId="0" fillId="0" borderId="0" xfId="0" applyNumberFormat="1"/>
    <xf numFmtId="166" fontId="8" fillId="0" borderId="0" xfId="2" applyNumberFormat="1" applyFont="1"/>
    <xf numFmtId="0" fontId="14" fillId="0" borderId="0" xfId="0" applyFont="1" applyAlignment="1">
      <alignment horizontal="left"/>
    </xf>
    <xf numFmtId="0" fontId="15" fillId="3" borderId="3" xfId="0" applyFont="1" applyFill="1" applyBorder="1"/>
    <xf numFmtId="0" fontId="15" fillId="3" borderId="4" xfId="0" applyFont="1" applyFill="1" applyBorder="1" applyAlignment="1">
      <alignment horizontal="left"/>
    </xf>
    <xf numFmtId="0" fontId="15" fillId="3" borderId="5" xfId="0" applyFont="1" applyFill="1" applyBorder="1" applyAlignment="1">
      <alignment horizontal="center"/>
    </xf>
    <xf numFmtId="0" fontId="15" fillId="3" borderId="0" xfId="0" applyFont="1" applyFill="1" applyBorder="1" applyAlignment="1">
      <alignment horizontal="left"/>
    </xf>
    <xf numFmtId="0" fontId="0" fillId="0" borderId="0" xfId="0" applyFont="1"/>
    <xf numFmtId="166" fontId="15" fillId="0" borderId="0" xfId="2" applyNumberFormat="1" applyFont="1"/>
    <xf numFmtId="170" fontId="12" fillId="0" borderId="7" xfId="0" applyNumberFormat="1" applyFont="1" applyBorder="1" applyAlignment="1">
      <alignment horizontal="right" vertical="center"/>
    </xf>
    <xf numFmtId="170" fontId="12" fillId="0" borderId="12" xfId="0" applyNumberFormat="1" applyFont="1" applyBorder="1" applyAlignment="1">
      <alignment horizontal="right" vertical="center"/>
    </xf>
    <xf numFmtId="0" fontId="12" fillId="0" borderId="7" xfId="0" applyFont="1" applyFill="1" applyBorder="1" applyAlignment="1">
      <alignment horizontal="left" vertical="center"/>
    </xf>
    <xf numFmtId="170" fontId="12" fillId="0" borderId="7" xfId="0" applyNumberFormat="1" applyFont="1" applyFill="1" applyBorder="1" applyAlignment="1">
      <alignment horizontal="right" vertical="center"/>
    </xf>
    <xf numFmtId="170" fontId="12" fillId="0" borderId="17" xfId="0" applyNumberFormat="1" applyFont="1" applyBorder="1" applyAlignment="1">
      <alignment horizontal="right" vertical="center" wrapText="1"/>
    </xf>
    <xf numFmtId="0" fontId="12" fillId="0" borderId="0" xfId="0" applyFont="1" applyAlignment="1">
      <alignment vertical="center"/>
    </xf>
    <xf numFmtId="0" fontId="19" fillId="0" borderId="0" xfId="0" applyFont="1" applyAlignment="1">
      <alignment vertical="center"/>
    </xf>
    <xf numFmtId="170" fontId="12" fillId="0" borderId="0" xfId="0" applyNumberFormat="1" applyFont="1" applyAlignment="1">
      <alignment vertical="center"/>
    </xf>
    <xf numFmtId="0" fontId="12" fillId="0" borderId="0" xfId="0" applyFont="1" applyAlignment="1">
      <alignment horizontal="left" vertical="center"/>
    </xf>
    <xf numFmtId="0" fontId="17" fillId="0" borderId="0" xfId="0" applyFont="1" applyAlignment="1">
      <alignment vertical="center"/>
    </xf>
    <xf numFmtId="0" fontId="22" fillId="0" borderId="0" xfId="0" applyFont="1" applyAlignment="1">
      <alignment vertical="center"/>
    </xf>
    <xf numFmtId="0" fontId="23" fillId="7" borderId="0" xfId="0" applyFont="1" applyFill="1" applyAlignment="1">
      <alignment vertical="center"/>
    </xf>
    <xf numFmtId="0" fontId="24" fillId="7" borderId="0" xfId="0" applyFont="1" applyFill="1" applyAlignment="1">
      <alignment vertical="center"/>
    </xf>
    <xf numFmtId="170" fontId="24" fillId="7" borderId="0" xfId="0" applyNumberFormat="1" applyFont="1" applyFill="1" applyAlignment="1">
      <alignment vertical="center"/>
    </xf>
    <xf numFmtId="0" fontId="24"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170" fontId="12" fillId="0" borderId="14" xfId="0" applyNumberFormat="1" applyFont="1" applyBorder="1" applyAlignment="1">
      <alignment vertical="center"/>
    </xf>
    <xf numFmtId="170" fontId="12" fillId="0" borderId="15" xfId="0" applyNumberFormat="1" applyFont="1" applyBorder="1" applyAlignment="1">
      <alignment vertical="center"/>
    </xf>
    <xf numFmtId="170" fontId="12" fillId="0" borderId="9" xfId="0" applyNumberFormat="1" applyFont="1" applyBorder="1" applyAlignment="1">
      <alignment vertical="center"/>
    </xf>
    <xf numFmtId="170" fontId="12" fillId="0" borderId="0" xfId="0" applyNumberFormat="1" applyFont="1" applyBorder="1" applyAlignment="1">
      <alignment vertical="center"/>
    </xf>
    <xf numFmtId="170" fontId="12" fillId="0" borderId="19" xfId="0" applyNumberFormat="1" applyFont="1" applyBorder="1" applyAlignment="1">
      <alignment vertical="center"/>
    </xf>
    <xf numFmtId="170" fontId="19" fillId="5" borderId="25" xfId="0" applyNumberFormat="1" applyFont="1" applyFill="1" applyBorder="1" applyAlignment="1">
      <alignment vertical="center"/>
    </xf>
    <xf numFmtId="9" fontId="12"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2" fillId="0" borderId="0" xfId="0" applyFont="1" applyFill="1" applyBorder="1" applyAlignment="1">
      <alignment horizontal="left" vertical="center"/>
    </xf>
    <xf numFmtId="170" fontId="12"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2" fillId="0" borderId="0" xfId="0" applyFont="1" applyAlignment="1">
      <alignment horizontal="center" vertical="center"/>
    </xf>
    <xf numFmtId="170" fontId="19" fillId="5" borderId="23" xfId="0" applyNumberFormat="1" applyFont="1" applyFill="1" applyBorder="1" applyAlignment="1">
      <alignment horizontal="right" vertical="center"/>
    </xf>
    <xf numFmtId="170" fontId="12" fillId="0" borderId="17" xfId="0" applyNumberFormat="1" applyFont="1" applyBorder="1" applyAlignment="1">
      <alignment vertical="center"/>
    </xf>
    <xf numFmtId="9" fontId="12" fillId="0" borderId="16" xfId="1" applyFont="1" applyBorder="1" applyAlignment="1">
      <alignment vertical="center"/>
    </xf>
    <xf numFmtId="9" fontId="12" fillId="0" borderId="0" xfId="1" applyFont="1" applyBorder="1" applyAlignment="1">
      <alignment vertical="center"/>
    </xf>
    <xf numFmtId="9" fontId="12"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2" fillId="0" borderId="0" xfId="0" applyNumberFormat="1" applyFont="1" applyAlignment="1">
      <alignment vertical="center"/>
    </xf>
    <xf numFmtId="167" fontId="12" fillId="0" borderId="0" xfId="0" applyNumberFormat="1" applyFont="1" applyAlignment="1">
      <alignment horizontal="right" vertical="center"/>
    </xf>
    <xf numFmtId="0" fontId="12" fillId="0" borderId="0" xfId="0" applyFont="1" applyBorder="1" applyAlignment="1">
      <alignment vertical="center"/>
    </xf>
    <xf numFmtId="0" fontId="12" fillId="0" borderId="19" xfId="0" applyFont="1" applyBorder="1" applyAlignment="1">
      <alignment vertical="center"/>
    </xf>
    <xf numFmtId="169" fontId="19" fillId="0" borderId="13" xfId="0" applyNumberFormat="1" applyFont="1" applyBorder="1" applyAlignment="1">
      <alignment vertical="center"/>
    </xf>
    <xf numFmtId="169" fontId="12" fillId="0" borderId="0" xfId="0" applyNumberFormat="1" applyFont="1" applyAlignment="1">
      <alignment horizontal="center" vertical="center"/>
    </xf>
    <xf numFmtId="0" fontId="12" fillId="0" borderId="0" xfId="0" applyFont="1" applyBorder="1" applyAlignment="1">
      <alignment vertical="center" wrapText="1"/>
    </xf>
    <xf numFmtId="0" fontId="12" fillId="0" borderId="0" xfId="0" applyFont="1" applyBorder="1" applyAlignment="1">
      <alignment horizontal="left" vertical="center"/>
    </xf>
    <xf numFmtId="0" fontId="12" fillId="2" borderId="13" xfId="0" applyFont="1" applyFill="1" applyBorder="1" applyAlignment="1">
      <alignment horizontal="right" vertical="center"/>
    </xf>
    <xf numFmtId="9" fontId="12" fillId="2" borderId="13" xfId="1" applyFont="1" applyFill="1" applyBorder="1" applyAlignment="1">
      <alignment horizontal="center" vertical="center"/>
    </xf>
    <xf numFmtId="0" fontId="12" fillId="2" borderId="7" xfId="0" applyFont="1" applyFill="1" applyBorder="1" applyAlignment="1">
      <alignment horizontal="center" vertical="center"/>
    </xf>
    <xf numFmtId="170" fontId="19" fillId="2" borderId="23" xfId="0" applyNumberFormat="1" applyFont="1" applyFill="1" applyBorder="1" applyAlignment="1">
      <alignment horizontal="right" vertical="center"/>
    </xf>
    <xf numFmtId="0" fontId="12" fillId="2" borderId="7" xfId="0" applyFont="1" applyFill="1" applyBorder="1" applyAlignment="1">
      <alignment horizontal="left" vertical="center"/>
    </xf>
    <xf numFmtId="0" fontId="15" fillId="3" borderId="0" xfId="0" applyFont="1" applyFill="1" applyBorder="1" applyAlignment="1">
      <alignment horizontal="left" vertical="center"/>
    </xf>
    <xf numFmtId="0" fontId="6" fillId="4" borderId="0" xfId="0" applyFont="1" applyFill="1" applyBorder="1" applyAlignment="1">
      <alignment vertical="center"/>
    </xf>
    <xf numFmtId="169" fontId="12" fillId="0" borderId="0" xfId="0" applyNumberFormat="1" applyFont="1" applyAlignment="1">
      <alignment vertical="center"/>
    </xf>
    <xf numFmtId="170" fontId="12"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167" fontId="12" fillId="0" borderId="0" xfId="0" applyNumberFormat="1" applyFont="1" applyFill="1" applyBorder="1" applyAlignment="1">
      <alignment horizontal="center" vertical="center"/>
    </xf>
    <xf numFmtId="169" fontId="12" fillId="0" borderId="0" xfId="0" applyNumberFormat="1" applyFont="1" applyBorder="1" applyAlignment="1">
      <alignment vertical="center"/>
    </xf>
    <xf numFmtId="170" fontId="12" fillId="0" borderId="0" xfId="0" applyNumberFormat="1" applyFont="1" applyBorder="1" applyAlignment="1">
      <alignment horizontal="center" vertical="center"/>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167" fontId="12" fillId="0" borderId="0" xfId="0" applyNumberFormat="1" applyFont="1" applyBorder="1" applyAlignment="1">
      <alignment horizontal="center" vertical="center"/>
    </xf>
    <xf numFmtId="170" fontId="12" fillId="0" borderId="16" xfId="0" applyNumberFormat="1" applyFont="1" applyBorder="1" applyAlignment="1">
      <alignment horizontal="center" vertical="center"/>
    </xf>
    <xf numFmtId="170" fontId="12" fillId="0" borderId="9" xfId="0" applyNumberFormat="1" applyFont="1" applyBorder="1" applyAlignment="1">
      <alignment horizontal="center" vertical="center"/>
    </xf>
    <xf numFmtId="0" fontId="12" fillId="0" borderId="18" xfId="0" applyFont="1" applyBorder="1" applyAlignment="1">
      <alignment vertical="center"/>
    </xf>
    <xf numFmtId="168" fontId="12" fillId="0" borderId="20" xfId="0" applyNumberFormat="1" applyFont="1" applyBorder="1" applyAlignment="1">
      <alignment horizontal="center" vertical="center"/>
    </xf>
    <xf numFmtId="170" fontId="12" fillId="0" borderId="10" xfId="0" applyNumberFormat="1" applyFont="1" applyBorder="1" applyAlignment="1">
      <alignment horizontal="center" vertical="center"/>
    </xf>
    <xf numFmtId="167" fontId="12" fillId="0" borderId="0" xfId="0" applyNumberFormat="1" applyFont="1" applyAlignment="1">
      <alignment horizontal="center" vertical="center"/>
    </xf>
    <xf numFmtId="167" fontId="12" fillId="0" borderId="0" xfId="0" applyNumberFormat="1" applyFont="1" applyFill="1" applyAlignment="1">
      <alignment vertical="center"/>
    </xf>
    <xf numFmtId="168" fontId="12" fillId="0" borderId="17" xfId="0" applyNumberFormat="1" applyFont="1" applyFill="1" applyBorder="1" applyAlignment="1">
      <alignment horizontal="center" vertical="center"/>
    </xf>
    <xf numFmtId="170" fontId="0" fillId="0" borderId="0" xfId="1" applyNumberFormat="1" applyFont="1"/>
    <xf numFmtId="169" fontId="6" fillId="0" borderId="0" xfId="0" applyNumberFormat="1" applyFont="1"/>
    <xf numFmtId="170" fontId="15" fillId="0" borderId="0" xfId="2" applyNumberFormat="1" applyFont="1"/>
    <xf numFmtId="0" fontId="8" fillId="2" borderId="0" xfId="0" applyFont="1" applyFill="1"/>
    <xf numFmtId="0" fontId="6" fillId="0" borderId="24" xfId="0" applyFont="1" applyFill="1" applyBorder="1"/>
    <xf numFmtId="166" fontId="15" fillId="0" borderId="24" xfId="2" applyNumberFormat="1" applyFont="1" applyBorder="1"/>
    <xf numFmtId="0" fontId="15" fillId="2" borderId="0" xfId="0" applyFont="1" applyFill="1"/>
    <xf numFmtId="0" fontId="5" fillId="7" borderId="0" xfId="0" applyFont="1" applyFill="1" applyAlignment="1">
      <alignment horizontal="left"/>
    </xf>
    <xf numFmtId="0" fontId="13" fillId="7" borderId="0" xfId="0" applyFont="1" applyFill="1"/>
    <xf numFmtId="0" fontId="7" fillId="7" borderId="0" xfId="0" applyFont="1" applyFill="1"/>
    <xf numFmtId="167" fontId="12" fillId="0" borderId="0" xfId="0" applyNumberFormat="1" applyFont="1" applyFill="1" applyBorder="1" applyAlignment="1">
      <alignment vertical="center" wrapText="1"/>
    </xf>
    <xf numFmtId="167" fontId="12" fillId="0" borderId="17" xfId="0" applyNumberFormat="1" applyFont="1" applyFill="1" applyBorder="1" applyAlignment="1">
      <alignment vertical="center" wrapText="1"/>
    </xf>
    <xf numFmtId="167" fontId="12" fillId="0" borderId="19" xfId="0" applyNumberFormat="1" applyFont="1" applyFill="1" applyBorder="1" applyAlignment="1">
      <alignment vertical="center" wrapText="1"/>
    </xf>
    <xf numFmtId="167" fontId="12" fillId="0" borderId="20" xfId="0" applyNumberFormat="1" applyFont="1" applyFill="1" applyBorder="1" applyAlignment="1">
      <alignment vertical="center" wrapText="1"/>
    </xf>
    <xf numFmtId="0" fontId="15" fillId="3" borderId="0" xfId="0" applyFont="1" applyFill="1" applyBorder="1" applyAlignment="1">
      <alignment vertical="top"/>
    </xf>
    <xf numFmtId="0" fontId="19" fillId="4" borderId="7" xfId="0" applyFont="1" applyFill="1" applyBorder="1" applyAlignment="1">
      <alignment horizontal="center" vertical="center" wrapText="1"/>
    </xf>
    <xf numFmtId="167" fontId="12" fillId="0" borderId="16" xfId="0" applyNumberFormat="1" applyFont="1" applyFill="1" applyBorder="1" applyAlignment="1">
      <alignment vertical="center" wrapText="1"/>
    </xf>
    <xf numFmtId="167" fontId="12"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2"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3"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0" fontId="12" fillId="2" borderId="9" xfId="0" applyFont="1" applyFill="1" applyBorder="1" applyAlignment="1">
      <alignment vertical="center"/>
    </xf>
    <xf numFmtId="167" fontId="12" fillId="2" borderId="9" xfId="0" applyNumberFormat="1" applyFont="1" applyFill="1" applyBorder="1" applyAlignment="1">
      <alignment vertical="center"/>
    </xf>
    <xf numFmtId="0" fontId="12" fillId="2" borderId="10" xfId="0" applyFont="1" applyFill="1" applyBorder="1" applyAlignment="1">
      <alignment vertical="center"/>
    </xf>
    <xf numFmtId="0" fontId="12" fillId="5" borderId="11" xfId="0" applyFont="1" applyFill="1" applyBorder="1" applyAlignment="1">
      <alignment vertical="center"/>
    </xf>
    <xf numFmtId="0" fontId="12"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2"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8" fontId="12" fillId="0" borderId="16" xfId="0" applyNumberFormat="1" applyFont="1" applyBorder="1" applyAlignment="1">
      <alignment horizontal="center" vertical="top"/>
    </xf>
    <xf numFmtId="167" fontId="12" fillId="0" borderId="16" xfId="0" applyNumberFormat="1" applyFont="1" applyBorder="1" applyAlignment="1">
      <alignment horizontal="right" vertical="center"/>
    </xf>
    <xf numFmtId="167" fontId="12" fillId="0" borderId="0" xfId="0" applyNumberFormat="1" applyFont="1" applyBorder="1" applyAlignment="1">
      <alignment horizontal="right" vertical="center"/>
    </xf>
    <xf numFmtId="167" fontId="12" fillId="0" borderId="17" xfId="0" applyNumberFormat="1" applyFont="1" applyBorder="1" applyAlignment="1">
      <alignment horizontal="right" vertical="center"/>
    </xf>
    <xf numFmtId="167" fontId="12" fillId="0" borderId="18" xfId="0" applyNumberFormat="1" applyFont="1" applyBorder="1" applyAlignment="1">
      <alignment horizontal="right" vertical="center"/>
    </xf>
    <xf numFmtId="167" fontId="12" fillId="0" borderId="19" xfId="0" applyNumberFormat="1" applyFont="1" applyBorder="1" applyAlignment="1">
      <alignment horizontal="right" vertical="center"/>
    </xf>
    <xf numFmtId="167" fontId="12" fillId="0" borderId="20" xfId="0" applyNumberFormat="1" applyFont="1" applyBorder="1" applyAlignment="1">
      <alignment horizontal="right" vertical="center"/>
    </xf>
    <xf numFmtId="171" fontId="8" fillId="0" borderId="0" xfId="3" applyNumberFormat="1" applyFont="1"/>
    <xf numFmtId="171" fontId="15" fillId="0" borderId="0" xfId="3" applyNumberFormat="1" applyFont="1"/>
    <xf numFmtId="0" fontId="15" fillId="3" borderId="6" xfId="0" applyFont="1" applyFill="1" applyBorder="1" applyAlignment="1">
      <alignment horizontal="center"/>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2" fillId="0" borderId="9" xfId="0" applyNumberFormat="1" applyFont="1" applyBorder="1" applyAlignment="1">
      <alignment horizontal="right" vertical="center" wrapText="1"/>
    </xf>
    <xf numFmtId="170" fontId="18" fillId="5" borderId="13" xfId="0" applyNumberFormat="1" applyFont="1" applyFill="1" applyBorder="1" applyAlignment="1">
      <alignment horizontal="left" vertical="center"/>
    </xf>
    <xf numFmtId="0" fontId="12" fillId="0" borderId="16" xfId="0" applyFont="1" applyBorder="1"/>
    <xf numFmtId="170" fontId="12" fillId="0" borderId="18" xfId="0" applyNumberFormat="1" applyFont="1" applyBorder="1" applyAlignment="1">
      <alignment vertical="center"/>
    </xf>
    <xf numFmtId="168" fontId="12" fillId="0" borderId="18" xfId="0" applyNumberFormat="1" applyFont="1" applyBorder="1" applyAlignment="1">
      <alignment horizontal="center" vertical="center"/>
    </xf>
    <xf numFmtId="169" fontId="12" fillId="0" borderId="0" xfId="0" applyNumberFormat="1" applyFont="1" applyFill="1" applyBorder="1" applyAlignment="1">
      <alignment horizontal="center" vertical="center"/>
    </xf>
    <xf numFmtId="0" fontId="12" fillId="0" borderId="11" xfId="0" applyFont="1" applyFill="1" applyBorder="1" applyAlignment="1">
      <alignment horizontal="left"/>
    </xf>
    <xf numFmtId="0" fontId="12" fillId="0" borderId="12" xfId="0" applyFont="1" applyFill="1" applyBorder="1" applyAlignment="1">
      <alignment horizontal="left"/>
    </xf>
    <xf numFmtId="0" fontId="12" fillId="2" borderId="21" xfId="0" applyFont="1" applyFill="1" applyBorder="1" applyAlignment="1">
      <alignment vertical="center"/>
    </xf>
    <xf numFmtId="0" fontId="12" fillId="2" borderId="17" xfId="0" applyFont="1" applyFill="1" applyBorder="1" applyAlignment="1">
      <alignment vertical="center"/>
    </xf>
    <xf numFmtId="170" fontId="19" fillId="5" borderId="8" xfId="0" quotePrefix="1" applyNumberFormat="1" applyFont="1" applyFill="1" applyBorder="1" applyAlignment="1">
      <alignment horizontal="center" vertical="center"/>
    </xf>
    <xf numFmtId="167" fontId="12" fillId="0" borderId="18" xfId="0" applyNumberFormat="1" applyFont="1" applyBorder="1" applyAlignment="1">
      <alignment vertical="center"/>
    </xf>
    <xf numFmtId="167" fontId="12" fillId="0" borderId="19" xfId="0" applyNumberFormat="1" applyFont="1" applyBorder="1" applyAlignment="1">
      <alignment vertical="center"/>
    </xf>
    <xf numFmtId="167" fontId="12" fillId="0" borderId="20" xfId="0" applyNumberFormat="1" applyFont="1" applyBorder="1" applyAlignment="1">
      <alignment vertical="center"/>
    </xf>
    <xf numFmtId="170" fontId="12" fillId="0" borderId="21" xfId="0" applyNumberFormat="1" applyFont="1" applyBorder="1" applyAlignment="1">
      <alignment vertical="center"/>
    </xf>
    <xf numFmtId="170" fontId="12" fillId="0" borderId="20" xfId="0" applyNumberFormat="1" applyFont="1" applyBorder="1" applyAlignment="1">
      <alignment vertical="center"/>
    </xf>
    <xf numFmtId="170" fontId="18" fillId="3" borderId="11" xfId="0" applyNumberFormat="1" applyFont="1" applyFill="1" applyBorder="1" applyAlignment="1">
      <alignment horizontal="center" vertical="center"/>
    </xf>
    <xf numFmtId="0" fontId="12" fillId="0" borderId="12" xfId="0" applyFont="1" applyBorder="1" applyAlignment="1">
      <alignment horizontal="left" vertical="center"/>
    </xf>
    <xf numFmtId="0" fontId="12" fillId="0" borderId="19" xfId="0" applyFont="1" applyBorder="1" applyAlignment="1">
      <alignment horizontal="left" vertical="center"/>
    </xf>
    <xf numFmtId="0" fontId="12" fillId="0" borderId="12" xfId="0" applyFont="1" applyBorder="1" applyAlignment="1">
      <alignment horizontal="left"/>
    </xf>
    <xf numFmtId="0" fontId="12" fillId="0" borderId="13" xfId="0" applyFont="1" applyBorder="1" applyAlignment="1">
      <alignment horizontal="left"/>
    </xf>
    <xf numFmtId="0" fontId="12" fillId="0" borderId="11" xfId="0" applyFont="1" applyBorder="1" applyAlignment="1">
      <alignment vertical="center"/>
    </xf>
    <xf numFmtId="170" fontId="19" fillId="4" borderId="7" xfId="0" quotePrefix="1" applyNumberFormat="1" applyFont="1" applyFill="1" applyBorder="1" applyAlignment="1">
      <alignment horizontal="center" vertical="center" wrapText="1"/>
    </xf>
    <xf numFmtId="0" fontId="12" fillId="0" borderId="0" xfId="6" applyFont="1" applyAlignment="1">
      <alignment horizontal="center" vertical="top"/>
    </xf>
    <xf numFmtId="170" fontId="12" fillId="0" borderId="0" xfId="6" applyNumberFormat="1" applyFont="1" applyAlignment="1">
      <alignment horizontal="center" vertical="top"/>
    </xf>
    <xf numFmtId="169" fontId="12" fillId="0" borderId="0" xfId="6" applyNumberFormat="1" applyFont="1" applyAlignment="1">
      <alignment horizontal="center" vertical="top"/>
    </xf>
    <xf numFmtId="0" fontId="17" fillId="0" borderId="0" xfId="0" applyFont="1" applyAlignment="1">
      <alignment vertical="top"/>
    </xf>
    <xf numFmtId="0" fontId="19" fillId="0" borderId="0" xfId="0" applyFont="1" applyAlignment="1">
      <alignment vertical="top"/>
    </xf>
    <xf numFmtId="0" fontId="22" fillId="0" borderId="0" xfId="0" applyFont="1" applyAlignment="1">
      <alignment vertical="top"/>
    </xf>
    <xf numFmtId="0" fontId="12" fillId="0" borderId="0" xfId="0" applyFont="1" applyAlignment="1">
      <alignment vertical="top"/>
    </xf>
    <xf numFmtId="0" fontId="19" fillId="0" borderId="0" xfId="0" applyFont="1" applyAlignment="1">
      <alignment horizontal="left" vertical="top"/>
    </xf>
    <xf numFmtId="169" fontId="12" fillId="0" borderId="0" xfId="6" applyNumberFormat="1" applyFont="1" applyFill="1" applyBorder="1" applyAlignment="1">
      <alignment horizontal="center" vertical="top"/>
    </xf>
    <xf numFmtId="168" fontId="12" fillId="0" borderId="0" xfId="6" applyNumberFormat="1" applyFont="1" applyFill="1" applyBorder="1" applyAlignment="1">
      <alignment horizontal="center" vertical="top"/>
    </xf>
    <xf numFmtId="0" fontId="12" fillId="0" borderId="0" xfId="6" applyFont="1" applyAlignment="1">
      <alignment horizontal="center" vertical="center"/>
    </xf>
    <xf numFmtId="170" fontId="19" fillId="4" borderId="10" xfId="6" quotePrefix="1" applyNumberFormat="1" applyFont="1" applyFill="1" applyBorder="1" applyAlignment="1">
      <alignment horizontal="center" vertical="center" wrapText="1"/>
    </xf>
    <xf numFmtId="170" fontId="19" fillId="4" borderId="7" xfId="6" quotePrefix="1" applyNumberFormat="1" applyFont="1" applyFill="1" applyBorder="1" applyAlignment="1">
      <alignment horizontal="center" vertical="center" wrapText="1"/>
    </xf>
    <xf numFmtId="0" fontId="12" fillId="0" borderId="0" xfId="6" applyFont="1" applyAlignment="1">
      <alignment horizontal="center" vertical="center" wrapText="1"/>
    </xf>
    <xf numFmtId="169" fontId="19" fillId="4" borderId="7" xfId="15" applyNumberFormat="1" applyFont="1" applyFill="1" applyBorder="1" applyAlignment="1">
      <alignment horizontal="center" vertical="center" wrapText="1"/>
    </xf>
    <xf numFmtId="170" fontId="19" fillId="4" borderId="7" xfId="15" applyNumberFormat="1" applyFont="1" applyFill="1" applyBorder="1" applyAlignment="1">
      <alignment horizontal="center" vertical="center" wrapText="1"/>
    </xf>
    <xf numFmtId="0" fontId="12" fillId="0" borderId="14" xfId="0" applyFont="1" applyBorder="1" applyAlignment="1">
      <alignment vertical="top"/>
    </xf>
    <xf numFmtId="168" fontId="12" fillId="0" borderId="14" xfId="0" applyNumberFormat="1" applyFont="1" applyBorder="1" applyAlignment="1">
      <alignment horizontal="center" vertical="top"/>
    </xf>
    <xf numFmtId="170" fontId="12" fillId="0" borderId="8" xfId="0" applyNumberFormat="1" applyFont="1" applyBorder="1" applyAlignment="1">
      <alignment horizontal="center" vertical="top"/>
    </xf>
    <xf numFmtId="168" fontId="12" fillId="0" borderId="8" xfId="0" applyNumberFormat="1" applyFont="1" applyBorder="1" applyAlignment="1">
      <alignment horizontal="center" vertical="top"/>
    </xf>
    <xf numFmtId="170" fontId="19" fillId="0" borderId="9" xfId="6" applyNumberFormat="1" applyFont="1" applyFill="1" applyBorder="1" applyAlignment="1">
      <alignment horizontal="right" vertical="top"/>
    </xf>
    <xf numFmtId="170" fontId="12" fillId="0" borderId="9" xfId="6" applyNumberFormat="1" applyFont="1" applyFill="1" applyBorder="1" applyAlignment="1">
      <alignment horizontal="right" vertical="top"/>
    </xf>
    <xf numFmtId="169" fontId="12" fillId="0" borderId="9" xfId="6" applyNumberFormat="1" applyFont="1" applyFill="1" applyBorder="1" applyAlignment="1">
      <alignment horizontal="right" vertical="top"/>
    </xf>
    <xf numFmtId="0" fontId="12" fillId="0" borderId="16" xfId="0" applyFont="1" applyBorder="1" applyAlignment="1">
      <alignment vertical="top"/>
    </xf>
    <xf numFmtId="170" fontId="12" fillId="0" borderId="9" xfId="0" applyNumberFormat="1" applyFont="1" applyBorder="1" applyAlignment="1">
      <alignment horizontal="center" vertical="top"/>
    </xf>
    <xf numFmtId="168" fontId="12" fillId="0" borderId="9" xfId="0" applyNumberFormat="1" applyFont="1" applyBorder="1" applyAlignment="1">
      <alignment horizontal="center" vertical="top"/>
    </xf>
    <xf numFmtId="170" fontId="12" fillId="0" borderId="0" xfId="6" applyNumberFormat="1" applyFont="1" applyFill="1" applyBorder="1" applyAlignment="1">
      <alignment horizontal="center" vertical="top"/>
    </xf>
    <xf numFmtId="0" fontId="19" fillId="0" borderId="18" xfId="6" applyFont="1" applyBorder="1" applyAlignment="1">
      <alignment horizontal="left" vertical="top" wrapText="1"/>
    </xf>
    <xf numFmtId="0" fontId="19" fillId="0" borderId="10" xfId="6" applyFont="1" applyBorder="1" applyAlignment="1">
      <alignment horizontal="left" vertical="top" wrapText="1"/>
    </xf>
    <xf numFmtId="0" fontId="19" fillId="0" borderId="20" xfId="6" applyFont="1" applyBorder="1" applyAlignment="1">
      <alignment horizontal="left" vertical="top" wrapText="1"/>
    </xf>
    <xf numFmtId="170" fontId="12" fillId="0" borderId="10" xfId="6" applyNumberFormat="1" applyFont="1" applyBorder="1" applyAlignment="1">
      <alignment horizontal="right" vertical="top"/>
    </xf>
    <xf numFmtId="169" fontId="12" fillId="0" borderId="10" xfId="6" applyNumberFormat="1" applyFont="1" applyBorder="1" applyAlignment="1">
      <alignment horizontal="right" vertical="top"/>
    </xf>
    <xf numFmtId="170" fontId="12" fillId="0" borderId="0" xfId="6" applyNumberFormat="1" applyFont="1" applyBorder="1" applyAlignment="1">
      <alignment horizontal="center" vertical="top"/>
    </xf>
    <xf numFmtId="170" fontId="19" fillId="3" borderId="23" xfId="6" applyNumberFormat="1" applyFont="1" applyFill="1" applyBorder="1" applyAlignment="1">
      <alignment horizontal="right" vertical="top"/>
    </xf>
    <xf numFmtId="170" fontId="12" fillId="0" borderId="0" xfId="6" applyNumberFormat="1" applyFont="1" applyAlignment="1">
      <alignment horizontal="right" vertical="top"/>
    </xf>
    <xf numFmtId="0" fontId="25" fillId="0" borderId="0" xfId="6" applyFont="1" applyAlignment="1">
      <alignment horizontal="center" vertical="top"/>
    </xf>
    <xf numFmtId="168" fontId="19" fillId="0" borderId="0" xfId="6" applyNumberFormat="1" applyFont="1" applyAlignment="1">
      <alignment horizontal="center" vertical="top"/>
    </xf>
    <xf numFmtId="0" fontId="19" fillId="0" borderId="0" xfId="6" applyFont="1" applyAlignment="1">
      <alignment horizontal="center" vertical="top"/>
    </xf>
    <xf numFmtId="172" fontId="12" fillId="0" borderId="0" xfId="16" applyNumberFormat="1" applyFont="1" applyAlignment="1">
      <alignment horizontal="center" vertical="top"/>
    </xf>
    <xf numFmtId="0" fontId="12" fillId="0" borderId="0" xfId="6" applyFont="1" applyBorder="1" applyAlignment="1">
      <alignment horizontal="center" vertical="top"/>
    </xf>
    <xf numFmtId="0" fontId="12" fillId="0" borderId="0" xfId="6" applyFont="1" applyBorder="1" applyAlignment="1">
      <alignment horizontal="center" vertical="top" wrapText="1"/>
    </xf>
    <xf numFmtId="0" fontId="19" fillId="0" borderId="0" xfId="6" quotePrefix="1" applyFont="1" applyBorder="1" applyAlignment="1">
      <alignment horizontal="center" vertical="top"/>
    </xf>
    <xf numFmtId="9" fontId="12" fillId="0" borderId="0" xfId="8" applyNumberFormat="1" applyFont="1" applyBorder="1" applyAlignment="1">
      <alignment horizontal="center" vertical="top"/>
    </xf>
    <xf numFmtId="9" fontId="12" fillId="0" borderId="0" xfId="16" applyFont="1" applyAlignment="1">
      <alignment horizontal="center" vertical="top"/>
    </xf>
    <xf numFmtId="170" fontId="12" fillId="0" borderId="8" xfId="0" applyNumberFormat="1" applyFont="1" applyFill="1" applyBorder="1" applyAlignment="1">
      <alignment horizontal="right" vertical="center"/>
    </xf>
    <xf numFmtId="0" fontId="12" fillId="0" borderId="19" xfId="0" applyFont="1" applyBorder="1" applyAlignment="1">
      <alignment horizontal="left"/>
    </xf>
    <xf numFmtId="0" fontId="12" fillId="0" borderId="20" xfId="0" applyFont="1" applyBorder="1" applyAlignment="1">
      <alignment horizontal="left"/>
    </xf>
    <xf numFmtId="170" fontId="12" fillId="0" borderId="7" xfId="0" applyNumberFormat="1" applyFont="1" applyBorder="1" applyAlignment="1">
      <alignment vertical="center"/>
    </xf>
    <xf numFmtId="170" fontId="12" fillId="0" borderId="12" xfId="0" applyNumberFormat="1" applyFont="1" applyBorder="1" applyAlignment="1">
      <alignment vertical="center"/>
    </xf>
    <xf numFmtId="0" fontId="12" fillId="2" borderId="8" xfId="0" applyFont="1" applyFill="1" applyBorder="1" applyAlignment="1">
      <alignment horizontal="left" vertical="center"/>
    </xf>
    <xf numFmtId="0" fontId="12" fillId="0" borderId="7" xfId="0" applyFont="1" applyFill="1" applyBorder="1" applyAlignment="1">
      <alignment horizontal="left"/>
    </xf>
    <xf numFmtId="0" fontId="19" fillId="4" borderId="14" xfId="0" applyFont="1" applyFill="1" applyBorder="1" applyAlignment="1">
      <alignment horizontal="center" vertical="center" wrapText="1"/>
    </xf>
    <xf numFmtId="168" fontId="12" fillId="0" borderId="0" xfId="0" applyNumberFormat="1" applyFont="1" applyBorder="1" applyAlignment="1">
      <alignment horizontal="center" vertical="top"/>
    </xf>
    <xf numFmtId="0" fontId="19" fillId="4" borderId="21" xfId="0" applyFont="1" applyFill="1" applyBorder="1" applyAlignment="1">
      <alignment horizontal="center" vertical="center" wrapText="1"/>
    </xf>
    <xf numFmtId="169" fontId="12" fillId="0" borderId="21" xfId="0" applyNumberFormat="1" applyFont="1" applyBorder="1" applyAlignment="1">
      <alignment horizontal="center" vertical="top"/>
    </xf>
    <xf numFmtId="169" fontId="12" fillId="0" borderId="17" xfId="0" applyNumberFormat="1" applyFont="1" applyBorder="1" applyAlignment="1">
      <alignment horizontal="center" vertical="top"/>
    </xf>
    <xf numFmtId="169" fontId="12" fillId="0" borderId="9" xfId="6" applyNumberFormat="1" applyFont="1" applyFill="1" applyBorder="1" applyAlignment="1">
      <alignment horizontal="center" vertical="top"/>
    </xf>
    <xf numFmtId="169" fontId="12" fillId="0" borderId="0" xfId="0" applyNumberFormat="1" applyFont="1" applyBorder="1" applyAlignment="1">
      <alignment horizontal="center" vertical="top"/>
    </xf>
    <xf numFmtId="0" fontId="19" fillId="4" borderId="15" xfId="0" applyFont="1" applyFill="1" applyBorder="1" applyAlignment="1">
      <alignment horizontal="center" vertical="center" wrapText="1"/>
    </xf>
    <xf numFmtId="169" fontId="12" fillId="0" borderId="15" xfId="0" applyNumberFormat="1" applyFont="1" applyBorder="1" applyAlignment="1">
      <alignment horizontal="center" vertical="top"/>
    </xf>
    <xf numFmtId="168" fontId="12" fillId="0" borderId="15" xfId="0" applyNumberFormat="1" applyFont="1" applyBorder="1" applyAlignment="1">
      <alignment horizontal="center" vertical="top"/>
    </xf>
    <xf numFmtId="168" fontId="12" fillId="0" borderId="21" xfId="0" applyNumberFormat="1" applyFont="1" applyFill="1" applyBorder="1" applyAlignment="1">
      <alignment horizontal="center" vertical="center"/>
    </xf>
    <xf numFmtId="169" fontId="12" fillId="0" borderId="9" xfId="0" applyNumberFormat="1" applyFont="1" applyBorder="1" applyAlignment="1">
      <alignment horizontal="center" vertical="center"/>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0" fillId="0" borderId="0" xfId="0" applyFont="1" applyAlignment="1">
      <alignment horizontal="left"/>
    </xf>
    <xf numFmtId="0" fontId="8" fillId="4" borderId="0" xfId="0" applyFont="1" applyFill="1" applyBorder="1" applyAlignment="1">
      <alignment horizontal="left" vertical="top" wrapText="1"/>
    </xf>
    <xf numFmtId="0" fontId="15" fillId="3" borderId="0" xfId="0" applyFont="1" applyFill="1" applyBorder="1" applyAlignment="1">
      <alignment horizontal="center"/>
    </xf>
    <xf numFmtId="164" fontId="8" fillId="4" borderId="0" xfId="2" applyFont="1" applyFill="1" applyBorder="1" applyAlignment="1">
      <alignment horizontal="left" vertical="top" wrapText="1"/>
    </xf>
    <xf numFmtId="168" fontId="12" fillId="0" borderId="0" xfId="0" applyNumberFormat="1" applyFont="1" applyBorder="1" applyAlignment="1">
      <alignment horizontal="center" vertical="center"/>
    </xf>
    <xf numFmtId="170" fontId="18" fillId="5" borderId="11" xfId="0" applyNumberFormat="1" applyFont="1" applyFill="1" applyBorder="1" applyAlignment="1">
      <alignment horizontal="center" vertical="center"/>
    </xf>
    <xf numFmtId="170" fontId="12" fillId="0" borderId="0" xfId="0" applyNumberFormat="1" applyFont="1" applyAlignment="1">
      <alignment horizontal="righ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0" xfId="0" applyFont="1" applyBorder="1" applyAlignment="1">
      <alignment horizontal="right" vertical="center"/>
    </xf>
    <xf numFmtId="0" fontId="12" fillId="0" borderId="15" xfId="0" applyFont="1" applyBorder="1" applyAlignment="1">
      <alignment horizontal="left" vertical="center"/>
    </xf>
    <xf numFmtId="0" fontId="12" fillId="0" borderId="19" xfId="0" applyFont="1" applyBorder="1" applyAlignment="1">
      <alignment horizontal="left" vertical="center"/>
    </xf>
    <xf numFmtId="0" fontId="12" fillId="0" borderId="14" xfId="0" applyFont="1" applyBorder="1" applyAlignment="1">
      <alignment vertical="center"/>
    </xf>
    <xf numFmtId="0" fontId="12" fillId="0" borderId="16" xfId="0" applyFont="1" applyBorder="1" applyAlignment="1">
      <alignmen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2" fillId="0" borderId="7" xfId="1" applyNumberFormat="1" applyFont="1" applyBorder="1" applyAlignment="1">
      <alignment vertical="center"/>
    </xf>
    <xf numFmtId="10" fontId="12" fillId="0" borderId="12" xfId="1" applyNumberFormat="1" applyFont="1" applyBorder="1" applyAlignment="1">
      <alignment vertical="center"/>
    </xf>
    <xf numFmtId="170" fontId="19" fillId="5" borderId="14" xfId="0" quotePrefix="1" applyNumberFormat="1" applyFont="1" applyFill="1" applyBorder="1" applyAlignment="1">
      <alignment horizontal="center" vertical="center" wrapText="1"/>
    </xf>
    <xf numFmtId="170" fontId="19" fillId="5" borderId="8" xfId="0" quotePrefix="1" applyNumberFormat="1" applyFont="1" applyFill="1" applyBorder="1" applyAlignment="1">
      <alignment horizontal="center" vertical="center" wrapText="1"/>
    </xf>
    <xf numFmtId="170" fontId="19" fillId="5" borderId="15" xfId="0" quotePrefix="1" applyNumberFormat="1" applyFont="1" applyFill="1" applyBorder="1" applyAlignment="1">
      <alignment horizontal="center" vertical="center" wrapText="1"/>
    </xf>
    <xf numFmtId="0" fontId="18" fillId="5" borderId="21" xfId="0" quotePrefix="1" applyFont="1" applyFill="1" applyBorder="1" applyAlignment="1">
      <alignment horizontal="center" vertical="center" wrapText="1"/>
    </xf>
    <xf numFmtId="0" fontId="12" fillId="0" borderId="0" xfId="0" applyFont="1" applyBorder="1" applyAlignment="1">
      <alignment horizontal="left"/>
    </xf>
    <xf numFmtId="0" fontId="12" fillId="0" borderId="15" xfId="0" applyFont="1" applyBorder="1" applyAlignment="1">
      <alignment horizontal="left"/>
    </xf>
    <xf numFmtId="168" fontId="12" fillId="0" borderId="10" xfId="0" applyNumberFormat="1" applyFont="1" applyBorder="1" applyAlignment="1">
      <alignment horizontal="center" vertical="top"/>
    </xf>
    <xf numFmtId="169" fontId="12" fillId="0" borderId="20" xfId="0" applyNumberFormat="1" applyFont="1" applyBorder="1" applyAlignment="1">
      <alignment horizontal="center" vertical="top"/>
    </xf>
    <xf numFmtId="170" fontId="12" fillId="0" borderId="10" xfId="0" applyNumberFormat="1" applyFont="1" applyBorder="1" applyAlignment="1">
      <alignment horizontal="center" vertical="top"/>
    </xf>
    <xf numFmtId="168" fontId="12" fillId="0" borderId="18" xfId="0" applyNumberFormat="1" applyFont="1" applyBorder="1" applyAlignment="1">
      <alignment horizontal="center" vertical="top"/>
    </xf>
    <xf numFmtId="169" fontId="12" fillId="0" borderId="9" xfId="0" applyNumberFormat="1" applyFont="1" applyBorder="1" applyAlignment="1">
      <alignment horizontal="center" vertical="top"/>
    </xf>
    <xf numFmtId="170" fontId="12" fillId="0" borderId="10" xfId="6" applyNumberFormat="1" applyFont="1" applyFill="1" applyBorder="1" applyAlignment="1">
      <alignment horizontal="right" vertical="top"/>
    </xf>
    <xf numFmtId="172" fontId="12" fillId="0" borderId="0" xfId="1" applyNumberFormat="1" applyFont="1" applyAlignment="1">
      <alignment horizontal="center" vertical="top"/>
    </xf>
    <xf numFmtId="173" fontId="12" fillId="0" borderId="14" xfId="0" applyNumberFormat="1" applyFont="1" applyBorder="1" applyAlignment="1">
      <alignment horizontal="right" vertical="center"/>
    </xf>
    <xf numFmtId="173" fontId="12" fillId="0" borderId="15" xfId="0" applyNumberFormat="1" applyFont="1" applyBorder="1" applyAlignment="1">
      <alignment horizontal="right" vertical="center"/>
    </xf>
    <xf numFmtId="173" fontId="12" fillId="0" borderId="21" xfId="0" applyNumberFormat="1" applyFont="1" applyBorder="1" applyAlignment="1">
      <alignment horizontal="right" vertical="center"/>
    </xf>
    <xf numFmtId="173" fontId="12" fillId="0" borderId="16" xfId="0" applyNumberFormat="1" applyFont="1" applyBorder="1" applyAlignment="1">
      <alignment horizontal="right" vertical="center"/>
    </xf>
    <xf numFmtId="173" fontId="12" fillId="0" borderId="0" xfId="0" applyNumberFormat="1" applyFont="1" applyBorder="1" applyAlignment="1">
      <alignment horizontal="right" vertical="center"/>
    </xf>
    <xf numFmtId="173" fontId="12" fillId="0" borderId="17" xfId="0" applyNumberFormat="1" applyFont="1" applyBorder="1" applyAlignment="1">
      <alignment horizontal="right" vertical="center"/>
    </xf>
    <xf numFmtId="173" fontId="12" fillId="0" borderId="18" xfId="0" applyNumberFormat="1" applyFont="1" applyBorder="1" applyAlignment="1">
      <alignment horizontal="right" vertical="center"/>
    </xf>
    <xf numFmtId="173" fontId="12" fillId="0" borderId="19" xfId="0" applyNumberFormat="1" applyFont="1" applyBorder="1" applyAlignment="1">
      <alignment horizontal="right" vertical="center"/>
    </xf>
    <xf numFmtId="173" fontId="12" fillId="0" borderId="20" xfId="0" applyNumberFormat="1" applyFont="1" applyBorder="1" applyAlignment="1">
      <alignment horizontal="right" vertical="center"/>
    </xf>
    <xf numFmtId="173" fontId="18" fillId="3" borderId="11" xfId="0" applyNumberFormat="1" applyFont="1" applyFill="1" applyBorder="1" applyAlignment="1"/>
    <xf numFmtId="173" fontId="18" fillId="3" borderId="12" xfId="0" applyNumberFormat="1" applyFont="1" applyFill="1" applyBorder="1" applyAlignment="1"/>
    <xf numFmtId="173" fontId="18" fillId="3" borderId="13" xfId="0" applyNumberFormat="1" applyFont="1" applyFill="1" applyBorder="1" applyAlignment="1"/>
    <xf numFmtId="173" fontId="12" fillId="0" borderId="0" xfId="0" applyNumberFormat="1" applyFont="1" applyAlignment="1">
      <alignment vertical="center"/>
    </xf>
    <xf numFmtId="173" fontId="18" fillId="3" borderId="18" xfId="0" applyNumberFormat="1" applyFont="1" applyFill="1" applyBorder="1" applyAlignment="1"/>
    <xf numFmtId="173" fontId="18" fillId="3" borderId="19" xfId="0" applyNumberFormat="1" applyFont="1" applyFill="1" applyBorder="1" applyAlignment="1"/>
    <xf numFmtId="173" fontId="18" fillId="3" borderId="20" xfId="0" applyNumberFormat="1" applyFont="1" applyFill="1" applyBorder="1" applyAlignment="1"/>
    <xf numFmtId="170" fontId="12" fillId="0" borderId="0" xfId="0" applyNumberFormat="1" applyFont="1" applyBorder="1" applyAlignment="1">
      <alignment horizontal="right" vertical="center"/>
    </xf>
    <xf numFmtId="170" fontId="12" fillId="0" borderId="17" xfId="0" applyNumberFormat="1" applyFont="1" applyBorder="1" applyAlignment="1">
      <alignment horizontal="right" vertical="center"/>
    </xf>
    <xf numFmtId="170" fontId="12" fillId="0" borderId="14" xfId="0" applyNumberFormat="1" applyFont="1" applyBorder="1" applyAlignment="1">
      <alignment horizontal="right" vertical="center"/>
    </xf>
    <xf numFmtId="170" fontId="12" fillId="0" borderId="15" xfId="0" applyNumberFormat="1" applyFont="1" applyBorder="1" applyAlignment="1">
      <alignment horizontal="right" vertical="center"/>
    </xf>
    <xf numFmtId="170" fontId="12" fillId="0" borderId="21" xfId="0" applyNumberFormat="1" applyFont="1" applyBorder="1" applyAlignment="1">
      <alignment horizontal="right" vertical="center"/>
    </xf>
    <xf numFmtId="170" fontId="12" fillId="0" borderId="16" xfId="0" applyNumberFormat="1" applyFont="1" applyBorder="1" applyAlignment="1">
      <alignment horizontal="right" vertical="center"/>
    </xf>
    <xf numFmtId="170" fontId="12" fillId="0" borderId="18" xfId="0" applyNumberFormat="1" applyFont="1" applyBorder="1" applyAlignment="1">
      <alignment horizontal="right" vertical="center"/>
    </xf>
    <xf numFmtId="170" fontId="12" fillId="0" borderId="19" xfId="0" applyNumberFormat="1" applyFont="1" applyBorder="1" applyAlignment="1">
      <alignment horizontal="right" vertical="center"/>
    </xf>
    <xf numFmtId="170" fontId="12" fillId="0" borderId="20" xfId="0" applyNumberFormat="1" applyFont="1" applyBorder="1" applyAlignment="1">
      <alignment horizontal="right" vertical="center"/>
    </xf>
    <xf numFmtId="170" fontId="18" fillId="3" borderId="12" xfId="0" applyNumberFormat="1" applyFont="1" applyFill="1" applyBorder="1" applyAlignment="1">
      <alignment horizontal="right" vertical="center"/>
    </xf>
    <xf numFmtId="170" fontId="18" fillId="3" borderId="13" xfId="0" applyNumberFormat="1" applyFont="1" applyFill="1" applyBorder="1" applyAlignment="1">
      <alignment horizontal="right" vertical="center"/>
    </xf>
    <xf numFmtId="0" fontId="12" fillId="0" borderId="0" xfId="0" applyFont="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170" fontId="19" fillId="2" borderId="25" xfId="0" applyNumberFormat="1" applyFont="1" applyFill="1" applyBorder="1" applyAlignment="1">
      <alignment vertical="center"/>
    </xf>
    <xf numFmtId="0" fontId="19" fillId="8" borderId="8" xfId="0" applyFont="1" applyFill="1" applyBorder="1" applyAlignment="1">
      <alignment horizontal="left" vertical="center"/>
    </xf>
    <xf numFmtId="0" fontId="12" fillId="0" borderId="0" xfId="0" applyFont="1" applyBorder="1" applyAlignment="1">
      <alignmen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167" fontId="19" fillId="2" borderId="7" xfId="0" applyNumberFormat="1" applyFont="1" applyFill="1" applyBorder="1" applyAlignment="1">
      <alignment horizontal="left"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12" fillId="0" borderId="18" xfId="0" applyFont="1" applyBorder="1" applyAlignment="1">
      <alignment horizontal="left" vertical="center"/>
    </xf>
    <xf numFmtId="0" fontId="12" fillId="0" borderId="19"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13" xfId="0" applyFont="1" applyBorder="1" applyAlignment="1">
      <alignment horizontal="left" vertical="center"/>
    </xf>
    <xf numFmtId="0" fontId="12" fillId="0" borderId="21"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2" fillId="0" borderId="14" xfId="0" applyFont="1" applyBorder="1" applyAlignment="1">
      <alignment horizontal="right"/>
    </xf>
    <xf numFmtId="0" fontId="12" fillId="0" borderId="15" xfId="0" applyFont="1" applyBorder="1" applyAlignment="1">
      <alignment horizontal="right"/>
    </xf>
    <xf numFmtId="0" fontId="12"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2" fillId="0" borderId="18" xfId="0" applyFont="1" applyBorder="1" applyAlignment="1">
      <alignment horizontal="right"/>
    </xf>
    <xf numFmtId="0" fontId="12" fillId="0" borderId="19" xfId="0" applyFont="1" applyBorder="1" applyAlignment="1">
      <alignment horizontal="right"/>
    </xf>
    <xf numFmtId="0" fontId="12"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170" fontId="18" fillId="5" borderId="7" xfId="0" applyNumberFormat="1" applyFont="1" applyFill="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2" fillId="0" borderId="14" xfId="0" applyFont="1" applyBorder="1" applyAlignment="1">
      <alignment horizontal="right" vertical="center"/>
    </xf>
    <xf numFmtId="0" fontId="12" fillId="0" borderId="15" xfId="0" applyFont="1" applyBorder="1" applyAlignment="1">
      <alignment horizontal="right" vertical="center"/>
    </xf>
    <xf numFmtId="0" fontId="12" fillId="0" borderId="21" xfId="0" applyFont="1" applyBorder="1" applyAlignment="1">
      <alignment horizontal="right" vertical="center"/>
    </xf>
    <xf numFmtId="0" fontId="12" fillId="0" borderId="18" xfId="0" applyFont="1" applyBorder="1" applyAlignment="1">
      <alignment horizontal="right" vertical="center"/>
    </xf>
    <xf numFmtId="0" fontId="12" fillId="0" borderId="19" xfId="0" applyFont="1" applyBorder="1" applyAlignment="1">
      <alignment horizontal="right" vertical="center"/>
    </xf>
    <xf numFmtId="0" fontId="12"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170" fontId="12" fillId="2" borderId="8" xfId="0" applyNumberFormat="1" applyFont="1" applyFill="1" applyBorder="1" applyAlignment="1">
      <alignment horizontal="center" vertical="center"/>
    </xf>
    <xf numFmtId="170" fontId="12" fillId="2" borderId="9" xfId="0" applyNumberFormat="1" applyFont="1" applyFill="1" applyBorder="1" applyAlignment="1">
      <alignment horizontal="center" vertical="center"/>
    </xf>
    <xf numFmtId="170" fontId="12" fillId="2" borderId="10" xfId="0" applyNumberFormat="1" applyFont="1" applyFill="1" applyBorder="1" applyAlignment="1">
      <alignment horizontal="center"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170" fontId="12" fillId="9" borderId="8" xfId="0" applyNumberFormat="1" applyFont="1" applyFill="1" applyBorder="1" applyAlignment="1">
      <alignment horizontal="right" vertical="center"/>
    </xf>
    <xf numFmtId="170" fontId="12" fillId="9" borderId="9" xfId="0" applyNumberFormat="1" applyFont="1" applyFill="1" applyBorder="1" applyAlignment="1">
      <alignment horizontal="right" vertical="center"/>
    </xf>
    <xf numFmtId="170" fontId="12" fillId="9" borderId="10" xfId="0" applyNumberFormat="1" applyFont="1" applyFill="1" applyBorder="1" applyAlignment="1">
      <alignment horizontal="right" vertical="center"/>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12" fillId="0" borderId="11" xfId="0" applyFont="1" applyFill="1" applyBorder="1" applyAlignment="1">
      <alignment horizontal="left" vertical="center"/>
    </xf>
    <xf numFmtId="0" fontId="12" fillId="0" borderId="12" xfId="0" applyFont="1" applyFill="1" applyBorder="1" applyAlignment="1">
      <alignment horizontal="left" vertical="center"/>
    </xf>
    <xf numFmtId="0" fontId="12" fillId="0" borderId="13" xfId="0" applyFont="1" applyFill="1" applyBorder="1" applyAlignment="1">
      <alignment horizontal="left" vertical="center"/>
    </xf>
    <xf numFmtId="168" fontId="19" fillId="3" borderId="11" xfId="6" applyNumberFormat="1" applyFont="1" applyFill="1" applyBorder="1" applyAlignment="1">
      <alignment horizontal="center" vertical="top"/>
    </xf>
    <xf numFmtId="168" fontId="19" fillId="3" borderId="12" xfId="6" applyNumberFormat="1" applyFont="1" applyFill="1" applyBorder="1" applyAlignment="1">
      <alignment horizontal="center" vertical="top"/>
    </xf>
    <xf numFmtId="168" fontId="19" fillId="3" borderId="13" xfId="6" applyNumberFormat="1" applyFont="1" applyFill="1" applyBorder="1" applyAlignment="1">
      <alignment horizontal="center" vertical="top"/>
    </xf>
    <xf numFmtId="0" fontId="12" fillId="0" borderId="11" xfId="6" applyFont="1" applyBorder="1" applyAlignment="1">
      <alignment horizontal="left" vertical="top" wrapText="1"/>
    </xf>
    <xf numFmtId="0" fontId="12" fillId="0" borderId="12" xfId="6" applyFont="1" applyBorder="1" applyAlignment="1">
      <alignment horizontal="left" vertical="top" wrapText="1"/>
    </xf>
    <xf numFmtId="0" fontId="12" fillId="0" borderId="13" xfId="6" applyFont="1" applyBorder="1" applyAlignment="1">
      <alignment horizontal="left" vertical="top" wrapText="1"/>
    </xf>
    <xf numFmtId="0" fontId="19" fillId="3" borderId="11" xfId="6" applyFont="1" applyFill="1" applyBorder="1" applyAlignment="1">
      <alignment horizontal="center" vertical="top"/>
    </xf>
    <xf numFmtId="0" fontId="19" fillId="3" borderId="12" xfId="6" applyFont="1" applyFill="1" applyBorder="1" applyAlignment="1">
      <alignment horizontal="center" vertical="top"/>
    </xf>
    <xf numFmtId="0" fontId="19" fillId="3" borderId="13" xfId="6" applyFont="1" applyFill="1" applyBorder="1" applyAlignment="1">
      <alignment horizontal="center" vertical="top"/>
    </xf>
    <xf numFmtId="170" fontId="19" fillId="3" borderId="11" xfId="6" applyNumberFormat="1" applyFont="1" applyFill="1" applyBorder="1" applyAlignment="1">
      <alignment horizontal="center" vertical="top"/>
    </xf>
    <xf numFmtId="170" fontId="19" fillId="3" borderId="12" xfId="6" applyNumberFormat="1" applyFont="1" applyFill="1" applyBorder="1" applyAlignment="1">
      <alignment horizontal="center" vertical="top"/>
    </xf>
    <xf numFmtId="170" fontId="19" fillId="3" borderId="13" xfId="6" applyNumberFormat="1" applyFont="1" applyFill="1" applyBorder="1" applyAlignment="1">
      <alignment horizontal="center" vertical="top"/>
    </xf>
    <xf numFmtId="170" fontId="18" fillId="3" borderId="11" xfId="6" applyNumberFormat="1" applyFont="1" applyFill="1" applyBorder="1" applyAlignment="1">
      <alignment horizontal="center" vertical="top"/>
    </xf>
    <xf numFmtId="170" fontId="18" fillId="3" borderId="12" xfId="6" applyNumberFormat="1" applyFont="1" applyFill="1" applyBorder="1" applyAlignment="1">
      <alignment horizontal="center" vertical="top"/>
    </xf>
    <xf numFmtId="170" fontId="18" fillId="3" borderId="13" xfId="6" applyNumberFormat="1" applyFont="1" applyFill="1" applyBorder="1" applyAlignment="1">
      <alignment horizontal="center" vertical="top"/>
    </xf>
    <xf numFmtId="170" fontId="18" fillId="3" borderId="11" xfId="6" applyNumberFormat="1" applyFont="1" applyFill="1" applyBorder="1" applyAlignment="1">
      <alignment horizontal="center" vertical="top" wrapText="1"/>
    </xf>
    <xf numFmtId="170" fontId="18" fillId="3" borderId="12" xfId="6" applyNumberFormat="1" applyFont="1" applyFill="1" applyBorder="1" applyAlignment="1">
      <alignment horizontal="center" vertical="top" wrapText="1"/>
    </xf>
    <xf numFmtId="170" fontId="18" fillId="3" borderId="13" xfId="6" applyNumberFormat="1" applyFont="1" applyFill="1" applyBorder="1" applyAlignment="1">
      <alignment horizontal="center" vertical="top" wrapText="1"/>
    </xf>
    <xf numFmtId="0" fontId="0" fillId="4" borderId="1" xfId="0" applyFill="1" applyBorder="1" applyAlignment="1">
      <alignment horizontal="left" vertical="top" wrapText="1"/>
    </xf>
    <xf numFmtId="0" fontId="0" fillId="4" borderId="1" xfId="0" applyFill="1" applyBorder="1" applyAlignment="1">
      <alignment horizontal="left" wrapText="1"/>
    </xf>
    <xf numFmtId="0" fontId="8" fillId="4" borderId="0" xfId="0" applyFont="1" applyFill="1" applyBorder="1" applyAlignment="1">
      <alignment horizontal="left" vertical="top" wrapText="1"/>
    </xf>
    <xf numFmtId="0" fontId="15" fillId="3" borderId="6" xfId="0" applyFont="1" applyFill="1" applyBorder="1" applyAlignment="1">
      <alignment horizontal="left"/>
    </xf>
    <xf numFmtId="0" fontId="15" fillId="3" borderId="4" xfId="0" applyFont="1" applyFill="1" applyBorder="1" applyAlignment="1">
      <alignment horizontal="left"/>
    </xf>
    <xf numFmtId="0" fontId="8" fillId="0" borderId="0" xfId="2" applyNumberFormat="1" applyFont="1" applyAlignment="1">
      <alignment horizontal="left" vertical="top"/>
    </xf>
    <xf numFmtId="0" fontId="8" fillId="4" borderId="26" xfId="0" applyFont="1" applyFill="1" applyBorder="1" applyAlignment="1">
      <alignment horizontal="left" vertical="top"/>
    </xf>
    <xf numFmtId="0" fontId="8" fillId="4" borderId="2" xfId="0" applyFont="1" applyFill="1" applyBorder="1" applyAlignment="1">
      <alignment horizontal="left" vertical="top"/>
    </xf>
    <xf numFmtId="0" fontId="8" fillId="4" borderId="1" xfId="0" applyFont="1" applyFill="1" applyBorder="1" applyAlignment="1">
      <alignment horizontal="left" vertical="top" wrapText="1"/>
    </xf>
    <xf numFmtId="0" fontId="6" fillId="4" borderId="6" xfId="0" applyFont="1" applyFill="1" applyBorder="1" applyAlignment="1">
      <alignment horizontal="left"/>
    </xf>
    <xf numFmtId="0" fontId="6" fillId="4" borderId="0" xfId="0" applyFont="1" applyFill="1" applyBorder="1" applyAlignment="1">
      <alignment horizontal="left"/>
    </xf>
    <xf numFmtId="0" fontId="0" fillId="4" borderId="1" xfId="0" applyFont="1" applyFill="1" applyBorder="1" applyAlignment="1">
      <alignment horizontal="left" vertical="top"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cellXfs>
  <cellStyles count="19">
    <cellStyle name="Comma" xfId="3" builtinId="3"/>
    <cellStyle name="Comma 2" xfId="10"/>
    <cellStyle name="Comma 3" xfId="11"/>
    <cellStyle name="Currency" xfId="2" builtinId="4"/>
    <cellStyle name="Currency 2" xfId="4"/>
    <cellStyle name="Normal" xfId="0" builtinId="0"/>
    <cellStyle name="Normal 15" xfId="18"/>
    <cellStyle name="Normal 2" xfId="5"/>
    <cellStyle name="Normal 2 2" xfId="6"/>
    <cellStyle name="Normal 2 2 2" xfId="12"/>
    <cellStyle name="Normal 3" xfId="7"/>
    <cellStyle name="Normal 3 2" xfId="15"/>
    <cellStyle name="Normal 4" xfId="13"/>
    <cellStyle name="Normal 5" xfId="17"/>
    <cellStyle name="Note 2" xfId="14"/>
    <cellStyle name="Percent" xfId="1" builtinId="5"/>
    <cellStyle name="Percent 2" xfId="8"/>
    <cellStyle name="Percent 3" xfId="9"/>
    <cellStyle name="Percent 3 2" xfId="16"/>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47"/>
  <sheetViews>
    <sheetView showGridLines="0" zoomScaleNormal="100" workbookViewId="0"/>
  </sheetViews>
  <sheetFormatPr defaultColWidth="9.140625" defaultRowHeight="12.75" zeroHeight="1" x14ac:dyDescent="0.2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x14ac:dyDescent="0.25">
      <c r="B1" s="23"/>
    </row>
    <row r="2" spans="2:13" ht="21" x14ac:dyDescent="0.25">
      <c r="B2" s="26" t="s">
        <v>34</v>
      </c>
    </row>
    <row r="3" spans="2:13" ht="21" x14ac:dyDescent="0.25">
      <c r="B3" s="26" t="str">
        <f>+'AER Summary'!C3</f>
        <v>Inspection of Service Work (Level 2 work)</v>
      </c>
    </row>
    <row r="4" spans="2:13" ht="18.75" x14ac:dyDescent="0.25">
      <c r="B4" s="27" t="s">
        <v>35</v>
      </c>
    </row>
    <row r="5" spans="2:13" x14ac:dyDescent="0.25"/>
    <row r="6" spans="2:13" ht="15.75" x14ac:dyDescent="0.25">
      <c r="B6" s="28" t="s">
        <v>117</v>
      </c>
      <c r="C6" s="29"/>
      <c r="D6" s="29"/>
      <c r="E6" s="29"/>
      <c r="F6" s="29"/>
      <c r="G6" s="30"/>
      <c r="H6" s="30"/>
      <c r="I6" s="30"/>
      <c r="J6" s="30"/>
      <c r="K6" s="29"/>
      <c r="M6" s="31"/>
    </row>
    <row r="7" spans="2:13" x14ac:dyDescent="0.25"/>
    <row r="8" spans="2:13" ht="38.25" x14ac:dyDescent="0.25">
      <c r="B8" s="355" t="s">
        <v>9</v>
      </c>
      <c r="C8" s="356"/>
      <c r="D8" s="356"/>
      <c r="E8" s="356"/>
      <c r="F8" s="357"/>
      <c r="G8" s="256" t="s">
        <v>46</v>
      </c>
      <c r="H8" s="257" t="s">
        <v>8</v>
      </c>
      <c r="I8" s="258" t="s">
        <v>82</v>
      </c>
      <c r="J8" s="257" t="s">
        <v>58</v>
      </c>
      <c r="K8" s="259" t="s">
        <v>45</v>
      </c>
      <c r="M8" s="36" t="s">
        <v>5</v>
      </c>
    </row>
    <row r="9" spans="2:13" x14ac:dyDescent="0.2">
      <c r="B9" s="250" t="s">
        <v>108</v>
      </c>
      <c r="C9" s="248"/>
      <c r="D9" s="261"/>
      <c r="E9" s="261"/>
      <c r="F9" s="261"/>
      <c r="G9" s="191">
        <f>88/11*10</f>
        <v>80</v>
      </c>
      <c r="H9" s="226">
        <f>+K9/G9</f>
        <v>0.25</v>
      </c>
      <c r="I9" s="190" t="s">
        <v>119</v>
      </c>
      <c r="J9" s="189">
        <v>22</v>
      </c>
      <c r="K9" s="191">
        <f>+J9/11*10</f>
        <v>20</v>
      </c>
      <c r="M9" s="309" t="s">
        <v>118</v>
      </c>
    </row>
    <row r="10" spans="2:13" x14ac:dyDescent="0.2">
      <c r="B10" s="251" t="s">
        <v>109</v>
      </c>
      <c r="C10" s="65"/>
      <c r="D10" s="260"/>
      <c r="E10" s="260"/>
      <c r="F10" s="260"/>
      <c r="G10" s="197">
        <f>88/11*10</f>
        <v>80</v>
      </c>
      <c r="H10" s="227">
        <f t="shared" ref="H10:H11" si="0">+K10/G10</f>
        <v>0.41249999999999998</v>
      </c>
      <c r="I10" s="196" t="s">
        <v>119</v>
      </c>
      <c r="J10" s="137">
        <v>36.299999999999997</v>
      </c>
      <c r="K10" s="197">
        <f>+J10/11*10</f>
        <v>33</v>
      </c>
      <c r="M10" s="310"/>
    </row>
    <row r="11" spans="2:13" x14ac:dyDescent="0.2">
      <c r="B11" s="88" t="s">
        <v>110</v>
      </c>
      <c r="C11" s="249"/>
      <c r="D11" s="217"/>
      <c r="E11" s="217"/>
      <c r="F11" s="217"/>
      <c r="G11" s="262">
        <f>88/11*10</f>
        <v>80</v>
      </c>
      <c r="H11" s="263">
        <f t="shared" si="0"/>
        <v>1.2</v>
      </c>
      <c r="I11" s="264" t="s">
        <v>119</v>
      </c>
      <c r="J11" s="265">
        <v>105.6</v>
      </c>
      <c r="K11" s="262">
        <f>+J11/11*10</f>
        <v>96</v>
      </c>
      <c r="M11" s="311"/>
    </row>
    <row r="12" spans="2:13" x14ac:dyDescent="0.25"/>
    <row r="13" spans="2:13" ht="15.75" x14ac:dyDescent="0.25">
      <c r="B13" s="28" t="s">
        <v>2</v>
      </c>
      <c r="C13" s="29"/>
      <c r="D13" s="29"/>
      <c r="E13" s="29"/>
      <c r="F13" s="29"/>
      <c r="G13" s="30"/>
      <c r="H13" s="30"/>
      <c r="I13" s="30"/>
      <c r="J13" s="30"/>
      <c r="K13" s="29"/>
      <c r="M13" s="31"/>
    </row>
    <row r="14" spans="2:13" x14ac:dyDescent="0.25"/>
    <row r="15" spans="2:13" x14ac:dyDescent="0.25">
      <c r="B15" s="339" t="s">
        <v>9</v>
      </c>
      <c r="C15" s="340"/>
      <c r="D15" s="340"/>
      <c r="E15" s="340"/>
      <c r="F15" s="341"/>
      <c r="G15" s="32" t="s">
        <v>11</v>
      </c>
      <c r="H15" s="33" t="s">
        <v>12</v>
      </c>
      <c r="I15" s="34" t="s">
        <v>13</v>
      </c>
      <c r="J15" s="33" t="s">
        <v>14</v>
      </c>
      <c r="K15" s="35" t="s">
        <v>15</v>
      </c>
      <c r="M15" s="36" t="s">
        <v>5</v>
      </c>
    </row>
    <row r="16" spans="2:13" ht="24" customHeight="1" x14ac:dyDescent="0.25">
      <c r="B16" s="317" t="s">
        <v>99</v>
      </c>
      <c r="C16" s="318"/>
      <c r="D16" s="318"/>
      <c r="E16" s="318"/>
      <c r="F16" s="319"/>
      <c r="G16" s="364">
        <v>389116.49</v>
      </c>
      <c r="H16" s="17">
        <v>643458.9</v>
      </c>
      <c r="I16" s="18">
        <v>513277.98</v>
      </c>
      <c r="J16" s="17">
        <v>461734.87</v>
      </c>
      <c r="K16" s="66"/>
      <c r="M16" s="367" t="s">
        <v>120</v>
      </c>
    </row>
    <row r="17" spans="2:13" ht="24" customHeight="1" x14ac:dyDescent="0.25">
      <c r="B17" s="317" t="s">
        <v>100</v>
      </c>
      <c r="C17" s="318"/>
      <c r="D17" s="318"/>
      <c r="E17" s="318"/>
      <c r="F17" s="319"/>
      <c r="G17" s="365"/>
      <c r="H17" s="17">
        <v>479130.54000000004</v>
      </c>
      <c r="I17" s="18">
        <v>415155</v>
      </c>
      <c r="J17" s="17">
        <v>348862</v>
      </c>
      <c r="K17" s="66"/>
      <c r="M17" s="368"/>
    </row>
    <row r="18" spans="2:13" ht="24" customHeight="1" x14ac:dyDescent="0.25">
      <c r="B18" s="317" t="s">
        <v>101</v>
      </c>
      <c r="C18" s="318"/>
      <c r="D18" s="318"/>
      <c r="E18" s="318"/>
      <c r="F18" s="319"/>
      <c r="G18" s="366"/>
      <c r="H18" s="17">
        <v>0</v>
      </c>
      <c r="I18" s="18">
        <v>96</v>
      </c>
      <c r="J18" s="17">
        <v>96</v>
      </c>
      <c r="K18" s="66"/>
      <c r="M18" s="369"/>
    </row>
    <row r="19" spans="2:13" x14ac:dyDescent="0.25"/>
    <row r="20" spans="2:13" ht="15.75" x14ac:dyDescent="0.25">
      <c r="B20" s="28" t="s">
        <v>27</v>
      </c>
      <c r="C20" s="29"/>
      <c r="D20" s="29"/>
      <c r="E20" s="29"/>
      <c r="F20" s="29"/>
      <c r="G20" s="30"/>
      <c r="H20" s="30"/>
      <c r="I20" s="30"/>
      <c r="J20" s="30"/>
      <c r="K20" s="29"/>
      <c r="M20" s="31"/>
    </row>
    <row r="21" spans="2:13" x14ac:dyDescent="0.25"/>
    <row r="22" spans="2:13" x14ac:dyDescent="0.25">
      <c r="B22" s="44" t="s">
        <v>24</v>
      </c>
      <c r="C22" s="342" t="s">
        <v>26</v>
      </c>
      <c r="D22" s="342"/>
      <c r="E22" s="342"/>
      <c r="F22" s="342"/>
      <c r="G22" s="33" t="s">
        <v>11</v>
      </c>
      <c r="H22" s="33" t="s">
        <v>12</v>
      </c>
      <c r="I22" s="33" t="s">
        <v>13</v>
      </c>
      <c r="J22" s="33" t="s">
        <v>14</v>
      </c>
      <c r="K22" s="45" t="s">
        <v>15</v>
      </c>
      <c r="M22" s="36" t="s">
        <v>5</v>
      </c>
    </row>
    <row r="23" spans="2:13" ht="20.100000000000001" customHeight="1" x14ac:dyDescent="0.25">
      <c r="B23" s="19" t="s">
        <v>102</v>
      </c>
      <c r="C23" s="370" t="s">
        <v>105</v>
      </c>
      <c r="D23" s="371"/>
      <c r="E23" s="371"/>
      <c r="F23" s="372"/>
      <c r="G23" s="358" t="s">
        <v>10</v>
      </c>
      <c r="H23" s="20">
        <v>6115.5100000000093</v>
      </c>
      <c r="I23" s="17">
        <v>3671.42</v>
      </c>
      <c r="J23" s="17">
        <v>0</v>
      </c>
      <c r="K23" s="68"/>
      <c r="M23" s="309" t="s">
        <v>77</v>
      </c>
    </row>
    <row r="24" spans="2:13" ht="20.100000000000001" customHeight="1" x14ac:dyDescent="0.25">
      <c r="B24" s="19" t="s">
        <v>103</v>
      </c>
      <c r="C24" s="370" t="s">
        <v>106</v>
      </c>
      <c r="D24" s="371"/>
      <c r="E24" s="371"/>
      <c r="F24" s="372"/>
      <c r="G24" s="359"/>
      <c r="H24" s="20">
        <v>853300.07000000018</v>
      </c>
      <c r="I24" s="17">
        <v>964177.65000000014</v>
      </c>
      <c r="J24" s="17">
        <v>740314.59000000008</v>
      </c>
      <c r="K24" s="68"/>
      <c r="M24" s="310"/>
    </row>
    <row r="25" spans="2:13" ht="20.100000000000001" customHeight="1" x14ac:dyDescent="0.25">
      <c r="B25" s="19" t="s">
        <v>104</v>
      </c>
      <c r="C25" s="370" t="s">
        <v>107</v>
      </c>
      <c r="D25" s="371"/>
      <c r="E25" s="371"/>
      <c r="F25" s="372"/>
      <c r="G25" s="360"/>
      <c r="H25" s="20">
        <v>357042.31</v>
      </c>
      <c r="I25" s="17">
        <v>318622.03000000003</v>
      </c>
      <c r="J25" s="17">
        <v>489502.48000000004</v>
      </c>
      <c r="K25" s="68"/>
      <c r="M25" s="311"/>
    </row>
    <row r="26" spans="2:13" ht="13.5" thickBot="1" x14ac:dyDescent="0.3">
      <c r="B26" s="46"/>
      <c r="C26" s="46"/>
      <c r="D26" s="46"/>
      <c r="E26" s="46"/>
      <c r="F26" s="46"/>
      <c r="G26" s="300"/>
      <c r="H26" s="42">
        <f>SUM(H23:H25)</f>
        <v>1216457.8900000001</v>
      </c>
      <c r="I26" s="42">
        <f>SUM(I23:I25)</f>
        <v>1286471.1000000001</v>
      </c>
      <c r="J26" s="42">
        <f>SUM(J23:J25)</f>
        <v>1229817.07</v>
      </c>
      <c r="K26" s="69"/>
    </row>
    <row r="27" spans="2:13" x14ac:dyDescent="0.25">
      <c r="B27" s="46"/>
      <c r="C27" s="46"/>
      <c r="D27" s="46"/>
      <c r="E27" s="46"/>
      <c r="F27" s="46"/>
      <c r="G27" s="47"/>
      <c r="H27" s="47"/>
      <c r="I27" s="47"/>
      <c r="J27" s="47"/>
      <c r="K27" s="25"/>
    </row>
    <row r="28" spans="2:13" ht="15.75" x14ac:dyDescent="0.25">
      <c r="B28" s="28" t="s">
        <v>31</v>
      </c>
      <c r="C28" s="29"/>
      <c r="D28" s="29"/>
      <c r="E28" s="29"/>
      <c r="F28" s="29"/>
      <c r="G28" s="30"/>
      <c r="H28" s="30"/>
      <c r="I28" s="30"/>
      <c r="J28" s="30"/>
      <c r="K28" s="29"/>
      <c r="M28" s="31"/>
    </row>
    <row r="29" spans="2:13" x14ac:dyDescent="0.25"/>
    <row r="30" spans="2:13" ht="38.25" x14ac:dyDescent="0.25">
      <c r="B30" s="339" t="s">
        <v>9</v>
      </c>
      <c r="C30" s="340"/>
      <c r="D30" s="340"/>
      <c r="E30" s="340"/>
      <c r="F30" s="341"/>
      <c r="G30" s="32" t="s">
        <v>11</v>
      </c>
      <c r="H30" s="33" t="s">
        <v>12</v>
      </c>
      <c r="I30" s="33" t="s">
        <v>13</v>
      </c>
      <c r="J30" s="33" t="s">
        <v>14</v>
      </c>
      <c r="K30" s="115" t="s">
        <v>59</v>
      </c>
      <c r="M30" s="36" t="s">
        <v>5</v>
      </c>
    </row>
    <row r="31" spans="2:13" ht="50.1" customHeight="1" x14ac:dyDescent="0.2">
      <c r="B31" s="170" t="s">
        <v>108</v>
      </c>
      <c r="C31" s="166"/>
      <c r="D31" s="168"/>
      <c r="E31" s="168"/>
      <c r="F31" s="169"/>
      <c r="G31" s="358" t="s">
        <v>10</v>
      </c>
      <c r="H31" s="219">
        <v>32130</v>
      </c>
      <c r="I31" s="220">
        <v>25617</v>
      </c>
      <c r="J31" s="219">
        <v>23087</v>
      </c>
      <c r="K31" s="219">
        <v>22961</v>
      </c>
      <c r="M31" s="309" t="s">
        <v>149</v>
      </c>
    </row>
    <row r="32" spans="2:13" ht="50.1" customHeight="1" x14ac:dyDescent="0.2">
      <c r="B32" s="170" t="s">
        <v>109</v>
      </c>
      <c r="C32" s="166"/>
      <c r="D32" s="168"/>
      <c r="E32" s="168"/>
      <c r="F32" s="169"/>
      <c r="G32" s="359"/>
      <c r="H32" s="219">
        <v>14519</v>
      </c>
      <c r="I32" s="220">
        <v>12580</v>
      </c>
      <c r="J32" s="219">
        <v>10572</v>
      </c>
      <c r="K32" s="219">
        <v>11014</v>
      </c>
      <c r="M32" s="310"/>
    </row>
    <row r="33" spans="2:13" ht="50.1" customHeight="1" x14ac:dyDescent="0.2">
      <c r="B33" s="170" t="s">
        <v>110</v>
      </c>
      <c r="C33" s="167"/>
      <c r="D33" s="217"/>
      <c r="E33" s="217"/>
      <c r="F33" s="218"/>
      <c r="G33" s="360"/>
      <c r="H33" s="39">
        <v>0</v>
      </c>
      <c r="I33" s="40">
        <v>1</v>
      </c>
      <c r="J33" s="39">
        <v>1</v>
      </c>
      <c r="K33" s="39">
        <v>0</v>
      </c>
      <c r="M33" s="311"/>
    </row>
    <row r="34" spans="2:13" ht="13.5" thickBot="1" x14ac:dyDescent="0.3">
      <c r="G34" s="42"/>
      <c r="H34" s="42">
        <f t="shared" ref="H34:K34" si="1">SUM(H31:H33)</f>
        <v>46649</v>
      </c>
      <c r="I34" s="42">
        <f t="shared" si="1"/>
        <v>38198</v>
      </c>
      <c r="J34" s="42">
        <f t="shared" si="1"/>
        <v>33660</v>
      </c>
      <c r="K34" s="42">
        <f t="shared" si="1"/>
        <v>33975</v>
      </c>
      <c r="L34" s="251"/>
    </row>
    <row r="35" spans="2:13" x14ac:dyDescent="0.25"/>
    <row r="36" spans="2:13" ht="15.75" x14ac:dyDescent="0.25">
      <c r="B36" s="28" t="s">
        <v>32</v>
      </c>
      <c r="C36" s="29"/>
      <c r="D36" s="29"/>
      <c r="E36" s="29"/>
      <c r="F36" s="29"/>
      <c r="G36" s="30"/>
      <c r="H36" s="30"/>
      <c r="I36" s="30"/>
      <c r="J36" s="30"/>
      <c r="K36" s="29"/>
      <c r="M36" s="31"/>
    </row>
    <row r="37" spans="2:13" x14ac:dyDescent="0.25"/>
    <row r="38" spans="2:13" x14ac:dyDescent="0.25">
      <c r="B38" s="252"/>
      <c r="C38" s="253"/>
      <c r="D38" s="253"/>
      <c r="E38" s="253"/>
      <c r="F38" s="32" t="s">
        <v>116</v>
      </c>
      <c r="G38" s="32" t="s">
        <v>11</v>
      </c>
      <c r="H38" s="33" t="s">
        <v>12</v>
      </c>
      <c r="I38" s="34" t="s">
        <v>13</v>
      </c>
      <c r="J38" s="33" t="s">
        <v>14</v>
      </c>
      <c r="K38" s="35" t="s">
        <v>15</v>
      </c>
      <c r="M38" s="36" t="s">
        <v>5</v>
      </c>
    </row>
    <row r="39" spans="2:13" ht="54" customHeight="1" x14ac:dyDescent="0.2">
      <c r="B39" s="245" t="s">
        <v>29</v>
      </c>
      <c r="C39" s="168"/>
      <c r="D39" s="246"/>
      <c r="E39" s="168"/>
      <c r="F39" s="254">
        <v>3.5000000000000003E-2</v>
      </c>
      <c r="G39" s="254">
        <v>3.5000000000000003E-2</v>
      </c>
      <c r="H39" s="254">
        <v>0.04</v>
      </c>
      <c r="I39" s="255">
        <v>0.04</v>
      </c>
      <c r="J39" s="254">
        <v>0</v>
      </c>
      <c r="K39" s="67"/>
      <c r="M39" s="43" t="s">
        <v>144</v>
      </c>
    </row>
    <row r="40" spans="2:13" x14ac:dyDescent="0.25"/>
    <row r="41" spans="2:13" ht="15.75" x14ac:dyDescent="0.25">
      <c r="B41" s="28" t="s">
        <v>30</v>
      </c>
      <c r="C41" s="29"/>
      <c r="D41" s="29"/>
      <c r="E41" s="29"/>
      <c r="F41" s="29"/>
      <c r="G41" s="30"/>
      <c r="H41" s="30"/>
      <c r="I41" s="30"/>
      <c r="J41" s="30"/>
      <c r="K41" s="29"/>
      <c r="M41" s="31"/>
    </row>
    <row r="42" spans="2:13" x14ac:dyDescent="0.25"/>
    <row r="43" spans="2:13" x14ac:dyDescent="0.25">
      <c r="B43" s="44" t="s">
        <v>24</v>
      </c>
      <c r="C43" s="339" t="s">
        <v>3</v>
      </c>
      <c r="D43" s="340"/>
      <c r="E43" s="341"/>
      <c r="F43" s="150" t="s">
        <v>5</v>
      </c>
      <c r="G43" s="33" t="s">
        <v>11</v>
      </c>
      <c r="H43" s="33" t="s">
        <v>12</v>
      </c>
      <c r="I43" s="33" t="s">
        <v>13</v>
      </c>
      <c r="J43" s="33" t="s">
        <v>14</v>
      </c>
      <c r="K43" s="45" t="s">
        <v>15</v>
      </c>
      <c r="M43" s="36" t="s">
        <v>5</v>
      </c>
    </row>
    <row r="44" spans="2:13" x14ac:dyDescent="0.2">
      <c r="B44" s="19" t="s">
        <v>102</v>
      </c>
      <c r="C44" s="155" t="s">
        <v>105</v>
      </c>
      <c r="D44" s="156"/>
      <c r="E44" s="156"/>
      <c r="F44" s="222" t="s">
        <v>24</v>
      </c>
      <c r="G44" s="358" t="s">
        <v>10</v>
      </c>
      <c r="H44" s="20">
        <v>61</v>
      </c>
      <c r="I44" s="20">
        <v>36</v>
      </c>
      <c r="J44" s="20">
        <v>0</v>
      </c>
      <c r="K44" s="70"/>
      <c r="M44" s="361" t="s">
        <v>36</v>
      </c>
    </row>
    <row r="45" spans="2:13" x14ac:dyDescent="0.2">
      <c r="B45" s="19" t="s">
        <v>103</v>
      </c>
      <c r="C45" s="155" t="s">
        <v>106</v>
      </c>
      <c r="D45" s="156"/>
      <c r="E45" s="156"/>
      <c r="F45" s="222" t="s">
        <v>24</v>
      </c>
      <c r="G45" s="359"/>
      <c r="H45" s="216">
        <v>11544.347999999998</v>
      </c>
      <c r="I45" s="216">
        <v>13300.965900000001</v>
      </c>
      <c r="J45" s="216">
        <v>9825.6826999999994</v>
      </c>
      <c r="K45" s="221"/>
      <c r="M45" s="362"/>
    </row>
    <row r="46" spans="2:13" x14ac:dyDescent="0.2">
      <c r="B46" s="19" t="s">
        <v>104</v>
      </c>
      <c r="C46" s="155" t="s">
        <v>107</v>
      </c>
      <c r="D46" s="156"/>
      <c r="E46" s="156"/>
      <c r="F46" s="222" t="s">
        <v>24</v>
      </c>
      <c r="G46" s="360"/>
      <c r="H46" s="216">
        <v>4861.8995999999997</v>
      </c>
      <c r="I46" s="216">
        <v>4393.6163999999999</v>
      </c>
      <c r="J46" s="216">
        <v>6463.5326999999997</v>
      </c>
      <c r="K46" s="221"/>
      <c r="M46" s="363"/>
    </row>
    <row r="47" spans="2:13" ht="13.5" thickBot="1" x14ac:dyDescent="0.3">
      <c r="B47" s="46"/>
      <c r="C47" s="46"/>
      <c r="D47" s="46"/>
      <c r="E47" s="46"/>
      <c r="F47" s="46"/>
      <c r="G47" s="50">
        <f>SUM(G44:G44)</f>
        <v>0</v>
      </c>
      <c r="H47" s="50">
        <f>SUM(H44:H46)</f>
        <v>16467.247599999999</v>
      </c>
      <c r="I47" s="50">
        <f>SUM(I44:I46)</f>
        <v>17730.582300000002</v>
      </c>
      <c r="J47" s="50">
        <f>SUM(J44:J46)</f>
        <v>16289.215399999999</v>
      </c>
      <c r="K47" s="69"/>
    </row>
    <row r="48" spans="2:13" x14ac:dyDescent="0.25">
      <c r="E48" s="49"/>
    </row>
    <row r="49" spans="2:14" ht="15.75" x14ac:dyDescent="0.25">
      <c r="B49" s="28" t="s">
        <v>61</v>
      </c>
      <c r="C49" s="29"/>
      <c r="D49" s="29"/>
      <c r="E49" s="29"/>
      <c r="F49" s="29"/>
      <c r="G49" s="30"/>
      <c r="H49" s="30"/>
      <c r="I49" s="30"/>
      <c r="J49" s="30"/>
      <c r="K49" s="29"/>
      <c r="M49" s="31"/>
    </row>
    <row r="50" spans="2:14" x14ac:dyDescent="0.25">
      <c r="E50" s="49"/>
    </row>
    <row r="51" spans="2:14" x14ac:dyDescent="0.25">
      <c r="B51" s="343"/>
      <c r="C51" s="344"/>
      <c r="D51" s="344"/>
      <c r="E51" s="344"/>
      <c r="F51" s="344"/>
      <c r="G51" s="345"/>
      <c r="H51" s="159" t="s">
        <v>12</v>
      </c>
      <c r="I51" s="159" t="s">
        <v>13</v>
      </c>
      <c r="J51" s="159" t="s">
        <v>14</v>
      </c>
      <c r="K51" s="45" t="s">
        <v>15</v>
      </c>
      <c r="M51" s="36" t="s">
        <v>5</v>
      </c>
    </row>
    <row r="52" spans="2:14" x14ac:dyDescent="0.25">
      <c r="B52" s="313" t="s">
        <v>33</v>
      </c>
      <c r="C52" s="314"/>
      <c r="D52" s="314"/>
      <c r="E52" s="314"/>
      <c r="F52" s="314"/>
      <c r="G52" s="314"/>
      <c r="H52" s="37">
        <f>H26</f>
        <v>1216457.8900000001</v>
      </c>
      <c r="I52" s="38">
        <f>I26</f>
        <v>1286471.1000000001</v>
      </c>
      <c r="J52" s="163">
        <f>J26</f>
        <v>1229817.07</v>
      </c>
      <c r="K52" s="157"/>
      <c r="M52" s="309" t="s">
        <v>121</v>
      </c>
    </row>
    <row r="53" spans="2:14" x14ac:dyDescent="0.25">
      <c r="B53" s="315" t="s">
        <v>30</v>
      </c>
      <c r="C53" s="316"/>
      <c r="D53" s="316"/>
      <c r="E53" s="316"/>
      <c r="F53" s="316"/>
      <c r="G53" s="316"/>
      <c r="H53" s="152">
        <f>+H47</f>
        <v>16467.247599999999</v>
      </c>
      <c r="I53" s="41">
        <f>+I47</f>
        <v>17730.582300000002</v>
      </c>
      <c r="J53" s="164">
        <f>+J47</f>
        <v>16289.215399999999</v>
      </c>
      <c r="K53" s="158"/>
      <c r="M53" s="310"/>
    </row>
    <row r="54" spans="2:14" x14ac:dyDescent="0.25">
      <c r="B54" s="317" t="s">
        <v>28</v>
      </c>
      <c r="C54" s="318"/>
      <c r="D54" s="318"/>
      <c r="E54" s="318"/>
      <c r="F54" s="318"/>
      <c r="G54" s="319"/>
      <c r="H54" s="160">
        <f>+H52/H53</f>
        <v>73.871354797628726</v>
      </c>
      <c r="I54" s="161">
        <f>+I52/I53</f>
        <v>72.55661874116791</v>
      </c>
      <c r="J54" s="162">
        <f>+J52/J53</f>
        <v>75.49885244933283</v>
      </c>
      <c r="K54" s="127"/>
      <c r="M54" s="310"/>
      <c r="N54" s="58"/>
    </row>
    <row r="55" spans="2:14" x14ac:dyDescent="0.25">
      <c r="B55" s="313" t="s">
        <v>60</v>
      </c>
      <c r="C55" s="314"/>
      <c r="D55" s="314"/>
      <c r="E55" s="314"/>
      <c r="F55" s="314"/>
      <c r="G55" s="320"/>
      <c r="H55" s="52">
        <f>+H39</f>
        <v>0.04</v>
      </c>
      <c r="I55" s="53">
        <f>+I39</f>
        <v>0.04</v>
      </c>
      <c r="J55" s="54">
        <f>+J39</f>
        <v>0</v>
      </c>
      <c r="K55" s="126"/>
      <c r="M55" s="310"/>
    </row>
    <row r="56" spans="2:14" x14ac:dyDescent="0.25">
      <c r="B56" s="321" t="s">
        <v>39</v>
      </c>
      <c r="C56" s="322"/>
      <c r="D56" s="322"/>
      <c r="E56" s="322"/>
      <c r="F56" s="322"/>
      <c r="G56" s="323"/>
      <c r="H56" s="55">
        <f>+H54*(1+H55)*(1+I55)</f>
        <v>79.899257349115246</v>
      </c>
      <c r="I56" s="56">
        <f>+I54*(1+I55)</f>
        <v>75.458883490814628</v>
      </c>
      <c r="J56" s="57">
        <f>+J54</f>
        <v>75.49885244933283</v>
      </c>
      <c r="K56" s="128"/>
      <c r="M56" s="310"/>
    </row>
    <row r="57" spans="2:14" x14ac:dyDescent="0.25">
      <c r="E57" s="49"/>
      <c r="H57" s="58"/>
      <c r="I57" s="58"/>
      <c r="J57" s="58"/>
      <c r="M57" s="310"/>
    </row>
    <row r="58" spans="2:14" x14ac:dyDescent="0.25">
      <c r="E58" s="49"/>
      <c r="G58" s="312" t="s">
        <v>122</v>
      </c>
      <c r="H58" s="312"/>
      <c r="I58" s="312"/>
      <c r="J58" s="135">
        <f>AVERAGE(H56:J56)</f>
        <v>76.952331096420906</v>
      </c>
      <c r="K58" s="73"/>
      <c r="M58" s="310"/>
    </row>
    <row r="59" spans="2:14" x14ac:dyDescent="0.25">
      <c r="E59" s="49"/>
      <c r="H59" s="58"/>
      <c r="I59" s="58"/>
      <c r="J59" s="58"/>
      <c r="K59" s="73"/>
      <c r="M59" s="310"/>
    </row>
    <row r="60" spans="2:14" x14ac:dyDescent="0.25">
      <c r="E60" s="49"/>
      <c r="G60" s="312" t="s">
        <v>40</v>
      </c>
      <c r="H60" s="312"/>
      <c r="I60" s="312"/>
      <c r="J60" s="136">
        <f>+K80-1</f>
        <v>1.2648945446885498</v>
      </c>
      <c r="K60" s="73"/>
      <c r="M60" s="310"/>
    </row>
    <row r="61" spans="2:14" x14ac:dyDescent="0.25">
      <c r="E61" s="49"/>
      <c r="H61" s="58"/>
      <c r="I61" s="58"/>
      <c r="J61" s="58"/>
      <c r="K61" s="73"/>
      <c r="M61" s="310"/>
    </row>
    <row r="62" spans="2:14" x14ac:dyDescent="0.25">
      <c r="E62" s="49"/>
      <c r="G62" s="312" t="s">
        <v>41</v>
      </c>
      <c r="H62" s="312"/>
      <c r="I62" s="312"/>
      <c r="J62" s="135">
        <f>+J58+(J60*J58)</f>
        <v>174.28891490135078</v>
      </c>
      <c r="K62" s="73"/>
      <c r="M62" s="311"/>
    </row>
    <row r="63" spans="2:14" x14ac:dyDescent="0.25">
      <c r="E63" s="49"/>
      <c r="H63" s="58"/>
      <c r="I63" s="58"/>
      <c r="J63" s="58"/>
    </row>
    <row r="64" spans="2:14" ht="15.75" x14ac:dyDescent="0.25">
      <c r="B64" s="28" t="s">
        <v>62</v>
      </c>
      <c r="C64" s="29"/>
      <c r="D64" s="29"/>
      <c r="E64" s="29"/>
      <c r="F64" s="29"/>
      <c r="G64" s="30"/>
      <c r="H64" s="30"/>
      <c r="I64" s="30"/>
      <c r="J64" s="30"/>
      <c r="K64" s="29"/>
      <c r="M64" s="31"/>
    </row>
    <row r="65" spans="2:13" x14ac:dyDescent="0.25">
      <c r="E65" s="49"/>
    </row>
    <row r="66" spans="2:13" x14ac:dyDescent="0.25">
      <c r="B66" s="129"/>
      <c r="C66" s="130"/>
      <c r="D66" s="130"/>
      <c r="E66" s="130"/>
      <c r="F66" s="33" t="s">
        <v>15</v>
      </c>
      <c r="G66" s="33" t="s">
        <v>16</v>
      </c>
      <c r="H66" s="33" t="s">
        <v>17</v>
      </c>
      <c r="I66" s="33" t="s">
        <v>18</v>
      </c>
      <c r="J66" s="33" t="s">
        <v>19</v>
      </c>
      <c r="K66" s="33" t="s">
        <v>20</v>
      </c>
      <c r="M66" s="36" t="s">
        <v>5</v>
      </c>
    </row>
    <row r="67" spans="2:13" x14ac:dyDescent="0.25">
      <c r="H67" s="58"/>
      <c r="I67" s="58"/>
      <c r="J67" s="58"/>
      <c r="M67" s="303" t="s">
        <v>123</v>
      </c>
    </row>
    <row r="68" spans="2:13" x14ac:dyDescent="0.25">
      <c r="B68" s="22" t="s">
        <v>50</v>
      </c>
      <c r="F68" s="59">
        <f>+G68/1.025</f>
        <v>80.272585635478436</v>
      </c>
      <c r="G68" s="59">
        <f>$J58*G87</f>
        <v>82.279400276365394</v>
      </c>
      <c r="H68" s="59">
        <f>$J58*H87</f>
        <v>85.869227463862728</v>
      </c>
      <c r="I68" s="59">
        <f>$J58*I87</f>
        <v>88.776561950840417</v>
      </c>
      <c r="J68" s="59">
        <f>$J58*J87</f>
        <v>91.903996698035542</v>
      </c>
      <c r="K68" s="59">
        <f>$J58*K87</f>
        <v>95.068834776281705</v>
      </c>
      <c r="M68" s="304"/>
    </row>
    <row r="69" spans="2:13" x14ac:dyDescent="0.25">
      <c r="B69" s="22" t="s">
        <v>51</v>
      </c>
      <c r="G69" s="59">
        <f>$J62*G87</f>
        <v>186.35416482618555</v>
      </c>
      <c r="H69" s="59">
        <f>$J62*H87</f>
        <v>194.48474483952293</v>
      </c>
      <c r="I69" s="59">
        <f>$J62*I87</f>
        <v>201.06955085866358</v>
      </c>
      <c r="J69" s="59">
        <f>$J62*J87</f>
        <v>208.1528607564552</v>
      </c>
      <c r="K69" s="59">
        <f>$J62*K87</f>
        <v>215.32088525469754</v>
      </c>
      <c r="M69" s="304"/>
    </row>
    <row r="70" spans="2:13" x14ac:dyDescent="0.25">
      <c r="G70" s="59"/>
      <c r="H70" s="59"/>
      <c r="I70" s="59"/>
      <c r="J70" s="59"/>
      <c r="K70" s="59"/>
      <c r="M70" s="304"/>
    </row>
    <row r="71" spans="2:13" x14ac:dyDescent="0.25">
      <c r="B71" s="131" t="s">
        <v>63</v>
      </c>
      <c r="C71" s="131"/>
      <c r="D71" s="131"/>
      <c r="E71" s="131"/>
      <c r="F71" s="131"/>
      <c r="G71" s="132"/>
      <c r="H71" s="132">
        <f t="shared" ref="H71:K71" si="2">(H69-G69)/G69</f>
        <v>4.3629719898779055E-2</v>
      </c>
      <c r="I71" s="132">
        <f t="shared" si="2"/>
        <v>3.3857699351041791E-2</v>
      </c>
      <c r="J71" s="132">
        <f t="shared" si="2"/>
        <v>3.5228157956003217E-2</v>
      </c>
      <c r="K71" s="133">
        <f t="shared" si="2"/>
        <v>3.4436348711196142E-2</v>
      </c>
      <c r="M71" s="305"/>
    </row>
    <row r="72" spans="2:13" x14ac:dyDescent="0.25">
      <c r="E72" s="49"/>
      <c r="H72" s="58"/>
      <c r="I72" s="58"/>
      <c r="J72" s="58"/>
    </row>
    <row r="73" spans="2:13" ht="15.75" x14ac:dyDescent="0.25">
      <c r="B73" s="28" t="s">
        <v>38</v>
      </c>
      <c r="C73" s="29"/>
      <c r="D73" s="29"/>
      <c r="E73" s="29"/>
      <c r="F73" s="29"/>
      <c r="G73" s="30"/>
      <c r="H73" s="30"/>
      <c r="I73" s="30"/>
      <c r="J73" s="30"/>
      <c r="K73" s="29"/>
      <c r="M73" s="31"/>
    </row>
    <row r="74" spans="2:13" x14ac:dyDescent="0.25"/>
    <row r="75" spans="2:13" x14ac:dyDescent="0.25">
      <c r="B75" s="327"/>
      <c r="C75" s="328"/>
      <c r="D75" s="328"/>
      <c r="E75" s="329"/>
      <c r="F75" s="243" t="s">
        <v>15</v>
      </c>
      <c r="G75" s="243" t="s">
        <v>16</v>
      </c>
      <c r="H75" s="243" t="s">
        <v>17</v>
      </c>
      <c r="I75" s="243" t="s">
        <v>18</v>
      </c>
      <c r="J75" s="243" t="s">
        <v>19</v>
      </c>
      <c r="K75" s="48" t="s">
        <v>20</v>
      </c>
      <c r="M75" s="36" t="s">
        <v>5</v>
      </c>
    </row>
    <row r="76" spans="2:13" ht="12.75" customHeight="1" x14ac:dyDescent="0.25">
      <c r="B76" s="346" t="s">
        <v>125</v>
      </c>
      <c r="C76" s="347"/>
      <c r="D76" s="347"/>
      <c r="E76" s="348"/>
      <c r="F76" s="39"/>
      <c r="G76" s="51">
        <v>18449161.14072692</v>
      </c>
      <c r="H76" s="51">
        <v>19652616.51053571</v>
      </c>
      <c r="I76" s="51">
        <v>20750302.453561164</v>
      </c>
      <c r="J76" s="51">
        <v>21950966.582370307</v>
      </c>
      <c r="K76" s="39">
        <v>23217206.584968176</v>
      </c>
      <c r="M76" s="309" t="s">
        <v>124</v>
      </c>
    </row>
    <row r="77" spans="2:13" x14ac:dyDescent="0.25">
      <c r="B77" s="349" t="s">
        <v>126</v>
      </c>
      <c r="C77" s="350"/>
      <c r="D77" s="350"/>
      <c r="E77" s="351"/>
      <c r="F77" s="39"/>
      <c r="G77" s="51">
        <v>40098372.700329572</v>
      </c>
      <c r="H77" s="51">
        <v>44414981.708611391</v>
      </c>
      <c r="I77" s="51">
        <v>47124811.758132517</v>
      </c>
      <c r="J77" s="51">
        <v>50429626.415997855</v>
      </c>
      <c r="K77" s="39">
        <v>53924251.70079805</v>
      </c>
      <c r="M77" s="310"/>
    </row>
    <row r="78" spans="2:13" x14ac:dyDescent="0.25">
      <c r="B78" s="352" t="s">
        <v>22</v>
      </c>
      <c r="C78" s="353"/>
      <c r="D78" s="353"/>
      <c r="E78" s="354"/>
      <c r="F78" s="62"/>
      <c r="G78" s="62">
        <f t="shared" ref="G78:K78" si="3">+G77/G76</f>
        <v>2.1734523534412387</v>
      </c>
      <c r="H78" s="62">
        <f t="shared" si="3"/>
        <v>2.2600034801880273</v>
      </c>
      <c r="I78" s="62">
        <f t="shared" si="3"/>
        <v>2.2710421625707418</v>
      </c>
      <c r="J78" s="62">
        <f t="shared" si="3"/>
        <v>2.2973761190315822</v>
      </c>
      <c r="K78" s="147">
        <f t="shared" si="3"/>
        <v>2.3225986082111594</v>
      </c>
      <c r="M78" s="310"/>
    </row>
    <row r="79" spans="2:13" x14ac:dyDescent="0.25">
      <c r="F79" s="24"/>
      <c r="K79" s="24"/>
      <c r="M79" s="310"/>
    </row>
    <row r="80" spans="2:13" x14ac:dyDescent="0.25">
      <c r="F80" s="306" t="s">
        <v>127</v>
      </c>
      <c r="G80" s="307"/>
      <c r="H80" s="307"/>
      <c r="I80" s="307"/>
      <c r="J80" s="308"/>
      <c r="K80" s="148">
        <f>AVERAGE(G78:K78)</f>
        <v>2.2648945446885498</v>
      </c>
      <c r="M80" s="311"/>
    </row>
    <row r="81" spans="2:13" x14ac:dyDescent="0.25">
      <c r="G81" s="22"/>
      <c r="H81" s="22"/>
      <c r="I81" s="22"/>
      <c r="J81" s="22"/>
      <c r="K81" s="244"/>
    </row>
    <row r="82" spans="2:13" ht="15.75" x14ac:dyDescent="0.25">
      <c r="B82" s="28" t="s">
        <v>152</v>
      </c>
      <c r="C82" s="29"/>
      <c r="D82" s="29"/>
      <c r="E82" s="29"/>
      <c r="F82" s="29"/>
      <c r="G82" s="30"/>
      <c r="H82" s="30"/>
      <c r="I82" s="30"/>
      <c r="J82" s="30"/>
      <c r="K82" s="29"/>
      <c r="M82" s="31"/>
    </row>
    <row r="83" spans="2:13" x14ac:dyDescent="0.25"/>
    <row r="84" spans="2:13" x14ac:dyDescent="0.2">
      <c r="B84" s="330" t="s">
        <v>153</v>
      </c>
      <c r="C84" s="331"/>
      <c r="D84" s="331"/>
      <c r="E84" s="332"/>
      <c r="F84" s="243" t="s">
        <v>15</v>
      </c>
      <c r="G84" s="243" t="s">
        <v>16</v>
      </c>
      <c r="H84" s="243" t="s">
        <v>17</v>
      </c>
      <c r="I84" s="243" t="s">
        <v>18</v>
      </c>
      <c r="J84" s="243" t="s">
        <v>19</v>
      </c>
      <c r="K84" s="48" t="s">
        <v>20</v>
      </c>
      <c r="M84" s="301" t="s">
        <v>5</v>
      </c>
    </row>
    <row r="85" spans="2:13" ht="12.75" customHeight="1" x14ac:dyDescent="0.2">
      <c r="B85" s="324" t="s">
        <v>145</v>
      </c>
      <c r="C85" s="325"/>
      <c r="D85" s="325"/>
      <c r="E85" s="326"/>
      <c r="F85" s="21"/>
      <c r="G85" s="21">
        <v>17254695.000010207</v>
      </c>
      <c r="H85" s="21">
        <v>17611834.848126188</v>
      </c>
      <c r="I85" s="21">
        <v>17986550.838063825</v>
      </c>
      <c r="J85" s="21">
        <v>18379810.552560411</v>
      </c>
      <c r="K85" s="149">
        <v>18792890.146016706</v>
      </c>
      <c r="M85" s="303" t="s">
        <v>151</v>
      </c>
    </row>
    <row r="86" spans="2:13" x14ac:dyDescent="0.2">
      <c r="B86" s="333" t="s">
        <v>154</v>
      </c>
      <c r="C86" s="334"/>
      <c r="D86" s="334"/>
      <c r="E86" s="335"/>
      <c r="F86" s="21"/>
      <c r="G86" s="21">
        <v>18449161.14072692</v>
      </c>
      <c r="H86" s="21">
        <v>19652616.51053571</v>
      </c>
      <c r="I86" s="21">
        <v>20750302.453561164</v>
      </c>
      <c r="J86" s="21">
        <v>21950966.582370307</v>
      </c>
      <c r="K86" s="149">
        <v>23217206.584968176</v>
      </c>
      <c r="M86" s="304"/>
    </row>
    <row r="87" spans="2:13" x14ac:dyDescent="0.2">
      <c r="B87" s="336" t="s">
        <v>155</v>
      </c>
      <c r="C87" s="337"/>
      <c r="D87" s="337"/>
      <c r="E87" s="338"/>
      <c r="F87" s="62"/>
      <c r="G87" s="62">
        <f t="shared" ref="G87:K87" si="4">+G86/G85</f>
        <v>1.0692255725595849</v>
      </c>
      <c r="H87" s="62">
        <f t="shared" si="4"/>
        <v>1.1158755847989712</v>
      </c>
      <c r="I87" s="62">
        <f t="shared" si="4"/>
        <v>1.1536565648622628</v>
      </c>
      <c r="J87" s="62">
        <f t="shared" si="4"/>
        <v>1.1942977605562106</v>
      </c>
      <c r="K87" s="147">
        <f t="shared" si="4"/>
        <v>1.2354250147037249</v>
      </c>
      <c r="M87" s="304"/>
    </row>
    <row r="88" spans="2:13" x14ac:dyDescent="0.25">
      <c r="F88" s="24"/>
      <c r="K88" s="24"/>
      <c r="M88" s="304"/>
    </row>
    <row r="89" spans="2:13" x14ac:dyDescent="0.25">
      <c r="F89" s="306" t="s">
        <v>128</v>
      </c>
      <c r="G89" s="307"/>
      <c r="H89" s="307"/>
      <c r="I89" s="307"/>
      <c r="J89" s="308"/>
      <c r="K89" s="148">
        <f>AVERAGE(G87:K87)</f>
        <v>1.1536960994961507</v>
      </c>
      <c r="M89" s="305"/>
    </row>
    <row r="90" spans="2:13" x14ac:dyDescent="0.25">
      <c r="K90" s="134"/>
      <c r="M90" s="302"/>
    </row>
    <row r="91" spans="2:13" x14ac:dyDescent="0.25">
      <c r="M91" s="64"/>
    </row>
    <row r="92" spans="2:13" x14ac:dyDescent="0.25">
      <c r="M92" s="65"/>
    </row>
    <row r="93" spans="2:13" x14ac:dyDescent="0.25">
      <c r="M93" s="65"/>
    </row>
    <row r="94" spans="2:13" x14ac:dyDescent="0.25">
      <c r="M94" s="65"/>
    </row>
    <row r="95" spans="2:13" x14ac:dyDescent="0.25"/>
    <row r="96" spans="2:13"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sheetData>
  <mergeCells count="43">
    <mergeCell ref="B8:F8"/>
    <mergeCell ref="M9:M11"/>
    <mergeCell ref="G44:G46"/>
    <mergeCell ref="M44:M46"/>
    <mergeCell ref="M31:M33"/>
    <mergeCell ref="G23:G25"/>
    <mergeCell ref="G31:G33"/>
    <mergeCell ref="B16:F16"/>
    <mergeCell ref="B17:F17"/>
    <mergeCell ref="G16:G18"/>
    <mergeCell ref="M16:M18"/>
    <mergeCell ref="C24:F24"/>
    <mergeCell ref="M23:M25"/>
    <mergeCell ref="B18:F18"/>
    <mergeCell ref="C23:F23"/>
    <mergeCell ref="C25:F25"/>
    <mergeCell ref="B86:E86"/>
    <mergeCell ref="B87:E87"/>
    <mergeCell ref="F80:J80"/>
    <mergeCell ref="B15:F15"/>
    <mergeCell ref="B30:F30"/>
    <mergeCell ref="C22:F22"/>
    <mergeCell ref="C43:E43"/>
    <mergeCell ref="B51:G51"/>
    <mergeCell ref="B76:E76"/>
    <mergeCell ref="B77:E77"/>
    <mergeCell ref="B78:E78"/>
    <mergeCell ref="M85:M89"/>
    <mergeCell ref="F89:J89"/>
    <mergeCell ref="M52:M62"/>
    <mergeCell ref="M67:M71"/>
    <mergeCell ref="G58:I58"/>
    <mergeCell ref="G62:I62"/>
    <mergeCell ref="B52:G52"/>
    <mergeCell ref="B53:G53"/>
    <mergeCell ref="B54:G54"/>
    <mergeCell ref="B55:G55"/>
    <mergeCell ref="B56:G56"/>
    <mergeCell ref="G60:I60"/>
    <mergeCell ref="B85:E85"/>
    <mergeCell ref="B75:E75"/>
    <mergeCell ref="B84:E84"/>
    <mergeCell ref="M76:M80"/>
  </mergeCells>
  <pageMargins left="0.70866141732283472" right="0.70866141732283472" top="0.74803149606299213" bottom="0.74803149606299213" header="0.31496062992125984" footer="0.31496062992125984"/>
  <pageSetup paperSize="8" scale="65"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26"/>
  <sheetViews>
    <sheetView showGridLines="0" zoomScaleNormal="100" workbookViewId="0"/>
  </sheetViews>
  <sheetFormatPr defaultColWidth="9.140625" defaultRowHeight="12.75" customHeight="1" x14ac:dyDescent="0.25"/>
  <cols>
    <col min="1" max="1" width="2.85546875" style="172" customWidth="1"/>
    <col min="2" max="2" width="18.5703125" style="172" customWidth="1"/>
    <col min="3" max="7" width="11.42578125" style="172" customWidth="1"/>
    <col min="8" max="8" width="2.85546875" style="172" customWidth="1"/>
    <col min="9" max="12" width="11.42578125" style="173" customWidth="1"/>
    <col min="13" max="13" width="2.85546875" style="172" customWidth="1"/>
    <col min="14" max="17" width="11.42578125" style="172" customWidth="1"/>
    <col min="18" max="18" width="2.85546875" style="172" customWidth="1"/>
    <col min="19" max="19" width="11.42578125" style="174" customWidth="1"/>
    <col min="20" max="22" width="11.42578125" style="172" customWidth="1"/>
    <col min="23" max="23" width="2.85546875" style="172" customWidth="1"/>
    <col min="24" max="27" width="11.42578125" style="172" customWidth="1"/>
    <col min="28" max="28" width="2.85546875" style="172" customWidth="1"/>
    <col min="29" max="56" width="9.140625" style="172" customWidth="1"/>
    <col min="57" max="16384" width="9.140625" style="172"/>
  </cols>
  <sheetData>
    <row r="1" spans="2:29" ht="14.25" customHeight="1" x14ac:dyDescent="0.25"/>
    <row r="2" spans="2:29" ht="21" x14ac:dyDescent="0.25">
      <c r="B2" s="175" t="s">
        <v>34</v>
      </c>
      <c r="C2" s="176"/>
      <c r="D2" s="176"/>
      <c r="E2" s="176"/>
      <c r="F2" s="176"/>
      <c r="G2" s="176"/>
      <c r="H2" s="176"/>
    </row>
    <row r="3" spans="2:29" ht="21" x14ac:dyDescent="0.25">
      <c r="B3" s="175" t="str">
        <f>+'AER Summary'!C3</f>
        <v>Inspection of Service Work (Level 2 work)</v>
      </c>
      <c r="C3" s="176"/>
      <c r="D3" s="176"/>
      <c r="E3" s="176"/>
      <c r="F3" s="176"/>
      <c r="G3" s="176"/>
      <c r="H3" s="176"/>
    </row>
    <row r="4" spans="2:29" ht="18.75" x14ac:dyDescent="0.25">
      <c r="B4" s="177" t="s">
        <v>64</v>
      </c>
      <c r="C4" s="178"/>
      <c r="D4" s="178"/>
      <c r="E4" s="178"/>
      <c r="F4" s="178"/>
      <c r="G4" s="178"/>
      <c r="H4" s="178"/>
    </row>
    <row r="5" spans="2:29" ht="14.25" customHeight="1" x14ac:dyDescent="0.25"/>
    <row r="6" spans="2:29" ht="42.75" customHeight="1" x14ac:dyDescent="0.25">
      <c r="B6" s="376" t="s">
        <v>129</v>
      </c>
      <c r="C6" s="377"/>
      <c r="D6" s="377"/>
      <c r="E6" s="377"/>
      <c r="F6" s="377"/>
      <c r="G6" s="377"/>
      <c r="H6" s="377"/>
      <c r="I6" s="377"/>
      <c r="J6" s="377"/>
      <c r="K6" s="377"/>
      <c r="L6" s="377"/>
      <c r="M6" s="377"/>
      <c r="N6" s="377"/>
      <c r="O6" s="377"/>
      <c r="P6" s="377"/>
      <c r="Q6" s="378"/>
    </row>
    <row r="7" spans="2:29" ht="14.25" customHeight="1" x14ac:dyDescent="0.25">
      <c r="B7" s="179"/>
      <c r="C7" s="179"/>
      <c r="D7" s="179"/>
      <c r="E7" s="179"/>
      <c r="F7" s="179"/>
      <c r="G7" s="179"/>
      <c r="S7" s="180"/>
      <c r="T7" s="181"/>
      <c r="U7" s="181"/>
      <c r="V7" s="181"/>
      <c r="X7" s="181"/>
      <c r="Y7" s="181"/>
      <c r="Z7" s="181"/>
      <c r="AA7" s="181"/>
    </row>
    <row r="8" spans="2:29" ht="29.25" customHeight="1" x14ac:dyDescent="0.25">
      <c r="C8" s="379" t="s">
        <v>79</v>
      </c>
      <c r="D8" s="380"/>
      <c r="E8" s="380"/>
      <c r="F8" s="380"/>
      <c r="G8" s="381"/>
      <c r="I8" s="382" t="s">
        <v>47</v>
      </c>
      <c r="J8" s="383"/>
      <c r="K8" s="383"/>
      <c r="L8" s="384"/>
      <c r="N8" s="385" t="s">
        <v>80</v>
      </c>
      <c r="O8" s="386"/>
      <c r="P8" s="386"/>
      <c r="Q8" s="387"/>
      <c r="S8" s="388" t="s">
        <v>81</v>
      </c>
      <c r="T8" s="389"/>
      <c r="U8" s="389"/>
      <c r="V8" s="390"/>
      <c r="X8" s="373" t="s">
        <v>64</v>
      </c>
      <c r="Y8" s="374"/>
      <c r="Z8" s="374"/>
      <c r="AA8" s="375"/>
    </row>
    <row r="9" spans="2:29" s="185" customFormat="1" ht="63.75" x14ac:dyDescent="0.25">
      <c r="B9" s="76" t="s">
        <v>9</v>
      </c>
      <c r="C9" s="223" t="s">
        <v>46</v>
      </c>
      <c r="D9" s="109" t="s">
        <v>8</v>
      </c>
      <c r="E9" s="109" t="s">
        <v>82</v>
      </c>
      <c r="F9" s="109" t="s">
        <v>58</v>
      </c>
      <c r="G9" s="225" t="s">
        <v>45</v>
      </c>
      <c r="H9" s="182"/>
      <c r="I9" s="183" t="s">
        <v>83</v>
      </c>
      <c r="J9" s="183" t="s">
        <v>84</v>
      </c>
      <c r="K9" s="183" t="s">
        <v>85</v>
      </c>
      <c r="L9" s="184" t="s">
        <v>86</v>
      </c>
      <c r="N9" s="184" t="s">
        <v>87</v>
      </c>
      <c r="O9" s="184" t="s">
        <v>88</v>
      </c>
      <c r="P9" s="184" t="s">
        <v>89</v>
      </c>
      <c r="Q9" s="184" t="s">
        <v>90</v>
      </c>
      <c r="S9" s="186" t="s">
        <v>91</v>
      </c>
      <c r="T9" s="187" t="s">
        <v>92</v>
      </c>
      <c r="U9" s="187" t="s">
        <v>93</v>
      </c>
      <c r="V9" s="187" t="s">
        <v>94</v>
      </c>
      <c r="W9" s="182"/>
      <c r="X9" s="187" t="s">
        <v>95</v>
      </c>
      <c r="Y9" s="187" t="s">
        <v>96</v>
      </c>
      <c r="Z9" s="187" t="s">
        <v>64</v>
      </c>
      <c r="AA9" s="187" t="s">
        <v>97</v>
      </c>
    </row>
    <row r="10" spans="2:29" ht="14.25" customHeight="1" x14ac:dyDescent="0.25">
      <c r="B10" s="188" t="s">
        <v>111</v>
      </c>
      <c r="C10" s="191">
        <f>'Input Sheet'!G9</f>
        <v>80</v>
      </c>
      <c r="D10" s="226">
        <f>'Input Sheet'!H9</f>
        <v>0.25</v>
      </c>
      <c r="E10" s="190" t="str">
        <f>'Input Sheet'!I9</f>
        <v>N/A</v>
      </c>
      <c r="F10" s="189">
        <f>'Input Sheet'!J9</f>
        <v>22</v>
      </c>
      <c r="G10" s="191">
        <f>'Input Sheet'!K9</f>
        <v>20</v>
      </c>
      <c r="I10" s="193">
        <f>+'Input Sheet'!H31</f>
        <v>32130</v>
      </c>
      <c r="J10" s="193">
        <f>+'Input Sheet'!I31</f>
        <v>25617</v>
      </c>
      <c r="K10" s="193">
        <f>+'Input Sheet'!J31</f>
        <v>23087</v>
      </c>
      <c r="L10" s="192">
        <f>SUM(I10:K10)</f>
        <v>80834</v>
      </c>
      <c r="M10" s="173"/>
      <c r="N10" s="193">
        <f>IF($E10="N/A",$D10*I10,I10*$E10)</f>
        <v>8032.5</v>
      </c>
      <c r="O10" s="193">
        <f t="shared" ref="O10:P10" si="0">IF($E10="N/A",$D10*J10,J10*$E10)</f>
        <v>6404.25</v>
      </c>
      <c r="P10" s="193">
        <f t="shared" si="0"/>
        <v>5771.75</v>
      </c>
      <c r="Q10" s="192">
        <f>SUM(N10:P10)</f>
        <v>20208.5</v>
      </c>
      <c r="R10" s="173"/>
      <c r="S10" s="193">
        <f>+N10/N$14*'Input Sheet'!H$47</f>
        <v>9433.5371331527185</v>
      </c>
      <c r="T10" s="193">
        <f>+O10/O$14*'Input Sheet'!I$47</f>
        <v>9793.3609058255079</v>
      </c>
      <c r="U10" s="193">
        <f>+P10/P$14*'Input Sheet'!J$47</f>
        <v>9277.5021447764429</v>
      </c>
      <c r="V10" s="192">
        <f>SUM(S10:U10)</f>
        <v>28504.400183754668</v>
      </c>
      <c r="W10" s="174"/>
      <c r="X10" s="194">
        <f>+V10/L10</f>
        <v>0.35262884657142624</v>
      </c>
      <c r="Y10" s="228">
        <v>0.35</v>
      </c>
      <c r="Z10" s="228">
        <f>IF(D10="Hourly","Hourly",Y10)</f>
        <v>0.35</v>
      </c>
      <c r="AA10" s="193">
        <f>+Y10*L10</f>
        <v>28291.899999999998</v>
      </c>
      <c r="AB10" s="174"/>
      <c r="AC10" s="173"/>
    </row>
    <row r="11" spans="2:29" ht="14.25" customHeight="1" x14ac:dyDescent="0.25">
      <c r="B11" s="195" t="s">
        <v>112</v>
      </c>
      <c r="C11" s="197">
        <f>'Input Sheet'!G10</f>
        <v>80</v>
      </c>
      <c r="D11" s="266">
        <f>'Input Sheet'!H10</f>
        <v>0.41249999999999998</v>
      </c>
      <c r="E11" s="196" t="str">
        <f>'Input Sheet'!I10</f>
        <v>N/A</v>
      </c>
      <c r="F11" s="197">
        <f>'Input Sheet'!J10</f>
        <v>36.299999999999997</v>
      </c>
      <c r="G11" s="197">
        <f>'Input Sheet'!K10</f>
        <v>33</v>
      </c>
      <c r="I11" s="193">
        <f>+'Input Sheet'!H32</f>
        <v>14519</v>
      </c>
      <c r="J11" s="193">
        <f>+'Input Sheet'!I32</f>
        <v>12580</v>
      </c>
      <c r="K11" s="193">
        <f>+'Input Sheet'!J32</f>
        <v>10572</v>
      </c>
      <c r="L11" s="192">
        <f t="shared" ref="L11:L12" si="1">SUM(I11:K11)</f>
        <v>37671</v>
      </c>
      <c r="M11" s="173"/>
      <c r="N11" s="193">
        <f t="shared" ref="N11:N12" si="2">IF($E11="N/A",$D11*I11,I11*$E11)</f>
        <v>5989.0874999999996</v>
      </c>
      <c r="O11" s="193">
        <f t="shared" ref="O11:O12" si="3">IF($E11="N/A",$D11*J11,J11*$E11)</f>
        <v>5189.25</v>
      </c>
      <c r="P11" s="193">
        <f t="shared" ref="P11:P12" si="4">IF($E11="N/A",$D11*K11,K11*$E11)</f>
        <v>4360.95</v>
      </c>
      <c r="Q11" s="192">
        <f t="shared" ref="Q11:Q12" si="5">SUM(N11:P11)</f>
        <v>15539.287499999999</v>
      </c>
      <c r="R11" s="173"/>
      <c r="S11" s="193">
        <f>+N11/N$14*'Input Sheet'!H$47</f>
        <v>7033.7104668472803</v>
      </c>
      <c r="T11" s="193">
        <f>+O11/O$14*'Input Sheet'!I$47</f>
        <v>7935.3863575836376</v>
      </c>
      <c r="U11" s="193">
        <f>+P11/P$14*'Input Sheet'!J$47</f>
        <v>7009.7843770542422</v>
      </c>
      <c r="V11" s="192">
        <f t="shared" ref="V11:V12" si="6">SUM(S11:U11)</f>
        <v>21978.881201485161</v>
      </c>
      <c r="W11" s="174"/>
      <c r="X11" s="194">
        <f t="shared" ref="X11:X12" si="7">+V11/L11</f>
        <v>0.5834429986325067</v>
      </c>
      <c r="Y11" s="228">
        <v>0.6</v>
      </c>
      <c r="Z11" s="228">
        <f t="shared" ref="Z11:Z12" si="8">IF(D11="Hourly","Hourly",Y11)</f>
        <v>0.6</v>
      </c>
      <c r="AA11" s="193">
        <f t="shared" ref="AA11:AA12" si="9">+Y11*L11</f>
        <v>22602.6</v>
      </c>
      <c r="AB11" s="174"/>
      <c r="AC11" s="173"/>
    </row>
    <row r="12" spans="2:29" ht="14.25" customHeight="1" x14ac:dyDescent="0.25">
      <c r="B12" s="195" t="s">
        <v>113</v>
      </c>
      <c r="C12" s="197">
        <f>'Input Sheet'!G11</f>
        <v>80</v>
      </c>
      <c r="D12" s="266">
        <f>'Input Sheet'!H11</f>
        <v>1.2</v>
      </c>
      <c r="E12" s="196" t="str">
        <f>'Input Sheet'!I11</f>
        <v>N/A</v>
      </c>
      <c r="F12" s="197">
        <f>'Input Sheet'!J11</f>
        <v>105.6</v>
      </c>
      <c r="G12" s="197">
        <f>'Input Sheet'!K11</f>
        <v>96</v>
      </c>
      <c r="I12" s="193">
        <f>+'Input Sheet'!H33</f>
        <v>0</v>
      </c>
      <c r="J12" s="193">
        <f>+'Input Sheet'!I33</f>
        <v>1</v>
      </c>
      <c r="K12" s="193">
        <f>+'Input Sheet'!J33</f>
        <v>1</v>
      </c>
      <c r="L12" s="192">
        <f t="shared" si="1"/>
        <v>2</v>
      </c>
      <c r="M12" s="173"/>
      <c r="N12" s="193">
        <f t="shared" si="2"/>
        <v>0</v>
      </c>
      <c r="O12" s="193">
        <f t="shared" si="3"/>
        <v>1.2</v>
      </c>
      <c r="P12" s="193">
        <f t="shared" si="4"/>
        <v>1.2</v>
      </c>
      <c r="Q12" s="192">
        <f t="shared" si="5"/>
        <v>2.4</v>
      </c>
      <c r="R12" s="173"/>
      <c r="S12" s="193">
        <f>+N12/N$14*'Input Sheet'!H$47</f>
        <v>0</v>
      </c>
      <c r="T12" s="193">
        <f>+O12/O$14*'Input Sheet'!I$47</f>
        <v>1.835036590856167</v>
      </c>
      <c r="U12" s="193">
        <f>+P12/P$14*'Input Sheet'!J$47</f>
        <v>1.9288781693128998</v>
      </c>
      <c r="V12" s="192">
        <f t="shared" si="6"/>
        <v>3.763914760169067</v>
      </c>
      <c r="W12" s="174"/>
      <c r="X12" s="194">
        <f t="shared" si="7"/>
        <v>1.8819573800845335</v>
      </c>
      <c r="Y12" s="228">
        <v>2</v>
      </c>
      <c r="Z12" s="228">
        <f t="shared" si="8"/>
        <v>2</v>
      </c>
      <c r="AA12" s="193">
        <f t="shared" si="9"/>
        <v>4</v>
      </c>
      <c r="AB12" s="174"/>
      <c r="AC12" s="173"/>
    </row>
    <row r="13" spans="2:29" ht="14.25" customHeight="1" x14ac:dyDescent="0.25">
      <c r="B13" s="199"/>
      <c r="C13" s="200"/>
      <c r="D13" s="201"/>
      <c r="E13" s="200"/>
      <c r="F13" s="199"/>
      <c r="G13" s="200"/>
      <c r="I13" s="202"/>
      <c r="J13" s="202"/>
      <c r="K13" s="267"/>
      <c r="L13" s="202"/>
      <c r="N13" s="202"/>
      <c r="O13" s="202"/>
      <c r="P13" s="202"/>
      <c r="Q13" s="202"/>
      <c r="S13" s="203"/>
      <c r="T13" s="203"/>
      <c r="U13" s="203"/>
      <c r="V13" s="203"/>
      <c r="W13" s="204"/>
      <c r="X13" s="202"/>
      <c r="Y13" s="202"/>
      <c r="Z13" s="202"/>
      <c r="AA13" s="202"/>
    </row>
    <row r="14" spans="2:29" ht="14.25" customHeight="1" thickBot="1" x14ac:dyDescent="0.3">
      <c r="I14" s="205">
        <f>SUM(I10:I13)</f>
        <v>46649</v>
      </c>
      <c r="J14" s="205">
        <f>SUM(J10:J13)</f>
        <v>38198</v>
      </c>
      <c r="K14" s="205">
        <f>SUM(K10:K13)</f>
        <v>33660</v>
      </c>
      <c r="L14" s="205">
        <f>SUM(L10:L13)</f>
        <v>118507</v>
      </c>
      <c r="N14" s="205">
        <f>SUM(N10:N13)</f>
        <v>14021.5875</v>
      </c>
      <c r="O14" s="205">
        <f>SUM(O10:O13)</f>
        <v>11594.7</v>
      </c>
      <c r="P14" s="205">
        <f>SUM(P10:P13)</f>
        <v>10133.900000000001</v>
      </c>
      <c r="Q14" s="205">
        <f>SUM(Q10:Q13)</f>
        <v>35750.1875</v>
      </c>
      <c r="S14" s="205">
        <f>SUM(S10:S13)</f>
        <v>16467.247599999999</v>
      </c>
      <c r="T14" s="205">
        <f>SUM(T10:T13)</f>
        <v>17730.582300000002</v>
      </c>
      <c r="U14" s="205">
        <f>SUM(U10:U13)</f>
        <v>16289.215399999997</v>
      </c>
      <c r="V14" s="205">
        <f>SUM(V10:V13)</f>
        <v>50487.045299999991</v>
      </c>
      <c r="X14" s="206"/>
      <c r="Y14" s="206"/>
      <c r="Z14" s="206"/>
      <c r="AA14" s="205">
        <f>SUM(AA10:AA13)</f>
        <v>50898.5</v>
      </c>
    </row>
    <row r="15" spans="2:29" ht="14.25" customHeight="1" x14ac:dyDescent="0.25">
      <c r="AA15" s="268"/>
    </row>
    <row r="16" spans="2:29" ht="14.25" customHeight="1" x14ac:dyDescent="0.25">
      <c r="M16" s="207"/>
      <c r="Y16" s="208"/>
      <c r="Z16" s="208"/>
      <c r="AA16" s="173"/>
    </row>
    <row r="17" spans="11:27" ht="14.25" customHeight="1" x14ac:dyDescent="0.25">
      <c r="Y17" s="209"/>
      <c r="Z17" s="209"/>
      <c r="AA17" s="173"/>
    </row>
    <row r="18" spans="11:27" ht="14.25" customHeight="1" x14ac:dyDescent="0.25">
      <c r="Y18" s="209"/>
      <c r="Z18" s="209"/>
      <c r="AA18" s="210"/>
    </row>
    <row r="19" spans="11:27" x14ac:dyDescent="0.25">
      <c r="V19" s="173"/>
    </row>
    <row r="20" spans="11:27" x14ac:dyDescent="0.25">
      <c r="K20" s="204"/>
      <c r="L20" s="204"/>
      <c r="M20" s="211"/>
      <c r="N20" s="211"/>
      <c r="O20" s="211"/>
      <c r="P20" s="211"/>
      <c r="Q20" s="211"/>
      <c r="V20" s="173"/>
    </row>
    <row r="21" spans="11:27" x14ac:dyDescent="0.25">
      <c r="K21" s="204"/>
      <c r="L21" s="204"/>
      <c r="M21" s="212"/>
      <c r="N21" s="213"/>
      <c r="O21" s="213"/>
      <c r="P21" s="213"/>
      <c r="Q21" s="213"/>
      <c r="V21" s="173"/>
    </row>
    <row r="22" spans="11:27" x14ac:dyDescent="0.25">
      <c r="K22" s="204"/>
      <c r="L22" s="204"/>
      <c r="M22" s="211"/>
      <c r="N22" s="204"/>
      <c r="O22" s="204"/>
      <c r="P22" s="198"/>
      <c r="Q22" s="198"/>
      <c r="R22" s="207"/>
    </row>
    <row r="23" spans="11:27" x14ac:dyDescent="0.25">
      <c r="K23" s="204"/>
      <c r="L23" s="204"/>
      <c r="M23" s="211"/>
      <c r="N23" s="204"/>
      <c r="O23" s="204"/>
      <c r="P23" s="204"/>
      <c r="Q23" s="198"/>
    </row>
    <row r="24" spans="11:27" x14ac:dyDescent="0.25">
      <c r="K24" s="204"/>
      <c r="L24" s="204"/>
      <c r="M24" s="211"/>
      <c r="N24" s="204"/>
      <c r="O24" s="204"/>
      <c r="P24" s="204"/>
      <c r="Q24" s="204"/>
    </row>
    <row r="25" spans="11:27" x14ac:dyDescent="0.25">
      <c r="K25" s="204"/>
      <c r="L25" s="204"/>
      <c r="M25" s="211"/>
      <c r="N25" s="214"/>
      <c r="O25" s="214"/>
      <c r="P25" s="214"/>
      <c r="Q25" s="214"/>
    </row>
    <row r="26" spans="11:27" x14ac:dyDescent="0.25">
      <c r="N26" s="215"/>
      <c r="O26" s="215"/>
      <c r="P26" s="215"/>
      <c r="Q26" s="215"/>
    </row>
  </sheetData>
  <mergeCells count="6">
    <mergeCell ref="X8:AA8"/>
    <mergeCell ref="B6:Q6"/>
    <mergeCell ref="C8:G8"/>
    <mergeCell ref="I8:L8"/>
    <mergeCell ref="N8:Q8"/>
    <mergeCell ref="S8:V8"/>
  </mergeCells>
  <pageMargins left="0.39370078740157483" right="0.39370078740157483" top="0.39370078740157483" bottom="0.39370078740157483" header="0.19685039370078741" footer="0.19685039370078741"/>
  <pageSetup paperSize="9" scale="50" fitToHeight="0" orientation="landscape"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6"/>
  <sheetViews>
    <sheetView showGridLines="0" tabSelected="1"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02" t="s">
        <v>43</v>
      </c>
      <c r="C2" s="103"/>
      <c r="D2" s="103"/>
      <c r="E2" s="103"/>
      <c r="F2" s="103"/>
      <c r="G2" s="103"/>
      <c r="H2" s="103"/>
    </row>
    <row r="3" spans="2:8" x14ac:dyDescent="0.25">
      <c r="B3" s="11" t="s">
        <v>0</v>
      </c>
      <c r="C3" s="397" t="s">
        <v>98</v>
      </c>
      <c r="D3" s="398"/>
      <c r="E3" s="398"/>
      <c r="F3" s="398"/>
      <c r="G3" s="398"/>
      <c r="H3" s="398"/>
    </row>
    <row r="4" spans="2:8" x14ac:dyDescent="0.25">
      <c r="B4" s="11" t="s">
        <v>133</v>
      </c>
      <c r="C4" s="397" t="s">
        <v>132</v>
      </c>
      <c r="D4" s="398"/>
      <c r="E4" s="398"/>
      <c r="F4" s="398"/>
      <c r="G4" s="398"/>
      <c r="H4" s="398"/>
    </row>
    <row r="5" spans="2:8" x14ac:dyDescent="0.25">
      <c r="B5" s="11" t="s">
        <v>135</v>
      </c>
      <c r="C5" s="397" t="s">
        <v>136</v>
      </c>
      <c r="D5" s="398"/>
      <c r="E5" s="398"/>
      <c r="F5" s="398"/>
      <c r="G5" s="398"/>
      <c r="H5" s="398"/>
    </row>
    <row r="6" spans="2:8" ht="31.5" customHeight="1" x14ac:dyDescent="0.25">
      <c r="B6" s="108" t="s">
        <v>134</v>
      </c>
      <c r="C6" s="399" t="s">
        <v>114</v>
      </c>
      <c r="D6" s="399"/>
      <c r="E6" s="399"/>
      <c r="F6" s="399"/>
      <c r="G6" s="399"/>
      <c r="H6" s="399"/>
    </row>
    <row r="7" spans="2:8" x14ac:dyDescent="0.25">
      <c r="B7" s="108"/>
      <c r="C7" s="239"/>
      <c r="D7" s="240" t="s">
        <v>16</v>
      </c>
      <c r="E7" s="240" t="s">
        <v>17</v>
      </c>
      <c r="F7" s="240" t="s">
        <v>18</v>
      </c>
      <c r="G7" s="240" t="s">
        <v>19</v>
      </c>
      <c r="H7" s="240" t="s">
        <v>20</v>
      </c>
    </row>
    <row r="8" spans="2:8" x14ac:dyDescent="0.25">
      <c r="B8" s="108"/>
      <c r="C8" s="239"/>
      <c r="D8" s="241">
        <f>+'Input Sheet'!G69</f>
        <v>186.35416482618555</v>
      </c>
      <c r="E8" s="241">
        <f>+'Input Sheet'!H69</f>
        <v>194.48474483952293</v>
      </c>
      <c r="F8" s="241">
        <f>+'Input Sheet'!I69</f>
        <v>201.06955085866358</v>
      </c>
      <c r="G8" s="241">
        <f>+'Input Sheet'!J69</f>
        <v>208.1528607564552</v>
      </c>
      <c r="H8" s="241">
        <f>+'Input Sheet'!K69</f>
        <v>215.32088525469754</v>
      </c>
    </row>
    <row r="10" spans="2:8" x14ac:dyDescent="0.25">
      <c r="B10" s="100" t="s">
        <v>52</v>
      </c>
      <c r="C10" s="97"/>
      <c r="D10" s="97"/>
      <c r="E10" s="97"/>
      <c r="F10" s="97"/>
      <c r="G10" s="97"/>
      <c r="H10" s="97"/>
    </row>
    <row r="11" spans="2:8" ht="30.75" customHeight="1" x14ac:dyDescent="0.25">
      <c r="B11" s="392" t="s">
        <v>78</v>
      </c>
      <c r="C11" s="392"/>
      <c r="D11" s="392"/>
      <c r="E11" s="392"/>
      <c r="F11" s="392"/>
      <c r="G11" s="392"/>
      <c r="H11" s="392"/>
    </row>
    <row r="13" spans="2:8" x14ac:dyDescent="0.25">
      <c r="B13" s="100" t="s">
        <v>141</v>
      </c>
      <c r="C13" s="97"/>
      <c r="D13" s="97"/>
      <c r="E13" s="97"/>
      <c r="F13" s="97"/>
      <c r="G13" s="97"/>
      <c r="H13" s="97"/>
    </row>
    <row r="14" spans="2:8" ht="15" customHeight="1" x14ac:dyDescent="0.25">
      <c r="B14" s="391" t="s">
        <v>68</v>
      </c>
      <c r="C14" s="391"/>
      <c r="D14" s="391"/>
      <c r="E14" s="391"/>
      <c r="F14" s="391"/>
      <c r="G14" s="391"/>
      <c r="H14" s="391"/>
    </row>
    <row r="15" spans="2:8" ht="47.25" customHeight="1" x14ac:dyDescent="0.25">
      <c r="B15" s="393" t="s">
        <v>69</v>
      </c>
      <c r="C15" s="393"/>
      <c r="D15" s="393"/>
      <c r="E15" s="393"/>
      <c r="F15" s="393"/>
      <c r="G15" s="393"/>
      <c r="H15" s="393"/>
    </row>
    <row r="16" spans="2:8" ht="31.5" customHeight="1" x14ac:dyDescent="0.25">
      <c r="B16" s="393" t="s">
        <v>137</v>
      </c>
      <c r="C16" s="393"/>
      <c r="D16" s="393"/>
      <c r="E16" s="393"/>
      <c r="F16" s="393"/>
      <c r="G16" s="393"/>
      <c r="H16" s="393"/>
    </row>
    <row r="17" spans="2:8" ht="47.25" customHeight="1" x14ac:dyDescent="0.25">
      <c r="B17" s="393" t="s">
        <v>138</v>
      </c>
      <c r="C17" s="393"/>
      <c r="D17" s="393"/>
      <c r="E17" s="393"/>
      <c r="F17" s="393"/>
      <c r="G17" s="393"/>
      <c r="H17" s="393"/>
    </row>
    <row r="18" spans="2:8" ht="47.25" customHeight="1" x14ac:dyDescent="0.25">
      <c r="B18" s="393" t="s">
        <v>139</v>
      </c>
      <c r="C18" s="393"/>
      <c r="D18" s="393"/>
      <c r="E18" s="393"/>
      <c r="F18" s="393"/>
      <c r="G18" s="393"/>
      <c r="H18" s="393"/>
    </row>
    <row r="19" spans="2:8" ht="32.25" customHeight="1" x14ac:dyDescent="0.25">
      <c r="B19" s="393" t="s">
        <v>140</v>
      </c>
      <c r="C19" s="393"/>
      <c r="D19" s="393"/>
      <c r="E19" s="393"/>
      <c r="F19" s="393"/>
      <c r="G19" s="393"/>
      <c r="H19" s="393"/>
    </row>
    <row r="20" spans="2:8" ht="47.25" customHeight="1" x14ac:dyDescent="0.25">
      <c r="B20" s="393" t="s">
        <v>146</v>
      </c>
      <c r="C20" s="393"/>
      <c r="D20" s="393"/>
      <c r="E20" s="393"/>
      <c r="F20" s="393"/>
      <c r="G20" s="393"/>
      <c r="H20" s="393"/>
    </row>
    <row r="22" spans="2:8" x14ac:dyDescent="0.25">
      <c r="B22" s="100" t="s">
        <v>70</v>
      </c>
      <c r="C22" s="97"/>
      <c r="D22" s="97"/>
      <c r="E22" s="97"/>
      <c r="F22" s="97"/>
      <c r="G22" s="97"/>
      <c r="H22" s="97"/>
    </row>
    <row r="23" spans="2:8" ht="63" customHeight="1" x14ac:dyDescent="0.25">
      <c r="B23" s="391" t="s">
        <v>147</v>
      </c>
      <c r="C23" s="391"/>
      <c r="D23" s="391"/>
      <c r="E23" s="391"/>
      <c r="F23" s="391"/>
      <c r="G23" s="391"/>
      <c r="H23" s="391"/>
    </row>
    <row r="25" spans="2:8" x14ac:dyDescent="0.25">
      <c r="B25" s="14" t="s">
        <v>73</v>
      </c>
      <c r="C25" s="394" t="s">
        <v>5</v>
      </c>
      <c r="D25" s="395"/>
      <c r="E25" s="13" t="s">
        <v>12</v>
      </c>
      <c r="F25" s="13" t="s">
        <v>13</v>
      </c>
      <c r="G25" s="13" t="s">
        <v>14</v>
      </c>
      <c r="H25" s="146" t="s">
        <v>1</v>
      </c>
    </row>
    <row r="26" spans="2:8" x14ac:dyDescent="0.25">
      <c r="B26" s="15" t="s">
        <v>71</v>
      </c>
      <c r="C26" s="396" t="s">
        <v>74</v>
      </c>
      <c r="D26" s="396"/>
      <c r="E26" s="9">
        <f>+'Input Sheet'!H16+'Input Sheet'!H17+'Input Sheet'!H18</f>
        <v>1122589.44</v>
      </c>
      <c r="F26" s="9">
        <f>+'Input Sheet'!I16+'Input Sheet'!I17+'Input Sheet'!I18</f>
        <v>928528.98</v>
      </c>
      <c r="G26" s="9">
        <f>+'Input Sheet'!J16+'Input Sheet'!J17+'Input Sheet'!J18</f>
        <v>810692.87</v>
      </c>
      <c r="H26" s="16">
        <f>SUM(D26:G26)</f>
        <v>2861811.29</v>
      </c>
    </row>
    <row r="27" spans="2:8" x14ac:dyDescent="0.25">
      <c r="B27" s="15" t="s">
        <v>23</v>
      </c>
      <c r="C27" s="396" t="s">
        <v>142</v>
      </c>
      <c r="D27" s="396"/>
      <c r="E27" s="9">
        <f>'Input Sheet'!H52</f>
        <v>1216457.8900000001</v>
      </c>
      <c r="F27" s="9">
        <f>'Input Sheet'!I52</f>
        <v>1286471.1000000001</v>
      </c>
      <c r="G27" s="9">
        <f>'Input Sheet'!J52</f>
        <v>1229817.07</v>
      </c>
      <c r="H27" s="16">
        <f>SUM(D27:G27)</f>
        <v>3732746.0600000005</v>
      </c>
    </row>
    <row r="28" spans="2:8" x14ac:dyDescent="0.25">
      <c r="B28" t="s">
        <v>4</v>
      </c>
      <c r="C28" s="396" t="s">
        <v>148</v>
      </c>
      <c r="D28" s="396"/>
      <c r="E28" s="94">
        <f>+'Input Sheet'!H34</f>
        <v>46649</v>
      </c>
      <c r="F28" s="94">
        <f>'Input Sheet'!I34</f>
        <v>38198</v>
      </c>
      <c r="G28" s="94">
        <f>'Input Sheet'!J34</f>
        <v>33660</v>
      </c>
      <c r="H28" s="96">
        <f>SUM(D28:G28)</f>
        <v>118507</v>
      </c>
    </row>
    <row r="30" spans="2:8" x14ac:dyDescent="0.25">
      <c r="B30" s="100" t="s">
        <v>72</v>
      </c>
      <c r="C30" s="97"/>
      <c r="D30" s="97"/>
      <c r="E30" s="97"/>
      <c r="F30" s="97"/>
      <c r="G30" s="97"/>
      <c r="H30" s="97"/>
    </row>
    <row r="31" spans="2:8" ht="78" customHeight="1" x14ac:dyDescent="0.25">
      <c r="B31" s="391" t="s">
        <v>150</v>
      </c>
      <c r="C31" s="391"/>
      <c r="D31" s="391"/>
      <c r="E31" s="391"/>
      <c r="F31" s="391"/>
      <c r="G31" s="391"/>
      <c r="H31" s="391"/>
    </row>
    <row r="33" spans="2:8" x14ac:dyDescent="0.25">
      <c r="B33" s="12" t="s">
        <v>73</v>
      </c>
      <c r="C33" s="13" t="s">
        <v>16</v>
      </c>
      <c r="D33" s="13" t="s">
        <v>17</v>
      </c>
      <c r="E33" s="13" t="s">
        <v>18</v>
      </c>
      <c r="F33" s="13" t="s">
        <v>19</v>
      </c>
      <c r="G33" s="13" t="s">
        <v>20</v>
      </c>
      <c r="H33" s="146" t="s">
        <v>1</v>
      </c>
    </row>
    <row r="34" spans="2:8" x14ac:dyDescent="0.25">
      <c r="B34" s="15" t="s">
        <v>71</v>
      </c>
      <c r="C34" s="9">
        <f>'Fee Breakdown'!AB13</f>
        <v>3175186.1196827209</v>
      </c>
      <c r="D34" s="9">
        <f>'Fee Breakdown'!AC13</f>
        <v>3313718.600710969</v>
      </c>
      <c r="E34" s="9">
        <f>'Fee Breakdown'!AD13</f>
        <v>3425913.4888277962</v>
      </c>
      <c r="F34" s="9">
        <f>'Fee Breakdown'!AE13</f>
        <v>3546602.1103558238</v>
      </c>
      <c r="G34" s="9">
        <f>'Fee Breakdown'!AF13</f>
        <v>3668734.1373679014</v>
      </c>
      <c r="H34" s="16">
        <f>SUM(C34:G34)</f>
        <v>17130154.456945211</v>
      </c>
    </row>
    <row r="35" spans="2:8" x14ac:dyDescent="0.25">
      <c r="B35" s="15"/>
      <c r="C35" s="9"/>
      <c r="D35" s="9"/>
      <c r="E35" s="9"/>
      <c r="F35" s="9"/>
      <c r="G35" s="9"/>
      <c r="H35" s="16"/>
    </row>
    <row r="36" spans="2:8" x14ac:dyDescent="0.25">
      <c r="B36" s="15" t="s">
        <v>23</v>
      </c>
      <c r="C36" s="9">
        <f>'Fee Breakdown'!P23</f>
        <v>1401913.4476388381</v>
      </c>
      <c r="D36" s="9">
        <f>'Fee Breakdown'!Q23</f>
        <v>1463078.5386816519</v>
      </c>
      <c r="E36" s="9">
        <f>'Fee Breakdown'!R23</f>
        <v>1512615.0119712967</v>
      </c>
      <c r="F36" s="9">
        <f>'Fee Breakdown'!S23</f>
        <v>1565901.6525396437</v>
      </c>
      <c r="G36" s="9">
        <f>'Fee Breakdown'!T23</f>
        <v>1619825.5878939368</v>
      </c>
      <c r="H36" s="16">
        <f>SUM(C36:G36)</f>
        <v>7563334.238725367</v>
      </c>
    </row>
    <row r="37" spans="2:8" x14ac:dyDescent="0.25">
      <c r="B37" s="15" t="s">
        <v>25</v>
      </c>
      <c r="C37" s="9">
        <f>'Fee Breakdown'!V23</f>
        <v>1645078.6344527151</v>
      </c>
      <c r="D37" s="9">
        <f>'Fee Breakdown'!W23</f>
        <v>1843484.0505272946</v>
      </c>
      <c r="E37" s="9">
        <f>'Fee Breakdown'!X23</f>
        <v>1922597.4559529657</v>
      </c>
      <c r="F37" s="9">
        <f>'Fee Breakdown'!Y23</f>
        <v>2031563.4087570242</v>
      </c>
      <c r="G37" s="9">
        <f>'Fee Breakdown'!Z23</f>
        <v>2142379.0680933441</v>
      </c>
      <c r="H37" s="16">
        <f>SUM(C37:G37)</f>
        <v>9585102.6177833434</v>
      </c>
    </row>
    <row r="38" spans="2:8" ht="15.75" thickBot="1" x14ac:dyDescent="0.3">
      <c r="B38" s="98" t="s">
        <v>56</v>
      </c>
      <c r="C38" s="99">
        <f>SUM(C36:C37)</f>
        <v>3046992.0820915531</v>
      </c>
      <c r="D38" s="99">
        <f t="shared" ref="D38:H38" si="0">SUM(D36:D37)</f>
        <v>3306562.5892089466</v>
      </c>
      <c r="E38" s="99">
        <f t="shared" si="0"/>
        <v>3435212.4679242624</v>
      </c>
      <c r="F38" s="99">
        <f t="shared" si="0"/>
        <v>3597465.0612966679</v>
      </c>
      <c r="G38" s="99">
        <f t="shared" si="0"/>
        <v>3762204.6559872809</v>
      </c>
      <c r="H38" s="99">
        <f t="shared" si="0"/>
        <v>17148436.856508709</v>
      </c>
    </row>
    <row r="39" spans="2:8" x14ac:dyDescent="0.25">
      <c r="B39" s="15"/>
      <c r="C39" s="9"/>
      <c r="D39" s="9"/>
      <c r="E39" s="9"/>
      <c r="F39" s="9"/>
      <c r="G39" s="9"/>
      <c r="H39" s="9"/>
    </row>
    <row r="40" spans="2:8" x14ac:dyDescent="0.25">
      <c r="B40" t="s">
        <v>4</v>
      </c>
      <c r="C40" s="144">
        <f>'Fee Breakdown'!H23</f>
        <v>39607</v>
      </c>
      <c r="D40" s="144">
        <f>'Fee Breakdown'!I23</f>
        <v>39607</v>
      </c>
      <c r="E40" s="144">
        <f>'Fee Breakdown'!J23</f>
        <v>39607</v>
      </c>
      <c r="F40" s="144">
        <f>'Fee Breakdown'!K23</f>
        <v>39607</v>
      </c>
      <c r="G40" s="144">
        <f>'Fee Breakdown'!L23</f>
        <v>39607</v>
      </c>
      <c r="H40" s="145">
        <f>SUM(C40:G40)</f>
        <v>198035</v>
      </c>
    </row>
    <row r="41" spans="2:8" x14ac:dyDescent="0.25">
      <c r="C41" s="3"/>
      <c r="D41" s="4"/>
      <c r="E41" s="3"/>
      <c r="F41" s="3"/>
      <c r="G41" s="3"/>
    </row>
    <row r="42" spans="2:8" x14ac:dyDescent="0.25">
      <c r="B42" s="100" t="s">
        <v>53</v>
      </c>
      <c r="C42" s="97"/>
      <c r="D42" s="97"/>
      <c r="E42" s="97"/>
      <c r="F42" s="97"/>
      <c r="G42" s="97"/>
      <c r="H42" s="97"/>
    </row>
    <row r="43" spans="2:8" ht="61.5" customHeight="1" x14ac:dyDescent="0.25">
      <c r="B43" s="391" t="s">
        <v>143</v>
      </c>
      <c r="C43" s="391"/>
      <c r="D43" s="391"/>
      <c r="E43" s="391"/>
      <c r="F43" s="391"/>
      <c r="G43" s="391"/>
      <c r="H43" s="391"/>
    </row>
    <row r="45" spans="2:8" x14ac:dyDescent="0.25">
      <c r="B45" s="12" t="s">
        <v>73</v>
      </c>
      <c r="C45" s="13" t="s">
        <v>16</v>
      </c>
      <c r="D45" s="13" t="s">
        <v>17</v>
      </c>
      <c r="E45" s="13" t="s">
        <v>18</v>
      </c>
      <c r="F45" s="13" t="s">
        <v>19</v>
      </c>
      <c r="G45" s="13" t="s">
        <v>20</v>
      </c>
      <c r="H45" s="146" t="s">
        <v>55</v>
      </c>
    </row>
    <row r="46" spans="2:8" x14ac:dyDescent="0.25">
      <c r="B46" t="s">
        <v>54</v>
      </c>
      <c r="C46" s="8">
        <f>+'Input Sheet'!G78</f>
        <v>2.1734523534412387</v>
      </c>
      <c r="D46" s="8">
        <f>+'Input Sheet'!H78</f>
        <v>2.2600034801880273</v>
      </c>
      <c r="E46" s="8">
        <f>+'Input Sheet'!I78</f>
        <v>2.2710421625707418</v>
      </c>
      <c r="F46" s="8">
        <f>+'Input Sheet'!J78</f>
        <v>2.2973761190315822</v>
      </c>
      <c r="G46" s="8">
        <f>+'Input Sheet'!K78</f>
        <v>2.3225986082111594</v>
      </c>
      <c r="H46" s="95">
        <f>AVERAGE(C46:G46)</f>
        <v>2.2648945446885498</v>
      </c>
    </row>
  </sheetData>
  <mergeCells count="19">
    <mergeCell ref="C5:H5"/>
    <mergeCell ref="C3:H3"/>
    <mergeCell ref="C4:H4"/>
    <mergeCell ref="C28:D28"/>
    <mergeCell ref="C6:H6"/>
    <mergeCell ref="B43:H43"/>
    <mergeCell ref="B14:H14"/>
    <mergeCell ref="B11:H11"/>
    <mergeCell ref="B15:H15"/>
    <mergeCell ref="B16:H16"/>
    <mergeCell ref="B23:H23"/>
    <mergeCell ref="B17:H17"/>
    <mergeCell ref="B19:H19"/>
    <mergeCell ref="B20:H20"/>
    <mergeCell ref="B18:H18"/>
    <mergeCell ref="B31:H31"/>
    <mergeCell ref="C25:D25"/>
    <mergeCell ref="C26:D26"/>
    <mergeCell ref="C27:D27"/>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02" t="s">
        <v>42</v>
      </c>
      <c r="C2" s="102"/>
      <c r="D2" s="101"/>
      <c r="E2" s="101"/>
      <c r="F2" s="101"/>
      <c r="G2" s="101"/>
      <c r="H2" s="101"/>
      <c r="I2" s="101"/>
      <c r="J2" s="101"/>
      <c r="K2" s="101"/>
    </row>
    <row r="3" spans="2:13" x14ac:dyDescent="0.25">
      <c r="B3" s="14" t="s">
        <v>0</v>
      </c>
      <c r="C3" s="12"/>
      <c r="D3" s="400" t="str">
        <f>'AER Summary'!C3</f>
        <v>Inspection of Service Work (Level 2 work)</v>
      </c>
      <c r="E3" s="401"/>
      <c r="F3" s="401"/>
      <c r="G3" s="401"/>
      <c r="H3" s="401"/>
      <c r="I3" s="401"/>
      <c r="J3" s="401"/>
      <c r="K3" s="401"/>
      <c r="M3" s="6"/>
    </row>
    <row r="4" spans="2:13" x14ac:dyDescent="0.25">
      <c r="M4" s="6"/>
    </row>
    <row r="5" spans="2:13" x14ac:dyDescent="0.25">
      <c r="B5" s="100" t="s">
        <v>75</v>
      </c>
      <c r="C5" s="100"/>
      <c r="D5" s="100"/>
      <c r="E5" s="100"/>
      <c r="F5" s="100"/>
      <c r="G5" s="100"/>
      <c r="H5" s="100"/>
      <c r="I5" s="100"/>
      <c r="J5" s="100"/>
      <c r="K5" s="100"/>
      <c r="M5" s="7"/>
    </row>
    <row r="6" spans="2:13" ht="108" customHeight="1" x14ac:dyDescent="0.25">
      <c r="B6" s="402" t="s">
        <v>130</v>
      </c>
      <c r="C6" s="402"/>
      <c r="D6" s="402"/>
      <c r="E6" s="402"/>
      <c r="F6" s="402"/>
      <c r="G6" s="402"/>
      <c r="H6" s="402"/>
      <c r="I6" s="402"/>
      <c r="J6" s="402"/>
      <c r="K6" s="402"/>
      <c r="M6" s="7"/>
    </row>
    <row r="7" spans="2:13" x14ac:dyDescent="0.25">
      <c r="B7" s="238"/>
      <c r="C7" s="238"/>
      <c r="D7" s="238"/>
      <c r="E7" s="238"/>
      <c r="F7" s="238"/>
      <c r="G7" s="238"/>
      <c r="H7" s="238"/>
      <c r="I7" s="238"/>
      <c r="J7" s="238"/>
      <c r="K7" s="238"/>
    </row>
    <row r="8" spans="2:13" x14ac:dyDescent="0.25">
      <c r="B8" s="100" t="s">
        <v>7</v>
      </c>
      <c r="C8" s="100"/>
      <c r="D8" s="100"/>
      <c r="E8" s="100"/>
      <c r="F8" s="100"/>
      <c r="G8" s="100"/>
      <c r="H8" s="100"/>
      <c r="I8" s="100"/>
      <c r="J8" s="100"/>
      <c r="K8" s="100"/>
    </row>
    <row r="9" spans="2:13" ht="34.5" customHeight="1" x14ac:dyDescent="0.25">
      <c r="B9" s="402" t="s">
        <v>78</v>
      </c>
      <c r="C9" s="402"/>
      <c r="D9" s="402"/>
      <c r="E9" s="402"/>
      <c r="F9" s="402"/>
      <c r="G9" s="402"/>
      <c r="H9" s="402"/>
      <c r="I9" s="402"/>
      <c r="J9" s="402"/>
      <c r="K9" s="402"/>
    </row>
    <row r="10" spans="2:13" x14ac:dyDescent="0.25">
      <c r="B10" s="238"/>
      <c r="C10" s="238"/>
      <c r="D10" s="238"/>
      <c r="E10" s="238"/>
      <c r="F10" s="238"/>
      <c r="G10" s="238"/>
      <c r="H10" s="238"/>
      <c r="I10" s="238"/>
      <c r="J10" s="238"/>
      <c r="K10" s="238"/>
    </row>
    <row r="11" spans="2:13" x14ac:dyDescent="0.25">
      <c r="B11" s="100" t="s">
        <v>76</v>
      </c>
      <c r="C11" s="100"/>
      <c r="D11" s="100"/>
      <c r="E11" s="100"/>
      <c r="F11" s="100"/>
      <c r="G11" s="100"/>
      <c r="H11" s="100"/>
      <c r="I11" s="100"/>
      <c r="J11" s="100"/>
      <c r="K11" s="100"/>
    </row>
    <row r="12" spans="2:13" ht="152.25" customHeight="1" x14ac:dyDescent="0.25">
      <c r="B12" s="402" t="s">
        <v>131</v>
      </c>
      <c r="C12" s="402"/>
      <c r="D12" s="402"/>
      <c r="E12" s="402"/>
      <c r="F12" s="402"/>
      <c r="G12" s="402"/>
      <c r="H12" s="402"/>
      <c r="I12" s="402"/>
      <c r="J12" s="402"/>
      <c r="K12" s="402"/>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138"/>
  <sheetViews>
    <sheetView showGridLines="0" workbookViewId="0"/>
  </sheetViews>
  <sheetFormatPr defaultColWidth="9.140625" defaultRowHeight="12.75" x14ac:dyDescent="0.25"/>
  <cols>
    <col min="1" max="1" width="2.5703125" style="22" customWidth="1"/>
    <col min="2" max="2" width="57.28515625" style="22" bestFit="1" customWidth="1"/>
    <col min="3" max="6" width="10" style="22" customWidth="1"/>
    <col min="7" max="7" width="2.85546875" style="22" customWidth="1"/>
    <col min="8" max="9" width="10" style="22" customWidth="1"/>
    <col min="10" max="12" width="10" style="58" customWidth="1"/>
    <col min="13" max="13" width="2.85546875" style="58" customWidth="1"/>
    <col min="14" max="14" width="12" style="58" customWidth="1"/>
    <col min="15" max="15" width="2.85546875" style="58" customWidth="1"/>
    <col min="16" max="20" width="10" style="58" customWidth="1"/>
    <col min="21" max="21" width="3.7109375" style="73" customWidth="1"/>
    <col min="22" max="26" width="10" style="74" customWidth="1"/>
    <col min="27" max="27" width="3.7109375" style="22" customWidth="1"/>
    <col min="28" max="32" width="10" style="22" customWidth="1"/>
    <col min="33" max="33" width="2.85546875" style="22" customWidth="1"/>
    <col min="34" max="63" width="9.140625" style="22" customWidth="1"/>
    <col min="64" max="16384" width="9.140625" style="22"/>
  </cols>
  <sheetData>
    <row r="2" spans="2:33" ht="21" x14ac:dyDescent="0.25">
      <c r="B2" s="123" t="s">
        <v>44</v>
      </c>
      <c r="C2" s="124"/>
      <c r="D2" s="124"/>
      <c r="E2" s="124"/>
      <c r="F2" s="124"/>
      <c r="G2" s="124"/>
      <c r="H2" s="124"/>
      <c r="I2" s="124"/>
      <c r="J2" s="125"/>
      <c r="K2" s="125"/>
      <c r="L2" s="125"/>
      <c r="M2" s="125"/>
      <c r="N2" s="125"/>
      <c r="O2" s="125"/>
      <c r="P2" s="125"/>
      <c r="Q2" s="125"/>
      <c r="R2" s="125"/>
      <c r="S2" s="125"/>
      <c r="T2" s="125"/>
      <c r="U2" s="125"/>
      <c r="V2" s="125"/>
      <c r="W2" s="125"/>
      <c r="X2" s="125"/>
      <c r="Y2" s="125"/>
      <c r="Z2" s="125"/>
      <c r="AA2" s="125"/>
      <c r="AB2" s="125"/>
      <c r="AC2" s="125"/>
      <c r="AD2" s="125"/>
      <c r="AE2" s="125"/>
      <c r="AF2" s="125"/>
    </row>
    <row r="3" spans="2:33" ht="15" x14ac:dyDescent="0.25">
      <c r="B3" s="71" t="s">
        <v>0</v>
      </c>
      <c r="C3" s="72" t="str">
        <f>+'AER Summary'!C3</f>
        <v>Inspection of Service Work (Level 2 work)</v>
      </c>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row>
    <row r="5" spans="2:33" ht="15" x14ac:dyDescent="0.25">
      <c r="B5" s="100" t="str">
        <f>"Proposed "&amp;'AER Summary'!C3&amp;" Fees &amp; Revenue"</f>
        <v>Proposed Inspection of Service Work (Level 2 work) Fees &amp; Revenue</v>
      </c>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row>
    <row r="6" spans="2:33" x14ac:dyDescent="0.25">
      <c r="M6" s="92"/>
      <c r="N6" s="92"/>
      <c r="O6" s="92"/>
      <c r="V6" s="63"/>
      <c r="W6" s="63"/>
      <c r="X6" s="63"/>
      <c r="Y6" s="63"/>
      <c r="Z6" s="63"/>
    </row>
    <row r="7" spans="2:33" x14ac:dyDescent="0.25">
      <c r="C7" s="409" t="s">
        <v>6</v>
      </c>
      <c r="D7" s="410"/>
      <c r="E7" s="410"/>
      <c r="F7" s="411"/>
      <c r="H7" s="412" t="s">
        <v>57</v>
      </c>
      <c r="I7" s="413"/>
      <c r="J7" s="413"/>
      <c r="K7" s="413"/>
      <c r="L7" s="414"/>
      <c r="M7" s="75"/>
      <c r="N7" s="75"/>
      <c r="O7" s="75"/>
      <c r="P7" s="412" t="s">
        <v>65</v>
      </c>
      <c r="Q7" s="413"/>
      <c r="R7" s="413"/>
      <c r="S7" s="413"/>
      <c r="T7" s="414"/>
      <c r="V7" s="415"/>
      <c r="W7" s="415"/>
      <c r="X7" s="415"/>
      <c r="Y7" s="415"/>
      <c r="Z7" s="415"/>
      <c r="AA7" s="116"/>
      <c r="AB7" s="412" t="s">
        <v>115</v>
      </c>
      <c r="AC7" s="413"/>
      <c r="AD7" s="413"/>
      <c r="AE7" s="413"/>
      <c r="AF7" s="414"/>
      <c r="AG7" s="116"/>
    </row>
    <row r="8" spans="2:33" ht="51" x14ac:dyDescent="0.25">
      <c r="B8" s="76" t="s">
        <v>9</v>
      </c>
      <c r="C8" s="223" t="s">
        <v>46</v>
      </c>
      <c r="D8" s="230" t="s">
        <v>8</v>
      </c>
      <c r="E8" s="230" t="s">
        <v>58</v>
      </c>
      <c r="F8" s="225" t="s">
        <v>45</v>
      </c>
      <c r="H8" s="112" t="s">
        <v>16</v>
      </c>
      <c r="I8" s="113" t="s">
        <v>17</v>
      </c>
      <c r="J8" s="113" t="s">
        <v>18</v>
      </c>
      <c r="K8" s="113" t="s">
        <v>19</v>
      </c>
      <c r="L8" s="114" t="s">
        <v>20</v>
      </c>
      <c r="M8" s="77"/>
      <c r="N8" s="109" t="s">
        <v>64</v>
      </c>
      <c r="O8" s="77"/>
      <c r="P8" s="112" t="s">
        <v>16</v>
      </c>
      <c r="Q8" s="113" t="s">
        <v>17</v>
      </c>
      <c r="R8" s="113" t="s">
        <v>18</v>
      </c>
      <c r="S8" s="113" t="s">
        <v>19</v>
      </c>
      <c r="T8" s="114" t="s">
        <v>20</v>
      </c>
      <c r="V8" s="117"/>
      <c r="W8" s="117"/>
      <c r="X8" s="117"/>
      <c r="Y8" s="117"/>
      <c r="Z8" s="117"/>
      <c r="AA8" s="116"/>
      <c r="AB8" s="235" t="s">
        <v>16</v>
      </c>
      <c r="AC8" s="236" t="s">
        <v>17</v>
      </c>
      <c r="AD8" s="236" t="s">
        <v>18</v>
      </c>
      <c r="AE8" s="236" t="s">
        <v>19</v>
      </c>
      <c r="AF8" s="237" t="s">
        <v>20</v>
      </c>
      <c r="AG8" s="116"/>
    </row>
    <row r="9" spans="2:33" x14ac:dyDescent="0.2">
      <c r="B9" s="151" t="s">
        <v>111</v>
      </c>
      <c r="C9" s="189">
        <f>'Input Sheet'!G9</f>
        <v>80</v>
      </c>
      <c r="D9" s="231">
        <f>'Input Sheet'!H9</f>
        <v>0.25</v>
      </c>
      <c r="E9" s="232">
        <f>'Input Sheet'!J9</f>
        <v>22</v>
      </c>
      <c r="F9" s="233">
        <f>'Input Sheet'!K9</f>
        <v>20</v>
      </c>
      <c r="G9" s="83"/>
      <c r="H9" s="110">
        <f>+'Input Sheet'!G$69</f>
        <v>186.35416482618555</v>
      </c>
      <c r="I9" s="104">
        <f>+'Input Sheet'!H$69</f>
        <v>194.48474483952293</v>
      </c>
      <c r="J9" s="104">
        <f>+'Input Sheet'!I$69</f>
        <v>201.06955085866358</v>
      </c>
      <c r="K9" s="104">
        <f>+'Input Sheet'!J$69</f>
        <v>208.1528607564552</v>
      </c>
      <c r="L9" s="105">
        <f>+'Input Sheet'!K$69</f>
        <v>215.32088525469754</v>
      </c>
      <c r="M9" s="80"/>
      <c r="N9" s="234">
        <f>+'Standard Hour Calcs'!Z10</f>
        <v>0.35</v>
      </c>
      <c r="O9" s="80"/>
      <c r="P9" s="138">
        <f t="shared" ref="P9" si="0">IF($N9="Hourly",H9,H9*$N9)</f>
        <v>65.223957689164934</v>
      </c>
      <c r="Q9" s="139">
        <f t="shared" ref="Q9" si="1">IF($N9="Hourly",I9,I9*$N9)</f>
        <v>68.069660693833015</v>
      </c>
      <c r="R9" s="139">
        <f t="shared" ref="R9" si="2">IF($N9="Hourly",J9,J9*$N9)</f>
        <v>70.374342800532247</v>
      </c>
      <c r="S9" s="139">
        <f t="shared" ref="S9" si="3">IF($N9="Hourly",K9,K9*$N9)</f>
        <v>72.853501264759316</v>
      </c>
      <c r="T9" s="140">
        <f t="shared" ref="T9" si="4">IF($N9="Hourly",L9,L9*$N9)</f>
        <v>75.362309839144132</v>
      </c>
      <c r="U9" s="81"/>
      <c r="V9" s="154"/>
      <c r="W9" s="154"/>
      <c r="X9" s="154"/>
      <c r="Y9" s="154"/>
      <c r="Z9" s="154"/>
      <c r="AA9" s="116"/>
      <c r="AB9" s="269">
        <f>+P9*H19</f>
        <v>1754720.1337116042</v>
      </c>
      <c r="AC9" s="270">
        <f t="shared" ref="AC9:AF9" si="5">+Q9*I19</f>
        <v>1831278.0816461896</v>
      </c>
      <c r="AD9" s="270">
        <f t="shared" si="5"/>
        <v>1893280.9443627191</v>
      </c>
      <c r="AE9" s="270">
        <f t="shared" si="5"/>
        <v>1959977.7445258198</v>
      </c>
      <c r="AF9" s="271">
        <f t="shared" si="5"/>
        <v>2027472.2216024946</v>
      </c>
      <c r="AG9" s="116"/>
    </row>
    <row r="10" spans="2:33" x14ac:dyDescent="0.2">
      <c r="B10" s="151" t="s">
        <v>112</v>
      </c>
      <c r="C10" s="137">
        <f>'Input Sheet'!G10</f>
        <v>80</v>
      </c>
      <c r="D10" s="229">
        <f>'Input Sheet'!H10</f>
        <v>0.41249999999999998</v>
      </c>
      <c r="E10" s="224">
        <f>'Input Sheet'!J10</f>
        <v>36.299999999999997</v>
      </c>
      <c r="F10" s="93">
        <f>'Input Sheet'!K10</f>
        <v>33</v>
      </c>
      <c r="G10" s="83"/>
      <c r="H10" s="110">
        <f>+'Input Sheet'!G$69</f>
        <v>186.35416482618555</v>
      </c>
      <c r="I10" s="104">
        <f>+'Input Sheet'!H$69</f>
        <v>194.48474483952293</v>
      </c>
      <c r="J10" s="104">
        <f>+'Input Sheet'!I$69</f>
        <v>201.06955085866358</v>
      </c>
      <c r="K10" s="104">
        <f>+'Input Sheet'!J$69</f>
        <v>208.1528607564552</v>
      </c>
      <c r="L10" s="105">
        <f>+'Input Sheet'!K$69</f>
        <v>215.32088525469754</v>
      </c>
      <c r="M10" s="80"/>
      <c r="N10" s="234">
        <f>+'Standard Hour Calcs'!Z11</f>
        <v>0.6</v>
      </c>
      <c r="O10" s="80"/>
      <c r="P10" s="138">
        <f t="shared" ref="P10:P11" si="6">IF($N10="Hourly",H10,H10*$N10)</f>
        <v>111.81249889571133</v>
      </c>
      <c r="Q10" s="139">
        <f t="shared" ref="Q10:Q11" si="7">IF($N10="Hourly",I10,I10*$N10)</f>
        <v>116.69084690371375</v>
      </c>
      <c r="R10" s="139">
        <f t="shared" ref="R10:R11" si="8">IF($N10="Hourly",J10,J10*$N10)</f>
        <v>120.64173051519813</v>
      </c>
      <c r="S10" s="139">
        <f t="shared" ref="S10:S11" si="9">IF($N10="Hourly",K10,K10*$N10)</f>
        <v>124.89171645387312</v>
      </c>
      <c r="T10" s="140">
        <f t="shared" ref="T10:T11" si="10">IF($N10="Hourly",L10,L10*$N10)</f>
        <v>129.19253115281853</v>
      </c>
      <c r="U10" s="81"/>
      <c r="V10" s="154"/>
      <c r="W10" s="154"/>
      <c r="X10" s="154"/>
      <c r="Y10" s="154"/>
      <c r="Z10" s="154"/>
      <c r="AA10" s="116"/>
      <c r="AB10" s="272">
        <f t="shared" ref="AB10:AF10" si="11">+P10*H20</f>
        <v>1420465.9859711167</v>
      </c>
      <c r="AC10" s="273">
        <f t="shared" si="11"/>
        <v>1482440.5190647794</v>
      </c>
      <c r="AD10" s="273">
        <f t="shared" si="11"/>
        <v>1532632.5444650771</v>
      </c>
      <c r="AE10" s="273">
        <f t="shared" si="11"/>
        <v>1586624.365830004</v>
      </c>
      <c r="AF10" s="274">
        <f t="shared" si="11"/>
        <v>1641261.9157654066</v>
      </c>
      <c r="AG10" s="116"/>
    </row>
    <row r="11" spans="2:33" x14ac:dyDescent="0.2">
      <c r="B11" s="151" t="s">
        <v>113</v>
      </c>
      <c r="C11" s="137">
        <f>'Input Sheet'!G11</f>
        <v>80</v>
      </c>
      <c r="D11" s="229">
        <f>'Input Sheet'!H11</f>
        <v>1.2</v>
      </c>
      <c r="E11" s="224">
        <f>'Input Sheet'!J11</f>
        <v>105.6</v>
      </c>
      <c r="F11" s="93">
        <f>'Input Sheet'!K11</f>
        <v>96</v>
      </c>
      <c r="G11" s="83"/>
      <c r="H11" s="110">
        <f>+'Input Sheet'!G$69</f>
        <v>186.35416482618555</v>
      </c>
      <c r="I11" s="104">
        <f>+'Input Sheet'!H$69</f>
        <v>194.48474483952293</v>
      </c>
      <c r="J11" s="104">
        <f>+'Input Sheet'!I$69</f>
        <v>201.06955085866358</v>
      </c>
      <c r="K11" s="104">
        <f>+'Input Sheet'!J$69</f>
        <v>208.1528607564552</v>
      </c>
      <c r="L11" s="105">
        <f>+'Input Sheet'!K$69</f>
        <v>215.32088525469754</v>
      </c>
      <c r="M11" s="80"/>
      <c r="N11" s="234">
        <f>+'Standard Hour Calcs'!Z12</f>
        <v>2</v>
      </c>
      <c r="O11" s="80"/>
      <c r="P11" s="138">
        <f t="shared" si="6"/>
        <v>372.70832965237111</v>
      </c>
      <c r="Q11" s="139">
        <f t="shared" si="7"/>
        <v>388.96948967904586</v>
      </c>
      <c r="R11" s="139">
        <f t="shared" si="8"/>
        <v>402.13910171732715</v>
      </c>
      <c r="S11" s="139">
        <f t="shared" si="9"/>
        <v>416.3057215129104</v>
      </c>
      <c r="T11" s="140">
        <f t="shared" si="10"/>
        <v>430.64177050939509</v>
      </c>
      <c r="U11" s="81"/>
      <c r="V11" s="154"/>
      <c r="W11" s="154"/>
      <c r="X11" s="154"/>
      <c r="Y11" s="154"/>
      <c r="Z11" s="154"/>
      <c r="AA11" s="116"/>
      <c r="AB11" s="272">
        <f t="shared" ref="AB11:AF11" si="12">+P11*H21</f>
        <v>0</v>
      </c>
      <c r="AC11" s="273">
        <f t="shared" si="12"/>
        <v>0</v>
      </c>
      <c r="AD11" s="273">
        <f t="shared" si="12"/>
        <v>0</v>
      </c>
      <c r="AE11" s="273">
        <f t="shared" si="12"/>
        <v>0</v>
      </c>
      <c r="AF11" s="274">
        <f t="shared" si="12"/>
        <v>0</v>
      </c>
      <c r="AG11" s="116"/>
    </row>
    <row r="12" spans="2:33" x14ac:dyDescent="0.25">
      <c r="B12" s="88"/>
      <c r="C12" s="153"/>
      <c r="D12" s="61"/>
      <c r="E12" s="61"/>
      <c r="F12" s="89"/>
      <c r="G12" s="84"/>
      <c r="H12" s="111"/>
      <c r="I12" s="106"/>
      <c r="J12" s="106"/>
      <c r="K12" s="106"/>
      <c r="L12" s="107"/>
      <c r="M12" s="85"/>
      <c r="N12" s="90"/>
      <c r="O12" s="85"/>
      <c r="P12" s="141"/>
      <c r="Q12" s="142"/>
      <c r="R12" s="142"/>
      <c r="S12" s="142"/>
      <c r="T12" s="143"/>
      <c r="U12" s="81"/>
      <c r="V12" s="154"/>
      <c r="W12" s="154"/>
      <c r="X12" s="154"/>
      <c r="Y12" s="154"/>
      <c r="Z12" s="154"/>
      <c r="AA12" s="116"/>
      <c r="AB12" s="275"/>
      <c r="AC12" s="276"/>
      <c r="AD12" s="276"/>
      <c r="AE12" s="276"/>
      <c r="AF12" s="277"/>
      <c r="AG12" s="116"/>
    </row>
    <row r="13" spans="2:33" x14ac:dyDescent="0.2">
      <c r="B13" s="60"/>
      <c r="C13" s="242"/>
      <c r="D13" s="60"/>
      <c r="E13" s="60"/>
      <c r="F13" s="242"/>
      <c r="G13" s="84"/>
      <c r="H13" s="104"/>
      <c r="I13" s="104"/>
      <c r="J13" s="104"/>
      <c r="K13" s="104"/>
      <c r="L13" s="104"/>
      <c r="M13" s="85"/>
      <c r="N13" s="82"/>
      <c r="O13" s="85"/>
      <c r="P13" s="139"/>
      <c r="Q13" s="139"/>
      <c r="R13" s="139"/>
      <c r="S13" s="139"/>
      <c r="T13" s="139"/>
      <c r="U13" s="81"/>
      <c r="V13" s="154"/>
      <c r="W13" s="154"/>
      <c r="X13" s="154"/>
      <c r="Y13" s="154"/>
      <c r="Z13" s="154"/>
      <c r="AA13" s="116"/>
      <c r="AB13" s="278">
        <f>SUM(AB9:AB12)</f>
        <v>3175186.1196827209</v>
      </c>
      <c r="AC13" s="279">
        <f t="shared" ref="AC13:AF13" si="13">SUM(AC9:AC12)</f>
        <v>3313718.600710969</v>
      </c>
      <c r="AD13" s="279">
        <f t="shared" si="13"/>
        <v>3425913.4888277962</v>
      </c>
      <c r="AE13" s="279">
        <f t="shared" si="13"/>
        <v>3546602.1103558238</v>
      </c>
      <c r="AF13" s="280">
        <f t="shared" si="13"/>
        <v>3668734.1373679014</v>
      </c>
      <c r="AG13" s="116"/>
    </row>
    <row r="14" spans="2:33" x14ac:dyDescent="0.25">
      <c r="C14" s="85"/>
      <c r="D14" s="60"/>
      <c r="E14" s="60"/>
      <c r="F14" s="60"/>
      <c r="G14" s="84"/>
      <c r="H14" s="84"/>
      <c r="I14" s="84"/>
      <c r="J14" s="91"/>
      <c r="K14" s="91"/>
      <c r="L14" s="91"/>
      <c r="M14" s="91"/>
      <c r="N14" s="91"/>
      <c r="O14" s="91"/>
      <c r="P14" s="91"/>
      <c r="Q14" s="91"/>
      <c r="R14" s="91"/>
      <c r="S14" s="91"/>
      <c r="T14" s="91"/>
      <c r="V14" s="118"/>
      <c r="W14" s="118"/>
      <c r="X14" s="118"/>
      <c r="Y14" s="118"/>
      <c r="Z14" s="118"/>
      <c r="AA14" s="116"/>
      <c r="AB14" s="118"/>
      <c r="AC14" s="118"/>
      <c r="AD14" s="118"/>
      <c r="AE14" s="118"/>
      <c r="AF14" s="118"/>
      <c r="AG14" s="116"/>
    </row>
    <row r="15" spans="2:33" ht="15" x14ac:dyDescent="0.25">
      <c r="B15" s="100" t="s">
        <v>67</v>
      </c>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row>
    <row r="16" spans="2:33" x14ac:dyDescent="0.25">
      <c r="M16" s="92"/>
      <c r="N16" s="92"/>
      <c r="O16" s="92"/>
      <c r="V16" s="63"/>
      <c r="W16" s="63"/>
      <c r="X16" s="63"/>
      <c r="Y16" s="63"/>
      <c r="Z16" s="63"/>
    </row>
    <row r="17" spans="2:32" s="73" customFormat="1" x14ac:dyDescent="0.2">
      <c r="C17" s="403" t="s">
        <v>47</v>
      </c>
      <c r="D17" s="404"/>
      <c r="E17" s="404"/>
      <c r="F17" s="405"/>
      <c r="G17" s="22"/>
      <c r="H17" s="406" t="s">
        <v>66</v>
      </c>
      <c r="I17" s="407"/>
      <c r="J17" s="407"/>
      <c r="K17" s="407"/>
      <c r="L17" s="408"/>
      <c r="P17" s="416" t="s">
        <v>49</v>
      </c>
      <c r="Q17" s="417"/>
      <c r="R17" s="417"/>
      <c r="S17" s="417"/>
      <c r="T17" s="418"/>
      <c r="V17" s="403" t="s">
        <v>48</v>
      </c>
      <c r="W17" s="404"/>
      <c r="X17" s="404"/>
      <c r="Y17" s="404"/>
      <c r="Z17" s="405"/>
      <c r="AB17" s="403" t="s">
        <v>33</v>
      </c>
      <c r="AC17" s="404"/>
      <c r="AD17" s="404"/>
      <c r="AE17" s="404"/>
      <c r="AF17" s="405"/>
    </row>
    <row r="18" spans="2:32" s="73" customFormat="1" ht="25.5" x14ac:dyDescent="0.25">
      <c r="B18" s="76" t="s">
        <v>9</v>
      </c>
      <c r="C18" s="112" t="s">
        <v>11</v>
      </c>
      <c r="D18" s="113" t="s">
        <v>12</v>
      </c>
      <c r="E18" s="113" t="s">
        <v>13</v>
      </c>
      <c r="F18" s="114" t="s">
        <v>14</v>
      </c>
      <c r="G18" s="22"/>
      <c r="H18" s="235" t="s">
        <v>16</v>
      </c>
      <c r="I18" s="236" t="s">
        <v>17</v>
      </c>
      <c r="J18" s="236" t="s">
        <v>18</v>
      </c>
      <c r="K18" s="236" t="s">
        <v>19</v>
      </c>
      <c r="L18" s="237" t="s">
        <v>20</v>
      </c>
      <c r="N18" s="171" t="s">
        <v>21</v>
      </c>
      <c r="P18" s="119" t="s">
        <v>16</v>
      </c>
      <c r="Q18" s="78" t="s">
        <v>17</v>
      </c>
      <c r="R18" s="78" t="s">
        <v>18</v>
      </c>
      <c r="S18" s="78" t="s">
        <v>19</v>
      </c>
      <c r="T18" s="79" t="s">
        <v>20</v>
      </c>
      <c r="V18" s="120" t="s">
        <v>16</v>
      </c>
      <c r="W18" s="121" t="s">
        <v>17</v>
      </c>
      <c r="X18" s="121" t="s">
        <v>18</v>
      </c>
      <c r="Y18" s="121" t="s">
        <v>19</v>
      </c>
      <c r="Z18" s="122" t="s">
        <v>20</v>
      </c>
      <c r="AB18" s="120" t="s">
        <v>16</v>
      </c>
      <c r="AC18" s="121" t="s">
        <v>17</v>
      </c>
      <c r="AD18" s="121" t="s">
        <v>18</v>
      </c>
      <c r="AE18" s="121" t="s">
        <v>19</v>
      </c>
      <c r="AF18" s="122" t="s">
        <v>20</v>
      </c>
    </row>
    <row r="19" spans="2:32" s="73" customFormat="1" x14ac:dyDescent="0.2">
      <c r="B19" s="151" t="s">
        <v>111</v>
      </c>
      <c r="C19" s="86" t="s">
        <v>119</v>
      </c>
      <c r="D19" s="285">
        <f>+'Input Sheet'!H31</f>
        <v>32130</v>
      </c>
      <c r="E19" s="285">
        <f>+'Input Sheet'!I31</f>
        <v>25617</v>
      </c>
      <c r="F19" s="286">
        <f>+'Input Sheet'!K31</f>
        <v>22961</v>
      </c>
      <c r="G19" s="247"/>
      <c r="H19" s="287">
        <f>ROUND(AVERAGE($D19:$F19),0)</f>
        <v>26903</v>
      </c>
      <c r="I19" s="288">
        <f t="shared" ref="I19:L21" si="14">ROUND(AVERAGE($D19:$F19),0)</f>
        <v>26903</v>
      </c>
      <c r="J19" s="288">
        <f t="shared" si="14"/>
        <v>26903</v>
      </c>
      <c r="K19" s="288">
        <f t="shared" si="14"/>
        <v>26903</v>
      </c>
      <c r="L19" s="289">
        <f t="shared" si="14"/>
        <v>26903</v>
      </c>
      <c r="N19" s="87" t="s">
        <v>119</v>
      </c>
      <c r="P19" s="269">
        <f>H19*'Input Sheet'!G$68*'Fee Breakdown'!$N9</f>
        <v>774746.94697227038</v>
      </c>
      <c r="Q19" s="270">
        <f>I19*'Input Sheet'!H$68*'Fee Breakdown'!$N9</f>
        <v>808548.93926110468</v>
      </c>
      <c r="R19" s="270">
        <f>J19*'Input Sheet'!I$68*'Fee Breakdown'!$N9</f>
        <v>835924.54615721083</v>
      </c>
      <c r="S19" s="270">
        <f>K19*'Input Sheet'!J$68*'Fee Breakdown'!$N9</f>
        <v>865372.62810853764</v>
      </c>
      <c r="T19" s="271">
        <f>L19*'Input Sheet'!K$68*'Fee Breakdown'!$N9</f>
        <v>895172.90169520723</v>
      </c>
      <c r="U19" s="281"/>
      <c r="V19" s="272">
        <f>+P19*('Input Sheet'!G$78-1)</f>
        <v>909128.62824602518</v>
      </c>
      <c r="W19" s="273">
        <f>+Q19*('Input Sheet'!H$78-1)</f>
        <v>1018774.4773713298</v>
      </c>
      <c r="X19" s="273">
        <f>+R19*('Input Sheet'!I$78-1)</f>
        <v>1062495.342893627</v>
      </c>
      <c r="Y19" s="273">
        <f>+S19*('Input Sheet'!J$78-1)</f>
        <v>1122713.7817716154</v>
      </c>
      <c r="Z19" s="274">
        <f>+T19*('Input Sheet'!K$78-1)</f>
        <v>1183954.4338904261</v>
      </c>
      <c r="AA19" s="281"/>
      <c r="AB19" s="272">
        <f t="shared" ref="AB19" si="15">+P19+V19</f>
        <v>1683875.5752182957</v>
      </c>
      <c r="AC19" s="273">
        <f t="shared" ref="AC19" si="16">+Q19+W19</f>
        <v>1827323.4166324344</v>
      </c>
      <c r="AD19" s="273">
        <f t="shared" ref="AD19" si="17">+R19+X19</f>
        <v>1898419.8890508378</v>
      </c>
      <c r="AE19" s="273">
        <f t="shared" ref="AE19" si="18">+S19+Y19</f>
        <v>1988086.4098801529</v>
      </c>
      <c r="AF19" s="274">
        <f t="shared" ref="AF19" si="19">+T19+Z19</f>
        <v>2079127.3355856333</v>
      </c>
    </row>
    <row r="20" spans="2:32" s="73" customFormat="1" x14ac:dyDescent="0.2">
      <c r="B20" s="151" t="s">
        <v>112</v>
      </c>
      <c r="C20" s="86" t="s">
        <v>119</v>
      </c>
      <c r="D20" s="285">
        <f>+'Input Sheet'!H32</f>
        <v>14519</v>
      </c>
      <c r="E20" s="285">
        <f>+'Input Sheet'!I32</f>
        <v>12580</v>
      </c>
      <c r="F20" s="286">
        <f>+'Input Sheet'!K32</f>
        <v>11014</v>
      </c>
      <c r="G20" s="247"/>
      <c r="H20" s="290">
        <f t="shared" ref="H20:H21" si="20">ROUND(AVERAGE($D20:$F20),0)</f>
        <v>12704</v>
      </c>
      <c r="I20" s="285">
        <f t="shared" si="14"/>
        <v>12704</v>
      </c>
      <c r="J20" s="285">
        <f t="shared" si="14"/>
        <v>12704</v>
      </c>
      <c r="K20" s="285">
        <f t="shared" si="14"/>
        <v>12704</v>
      </c>
      <c r="L20" s="286">
        <f t="shared" si="14"/>
        <v>12704</v>
      </c>
      <c r="N20" s="87" t="s">
        <v>119</v>
      </c>
      <c r="P20" s="272">
        <f>H20*'Input Sheet'!G$68*'Fee Breakdown'!$N10</f>
        <v>627166.50066656759</v>
      </c>
      <c r="Q20" s="273">
        <f>I20*'Input Sheet'!H$68*'Fee Breakdown'!$N10</f>
        <v>654529.59942054714</v>
      </c>
      <c r="R20" s="273">
        <f>J20*'Input Sheet'!I$68*'Fee Breakdown'!$N10</f>
        <v>676690.46581408603</v>
      </c>
      <c r="S20" s="273">
        <f>K20*'Input Sheet'!J$68*'Fee Breakdown'!$N10</f>
        <v>700529.02443110605</v>
      </c>
      <c r="T20" s="274">
        <f>L20*'Input Sheet'!K$68*'Fee Breakdown'!$N10</f>
        <v>724652.68619872967</v>
      </c>
      <c r="U20" s="281"/>
      <c r="V20" s="272">
        <f>+P20*('Input Sheet'!G$78-1)</f>
        <v>735950.00620668987</v>
      </c>
      <c r="W20" s="273">
        <f>+Q20*('Input Sheet'!H$78-1)</f>
        <v>824709.57315596484</v>
      </c>
      <c r="X20" s="273">
        <f>+R20*('Input Sheet'!I$78-1)</f>
        <v>860102.11305933853</v>
      </c>
      <c r="Y20" s="273">
        <f>+S20*('Input Sheet'!J$78-1)</f>
        <v>908849.62698540883</v>
      </c>
      <c r="Z20" s="274">
        <f>+T20*('Input Sheet'!K$78-1)</f>
        <v>958424.63420291792</v>
      </c>
      <c r="AA20" s="281"/>
      <c r="AB20" s="272">
        <f t="shared" ref="AB20:AB21" si="21">+P20+V20</f>
        <v>1363116.5068732575</v>
      </c>
      <c r="AC20" s="273">
        <f t="shared" ref="AC20:AC21" si="22">+Q20+W20</f>
        <v>1479239.172576512</v>
      </c>
      <c r="AD20" s="273">
        <f t="shared" ref="AD20:AD21" si="23">+R20+X20</f>
        <v>1536792.5788734246</v>
      </c>
      <c r="AE20" s="273">
        <f t="shared" ref="AE20:AE21" si="24">+S20+Y20</f>
        <v>1609378.651416515</v>
      </c>
      <c r="AF20" s="274">
        <f t="shared" ref="AF20:AF21" si="25">+T20+Z20</f>
        <v>1683077.3204016476</v>
      </c>
    </row>
    <row r="21" spans="2:32" s="73" customFormat="1" x14ac:dyDescent="0.2">
      <c r="B21" s="151" t="s">
        <v>113</v>
      </c>
      <c r="C21" s="86" t="s">
        <v>119</v>
      </c>
      <c r="D21" s="285">
        <f>+'Input Sheet'!H33</f>
        <v>0</v>
      </c>
      <c r="E21" s="285">
        <f>+'Input Sheet'!I33</f>
        <v>1</v>
      </c>
      <c r="F21" s="286">
        <f>+'Input Sheet'!K33</f>
        <v>0</v>
      </c>
      <c r="G21" s="247"/>
      <c r="H21" s="290">
        <f t="shared" si="20"/>
        <v>0</v>
      </c>
      <c r="I21" s="285">
        <f t="shared" si="14"/>
        <v>0</v>
      </c>
      <c r="J21" s="285">
        <f t="shared" si="14"/>
        <v>0</v>
      </c>
      <c r="K21" s="285">
        <f t="shared" si="14"/>
        <v>0</v>
      </c>
      <c r="L21" s="286">
        <f t="shared" si="14"/>
        <v>0</v>
      </c>
      <c r="N21" s="87" t="s">
        <v>119</v>
      </c>
      <c r="P21" s="272">
        <f>H21*'Input Sheet'!G$68*'Fee Breakdown'!$N11</f>
        <v>0</v>
      </c>
      <c r="Q21" s="273">
        <f>I21*'Input Sheet'!H$68*'Fee Breakdown'!$N11</f>
        <v>0</v>
      </c>
      <c r="R21" s="273">
        <f>J21*'Input Sheet'!I$68*'Fee Breakdown'!$N11</f>
        <v>0</v>
      </c>
      <c r="S21" s="273">
        <f>K21*'Input Sheet'!J$68*'Fee Breakdown'!$N11</f>
        <v>0</v>
      </c>
      <c r="T21" s="274">
        <f>L21*'Input Sheet'!K$68*'Fee Breakdown'!$N11</f>
        <v>0</v>
      </c>
      <c r="U21" s="281"/>
      <c r="V21" s="272">
        <f>+P21*('Input Sheet'!G$78-1)</f>
        <v>0</v>
      </c>
      <c r="W21" s="273">
        <f>+Q21*('Input Sheet'!H$78-1)</f>
        <v>0</v>
      </c>
      <c r="X21" s="273">
        <f>+R21*('Input Sheet'!I$78-1)</f>
        <v>0</v>
      </c>
      <c r="Y21" s="273">
        <f>+S21*('Input Sheet'!J$78-1)</f>
        <v>0</v>
      </c>
      <c r="Z21" s="274">
        <f>+T21*('Input Sheet'!K$78-1)</f>
        <v>0</v>
      </c>
      <c r="AA21" s="281"/>
      <c r="AB21" s="272">
        <f t="shared" si="21"/>
        <v>0</v>
      </c>
      <c r="AC21" s="273">
        <f t="shared" si="22"/>
        <v>0</v>
      </c>
      <c r="AD21" s="273">
        <f t="shared" si="23"/>
        <v>0</v>
      </c>
      <c r="AE21" s="273">
        <f t="shared" si="24"/>
        <v>0</v>
      </c>
      <c r="AF21" s="274">
        <f t="shared" si="25"/>
        <v>0</v>
      </c>
    </row>
    <row r="22" spans="2:32" s="73" customFormat="1" x14ac:dyDescent="0.25">
      <c r="B22" s="88"/>
      <c r="C22" s="86"/>
      <c r="D22" s="285"/>
      <c r="E22" s="285"/>
      <c r="F22" s="286"/>
      <c r="G22" s="247"/>
      <c r="H22" s="291"/>
      <c r="I22" s="292"/>
      <c r="J22" s="292"/>
      <c r="K22" s="292"/>
      <c r="L22" s="293"/>
      <c r="N22" s="90"/>
      <c r="P22" s="275"/>
      <c r="Q22" s="276"/>
      <c r="R22" s="276"/>
      <c r="S22" s="276"/>
      <c r="T22" s="277"/>
      <c r="U22" s="281"/>
      <c r="V22" s="272"/>
      <c r="W22" s="273"/>
      <c r="X22" s="273"/>
      <c r="Y22" s="273"/>
      <c r="Z22" s="274"/>
      <c r="AA22" s="281"/>
      <c r="AB22" s="272"/>
      <c r="AC22" s="273"/>
      <c r="AD22" s="273"/>
      <c r="AE22" s="273"/>
      <c r="AF22" s="274"/>
    </row>
    <row r="23" spans="2:32" s="73" customFormat="1" x14ac:dyDescent="0.2">
      <c r="C23" s="165">
        <f>SUM(C19:C22)</f>
        <v>0</v>
      </c>
      <c r="D23" s="294">
        <f t="shared" ref="D23:F23" si="26">SUM(D19:D22)</f>
        <v>46649</v>
      </c>
      <c r="E23" s="294">
        <f t="shared" si="26"/>
        <v>38198</v>
      </c>
      <c r="F23" s="295">
        <f t="shared" si="26"/>
        <v>33975</v>
      </c>
      <c r="G23" s="296"/>
      <c r="H23" s="297">
        <f t="shared" ref="H23:L23" si="27">SUM(H19:H22)</f>
        <v>39607</v>
      </c>
      <c r="I23" s="298">
        <f t="shared" si="27"/>
        <v>39607</v>
      </c>
      <c r="J23" s="298">
        <f t="shared" si="27"/>
        <v>39607</v>
      </c>
      <c r="K23" s="298">
        <f t="shared" si="27"/>
        <v>39607</v>
      </c>
      <c r="L23" s="299">
        <f t="shared" si="27"/>
        <v>39607</v>
      </c>
      <c r="P23" s="282">
        <f>SUM(P19:P22)</f>
        <v>1401913.4476388381</v>
      </c>
      <c r="Q23" s="283">
        <f t="shared" ref="Q23:T23" si="28">SUM(Q19:Q22)</f>
        <v>1463078.5386816519</v>
      </c>
      <c r="R23" s="283">
        <f t="shared" si="28"/>
        <v>1512615.0119712967</v>
      </c>
      <c r="S23" s="283">
        <f t="shared" si="28"/>
        <v>1565901.6525396437</v>
      </c>
      <c r="T23" s="284">
        <f t="shared" si="28"/>
        <v>1619825.5878939368</v>
      </c>
      <c r="U23" s="281"/>
      <c r="V23" s="278">
        <f>SUM(V19:V22)</f>
        <v>1645078.6344527151</v>
      </c>
      <c r="W23" s="279">
        <f t="shared" ref="W23" si="29">SUM(W19:W22)</f>
        <v>1843484.0505272946</v>
      </c>
      <c r="X23" s="279">
        <f t="shared" ref="X23" si="30">SUM(X19:X22)</f>
        <v>1922597.4559529657</v>
      </c>
      <c r="Y23" s="279">
        <f t="shared" ref="Y23" si="31">SUM(Y19:Y22)</f>
        <v>2031563.4087570242</v>
      </c>
      <c r="Z23" s="280">
        <f t="shared" ref="Z23" si="32">SUM(Z19:Z22)</f>
        <v>2142379.0680933441</v>
      </c>
      <c r="AA23" s="281"/>
      <c r="AB23" s="278">
        <f>SUM(AB19:AB22)</f>
        <v>3046992.0820915531</v>
      </c>
      <c r="AC23" s="279">
        <f t="shared" ref="AC23" si="33">SUM(AC19:AC22)</f>
        <v>3306562.5892089466</v>
      </c>
      <c r="AD23" s="279">
        <f t="shared" ref="AD23" si="34">SUM(AD19:AD22)</f>
        <v>3435212.4679242624</v>
      </c>
      <c r="AE23" s="279">
        <f t="shared" ref="AE23" si="35">SUM(AE19:AE22)</f>
        <v>3597465.0612966679</v>
      </c>
      <c r="AF23" s="280">
        <f t="shared" ref="AF23" si="36">SUM(AF19:AF22)</f>
        <v>3762204.6559872809</v>
      </c>
    </row>
    <row r="24" spans="2:32" s="73" customFormat="1" x14ac:dyDescent="0.25">
      <c r="P24" s="24"/>
      <c r="Q24" s="24"/>
      <c r="R24" s="24"/>
      <c r="S24" s="24"/>
      <c r="T24" s="24"/>
      <c r="U24" s="24"/>
      <c r="V24" s="24"/>
      <c r="W24" s="24"/>
      <c r="X24" s="24"/>
      <c r="Y24" s="24"/>
      <c r="Z24" s="24"/>
      <c r="AA24" s="24"/>
      <c r="AB24" s="24"/>
      <c r="AC24" s="24"/>
      <c r="AD24" s="24"/>
      <c r="AE24" s="24"/>
      <c r="AF24" s="24"/>
    </row>
    <row r="25" spans="2:32" s="73" customFormat="1" hidden="1" x14ac:dyDescent="0.25">
      <c r="V25" s="63"/>
      <c r="W25" s="63"/>
      <c r="X25" s="63"/>
      <c r="Y25" s="63"/>
      <c r="Z25" s="63"/>
    </row>
    <row r="26" spans="2:32" hidden="1" x14ac:dyDescent="0.25"/>
    <row r="27" spans="2:32" hidden="1" x14ac:dyDescent="0.25"/>
    <row r="28" spans="2:32" hidden="1" x14ac:dyDescent="0.25"/>
    <row r="29" spans="2:32" hidden="1" x14ac:dyDescent="0.25"/>
    <row r="30" spans="2:32" hidden="1" x14ac:dyDescent="0.25"/>
    <row r="31" spans="2:32" hidden="1" x14ac:dyDescent="0.25"/>
    <row r="32" spans="2: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sheetData>
  <mergeCells count="10">
    <mergeCell ref="AB17:AF17"/>
    <mergeCell ref="C17:F17"/>
    <mergeCell ref="H17:L17"/>
    <mergeCell ref="C7:F7"/>
    <mergeCell ref="P7:T7"/>
    <mergeCell ref="H7:L7"/>
    <mergeCell ref="V7:Z7"/>
    <mergeCell ref="P17:T17"/>
    <mergeCell ref="V17:Z17"/>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2014-04-28T03:36:28Z</cp:lastPrinted>
  <dcterms:created xsi:type="dcterms:W3CDTF">2013-06-17T01:25:32Z</dcterms:created>
  <dcterms:modified xsi:type="dcterms:W3CDTF">2015-01-05T00:22:20Z</dcterms:modified>
</cp:coreProperties>
</file>