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8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Breakdown'!$A$1:$AG$22</definedName>
    <definedName name="TM1REBUILDOPTION">1</definedName>
  </definedNames>
  <calcPr calcId="145621" calcMode="manual" concurrentCalc="0"/>
</workbook>
</file>

<file path=xl/calcChain.xml><?xml version="1.0" encoding="utf-8"?>
<calcChain xmlns="http://schemas.openxmlformats.org/spreadsheetml/2006/main">
  <c r="K78" i="13" l="1"/>
  <c r="K58" i="13"/>
  <c r="T17" i="11"/>
  <c r="K68" i="13"/>
  <c r="Z17" i="11"/>
  <c r="AF17" i="11"/>
  <c r="AF19" i="11"/>
  <c r="J78" i="13"/>
  <c r="J58" i="13"/>
  <c r="S17" i="11"/>
  <c r="J68" i="13"/>
  <c r="Y17" i="11"/>
  <c r="AE17" i="11"/>
  <c r="AE19" i="11"/>
  <c r="I78" i="13"/>
  <c r="I58" i="13"/>
  <c r="R17" i="11"/>
  <c r="I68" i="13"/>
  <c r="X17" i="11"/>
  <c r="AD17" i="11"/>
  <c r="AD19" i="11"/>
  <c r="H78" i="13"/>
  <c r="H58" i="13"/>
  <c r="Q17" i="11"/>
  <c r="H68" i="13"/>
  <c r="W17" i="11"/>
  <c r="AC17" i="11"/>
  <c r="AC19" i="11"/>
  <c r="G78" i="13"/>
  <c r="G58" i="13"/>
  <c r="P17" i="11"/>
  <c r="G68" i="13"/>
  <c r="V17" i="11"/>
  <c r="AB17" i="11"/>
  <c r="AB19" i="11"/>
  <c r="Z19" i="11"/>
  <c r="Y19" i="11"/>
  <c r="X19" i="11"/>
  <c r="W19" i="11"/>
  <c r="V19" i="11"/>
  <c r="T19" i="11"/>
  <c r="S19" i="11"/>
  <c r="R19" i="11"/>
  <c r="Q19" i="11"/>
  <c r="P19" i="11"/>
  <c r="K70" i="13"/>
  <c r="J50" i="13"/>
  <c r="J52" i="13"/>
  <c r="I59" i="13"/>
  <c r="F8" i="8"/>
  <c r="H59" i="13"/>
  <c r="E8" i="8"/>
  <c r="J59" i="13"/>
  <c r="G8" i="8"/>
  <c r="K59" i="13"/>
  <c r="H8" i="8"/>
  <c r="G59" i="13"/>
  <c r="D8" i="8"/>
  <c r="F9" i="11"/>
  <c r="E9" i="11"/>
  <c r="D9" i="11"/>
  <c r="C9" i="11"/>
  <c r="H20" i="13"/>
  <c r="H42" i="13"/>
  <c r="H37" i="13"/>
  <c r="H43" i="13"/>
  <c r="H44" i="13"/>
  <c r="H45" i="13"/>
  <c r="I45" i="13"/>
  <c r="H46" i="13"/>
  <c r="I20" i="13"/>
  <c r="I42" i="13"/>
  <c r="I37" i="13"/>
  <c r="I43" i="13"/>
  <c r="I44" i="13"/>
  <c r="I46" i="13"/>
  <c r="J20" i="13"/>
  <c r="J42" i="13"/>
  <c r="J37" i="13"/>
  <c r="J43" i="13"/>
  <c r="J44" i="13"/>
  <c r="J46" i="13"/>
  <c r="J48" i="13"/>
  <c r="H9" i="11"/>
  <c r="P9" i="11"/>
  <c r="C17" i="11"/>
  <c r="D17" i="11"/>
  <c r="E17" i="11"/>
  <c r="F17" i="11"/>
  <c r="H17" i="11"/>
  <c r="AB9" i="11"/>
  <c r="AB11" i="11"/>
  <c r="C32" i="8"/>
  <c r="I9" i="11"/>
  <c r="Q9" i="11"/>
  <c r="I17" i="11"/>
  <c r="AC9" i="11"/>
  <c r="AC11" i="11"/>
  <c r="D32" i="8"/>
  <c r="J9" i="11"/>
  <c r="R9" i="11"/>
  <c r="J17" i="11"/>
  <c r="AD9" i="11"/>
  <c r="AD11" i="11"/>
  <c r="E32" i="8"/>
  <c r="K9" i="11"/>
  <c r="S9" i="11"/>
  <c r="K17" i="11"/>
  <c r="AE9" i="11"/>
  <c r="AE11" i="11"/>
  <c r="F32" i="8"/>
  <c r="L9" i="11"/>
  <c r="T9" i="11"/>
  <c r="L17" i="11"/>
  <c r="AF9" i="11"/>
  <c r="AF11" i="11"/>
  <c r="G32" i="8"/>
  <c r="H32" i="8"/>
  <c r="K9" i="13"/>
  <c r="H9" i="13"/>
  <c r="H19" i="11"/>
  <c r="F58" i="13"/>
  <c r="G25" i="8"/>
  <c r="F25" i="8"/>
  <c r="E25" i="8"/>
  <c r="L19" i="11"/>
  <c r="K19" i="11"/>
  <c r="J19" i="11"/>
  <c r="I19" i="11"/>
  <c r="K80" i="13"/>
  <c r="B5" i="11"/>
  <c r="G24" i="8"/>
  <c r="F24" i="8"/>
  <c r="E24" i="8"/>
  <c r="F19" i="11"/>
  <c r="E19" i="11"/>
  <c r="D19" i="11"/>
  <c r="C19" i="11"/>
  <c r="K26" i="13"/>
  <c r="J26" i="13"/>
  <c r="I26" i="13"/>
  <c r="H26" i="13"/>
  <c r="G26" i="13"/>
  <c r="E26" i="8"/>
  <c r="B3" i="13"/>
  <c r="D38" i="8"/>
  <c r="E38" i="8"/>
  <c r="F38" i="8"/>
  <c r="G38" i="8"/>
  <c r="C38" i="8"/>
  <c r="D35" i="8"/>
  <c r="E35" i="8"/>
  <c r="F35" i="8"/>
  <c r="G35" i="8"/>
  <c r="C35" i="8"/>
  <c r="D34" i="8"/>
  <c r="E34" i="8"/>
  <c r="F34" i="8"/>
  <c r="G34" i="8"/>
  <c r="C34" i="8"/>
  <c r="F26" i="8"/>
  <c r="G26" i="8"/>
  <c r="H24" i="8"/>
  <c r="C3" i="11"/>
  <c r="K61" i="13"/>
  <c r="J61" i="13"/>
  <c r="I61" i="13"/>
  <c r="H61" i="13"/>
  <c r="H34" i="8"/>
  <c r="H35" i="8"/>
  <c r="H36" i="8"/>
  <c r="G36" i="8"/>
  <c r="F36" i="8"/>
  <c r="E36" i="8"/>
  <c r="D36" i="8"/>
  <c r="C36" i="8"/>
  <c r="C44" i="8"/>
  <c r="D44" i="8"/>
  <c r="E44" i="8"/>
  <c r="F44" i="8"/>
  <c r="G44" i="8"/>
  <c r="H44" i="8"/>
  <c r="H26" i="8"/>
  <c r="H25" i="8"/>
  <c r="H38" i="8"/>
  <c r="J45" i="13"/>
  <c r="G37" i="13"/>
  <c r="G20" i="13"/>
  <c r="D3" i="9"/>
</calcChain>
</file>

<file path=xl/comments1.xml><?xml version="1.0" encoding="utf-8"?>
<comments xmlns="http://schemas.openxmlformats.org/spreadsheetml/2006/main">
  <authors>
    <author>Jacob Muscat</author>
  </authors>
  <commentList>
    <comment ref="F16"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<sst xmlns="http://schemas.openxmlformats.org/spreadsheetml/2006/main" count="259" uniqueCount="126">
  <si>
    <t>Service:</t>
  </si>
  <si>
    <t>Total</t>
  </si>
  <si>
    <t>Historical Revenue</t>
  </si>
  <si>
    <t>Description</t>
  </si>
  <si>
    <t>Volumes</t>
  </si>
  <si>
    <t>Source</t>
  </si>
  <si>
    <t>Current Fee</t>
  </si>
  <si>
    <t>AER Framework and Approach paper March 2013</t>
  </si>
  <si>
    <t>Standard Hours</t>
  </si>
  <si>
    <t>Hourly</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</si>
  <si>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</si>
  <si>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</si>
  <si>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</si>
  <si>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</si>
  <si>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</si>
  <si>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</si>
  <si>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</si>
  <si>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</si>
  <si>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</si>
  <si>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</si>
  <si>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</si>
  <si>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</si>
  <si>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</si>
  <si>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</si>
  <si>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</si>
  <si>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</si>
  <si>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</si>
  <si>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</si>
  <si>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</si>
  <si>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</si>
  <si>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</si>
  <si>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</si>
  <si>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Average Hourly Rate (Nominal)</t>
  </si>
  <si>
    <t>Assumed annual labour growth</t>
  </si>
  <si>
    <t>Total Hours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</si>
  <si>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</si>
  <si>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</si>
  <si>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</si>
  <si>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</si>
  <si>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</si>
  <si>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</si>
  <si>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</si>
  <si>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</si>
  <si>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</si>
  <si>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</si>
  <si>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</si>
  <si>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</si>
  <si>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</si>
  <si>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</si>
  <si>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</si>
  <si>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</si>
  <si>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</si>
  <si>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</si>
  <si>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</si>
  <si>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</si>
  <si>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</si>
  <si>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</si>
  <si>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</si>
  <si>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</si>
  <si>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</si>
  <si>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</si>
  <si>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</si>
  <si>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</si>
  <si>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</si>
  <si>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</si>
  <si>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</si>
  <si>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</si>
  <si>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Proposed Fees (Nominal)</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</si>
  <si>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</si>
  <si>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</si>
  <si>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</si>
  <si>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</si>
  <si>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</si>
  <si>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</si>
  <si>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</si>
  <si>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</si>
  <si>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</si>
  <si>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</si>
  <si>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Work orders relating to this service were identified and extracted from the general ledger. These work orders capture the costs associated with performing this ancillary network service.</t>
  </si>
  <si>
    <t>Reinspection Fee (Level 1 and 2 work)</t>
  </si>
  <si>
    <t>NCS10005</t>
  </si>
  <si>
    <t>DEFECT REINSPECTION</t>
  </si>
  <si>
    <t>Revenue related to this service is billed through Endeavour Energy's Banner billing system and is extracted from the general ledger.</t>
  </si>
  <si>
    <t>Reinspection Fee (Level 1 &amp; Level 2 work)</t>
  </si>
  <si>
    <t>The re-inspection by a DNSP of work (other than Customer Installation work) undertaken by an ASP accredited to perform Level 1 or Level 2 work, for the reason that on first inspection the work was found not to be satisfactory.</t>
  </si>
  <si>
    <t>ASP Inspection Services - Inspection and re-inspection of contestable connection and relocation works performed by Accredited Service Providers (ASPs).</t>
  </si>
  <si>
    <t>The re-inspection by a DNSP of work (other than Customer Installation work) undertaken by an ASP accredited to perform Level 1 or Level 2 work, for the reason that on first inspection the work was found to be not satisfactory.</t>
  </si>
  <si>
    <t>Per Hour</t>
  </si>
  <si>
    <t>Based on the following average labour rates per hour for the 2015-19 regulatory period - Refer to the Fee Breakdown schedule for specific fees</t>
  </si>
  <si>
    <t>Proposed Revenue (Nominal)</t>
  </si>
  <si>
    <t>2008/09</t>
  </si>
  <si>
    <t>2009-14 Current Fees</t>
  </si>
  <si>
    <t>The calculation of individual fees relies on a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</si>
  <si>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Based on average rate of $80 per hour - Refer to the Fee Breakdown schedule for specific fees</t>
  </si>
  <si>
    <t>Pricing Mechanism:</t>
  </si>
  <si>
    <t>Current Fee (Excl GST):</t>
  </si>
  <si>
    <t>Proposed Fee (Excl GST):</t>
  </si>
  <si>
    <t>2) Work orders used to capture the costs associated with the provision of this service were identified and extracted from the general ledger over a 3 year historic period (2010/11 to 2012/13). Adjustments were made to remove costs that were not relevant to the service.</t>
  </si>
  <si>
    <t xml:space="preserve">3) Historic work order data was used to derive an average hourly rate for each year in the historic analysis period. These hourly rates were converted to real 2012/13 dollars using actual award wage increases for the period, and an average 2012/13 hourly rate derived based on the 3 years data.  </t>
  </si>
  <si>
    <t>4)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</si>
  <si>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Work orders</t>
  </si>
  <si>
    <t>2015-19 Pricing Methodology for Service (Summary)</t>
  </si>
  <si>
    <t>Historic revenue was extracted from Endeavour Energy's general ledger via an account code combination specifically set up to capture this revenue (as defined in the 2009-14 regulatory period). As outlined above, historic costs were obtained from actual costs recorded to specific work orders. Historic volumes were derived based on revenue billed throughout the year for this service divided by the fee rate.</t>
  </si>
  <si>
    <t>Charge Basis</t>
  </si>
  <si>
    <t>Historic Hours Charged</t>
  </si>
  <si>
    <t>Forecast Hours Charged</t>
  </si>
  <si>
    <t>N/A</t>
  </si>
  <si>
    <t>Current Fees approved by the AER for the 2009-14 regulatory period.</t>
  </si>
  <si>
    <t>Historical Hours Billed</t>
  </si>
  <si>
    <t>Total Hours Charged to Service</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</si>
  <si>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</si>
  <si>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</si>
  <si>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</si>
  <si>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</si>
  <si>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</si>
  <si>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Volumes (hours)</t>
  </si>
  <si>
    <t>Revenue / current fee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</si>
  <si>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</si>
  <si>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Average Hourly Rate (2012/13$) - Excl OH</t>
  </si>
  <si>
    <t>Volumes were derived based on the revenue billed through Banner divided by the fee to determine how many hours had been charged.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</si>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</sst>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 numFmtId="174" formatCode="_-* #,##0_-;* \(#,##0\)_-;_-* &quot;-&quot;_-;_-@_-"/>
    <numFmt numFmtId="175" formatCode="0.0%"/>
  </numFmts>
  <fonts count="2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17">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5" fillId="0" borderId="0"/>
    <xf numFmtId="0" fontId="1" fillId="0" borderId="0"/>
  </cellStyleXfs>
  <cellXfs count="319">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14" xfId="0" applyNumberFormat="1" applyFont="1" applyBorder="1" applyAlignment="1">
      <alignment vertical="center"/>
    </xf>
    <xf numFmtId="170" fontId="11" fillId="0" borderId="15" xfId="0" applyNumberFormat="1" applyFont="1" applyBorder="1" applyAlignment="1">
      <alignment vertical="center"/>
    </xf>
    <xf numFmtId="170" fontId="11" fillId="0" borderId="16"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8" fillId="5" borderId="25" xfId="0" applyNumberFormat="1" applyFont="1" applyFill="1" applyBorder="1" applyAlignment="1">
      <alignment vertical="center"/>
    </xf>
    <xf numFmtId="9" fontId="11"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8" fillId="0" borderId="23" xfId="0" applyNumberFormat="1" applyFont="1" applyBorder="1" applyAlignment="1">
      <alignment horizontal="right" vertical="center"/>
    </xf>
    <xf numFmtId="170" fontId="11"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8" fillId="5" borderId="23" xfId="0" applyNumberFormat="1" applyFont="1" applyFill="1" applyBorder="1" applyAlignment="1">
      <alignment horizontal="right" vertical="center"/>
    </xf>
    <xf numFmtId="170" fontId="11" fillId="0" borderId="17"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8" fillId="0" borderId="11" xfId="0" applyNumberFormat="1" applyFont="1" applyBorder="1" applyAlignment="1">
      <alignment vertical="center"/>
    </xf>
    <xf numFmtId="167" fontId="18" fillId="0" borderId="12" xfId="0" applyNumberFormat="1" applyFont="1" applyBorder="1" applyAlignment="1">
      <alignment vertical="center"/>
    </xf>
    <xf numFmtId="167" fontId="18"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1" fillId="2" borderId="7" xfId="0" applyFont="1" applyFill="1" applyBorder="1" applyAlignment="1">
      <alignment horizontal="center" vertical="center"/>
    </xf>
    <xf numFmtId="170" fontId="18" fillId="2" borderId="23" xfId="0" applyNumberFormat="1" applyFont="1" applyFill="1" applyBorder="1" applyAlignment="1">
      <alignment horizontal="right" vertical="center"/>
    </xf>
    <xf numFmtId="0" fontId="11" fillId="2" borderId="7" xfId="0" applyFont="1" applyFill="1" applyBorder="1" applyAlignment="1">
      <alignment horizontal="lef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5" xfId="0" quotePrefix="1" applyNumberFormat="1" applyFont="1" applyFill="1" applyBorder="1" applyAlignment="1">
      <alignment horizontal="right" vertical="center" wrapText="1"/>
    </xf>
    <xf numFmtId="170" fontId="18" fillId="4" borderId="21" xfId="0" quotePrefix="1" applyNumberFormat="1" applyFont="1" applyFill="1" applyBorder="1" applyAlignment="1">
      <alignment horizontal="right" vertical="center" wrapText="1"/>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8"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8" fillId="0" borderId="0" xfId="0" quotePrefix="1" applyNumberFormat="1" applyFont="1" applyFill="1" applyBorder="1" applyAlignment="1">
      <alignment horizontal="center" vertical="center" wrapText="1"/>
    </xf>
    <xf numFmtId="170" fontId="17" fillId="0" borderId="0" xfId="0" applyNumberFormat="1" applyFont="1" applyFill="1" applyBorder="1" applyAlignment="1">
      <alignment horizontal="center" vertical="center"/>
    </xf>
    <xf numFmtId="170" fontId="18" fillId="4" borderId="14" xfId="0" quotePrefix="1" applyNumberFormat="1" applyFont="1" applyFill="1" applyBorder="1" applyAlignment="1">
      <alignment horizontal="right" vertical="center" wrapText="1"/>
    </xf>
    <xf numFmtId="170" fontId="18" fillId="4" borderId="11" xfId="0" quotePrefix="1" applyNumberFormat="1" applyFont="1" applyFill="1" applyBorder="1" applyAlignment="1">
      <alignment horizontal="right" vertical="center" wrapText="1"/>
    </xf>
    <xf numFmtId="170" fontId="18" fillId="4" borderId="12" xfId="0" quotePrefix="1" applyNumberFormat="1" applyFont="1" applyFill="1" applyBorder="1" applyAlignment="1">
      <alignment horizontal="right" vertical="center" wrapText="1"/>
    </xf>
    <xf numFmtId="170" fontId="18"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68" fontId="11" fillId="0" borderId="16" xfId="0" applyNumberFormat="1" applyFont="1" applyBorder="1" applyAlignment="1">
      <alignment horizontal="center" vertical="top"/>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170" fontId="17" fillId="5" borderId="13" xfId="0" applyNumberFormat="1" applyFont="1" applyFill="1" applyBorder="1" applyAlignment="1">
      <alignment horizontal="left" vertical="center"/>
    </xf>
    <xf numFmtId="0" fontId="11" fillId="0" borderId="16" xfId="0" applyFont="1" applyBorder="1"/>
    <xf numFmtId="170" fontId="11" fillId="0" borderId="18" xfId="0" applyNumberFormat="1" applyFont="1" applyBorder="1" applyAlignment="1">
      <alignment vertical="center"/>
    </xf>
    <xf numFmtId="170" fontId="11" fillId="0" borderId="0" xfId="0" applyNumberFormat="1" applyFont="1" applyBorder="1" applyAlignment="1">
      <alignment horizontal="center" vertical="top"/>
    </xf>
    <xf numFmtId="168" fontId="11" fillId="0" borderId="18" xfId="0" applyNumberFormat="1" applyFont="1" applyBorder="1" applyAlignment="1">
      <alignment horizontal="center" vertical="center"/>
    </xf>
    <xf numFmtId="169" fontId="11" fillId="0" borderId="0" xfId="0" applyNumberFormat="1" applyFont="1" applyFill="1" applyBorder="1" applyAlignment="1">
      <alignment horizontal="center" vertical="center"/>
    </xf>
    <xf numFmtId="0" fontId="11" fillId="0" borderId="11" xfId="0" applyFont="1" applyFill="1" applyBorder="1" applyAlignment="1">
      <alignment horizontal="left"/>
    </xf>
    <xf numFmtId="0" fontId="11" fillId="0" borderId="12" xfId="0" applyFont="1" applyFill="1" applyBorder="1" applyAlignment="1">
      <alignment horizontal="left"/>
    </xf>
    <xf numFmtId="0" fontId="11" fillId="0" borderId="13" xfId="0" applyFont="1" applyFill="1" applyBorder="1" applyAlignment="1">
      <alignment horizontal="left"/>
    </xf>
    <xf numFmtId="0" fontId="11" fillId="2" borderId="21" xfId="0" applyFont="1" applyFill="1" applyBorder="1" applyAlignment="1">
      <alignment vertical="center"/>
    </xf>
    <xf numFmtId="0" fontId="11" fillId="2" borderId="17" xfId="0" applyFont="1" applyFill="1" applyBorder="1" applyAlignment="1">
      <alignment vertical="center"/>
    </xf>
    <xf numFmtId="170" fontId="18" fillId="5" borderId="8" xfId="0" quotePrefix="1" applyNumberFormat="1" applyFont="1" applyFill="1" applyBorder="1" applyAlignment="1">
      <alignment horizontal="center" vertical="center"/>
    </xf>
    <xf numFmtId="167" fontId="11" fillId="0" borderId="18" xfId="0" applyNumberFormat="1" applyFont="1" applyBorder="1" applyAlignment="1">
      <alignment vertical="center"/>
    </xf>
    <xf numFmtId="167" fontId="11" fillId="0" borderId="19" xfId="0" applyNumberFormat="1" applyFont="1" applyBorder="1" applyAlignment="1">
      <alignment vertical="center"/>
    </xf>
    <xf numFmtId="167" fontId="11" fillId="0" borderId="20" xfId="0" applyNumberFormat="1" applyFont="1" applyBorder="1" applyAlignment="1">
      <alignment vertical="center"/>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11" fillId="0" borderId="12" xfId="0" applyFont="1" applyBorder="1" applyAlignment="1">
      <alignment horizontal="left" vertical="center"/>
    </xf>
    <xf numFmtId="0" fontId="11" fillId="0" borderId="7" xfId="0" applyFont="1" applyBorder="1" applyAlignment="1">
      <alignment horizontal="left" vertical="center" wrapText="1"/>
    </xf>
    <xf numFmtId="0" fontId="11" fillId="0" borderId="12" xfId="0" applyFont="1" applyBorder="1" applyAlignment="1">
      <alignment horizontal="left"/>
    </xf>
    <xf numFmtId="0" fontId="11" fillId="0" borderId="13" xfId="0" applyFont="1" applyBorder="1" applyAlignment="1">
      <alignment horizontal="left"/>
    </xf>
    <xf numFmtId="0" fontId="11" fillId="0" borderId="11" xfId="0" applyFont="1" applyBorder="1" applyAlignment="1">
      <alignment vertical="center"/>
    </xf>
    <xf numFmtId="0" fontId="11" fillId="0" borderId="7" xfId="0" applyFont="1" applyBorder="1" applyAlignment="1">
      <alignment horizontal="left"/>
    </xf>
    <xf numFmtId="0" fontId="18" fillId="4" borderId="12" xfId="0" applyFont="1" applyFill="1" applyBorder="1" applyAlignment="1">
      <alignment horizontal="center" vertical="center" wrapText="1"/>
    </xf>
    <xf numFmtId="170" fontId="18" fillId="4" borderId="7" xfId="0" quotePrefix="1" applyNumberFormat="1" applyFont="1" applyFill="1" applyBorder="1" applyAlignment="1">
      <alignment horizontal="center" vertical="center" wrapText="1"/>
    </xf>
    <xf numFmtId="0" fontId="7" fillId="4" borderId="0" xfId="0" applyFont="1" applyFill="1" applyBorder="1" applyAlignment="1">
      <alignment horizontal="left" vertical="top" wrapText="1"/>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70" fontId="17" fillId="5" borderId="11" xfId="0" applyNumberFormat="1" applyFont="1" applyFill="1" applyBorder="1" applyAlignment="1">
      <alignment horizontal="center"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0" xfId="0" applyFont="1" applyBorder="1" applyAlignment="1">
      <alignment horizontal="righ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7" fillId="3" borderId="18" xfId="0" applyNumberFormat="1" applyFont="1" applyFill="1" applyBorder="1" applyAlignment="1"/>
    <xf numFmtId="171" fontId="17" fillId="3" borderId="19" xfId="0" applyNumberFormat="1" applyFont="1" applyFill="1" applyBorder="1" applyAlignment="1"/>
    <xf numFmtId="171" fontId="17" fillId="3" borderId="20" xfId="0" applyNumberFormat="1" applyFont="1" applyFill="1" applyBorder="1" applyAlignment="1"/>
    <xf numFmtId="171" fontId="17" fillId="3" borderId="11" xfId="0" applyNumberFormat="1" applyFont="1" applyFill="1" applyBorder="1" applyAlignment="1"/>
    <xf numFmtId="171" fontId="17" fillId="3" borderId="12" xfId="0" applyNumberFormat="1" applyFont="1" applyFill="1" applyBorder="1" applyAlignment="1"/>
    <xf numFmtId="171" fontId="17" fillId="3" borderId="13" xfId="0" applyNumberFormat="1" applyFont="1" applyFill="1" applyBorder="1" applyAlignment="1"/>
    <xf numFmtId="174" fontId="11" fillId="0" borderId="14" xfId="0" applyNumberFormat="1" applyFont="1" applyBorder="1" applyAlignment="1">
      <alignment horizontal="right" vertical="center"/>
    </xf>
    <xf numFmtId="174" fontId="11" fillId="0" borderId="15" xfId="0" applyNumberFormat="1" applyFont="1" applyBorder="1" applyAlignment="1">
      <alignment horizontal="right" vertical="center"/>
    </xf>
    <xf numFmtId="174" fontId="11" fillId="0" borderId="21" xfId="0" applyNumberFormat="1" applyFont="1" applyBorder="1" applyAlignment="1">
      <alignment horizontal="right" vertical="center"/>
    </xf>
    <xf numFmtId="174" fontId="11" fillId="0" borderId="18" xfId="0" applyNumberFormat="1" applyFont="1" applyBorder="1" applyAlignment="1">
      <alignment horizontal="right" vertical="center"/>
    </xf>
    <xf numFmtId="174" fontId="11" fillId="0" borderId="19" xfId="0" applyNumberFormat="1" applyFont="1" applyBorder="1" applyAlignment="1">
      <alignment horizontal="right" vertical="center"/>
    </xf>
    <xf numFmtId="174" fontId="11" fillId="0" borderId="20" xfId="0" applyNumberFormat="1" applyFont="1" applyBorder="1" applyAlignment="1">
      <alignment horizontal="right" vertical="center"/>
    </xf>
    <xf numFmtId="174" fontId="17" fillId="3" borderId="18" xfId="0" applyNumberFormat="1" applyFont="1" applyFill="1" applyBorder="1" applyAlignment="1"/>
    <xf numFmtId="174" fontId="17" fillId="3" borderId="19" xfId="0" applyNumberFormat="1" applyFont="1" applyFill="1" applyBorder="1" applyAlignment="1"/>
    <xf numFmtId="174" fontId="17" fillId="3" borderId="20" xfId="0" applyNumberFormat="1" applyFont="1" applyFill="1" applyBorder="1" applyAlignment="1"/>
    <xf numFmtId="0" fontId="19" fillId="0" borderId="7" xfId="0" applyFont="1" applyBorder="1" applyAlignment="1">
      <alignment horizontal="left" vertical="center" wrapText="1"/>
    </xf>
    <xf numFmtId="0" fontId="11" fillId="0" borderId="16" xfId="0" applyFont="1" applyBorder="1" applyAlignment="1">
      <alignment vertical="center"/>
    </xf>
    <xf numFmtId="168" fontId="11" fillId="0" borderId="7" xfId="0" applyNumberFormat="1" applyFont="1" applyBorder="1" applyAlignment="1">
      <alignment horizontal="center" vertical="center"/>
    </xf>
    <xf numFmtId="170" fontId="11" fillId="0" borderId="7" xfId="0" applyNumberFormat="1" applyFont="1" applyBorder="1" applyAlignment="1">
      <alignment horizontal="center" vertical="center"/>
    </xf>
    <xf numFmtId="168" fontId="11" fillId="0" borderId="7" xfId="0" applyNumberFormat="1" applyFont="1" applyFill="1" applyBorder="1" applyAlignment="1">
      <alignment horizontal="center"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0" fontId="11" fillId="0" borderId="0" xfId="0" applyFont="1" applyAlignment="1">
      <alignment horizontal="right" vertical="center"/>
    </xf>
    <xf numFmtId="175" fontId="0" fillId="0" borderId="0" xfId="1" applyNumberFormat="1" applyFont="1"/>
    <xf numFmtId="0" fontId="18" fillId="8" borderId="8" xfId="0" applyFont="1" applyFill="1" applyBorder="1" applyAlignment="1">
      <alignment horizontal="left" vertical="center"/>
    </xf>
    <xf numFmtId="0" fontId="11" fillId="0" borderId="0" xfId="0" applyFont="1" applyBorder="1" applyAlignment="1">
      <alignment vertical="top"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170" fontId="17" fillId="5" borderId="7"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67" fontId="18" fillId="2" borderId="7" xfId="0" applyNumberFormat="1" applyFont="1" applyFill="1" applyBorder="1" applyAlignment="1">
      <alignment horizontal="left" vertical="center"/>
    </xf>
    <xf numFmtId="170" fontId="17" fillId="5" borderId="11" xfId="0" applyNumberFormat="1" applyFont="1" applyFill="1" applyBorder="1" applyAlignment="1">
      <alignment horizontal="center" vertical="center"/>
    </xf>
    <xf numFmtId="170" fontId="17" fillId="5" borderId="12" xfId="0" applyNumberFormat="1" applyFont="1" applyFill="1" applyBorder="1" applyAlignment="1">
      <alignment horizontal="center" vertical="center"/>
    </xf>
    <xf numFmtId="170" fontId="17" fillId="5" borderId="13" xfId="0" applyNumberFormat="1" applyFont="1" applyFill="1" applyBorder="1" applyAlignment="1">
      <alignment horizontal="center"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1" xfId="0" applyFont="1" applyBorder="1" applyAlignment="1">
      <alignment horizontal="left" vertical="center"/>
    </xf>
    <xf numFmtId="0" fontId="18" fillId="0" borderId="18"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7" fillId="4" borderId="26" xfId="0" applyFont="1" applyFill="1" applyBorder="1" applyAlignment="1">
      <alignment horizontal="left"/>
    </xf>
    <xf numFmtId="0" fontId="7" fillId="4" borderId="2" xfId="0" applyFont="1" applyFill="1" applyBorder="1" applyAlignment="1">
      <alignment horizontal="left"/>
    </xf>
    <xf numFmtId="0" fontId="7" fillId="0" borderId="0" xfId="2" applyNumberFormat="1" applyFont="1" applyAlignment="1">
      <alignment horizontal="left" vertical="top"/>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0" fillId="4" borderId="1" xfId="0" applyFill="1" applyBorder="1" applyAlignment="1">
      <alignment horizontal="left" vertical="center"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0" borderId="0" xfId="0" applyNumberFormat="1"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17">
    <cellStyle name="Comma" xfId="3" builtinId="3"/>
    <cellStyle name="Comma 2" xfId="10"/>
    <cellStyle name="Comma 3" xfId="11"/>
    <cellStyle name="Currency" xfId="2" builtinId="4"/>
    <cellStyle name="Currency 2" xfId="4"/>
    <cellStyle name="Normal" xfId="0" builtinId="0"/>
    <cellStyle name="Normal 15" xfId="15"/>
    <cellStyle name="Normal 2" xfId="5"/>
    <cellStyle name="Normal 2 2" xfId="6"/>
    <cellStyle name="Normal 2 2 2" xfId="12"/>
    <cellStyle name="Normal 3" xfId="7"/>
    <cellStyle name="Normal 4" xfId="13"/>
    <cellStyle name="Normal 5" xfId="16"/>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37"/>
  <sheetViews>
    <sheetView showGridLines="0" zoomScaleNormal="100" workbookViewId="0"/>
  </sheetViews>
  <sheetFormatPr defaultColWidth="9.140625" defaultRowHeight="12.75" zeroHeight="1" x14ac:dyDescent="0.25"/>
  <cols>
    <col min="1" max="1" width="2.85546875" style="24" customWidth="1"/>
    <col min="2" max="2" width="21.140625" style="24" bestFit="1" customWidth="1"/>
    <col min="3" max="3" width="16.85546875" style="24" customWidth="1"/>
    <col min="4" max="4" width="13.42578125" style="24" bestFit="1" customWidth="1"/>
    <col min="5" max="5" width="13.42578125" style="24" customWidth="1"/>
    <col min="6" max="6" width="12.7109375" style="24" customWidth="1"/>
    <col min="7" max="10" width="12.85546875" style="26" customWidth="1"/>
    <col min="11" max="11" width="12.85546875" style="24" customWidth="1"/>
    <col min="12" max="12" width="2.85546875" style="24" customWidth="1"/>
    <col min="13" max="13" width="49.85546875" style="27" customWidth="1"/>
    <col min="14" max="14" width="2.85546875" style="24" customWidth="1"/>
    <col min="15" max="17" width="9.140625" style="24" customWidth="1"/>
    <col min="18" max="16384" width="9.140625" style="24"/>
  </cols>
  <sheetData>
    <row r="1" spans="2:13" x14ac:dyDescent="0.25">
      <c r="B1" s="25"/>
    </row>
    <row r="2" spans="2:13" ht="21" x14ac:dyDescent="0.25">
      <c r="B2" s="28" t="s">
        <v>38</v>
      </c>
    </row>
    <row r="3" spans="2:13" ht="21" x14ac:dyDescent="0.25">
      <c r="B3" s="28" t="str">
        <f>+'AER Summary'!C3</f>
        <v>Reinspection Fee (Level 1 and 2 work)</v>
      </c>
    </row>
    <row r="4" spans="2:13" ht="18.75" x14ac:dyDescent="0.25">
      <c r="B4" s="29" t="s">
        <v>39</v>
      </c>
    </row>
    <row r="5" spans="2:13" x14ac:dyDescent="0.25"/>
    <row r="6" spans="2:13" ht="15.75" x14ac:dyDescent="0.25">
      <c r="B6" s="30" t="s">
        <v>91</v>
      </c>
      <c r="C6" s="31"/>
      <c r="D6" s="31"/>
      <c r="E6" s="31"/>
      <c r="F6" s="31"/>
      <c r="G6" s="32"/>
      <c r="H6" s="32"/>
      <c r="I6" s="32"/>
      <c r="J6" s="32"/>
      <c r="K6" s="31"/>
      <c r="M6" s="33"/>
    </row>
    <row r="7" spans="2:13" x14ac:dyDescent="0.25"/>
    <row r="8" spans="2:13" ht="27" customHeight="1" x14ac:dyDescent="0.25">
      <c r="B8" s="237" t="s">
        <v>10</v>
      </c>
      <c r="C8" s="238"/>
      <c r="D8" s="238"/>
      <c r="E8" s="238"/>
      <c r="F8" s="238"/>
      <c r="G8" s="239"/>
      <c r="H8" s="121" t="s">
        <v>50</v>
      </c>
      <c r="I8" s="121" t="s">
        <v>8</v>
      </c>
      <c r="J8" s="121" t="s">
        <v>61</v>
      </c>
      <c r="K8" s="121" t="s">
        <v>49</v>
      </c>
      <c r="M8" s="38" t="s">
        <v>5</v>
      </c>
    </row>
    <row r="9" spans="2:13" ht="28.5" customHeight="1" x14ac:dyDescent="0.2">
      <c r="B9" s="177" t="s">
        <v>79</v>
      </c>
      <c r="C9" s="192"/>
      <c r="D9" s="175"/>
      <c r="E9" s="175"/>
      <c r="F9" s="175"/>
      <c r="G9" s="175"/>
      <c r="H9" s="224">
        <f>88/11*10</f>
        <v>80</v>
      </c>
      <c r="I9" s="225" t="s">
        <v>9</v>
      </c>
      <c r="J9" s="224">
        <v>88</v>
      </c>
      <c r="K9" s="226">
        <f t="shared" ref="K9" si="0">+J9/11*10</f>
        <v>80</v>
      </c>
      <c r="M9" s="174" t="s">
        <v>107</v>
      </c>
    </row>
    <row r="10" spans="2:13" x14ac:dyDescent="0.25"/>
    <row r="11" spans="2:13" ht="15.75" x14ac:dyDescent="0.25">
      <c r="B11" s="30" t="s">
        <v>2</v>
      </c>
      <c r="C11" s="31"/>
      <c r="D11" s="31"/>
      <c r="E11" s="31"/>
      <c r="F11" s="31"/>
      <c r="G11" s="32"/>
      <c r="H11" s="32"/>
      <c r="I11" s="32"/>
      <c r="J11" s="32"/>
      <c r="K11" s="31"/>
      <c r="M11" s="33"/>
    </row>
    <row r="12" spans="2:13" x14ac:dyDescent="0.25"/>
    <row r="13" spans="2:13" x14ac:dyDescent="0.25">
      <c r="B13" s="237" t="s">
        <v>29</v>
      </c>
      <c r="C13" s="238"/>
      <c r="D13" s="238"/>
      <c r="E13" s="238"/>
      <c r="F13" s="239"/>
      <c r="G13" s="34" t="s">
        <v>12</v>
      </c>
      <c r="H13" s="35" t="s">
        <v>13</v>
      </c>
      <c r="I13" s="36" t="s">
        <v>14</v>
      </c>
      <c r="J13" s="35" t="s">
        <v>15</v>
      </c>
      <c r="K13" s="37" t="s">
        <v>16</v>
      </c>
      <c r="M13" s="38" t="s">
        <v>5</v>
      </c>
    </row>
    <row r="14" spans="2:13" ht="38.25" x14ac:dyDescent="0.25">
      <c r="B14" s="244" t="s">
        <v>2</v>
      </c>
      <c r="C14" s="245"/>
      <c r="D14" s="245"/>
      <c r="E14" s="245"/>
      <c r="F14" s="246"/>
      <c r="G14" s="17">
        <v>124948</v>
      </c>
      <c r="H14" s="18">
        <v>81057</v>
      </c>
      <c r="I14" s="19">
        <v>62080</v>
      </c>
      <c r="J14" s="18">
        <v>25200</v>
      </c>
      <c r="K14" s="70"/>
      <c r="M14" s="222" t="s">
        <v>82</v>
      </c>
    </row>
    <row r="15" spans="2:13" x14ac:dyDescent="0.25"/>
    <row r="16" spans="2:13" ht="15.75" x14ac:dyDescent="0.25">
      <c r="B16" s="30" t="s">
        <v>31</v>
      </c>
      <c r="C16" s="31"/>
      <c r="D16" s="31"/>
      <c r="E16" s="31"/>
      <c r="F16" s="31"/>
      <c r="G16" s="32"/>
      <c r="H16" s="32"/>
      <c r="I16" s="32"/>
      <c r="J16" s="32"/>
      <c r="K16" s="31"/>
      <c r="M16" s="33"/>
    </row>
    <row r="17" spans="2:13" x14ac:dyDescent="0.25"/>
    <row r="18" spans="2:13" x14ac:dyDescent="0.25">
      <c r="B18" s="47" t="s">
        <v>27</v>
      </c>
      <c r="C18" s="240" t="s">
        <v>30</v>
      </c>
      <c r="D18" s="240"/>
      <c r="E18" s="240"/>
      <c r="F18" s="240"/>
      <c r="G18" s="35" t="s">
        <v>12</v>
      </c>
      <c r="H18" s="35" t="s">
        <v>13</v>
      </c>
      <c r="I18" s="35" t="s">
        <v>14</v>
      </c>
      <c r="J18" s="35" t="s">
        <v>15</v>
      </c>
      <c r="K18" s="48" t="s">
        <v>16</v>
      </c>
      <c r="M18" s="38" t="s">
        <v>5</v>
      </c>
    </row>
    <row r="19" spans="2:13" ht="51" x14ac:dyDescent="0.25">
      <c r="B19" s="20" t="s">
        <v>80</v>
      </c>
      <c r="C19" s="262" t="s">
        <v>81</v>
      </c>
      <c r="D19" s="263"/>
      <c r="E19" s="263"/>
      <c r="F19" s="264"/>
      <c r="G19" s="23" t="s">
        <v>11</v>
      </c>
      <c r="H19" s="21">
        <v>99283.384347787025</v>
      </c>
      <c r="I19" s="18">
        <v>104305.43923161829</v>
      </c>
      <c r="J19" s="18">
        <v>96813.672179212226</v>
      </c>
      <c r="K19" s="72"/>
      <c r="M19" s="174" t="s">
        <v>78</v>
      </c>
    </row>
    <row r="20" spans="2:13" ht="13.5" thickBot="1" x14ac:dyDescent="0.3">
      <c r="B20" s="49"/>
      <c r="C20" s="49"/>
      <c r="D20" s="49"/>
      <c r="E20" s="49"/>
      <c r="F20" s="49"/>
      <c r="G20" s="50">
        <f>SUM(G19:G19)</f>
        <v>0</v>
      </c>
      <c r="H20" s="50">
        <f>SUM(H19:H19)</f>
        <v>99283.384347787025</v>
      </c>
      <c r="I20" s="50">
        <f>SUM(I19:I19)</f>
        <v>104305.43923161829</v>
      </c>
      <c r="J20" s="50">
        <f>SUM(J19:J19)</f>
        <v>96813.672179212226</v>
      </c>
      <c r="K20" s="73"/>
    </row>
    <row r="21" spans="2:13" x14ac:dyDescent="0.25">
      <c r="B21" s="49"/>
      <c r="C21" s="49"/>
      <c r="D21" s="49"/>
      <c r="E21" s="49"/>
      <c r="F21" s="49"/>
      <c r="G21" s="51"/>
      <c r="H21" s="51"/>
      <c r="I21" s="51"/>
      <c r="J21" s="51"/>
      <c r="K21" s="27"/>
    </row>
    <row r="22" spans="2:13" ht="15.75" x14ac:dyDescent="0.25">
      <c r="B22" s="30" t="s">
        <v>108</v>
      </c>
      <c r="C22" s="31"/>
      <c r="D22" s="31"/>
      <c r="E22" s="31"/>
      <c r="F22" s="31"/>
      <c r="G22" s="32"/>
      <c r="H22" s="32"/>
      <c r="I22" s="32"/>
      <c r="J22" s="32"/>
      <c r="K22" s="31"/>
      <c r="M22" s="33"/>
    </row>
    <row r="23" spans="2:13" x14ac:dyDescent="0.25"/>
    <row r="24" spans="2:13" ht="38.25" x14ac:dyDescent="0.25">
      <c r="B24" s="237" t="s">
        <v>10</v>
      </c>
      <c r="C24" s="238"/>
      <c r="D24" s="238"/>
      <c r="E24" s="238"/>
      <c r="F24" s="239"/>
      <c r="G24" s="34" t="s">
        <v>12</v>
      </c>
      <c r="H24" s="35" t="s">
        <v>13</v>
      </c>
      <c r="I24" s="35" t="s">
        <v>14</v>
      </c>
      <c r="J24" s="35" t="s">
        <v>15</v>
      </c>
      <c r="K24" s="121" t="s">
        <v>62</v>
      </c>
      <c r="M24" s="38" t="s">
        <v>5</v>
      </c>
    </row>
    <row r="25" spans="2:13" ht="127.5" x14ac:dyDescent="0.2">
      <c r="B25" s="177" t="s">
        <v>79</v>
      </c>
      <c r="C25" s="173"/>
      <c r="D25" s="175"/>
      <c r="E25" s="175"/>
      <c r="F25" s="176"/>
      <c r="G25" s="41">
        <v>1562</v>
      </c>
      <c r="H25" s="42">
        <v>1013</v>
      </c>
      <c r="I25" s="43">
        <v>776</v>
      </c>
      <c r="J25" s="42">
        <v>315</v>
      </c>
      <c r="K25" s="42">
        <v>344</v>
      </c>
      <c r="M25" s="174" t="s">
        <v>119</v>
      </c>
    </row>
    <row r="26" spans="2:13" ht="13.5" thickBot="1" x14ac:dyDescent="0.3">
      <c r="G26" s="45">
        <f>SUM(G25)</f>
        <v>1562</v>
      </c>
      <c r="H26" s="45">
        <f t="shared" ref="H26:K26" si="1">SUM(H25)</f>
        <v>1013</v>
      </c>
      <c r="I26" s="45">
        <f t="shared" si="1"/>
        <v>776</v>
      </c>
      <c r="J26" s="45">
        <f t="shared" si="1"/>
        <v>315</v>
      </c>
      <c r="K26" s="45">
        <f t="shared" si="1"/>
        <v>344</v>
      </c>
      <c r="L26" s="223"/>
    </row>
    <row r="27" spans="2:13" x14ac:dyDescent="0.25"/>
    <row r="28" spans="2:13" ht="15.75" x14ac:dyDescent="0.25">
      <c r="B28" s="30" t="s">
        <v>35</v>
      </c>
      <c r="C28" s="31"/>
      <c r="D28" s="31"/>
      <c r="E28" s="31"/>
      <c r="F28" s="31"/>
      <c r="G28" s="32"/>
      <c r="H28" s="32"/>
      <c r="I28" s="32"/>
      <c r="J28" s="32"/>
      <c r="K28" s="31"/>
      <c r="M28" s="33"/>
    </row>
    <row r="29" spans="2:13" x14ac:dyDescent="0.25"/>
    <row r="30" spans="2:13" x14ac:dyDescent="0.25">
      <c r="B30" s="193" t="s">
        <v>29</v>
      </c>
      <c r="C30" s="194"/>
      <c r="D30" s="194"/>
      <c r="E30" s="194"/>
      <c r="F30" s="34" t="s">
        <v>90</v>
      </c>
      <c r="G30" s="34" t="s">
        <v>12</v>
      </c>
      <c r="H30" s="35" t="s">
        <v>13</v>
      </c>
      <c r="I30" s="36" t="s">
        <v>14</v>
      </c>
      <c r="J30" s="35" t="s">
        <v>15</v>
      </c>
      <c r="K30" s="37" t="s">
        <v>16</v>
      </c>
      <c r="M30" s="38" t="s">
        <v>5</v>
      </c>
    </row>
    <row r="31" spans="2:13" ht="54" customHeight="1" x14ac:dyDescent="0.2">
      <c r="B31" s="189" t="s">
        <v>33</v>
      </c>
      <c r="C31" s="175"/>
      <c r="D31" s="190"/>
      <c r="E31" s="175"/>
      <c r="F31" s="195">
        <v>3.5000000000000003E-2</v>
      </c>
      <c r="G31" s="195">
        <v>3.5000000000000003E-2</v>
      </c>
      <c r="H31" s="195">
        <v>0.04</v>
      </c>
      <c r="I31" s="196">
        <v>0.04</v>
      </c>
      <c r="J31" s="195">
        <v>0</v>
      </c>
      <c r="K31" s="71"/>
      <c r="M31" s="46" t="s">
        <v>37</v>
      </c>
    </row>
    <row r="32" spans="2:13" x14ac:dyDescent="0.25">
      <c r="E32" s="53"/>
    </row>
    <row r="33" spans="2:14" ht="15.75" x14ac:dyDescent="0.25">
      <c r="B33" s="30" t="s">
        <v>109</v>
      </c>
      <c r="C33" s="31"/>
      <c r="D33" s="31"/>
      <c r="E33" s="31"/>
      <c r="F33" s="31"/>
      <c r="G33" s="32"/>
      <c r="H33" s="32"/>
      <c r="I33" s="32"/>
      <c r="J33" s="32"/>
      <c r="K33" s="31"/>
      <c r="M33" s="33"/>
    </row>
    <row r="34" spans="2:14" x14ac:dyDescent="0.25"/>
    <row r="35" spans="2:14" x14ac:dyDescent="0.25">
      <c r="B35" s="47" t="s">
        <v>27</v>
      </c>
      <c r="C35" s="237" t="s">
        <v>3</v>
      </c>
      <c r="D35" s="238"/>
      <c r="E35" s="239"/>
      <c r="F35" s="156" t="s">
        <v>5</v>
      </c>
      <c r="G35" s="35" t="s">
        <v>12</v>
      </c>
      <c r="H35" s="35" t="s">
        <v>13</v>
      </c>
      <c r="I35" s="35" t="s">
        <v>14</v>
      </c>
      <c r="J35" s="35" t="s">
        <v>15</v>
      </c>
      <c r="K35" s="48" t="s">
        <v>16</v>
      </c>
      <c r="M35" s="38" t="s">
        <v>5</v>
      </c>
    </row>
    <row r="36" spans="2:14" x14ac:dyDescent="0.2">
      <c r="B36" s="20" t="s">
        <v>80</v>
      </c>
      <c r="C36" s="162" t="s">
        <v>81</v>
      </c>
      <c r="D36" s="163"/>
      <c r="E36" s="164"/>
      <c r="F36" s="164" t="s">
        <v>27</v>
      </c>
      <c r="G36" s="23" t="s">
        <v>11</v>
      </c>
      <c r="H36" s="21">
        <v>1294.6765293370647</v>
      </c>
      <c r="I36" s="21">
        <v>1384.2576263522722</v>
      </c>
      <c r="J36" s="21">
        <v>1253.1279222264075</v>
      </c>
      <c r="K36" s="74"/>
      <c r="M36" s="178" t="s">
        <v>40</v>
      </c>
    </row>
    <row r="37" spans="2:14" ht="13.5" thickBot="1" x14ac:dyDescent="0.3">
      <c r="B37" s="49"/>
      <c r="C37" s="49"/>
      <c r="D37" s="49"/>
      <c r="E37" s="49"/>
      <c r="F37" s="49"/>
      <c r="G37" s="54">
        <f>SUM(G36:G36)</f>
        <v>0</v>
      </c>
      <c r="H37" s="54">
        <f>SUM(H36:H36)</f>
        <v>1294.6765293370647</v>
      </c>
      <c r="I37" s="54">
        <f>SUM(I36:I36)</f>
        <v>1384.2576263522722</v>
      </c>
      <c r="J37" s="54">
        <f>SUM(J36:J36)</f>
        <v>1253.1279222264075</v>
      </c>
      <c r="K37" s="73"/>
    </row>
    <row r="38" spans="2:14" x14ac:dyDescent="0.25">
      <c r="E38" s="53"/>
    </row>
    <row r="39" spans="2:14" ht="15.75" x14ac:dyDescent="0.25">
      <c r="B39" s="30" t="s">
        <v>64</v>
      </c>
      <c r="C39" s="31"/>
      <c r="D39" s="31"/>
      <c r="E39" s="31"/>
      <c r="F39" s="31"/>
      <c r="G39" s="32"/>
      <c r="H39" s="32"/>
      <c r="I39" s="32"/>
      <c r="J39" s="32"/>
      <c r="K39" s="31"/>
      <c r="M39" s="33"/>
    </row>
    <row r="40" spans="2:14" x14ac:dyDescent="0.25">
      <c r="E40" s="53"/>
    </row>
    <row r="41" spans="2:14" x14ac:dyDescent="0.25">
      <c r="B41" s="251"/>
      <c r="C41" s="252"/>
      <c r="D41" s="252"/>
      <c r="E41" s="252"/>
      <c r="F41" s="252"/>
      <c r="G41" s="253"/>
      <c r="H41" s="167" t="s">
        <v>13</v>
      </c>
      <c r="I41" s="167" t="s">
        <v>14</v>
      </c>
      <c r="J41" s="167" t="s">
        <v>15</v>
      </c>
      <c r="K41" s="48" t="s">
        <v>16</v>
      </c>
      <c r="M41" s="38" t="s">
        <v>5</v>
      </c>
    </row>
    <row r="42" spans="2:14" x14ac:dyDescent="0.25">
      <c r="B42" s="254" t="s">
        <v>36</v>
      </c>
      <c r="C42" s="255"/>
      <c r="D42" s="255"/>
      <c r="E42" s="255"/>
      <c r="F42" s="255"/>
      <c r="G42" s="255"/>
      <c r="H42" s="39">
        <f>H20</f>
        <v>99283.384347787025</v>
      </c>
      <c r="I42" s="40">
        <f>I20</f>
        <v>104305.43923161829</v>
      </c>
      <c r="J42" s="171">
        <f>J20</f>
        <v>96813.672179212226</v>
      </c>
      <c r="K42" s="165"/>
      <c r="M42" s="241" t="s">
        <v>92</v>
      </c>
    </row>
    <row r="43" spans="2:14" x14ac:dyDescent="0.25">
      <c r="B43" s="256" t="s">
        <v>34</v>
      </c>
      <c r="C43" s="257"/>
      <c r="D43" s="257"/>
      <c r="E43" s="257"/>
      <c r="F43" s="257"/>
      <c r="G43" s="257"/>
      <c r="H43" s="158">
        <f>+H37</f>
        <v>1294.6765293370647</v>
      </c>
      <c r="I43" s="44">
        <f>+I37</f>
        <v>1384.2576263522722</v>
      </c>
      <c r="J43" s="172">
        <f>+J37</f>
        <v>1253.1279222264075</v>
      </c>
      <c r="K43" s="166"/>
      <c r="M43" s="242"/>
    </row>
    <row r="44" spans="2:14" x14ac:dyDescent="0.25">
      <c r="B44" s="244" t="s">
        <v>32</v>
      </c>
      <c r="C44" s="245"/>
      <c r="D44" s="245"/>
      <c r="E44" s="245"/>
      <c r="F44" s="245"/>
      <c r="G44" s="246"/>
      <c r="H44" s="168">
        <f>+H42/H43</f>
        <v>76.685860983843426</v>
      </c>
      <c r="I44" s="169">
        <f>+I42/I43</f>
        <v>75.351175421354824</v>
      </c>
      <c r="J44" s="170">
        <f>+J42/J43</f>
        <v>77.257613099231961</v>
      </c>
      <c r="K44" s="133"/>
      <c r="M44" s="242"/>
      <c r="N44" s="62"/>
    </row>
    <row r="45" spans="2:14" x14ac:dyDescent="0.25">
      <c r="B45" s="254" t="s">
        <v>63</v>
      </c>
      <c r="C45" s="255"/>
      <c r="D45" s="255"/>
      <c r="E45" s="255"/>
      <c r="F45" s="255"/>
      <c r="G45" s="258"/>
      <c r="H45" s="56">
        <f>+H31</f>
        <v>0.04</v>
      </c>
      <c r="I45" s="57">
        <f>+I31</f>
        <v>0.04</v>
      </c>
      <c r="J45" s="58">
        <f>+J31</f>
        <v>0</v>
      </c>
      <c r="K45" s="132"/>
      <c r="M45" s="242"/>
    </row>
    <row r="46" spans="2:14" x14ac:dyDescent="0.25">
      <c r="B46" s="259" t="s">
        <v>43</v>
      </c>
      <c r="C46" s="260"/>
      <c r="D46" s="260"/>
      <c r="E46" s="260"/>
      <c r="F46" s="260"/>
      <c r="G46" s="261"/>
      <c r="H46" s="59">
        <f>+H44*(1+H45)*(1+I45)</f>
        <v>82.943427240125061</v>
      </c>
      <c r="I46" s="60">
        <f>+I44*(1+I45)</f>
        <v>78.365222438209017</v>
      </c>
      <c r="J46" s="61">
        <f>+J44</f>
        <v>77.257613099231961</v>
      </c>
      <c r="K46" s="134"/>
      <c r="M46" s="242"/>
    </row>
    <row r="47" spans="2:14" x14ac:dyDescent="0.25">
      <c r="E47" s="53"/>
      <c r="H47" s="62"/>
      <c r="I47" s="62"/>
      <c r="J47" s="62"/>
      <c r="M47" s="242"/>
    </row>
    <row r="48" spans="2:14" x14ac:dyDescent="0.25">
      <c r="E48" s="53"/>
      <c r="G48" s="250" t="s">
        <v>118</v>
      </c>
      <c r="H48" s="250"/>
      <c r="I48" s="250"/>
      <c r="J48" s="141">
        <f>AVERAGE(H46:J46)</f>
        <v>79.522087592521999</v>
      </c>
      <c r="K48" s="77"/>
      <c r="M48" s="242"/>
    </row>
    <row r="49" spans="2:13" x14ac:dyDescent="0.25">
      <c r="E49" s="53"/>
      <c r="H49" s="62"/>
      <c r="I49" s="62"/>
      <c r="J49" s="62"/>
      <c r="K49" s="77"/>
      <c r="M49" s="242"/>
    </row>
    <row r="50" spans="2:13" x14ac:dyDescent="0.25">
      <c r="E50" s="53"/>
      <c r="G50" s="250" t="s">
        <v>44</v>
      </c>
      <c r="H50" s="250"/>
      <c r="I50" s="250"/>
      <c r="J50" s="142">
        <f>+K70-1</f>
        <v>1.2648945446885498</v>
      </c>
      <c r="K50" s="77"/>
      <c r="M50" s="242"/>
    </row>
    <row r="51" spans="2:13" x14ac:dyDescent="0.25">
      <c r="E51" s="53"/>
      <c r="H51" s="62"/>
      <c r="I51" s="62"/>
      <c r="J51" s="62"/>
      <c r="K51" s="77"/>
      <c r="M51" s="242"/>
    </row>
    <row r="52" spans="2:13" x14ac:dyDescent="0.25">
      <c r="E52" s="53"/>
      <c r="G52" s="250" t="s">
        <v>45</v>
      </c>
      <c r="H52" s="250"/>
      <c r="I52" s="250"/>
      <c r="J52" s="141">
        <f>+J48+(J50*J48)</f>
        <v>180.10914237054808</v>
      </c>
      <c r="K52" s="77"/>
      <c r="M52" s="243"/>
    </row>
    <row r="53" spans="2:13" x14ac:dyDescent="0.25">
      <c r="E53" s="53"/>
      <c r="H53" s="62"/>
      <c r="I53" s="62"/>
      <c r="J53" s="62"/>
    </row>
    <row r="54" spans="2:13" ht="15.75" x14ac:dyDescent="0.25">
      <c r="B54" s="30" t="s">
        <v>65</v>
      </c>
      <c r="C54" s="31"/>
      <c r="D54" s="31"/>
      <c r="E54" s="31"/>
      <c r="F54" s="31"/>
      <c r="G54" s="32"/>
      <c r="H54" s="32"/>
      <c r="I54" s="32"/>
      <c r="J54" s="32"/>
      <c r="K54" s="31"/>
      <c r="M54" s="33"/>
    </row>
    <row r="55" spans="2:13" x14ac:dyDescent="0.25">
      <c r="E55" s="53"/>
    </row>
    <row r="56" spans="2:13" x14ac:dyDescent="0.25">
      <c r="B56" s="135"/>
      <c r="C56" s="136"/>
      <c r="D56" s="136"/>
      <c r="E56" s="136"/>
      <c r="F56" s="35" t="s">
        <v>16</v>
      </c>
      <c r="G56" s="35" t="s">
        <v>17</v>
      </c>
      <c r="H56" s="35" t="s">
        <v>18</v>
      </c>
      <c r="I56" s="35" t="s">
        <v>19</v>
      </c>
      <c r="J56" s="35" t="s">
        <v>20</v>
      </c>
      <c r="K56" s="35" t="s">
        <v>21</v>
      </c>
      <c r="M56" s="38" t="s">
        <v>5</v>
      </c>
    </row>
    <row r="57" spans="2:13" ht="12.75" customHeight="1" x14ac:dyDescent="0.25">
      <c r="H57" s="62"/>
      <c r="I57" s="62"/>
      <c r="J57" s="62"/>
      <c r="M57" s="247" t="s">
        <v>110</v>
      </c>
    </row>
    <row r="58" spans="2:13" x14ac:dyDescent="0.25">
      <c r="B58" s="24" t="s">
        <v>53</v>
      </c>
      <c r="F58" s="63">
        <f>+G58/1.025</f>
        <v>82.953219158290537</v>
      </c>
      <c r="G58" s="63">
        <f>$J48*G78</f>
        <v>85.027049637247799</v>
      </c>
      <c r="H58" s="63">
        <f>$J48*H78</f>
        <v>88.736755996740499</v>
      </c>
      <c r="I58" s="63">
        <f>$J48*I78</f>
        <v>91.7411784026649</v>
      </c>
      <c r="J58" s="63">
        <f>$J48*J78</f>
        <v>94.973051126503847</v>
      </c>
      <c r="K58" s="63">
        <f>$J48*K78</f>
        <v>98.243576233262388</v>
      </c>
      <c r="M58" s="248"/>
    </row>
    <row r="59" spans="2:13" x14ac:dyDescent="0.25">
      <c r="B59" s="24" t="s">
        <v>54</v>
      </c>
      <c r="G59" s="63">
        <f>$J52*G78</f>
        <v>192.57730087436508</v>
      </c>
      <c r="H59" s="63">
        <f>$J52*H78</f>
        <v>200.97939457037651</v>
      </c>
      <c r="I59" s="63">
        <f>$J52*I78</f>
        <v>207.78409448749471</v>
      </c>
      <c r="J59" s="63">
        <f>$J52*J78</f>
        <v>215.10394538884529</v>
      </c>
      <c r="K59" s="63">
        <f>$J52*K78</f>
        <v>222.51133986140965</v>
      </c>
      <c r="M59" s="248"/>
    </row>
    <row r="60" spans="2:13" x14ac:dyDescent="0.25">
      <c r="G60" s="63"/>
      <c r="H60" s="63"/>
      <c r="I60" s="63"/>
      <c r="J60" s="63"/>
      <c r="K60" s="63"/>
      <c r="M60" s="248"/>
    </row>
    <row r="61" spans="2:13" x14ac:dyDescent="0.25">
      <c r="B61" s="137" t="s">
        <v>66</v>
      </c>
      <c r="C61" s="137"/>
      <c r="D61" s="137"/>
      <c r="E61" s="137"/>
      <c r="F61" s="137"/>
      <c r="G61" s="138"/>
      <c r="H61" s="138">
        <f t="shared" ref="H61:K61" si="2">(H59-G59)/G59</f>
        <v>4.3629719898778986E-2</v>
      </c>
      <c r="I61" s="138">
        <f t="shared" si="2"/>
        <v>3.3857699351041742E-2</v>
      </c>
      <c r="J61" s="138">
        <f t="shared" si="2"/>
        <v>3.5228157956003293E-2</v>
      </c>
      <c r="K61" s="139">
        <f t="shared" si="2"/>
        <v>3.4436348711196121E-2</v>
      </c>
      <c r="M61" s="249"/>
    </row>
    <row r="62" spans="2:13" x14ac:dyDescent="0.25">
      <c r="E62" s="53"/>
      <c r="H62" s="62"/>
      <c r="I62" s="62"/>
      <c r="J62" s="62"/>
    </row>
    <row r="63" spans="2:13" ht="15.75" x14ac:dyDescent="0.25">
      <c r="B63" s="30" t="s">
        <v>42</v>
      </c>
      <c r="C63" s="31"/>
      <c r="D63" s="31"/>
      <c r="E63" s="31"/>
      <c r="F63" s="31"/>
      <c r="G63" s="32"/>
      <c r="H63" s="32"/>
      <c r="I63" s="32"/>
      <c r="J63" s="32"/>
      <c r="K63" s="31"/>
      <c r="M63" s="33"/>
    </row>
    <row r="64" spans="2:13" x14ac:dyDescent="0.25"/>
    <row r="65" spans="2:13" x14ac:dyDescent="0.25">
      <c r="B65" s="268" t="s">
        <v>23</v>
      </c>
      <c r="C65" s="269"/>
      <c r="D65" s="269"/>
      <c r="E65" s="270"/>
      <c r="F65" s="187" t="s">
        <v>16</v>
      </c>
      <c r="G65" s="187" t="s">
        <v>17</v>
      </c>
      <c r="H65" s="187" t="s">
        <v>18</v>
      </c>
      <c r="I65" s="187" t="s">
        <v>19</v>
      </c>
      <c r="J65" s="187" t="s">
        <v>20</v>
      </c>
      <c r="K65" s="52" t="s">
        <v>21</v>
      </c>
      <c r="M65" s="38" t="s">
        <v>5</v>
      </c>
    </row>
    <row r="66" spans="2:13" ht="12.75" customHeight="1" x14ac:dyDescent="0.25">
      <c r="B66" s="271" t="s">
        <v>112</v>
      </c>
      <c r="C66" s="272"/>
      <c r="D66" s="272"/>
      <c r="E66" s="273"/>
      <c r="F66" s="42"/>
      <c r="G66" s="55">
        <v>18449161.14072692</v>
      </c>
      <c r="H66" s="55">
        <v>19652616.51053571</v>
      </c>
      <c r="I66" s="55">
        <v>20750302.453561164</v>
      </c>
      <c r="J66" s="55">
        <v>21950966.582370307</v>
      </c>
      <c r="K66" s="42">
        <v>23217206.584968176</v>
      </c>
      <c r="M66" s="241" t="s">
        <v>111</v>
      </c>
    </row>
    <row r="67" spans="2:13" x14ac:dyDescent="0.25">
      <c r="B67" s="274" t="s">
        <v>113</v>
      </c>
      <c r="C67" s="275"/>
      <c r="D67" s="275"/>
      <c r="E67" s="276"/>
      <c r="F67" s="42"/>
      <c r="G67" s="55">
        <v>40098372.700329572</v>
      </c>
      <c r="H67" s="55">
        <v>44414981.708611391</v>
      </c>
      <c r="I67" s="55">
        <v>47124811.758132517</v>
      </c>
      <c r="J67" s="55">
        <v>50429626.415997855</v>
      </c>
      <c r="K67" s="42">
        <v>53924251.70079805</v>
      </c>
      <c r="M67" s="242"/>
    </row>
    <row r="68" spans="2:13" x14ac:dyDescent="0.25">
      <c r="B68" s="277" t="s">
        <v>23</v>
      </c>
      <c r="C68" s="278"/>
      <c r="D68" s="278"/>
      <c r="E68" s="279"/>
      <c r="F68" s="66"/>
      <c r="G68" s="66">
        <f t="shared" ref="G68:K68" si="3">+G67/G66</f>
        <v>2.1734523534412387</v>
      </c>
      <c r="H68" s="66">
        <f t="shared" si="3"/>
        <v>2.2600034801880273</v>
      </c>
      <c r="I68" s="66">
        <f t="shared" si="3"/>
        <v>2.2710421625707418</v>
      </c>
      <c r="J68" s="66">
        <f t="shared" si="3"/>
        <v>2.2973761190315822</v>
      </c>
      <c r="K68" s="153">
        <f t="shared" si="3"/>
        <v>2.3225986082111594</v>
      </c>
      <c r="M68" s="242"/>
    </row>
    <row r="69" spans="2:13" x14ac:dyDescent="0.25">
      <c r="F69" s="26"/>
      <c r="K69" s="26"/>
      <c r="M69" s="242"/>
    </row>
    <row r="70" spans="2:13" x14ac:dyDescent="0.25">
      <c r="F70" s="289" t="s">
        <v>24</v>
      </c>
      <c r="G70" s="290"/>
      <c r="H70" s="290"/>
      <c r="I70" s="290"/>
      <c r="J70" s="291"/>
      <c r="K70" s="154">
        <f>AVERAGE(G68:K68)</f>
        <v>2.2648945446885498</v>
      </c>
      <c r="M70" s="243"/>
    </row>
    <row r="71" spans="2:13" x14ac:dyDescent="0.25">
      <c r="G71" s="24"/>
      <c r="H71" s="24"/>
      <c r="I71" s="24"/>
      <c r="J71" s="24"/>
      <c r="K71" s="188"/>
    </row>
    <row r="72" spans="2:13" x14ac:dyDescent="0.25">
      <c r="G72" s="24"/>
      <c r="H72" s="24"/>
      <c r="I72" s="24"/>
      <c r="J72" s="24"/>
    </row>
    <row r="73" spans="2:13" ht="15.75" x14ac:dyDescent="0.25">
      <c r="B73" s="30" t="s">
        <v>121</v>
      </c>
      <c r="C73" s="31"/>
      <c r="D73" s="31"/>
      <c r="E73" s="31"/>
      <c r="F73" s="31"/>
      <c r="G73" s="32"/>
      <c r="H73" s="32"/>
      <c r="I73" s="32"/>
      <c r="J73" s="32"/>
      <c r="K73" s="31"/>
      <c r="M73" s="33"/>
    </row>
    <row r="74" spans="2:13" x14ac:dyDescent="0.25"/>
    <row r="75" spans="2:13" x14ac:dyDescent="0.2">
      <c r="B75" s="280" t="s">
        <v>122</v>
      </c>
      <c r="C75" s="281"/>
      <c r="D75" s="281"/>
      <c r="E75" s="282"/>
      <c r="F75" s="187" t="s">
        <v>16</v>
      </c>
      <c r="G75" s="187" t="s">
        <v>17</v>
      </c>
      <c r="H75" s="187" t="s">
        <v>18</v>
      </c>
      <c r="I75" s="187" t="s">
        <v>19</v>
      </c>
      <c r="J75" s="187" t="s">
        <v>20</v>
      </c>
      <c r="K75" s="52" t="s">
        <v>21</v>
      </c>
      <c r="M75" s="235" t="s">
        <v>5</v>
      </c>
    </row>
    <row r="76" spans="2:13" ht="12.75" customHeight="1" x14ac:dyDescent="0.2">
      <c r="B76" s="265" t="s">
        <v>114</v>
      </c>
      <c r="C76" s="266"/>
      <c r="D76" s="266"/>
      <c r="E76" s="267"/>
      <c r="F76" s="22"/>
      <c r="G76" s="22">
        <v>17254695.000010207</v>
      </c>
      <c r="H76" s="22">
        <v>17611834.848126188</v>
      </c>
      <c r="I76" s="22">
        <v>17986550.838063825</v>
      </c>
      <c r="J76" s="22">
        <v>18379810.552560411</v>
      </c>
      <c r="K76" s="155">
        <v>18792890.146016706</v>
      </c>
      <c r="M76" s="247" t="s">
        <v>125</v>
      </c>
    </row>
    <row r="77" spans="2:13" x14ac:dyDescent="0.2">
      <c r="B77" s="283" t="s">
        <v>123</v>
      </c>
      <c r="C77" s="284"/>
      <c r="D77" s="284"/>
      <c r="E77" s="285"/>
      <c r="F77" s="22"/>
      <c r="G77" s="22">
        <v>18449161.14072692</v>
      </c>
      <c r="H77" s="22">
        <v>19652616.51053571</v>
      </c>
      <c r="I77" s="22">
        <v>20750302.453561164</v>
      </c>
      <c r="J77" s="22">
        <v>21950966.582370307</v>
      </c>
      <c r="K77" s="155">
        <v>23217206.584968176</v>
      </c>
      <c r="M77" s="248"/>
    </row>
    <row r="78" spans="2:13" x14ac:dyDescent="0.2">
      <c r="B78" s="286" t="s">
        <v>124</v>
      </c>
      <c r="C78" s="287"/>
      <c r="D78" s="287"/>
      <c r="E78" s="288"/>
      <c r="F78" s="66"/>
      <c r="G78" s="66">
        <f t="shared" ref="G78:K78" si="4">+G77/G76</f>
        <v>1.0692255725595849</v>
      </c>
      <c r="H78" s="66">
        <f t="shared" si="4"/>
        <v>1.1158755847989712</v>
      </c>
      <c r="I78" s="66">
        <f t="shared" si="4"/>
        <v>1.1536565648622628</v>
      </c>
      <c r="J78" s="66">
        <f t="shared" si="4"/>
        <v>1.1942977605562106</v>
      </c>
      <c r="K78" s="153">
        <f t="shared" si="4"/>
        <v>1.2354250147037249</v>
      </c>
      <c r="M78" s="248"/>
    </row>
    <row r="79" spans="2:13" x14ac:dyDescent="0.25">
      <c r="F79" s="26"/>
      <c r="K79" s="26"/>
      <c r="M79" s="248"/>
    </row>
    <row r="80" spans="2:13" x14ac:dyDescent="0.25">
      <c r="F80" s="289" t="s">
        <v>25</v>
      </c>
      <c r="G80" s="290"/>
      <c r="H80" s="290"/>
      <c r="I80" s="290"/>
      <c r="J80" s="291"/>
      <c r="K80" s="154">
        <f>AVERAGE(G78:K78)</f>
        <v>1.1536960994961507</v>
      </c>
      <c r="M80" s="249"/>
    </row>
    <row r="81" spans="11:13" x14ac:dyDescent="0.25">
      <c r="K81" s="140"/>
      <c r="M81" s="236"/>
    </row>
    <row r="82" spans="11:13" ht="12.75" customHeight="1" x14ac:dyDescent="0.25">
      <c r="M82" s="68"/>
    </row>
    <row r="83" spans="11:13" ht="12.75" customHeight="1" x14ac:dyDescent="0.25">
      <c r="M83" s="69"/>
    </row>
    <row r="84" spans="11:13" ht="12.75" customHeight="1" x14ac:dyDescent="0.25">
      <c r="M84" s="69"/>
    </row>
    <row r="85" spans="11:13" x14ac:dyDescent="0.25">
      <c r="M85" s="69"/>
    </row>
    <row r="86" spans="11:13" x14ac:dyDescent="0.25"/>
    <row r="87" spans="11:13" x14ac:dyDescent="0.25"/>
    <row r="88" spans="11:13" x14ac:dyDescent="0.25"/>
    <row r="89" spans="11:13" x14ac:dyDescent="0.25"/>
    <row r="90" spans="11:13" x14ac:dyDescent="0.25"/>
    <row r="91" spans="11:13" x14ac:dyDescent="0.25"/>
    <row r="92" spans="11:13" x14ac:dyDescent="0.25"/>
    <row r="93" spans="11:13" x14ac:dyDescent="0.25"/>
    <row r="94" spans="11:13" x14ac:dyDescent="0.25"/>
    <row r="95" spans="11:13" x14ac:dyDescent="0.25"/>
    <row r="96" spans="11:13"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sheetData>
  <mergeCells count="30">
    <mergeCell ref="B77:E77"/>
    <mergeCell ref="B78:E78"/>
    <mergeCell ref="F70:J70"/>
    <mergeCell ref="F80:J80"/>
    <mergeCell ref="M76:M80"/>
    <mergeCell ref="B46:G46"/>
    <mergeCell ref="G50:I50"/>
    <mergeCell ref="C19:F19"/>
    <mergeCell ref="B76:E76"/>
    <mergeCell ref="B65:E65"/>
    <mergeCell ref="B66:E66"/>
    <mergeCell ref="B67:E67"/>
    <mergeCell ref="B68:E68"/>
    <mergeCell ref="B75:E75"/>
    <mergeCell ref="B8:G8"/>
    <mergeCell ref="B13:F13"/>
    <mergeCell ref="B24:F24"/>
    <mergeCell ref="C18:F18"/>
    <mergeCell ref="M66:M70"/>
    <mergeCell ref="C35:E35"/>
    <mergeCell ref="B14:F14"/>
    <mergeCell ref="M42:M52"/>
    <mergeCell ref="M57:M61"/>
    <mergeCell ref="G48:I48"/>
    <mergeCell ref="G52:I52"/>
    <mergeCell ref="B41:G41"/>
    <mergeCell ref="B42:G42"/>
    <mergeCell ref="B43:G43"/>
    <mergeCell ref="B44:G44"/>
    <mergeCell ref="B45:G45"/>
  </mergeCells>
  <pageMargins left="0.70866141732283472" right="0.70866141732283472" top="0.74803149606299213" bottom="0.74803149606299213" header="0.31496062992125984" footer="0.31496062992125984"/>
  <pageSetup paperSize="8" scale="66" orientation="portrait" r:id="rId1"/>
  <headerFooter>
    <oddFooter>&amp;C&amp;F&amp;R&amp;A</oddFooter>
  </headerFooter>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4"/>
  <sheetViews>
    <sheetView showGridLines="0" tabSelected="1"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08" t="s">
        <v>47</v>
      </c>
      <c r="C2" s="109"/>
      <c r="D2" s="109"/>
      <c r="E2" s="109"/>
      <c r="F2" s="109"/>
      <c r="G2" s="109"/>
      <c r="H2" s="109"/>
    </row>
    <row r="3" spans="2:8" x14ac:dyDescent="0.25">
      <c r="B3" s="11" t="s">
        <v>0</v>
      </c>
      <c r="C3" s="292" t="s">
        <v>79</v>
      </c>
      <c r="D3" s="293"/>
      <c r="E3" s="293"/>
      <c r="F3" s="293"/>
      <c r="G3" s="293"/>
      <c r="H3" s="293"/>
    </row>
    <row r="4" spans="2:8" x14ac:dyDescent="0.25">
      <c r="B4" s="11" t="s">
        <v>94</v>
      </c>
      <c r="C4" s="292" t="s">
        <v>87</v>
      </c>
      <c r="D4" s="293"/>
      <c r="E4" s="293"/>
      <c r="F4" s="293"/>
      <c r="G4" s="293"/>
      <c r="H4" s="293"/>
    </row>
    <row r="5" spans="2:8" x14ac:dyDescent="0.25">
      <c r="B5" s="11" t="s">
        <v>95</v>
      </c>
      <c r="C5" s="292" t="s">
        <v>93</v>
      </c>
      <c r="D5" s="293"/>
      <c r="E5" s="293"/>
      <c r="F5" s="293"/>
      <c r="G5" s="293"/>
      <c r="H5" s="293"/>
    </row>
    <row r="6" spans="2:8" ht="31.5" customHeight="1" x14ac:dyDescent="0.25">
      <c r="B6" s="114" t="s">
        <v>96</v>
      </c>
      <c r="C6" s="295" t="s">
        <v>88</v>
      </c>
      <c r="D6" s="295"/>
      <c r="E6" s="295"/>
      <c r="F6" s="295"/>
      <c r="G6" s="295"/>
      <c r="H6" s="295"/>
    </row>
    <row r="7" spans="2:8" x14ac:dyDescent="0.25">
      <c r="B7" s="114"/>
      <c r="C7" s="181"/>
      <c r="D7" s="182" t="s">
        <v>17</v>
      </c>
      <c r="E7" s="182" t="s">
        <v>18</v>
      </c>
      <c r="F7" s="182" t="s">
        <v>19</v>
      </c>
      <c r="G7" s="182" t="s">
        <v>20</v>
      </c>
      <c r="H7" s="182" t="s">
        <v>21</v>
      </c>
    </row>
    <row r="8" spans="2:8" x14ac:dyDescent="0.25">
      <c r="B8" s="114"/>
      <c r="C8" s="181"/>
      <c r="D8" s="183">
        <f>+'Input Sheet'!G59</f>
        <v>192.57730087436508</v>
      </c>
      <c r="E8" s="183">
        <f>+'Input Sheet'!H59</f>
        <v>200.97939457037651</v>
      </c>
      <c r="F8" s="183">
        <f>+'Input Sheet'!I59</f>
        <v>207.78409448749471</v>
      </c>
      <c r="G8" s="183">
        <f>+'Input Sheet'!J59</f>
        <v>215.10394538884529</v>
      </c>
      <c r="H8" s="183">
        <f>+'Input Sheet'!K59</f>
        <v>222.51133986140965</v>
      </c>
    </row>
    <row r="9" spans="2:8" x14ac:dyDescent="0.25">
      <c r="E9" s="234"/>
      <c r="F9" s="234"/>
      <c r="G9" s="234"/>
      <c r="H9" s="234"/>
    </row>
    <row r="10" spans="2:8" x14ac:dyDescent="0.25">
      <c r="B10" s="106" t="s">
        <v>55</v>
      </c>
      <c r="C10" s="103"/>
      <c r="D10" s="103"/>
      <c r="E10" s="103"/>
      <c r="F10" s="103"/>
      <c r="G10" s="103"/>
      <c r="H10" s="103"/>
    </row>
    <row r="11" spans="2:8" ht="30.75" customHeight="1" x14ac:dyDescent="0.25">
      <c r="B11" s="297" t="s">
        <v>85</v>
      </c>
      <c r="C11" s="297"/>
      <c r="D11" s="297"/>
      <c r="E11" s="297"/>
      <c r="F11" s="297"/>
      <c r="G11" s="297"/>
      <c r="H11" s="297"/>
    </row>
    <row r="13" spans="2:8" x14ac:dyDescent="0.25">
      <c r="B13" s="106" t="s">
        <v>101</v>
      </c>
      <c r="C13" s="103"/>
      <c r="D13" s="103"/>
      <c r="E13" s="103"/>
      <c r="F13" s="103"/>
      <c r="G13" s="103"/>
      <c r="H13" s="103"/>
    </row>
    <row r="14" spans="2:8" ht="15" customHeight="1" x14ac:dyDescent="0.25">
      <c r="B14" s="296" t="s">
        <v>69</v>
      </c>
      <c r="C14" s="296"/>
      <c r="D14" s="296"/>
      <c r="E14" s="296"/>
      <c r="F14" s="296"/>
      <c r="G14" s="296"/>
      <c r="H14" s="296"/>
    </row>
    <row r="15" spans="2:8" ht="47.25" customHeight="1" x14ac:dyDescent="0.25">
      <c r="B15" s="298" t="s">
        <v>70</v>
      </c>
      <c r="C15" s="298"/>
      <c r="D15" s="298"/>
      <c r="E15" s="298"/>
      <c r="F15" s="298"/>
      <c r="G15" s="298"/>
      <c r="H15" s="298"/>
    </row>
    <row r="16" spans="2:8" ht="32.25" customHeight="1" x14ac:dyDescent="0.25">
      <c r="B16" s="298" t="s">
        <v>97</v>
      </c>
      <c r="C16" s="298"/>
      <c r="D16" s="298"/>
      <c r="E16" s="298"/>
      <c r="F16" s="298"/>
      <c r="G16" s="298"/>
      <c r="H16" s="298"/>
    </row>
    <row r="17" spans="2:8" ht="47.25" customHeight="1" x14ac:dyDescent="0.25">
      <c r="B17" s="298" t="s">
        <v>98</v>
      </c>
      <c r="C17" s="298"/>
      <c r="D17" s="298"/>
      <c r="E17" s="298"/>
      <c r="F17" s="298"/>
      <c r="G17" s="298"/>
      <c r="H17" s="298"/>
    </row>
    <row r="18" spans="2:8" ht="47.25" customHeight="1" x14ac:dyDescent="0.25">
      <c r="B18" s="298" t="s">
        <v>99</v>
      </c>
      <c r="C18" s="298"/>
      <c r="D18" s="298"/>
      <c r="E18" s="298"/>
      <c r="F18" s="298"/>
      <c r="G18" s="298"/>
      <c r="H18" s="298"/>
    </row>
    <row r="20" spans="2:8" x14ac:dyDescent="0.25">
      <c r="B20" s="106" t="s">
        <v>71</v>
      </c>
      <c r="C20" s="103"/>
      <c r="D20" s="103"/>
      <c r="E20" s="103"/>
      <c r="F20" s="103"/>
      <c r="G20" s="103"/>
      <c r="H20" s="103"/>
    </row>
    <row r="21" spans="2:8" ht="46.5" customHeight="1" x14ac:dyDescent="0.25">
      <c r="B21" s="296" t="s">
        <v>102</v>
      </c>
      <c r="C21" s="296"/>
      <c r="D21" s="296"/>
      <c r="E21" s="296"/>
      <c r="F21" s="296"/>
      <c r="G21" s="296"/>
      <c r="H21" s="296"/>
    </row>
    <row r="23" spans="2:8" x14ac:dyDescent="0.25">
      <c r="B23" s="14" t="s">
        <v>74</v>
      </c>
      <c r="C23" s="299" t="s">
        <v>5</v>
      </c>
      <c r="D23" s="300"/>
      <c r="E23" s="13" t="s">
        <v>13</v>
      </c>
      <c r="F23" s="13" t="s">
        <v>14</v>
      </c>
      <c r="G23" s="13" t="s">
        <v>15</v>
      </c>
      <c r="H23" s="152" t="s">
        <v>1</v>
      </c>
    </row>
    <row r="24" spans="2:8" x14ac:dyDescent="0.25">
      <c r="B24" s="15" t="s">
        <v>72</v>
      </c>
      <c r="C24" s="294" t="s">
        <v>75</v>
      </c>
      <c r="D24" s="294"/>
      <c r="E24" s="9">
        <f>+'Input Sheet'!H14</f>
        <v>81057</v>
      </c>
      <c r="F24" s="9">
        <f>+'Input Sheet'!I14</f>
        <v>62080</v>
      </c>
      <c r="G24" s="9">
        <f>+'Input Sheet'!J14</f>
        <v>25200</v>
      </c>
      <c r="H24" s="16">
        <f>SUM(D24:G24)</f>
        <v>168337</v>
      </c>
    </row>
    <row r="25" spans="2:8" x14ac:dyDescent="0.25">
      <c r="B25" s="15" t="s">
        <v>26</v>
      </c>
      <c r="C25" s="294" t="s">
        <v>100</v>
      </c>
      <c r="D25" s="294"/>
      <c r="E25" s="9">
        <f>'Input Sheet'!H42</f>
        <v>99283.384347787025</v>
      </c>
      <c r="F25" s="9">
        <f>'Input Sheet'!I42</f>
        <v>104305.43923161829</v>
      </c>
      <c r="G25" s="9">
        <f>'Input Sheet'!J42</f>
        <v>96813.672179212226</v>
      </c>
      <c r="H25" s="16">
        <f>SUM(D25:G25)</f>
        <v>300402.49575861753</v>
      </c>
    </row>
    <row r="26" spans="2:8" x14ac:dyDescent="0.25">
      <c r="B26" t="s">
        <v>115</v>
      </c>
      <c r="C26" s="294" t="s">
        <v>116</v>
      </c>
      <c r="D26" s="294"/>
      <c r="E26" s="100">
        <f>+'Input Sheet'!H26</f>
        <v>1013</v>
      </c>
      <c r="F26" s="100">
        <f>'Input Sheet'!I26</f>
        <v>776</v>
      </c>
      <c r="G26" s="100">
        <f>'Input Sheet'!J26</f>
        <v>315</v>
      </c>
      <c r="H26" s="102">
        <f>SUM(D26:G26)</f>
        <v>2104</v>
      </c>
    </row>
    <row r="28" spans="2:8" x14ac:dyDescent="0.25">
      <c r="B28" s="106" t="s">
        <v>73</v>
      </c>
      <c r="C28" s="103"/>
      <c r="D28" s="103"/>
      <c r="E28" s="103"/>
      <c r="F28" s="103"/>
      <c r="G28" s="103"/>
      <c r="H28" s="103"/>
    </row>
    <row r="29" spans="2:8" ht="77.25" customHeight="1" x14ac:dyDescent="0.25">
      <c r="B29" s="296" t="s">
        <v>120</v>
      </c>
      <c r="C29" s="296"/>
      <c r="D29" s="296"/>
      <c r="E29" s="296"/>
      <c r="F29" s="296"/>
      <c r="G29" s="296"/>
      <c r="H29" s="296"/>
    </row>
    <row r="31" spans="2:8" x14ac:dyDescent="0.25">
      <c r="B31" s="12" t="s">
        <v>74</v>
      </c>
      <c r="C31" s="13" t="s">
        <v>17</v>
      </c>
      <c r="D31" s="13" t="s">
        <v>18</v>
      </c>
      <c r="E31" s="13" t="s">
        <v>19</v>
      </c>
      <c r="F31" s="13" t="s">
        <v>20</v>
      </c>
      <c r="G31" s="13" t="s">
        <v>21</v>
      </c>
      <c r="H31" s="152" t="s">
        <v>1</v>
      </c>
    </row>
    <row r="32" spans="2:8" x14ac:dyDescent="0.25">
      <c r="B32" s="15" t="s">
        <v>72</v>
      </c>
      <c r="C32" s="9">
        <f>'Fee Breakdown'!AB11</f>
        <v>177941.42600791334</v>
      </c>
      <c r="D32" s="9">
        <f>'Fee Breakdown'!AC11</f>
        <v>185704.96058302789</v>
      </c>
      <c r="E32" s="9">
        <f>'Fee Breakdown'!AD11</f>
        <v>191992.50330644511</v>
      </c>
      <c r="F32" s="9">
        <f>'Fee Breakdown'!AE11</f>
        <v>198756.04553929306</v>
      </c>
      <c r="G32" s="9">
        <f>'Fee Breakdown'!AF11</f>
        <v>205600.4780319425</v>
      </c>
      <c r="H32" s="16">
        <f>SUM(C32:G32)</f>
        <v>959995.4134686219</v>
      </c>
    </row>
    <row r="33" spans="2:8" x14ac:dyDescent="0.25">
      <c r="B33" s="15"/>
      <c r="C33" s="9"/>
      <c r="D33" s="9"/>
      <c r="E33" s="9"/>
      <c r="F33" s="9"/>
      <c r="G33" s="9"/>
      <c r="H33" s="16"/>
    </row>
    <row r="34" spans="2:8" x14ac:dyDescent="0.25">
      <c r="B34" s="15" t="s">
        <v>26</v>
      </c>
      <c r="C34" s="9">
        <f>'Fee Breakdown'!P19</f>
        <v>78564.993864816963</v>
      </c>
      <c r="D34" s="9">
        <f>'Fee Breakdown'!Q19</f>
        <v>81992.762540988217</v>
      </c>
      <c r="E34" s="9">
        <f>'Fee Breakdown'!R19</f>
        <v>84768.848844062362</v>
      </c>
      <c r="F34" s="9">
        <f>'Fee Breakdown'!S19</f>
        <v>87755.099240889554</v>
      </c>
      <c r="G34" s="9">
        <f>'Fee Breakdown'!T19</f>
        <v>90777.064439534442</v>
      </c>
      <c r="H34" s="16">
        <f>SUM(C34:G34)</f>
        <v>423858.76893029152</v>
      </c>
    </row>
    <row r="35" spans="2:8" x14ac:dyDescent="0.25">
      <c r="B35" s="15" t="s">
        <v>28</v>
      </c>
      <c r="C35" s="9">
        <f>'Fee Breakdown'!V19</f>
        <v>92192.276948765939</v>
      </c>
      <c r="D35" s="9">
        <f>'Fee Breakdown'!W19</f>
        <v>103311.16615187567</v>
      </c>
      <c r="E35" s="9">
        <f>'Fee Breakdown'!X19</f>
        <v>107744.78095338935</v>
      </c>
      <c r="F35" s="9">
        <f>'Fee Breakdown'!Y19</f>
        <v>113851.37007837664</v>
      </c>
      <c r="G35" s="9">
        <f>'Fee Breakdown'!Z19</f>
        <v>120061.61908522298</v>
      </c>
      <c r="H35" s="16">
        <f>SUM(C35:G35)</f>
        <v>537161.21321763052</v>
      </c>
    </row>
    <row r="36" spans="2:8" ht="15.75" thickBot="1" x14ac:dyDescent="0.3">
      <c r="B36" s="104" t="s">
        <v>59</v>
      </c>
      <c r="C36" s="105">
        <f>SUM(C34:C35)</f>
        <v>170757.2708135829</v>
      </c>
      <c r="D36" s="105">
        <f t="shared" ref="D36:H36" si="0">SUM(D34:D35)</f>
        <v>185303.9286928639</v>
      </c>
      <c r="E36" s="105">
        <f t="shared" si="0"/>
        <v>192513.62979745172</v>
      </c>
      <c r="F36" s="105">
        <f t="shared" si="0"/>
        <v>201606.46931926621</v>
      </c>
      <c r="G36" s="105">
        <f t="shared" si="0"/>
        <v>210838.68352475742</v>
      </c>
      <c r="H36" s="105">
        <f t="shared" si="0"/>
        <v>961019.98214792204</v>
      </c>
    </row>
    <row r="37" spans="2:8" x14ac:dyDescent="0.25">
      <c r="B37" s="15"/>
      <c r="C37" s="9"/>
      <c r="D37" s="9"/>
      <c r="E37" s="9"/>
      <c r="F37" s="9"/>
      <c r="G37" s="9"/>
      <c r="H37" s="9"/>
    </row>
    <row r="38" spans="2:8" x14ac:dyDescent="0.25">
      <c r="B38" t="s">
        <v>4</v>
      </c>
      <c r="C38" s="150">
        <f>'Fee Breakdown'!H19</f>
        <v>924</v>
      </c>
      <c r="D38" s="150">
        <f>'Fee Breakdown'!I19</f>
        <v>924</v>
      </c>
      <c r="E38" s="150">
        <f>'Fee Breakdown'!J19</f>
        <v>924</v>
      </c>
      <c r="F38" s="150">
        <f>'Fee Breakdown'!K19</f>
        <v>924</v>
      </c>
      <c r="G38" s="150">
        <f>'Fee Breakdown'!L19</f>
        <v>924</v>
      </c>
      <c r="H38" s="151">
        <f>SUM(C38:G38)</f>
        <v>4620</v>
      </c>
    </row>
    <row r="39" spans="2:8" x14ac:dyDescent="0.25">
      <c r="C39" s="3"/>
      <c r="D39" s="4"/>
      <c r="E39" s="3"/>
      <c r="F39" s="3"/>
      <c r="G39" s="3"/>
    </row>
    <row r="40" spans="2:8" x14ac:dyDescent="0.25">
      <c r="B40" s="106" t="s">
        <v>56</v>
      </c>
      <c r="C40" s="103"/>
      <c r="D40" s="103"/>
      <c r="E40" s="103"/>
      <c r="F40" s="103"/>
      <c r="G40" s="103"/>
      <c r="H40" s="103"/>
    </row>
    <row r="41" spans="2:8" ht="61.5" customHeight="1" x14ac:dyDescent="0.25">
      <c r="B41" s="296" t="s">
        <v>117</v>
      </c>
      <c r="C41" s="296"/>
      <c r="D41" s="296"/>
      <c r="E41" s="296"/>
      <c r="F41" s="296"/>
      <c r="G41" s="296"/>
      <c r="H41" s="296"/>
    </row>
    <row r="43" spans="2:8" x14ac:dyDescent="0.25">
      <c r="B43" s="12" t="s">
        <v>74</v>
      </c>
      <c r="C43" s="13" t="s">
        <v>17</v>
      </c>
      <c r="D43" s="13" t="s">
        <v>18</v>
      </c>
      <c r="E43" s="13" t="s">
        <v>19</v>
      </c>
      <c r="F43" s="13" t="s">
        <v>20</v>
      </c>
      <c r="G43" s="13" t="s">
        <v>21</v>
      </c>
      <c r="H43" s="152" t="s">
        <v>58</v>
      </c>
    </row>
    <row r="44" spans="2:8" x14ac:dyDescent="0.25">
      <c r="B44" t="s">
        <v>57</v>
      </c>
      <c r="C44" s="8">
        <f>+'Input Sheet'!G68</f>
        <v>2.1734523534412387</v>
      </c>
      <c r="D44" s="8">
        <f>+'Input Sheet'!H68</f>
        <v>2.2600034801880273</v>
      </c>
      <c r="E44" s="8">
        <f>+'Input Sheet'!I68</f>
        <v>2.2710421625707418</v>
      </c>
      <c r="F44" s="8">
        <f>+'Input Sheet'!J68</f>
        <v>2.2973761190315822</v>
      </c>
      <c r="G44" s="8">
        <f>+'Input Sheet'!K68</f>
        <v>2.3225986082111594</v>
      </c>
      <c r="H44" s="101">
        <f>AVERAGE(C44:G44)</f>
        <v>2.2648945446885498</v>
      </c>
    </row>
  </sheetData>
  <mergeCells count="17">
    <mergeCell ref="B41:H41"/>
    <mergeCell ref="B14:H14"/>
    <mergeCell ref="B11:H11"/>
    <mergeCell ref="B15:H15"/>
    <mergeCell ref="B16:H16"/>
    <mergeCell ref="B21:H21"/>
    <mergeCell ref="B17:H17"/>
    <mergeCell ref="B18:H18"/>
    <mergeCell ref="B29:H29"/>
    <mergeCell ref="C23:D23"/>
    <mergeCell ref="C24:D24"/>
    <mergeCell ref="C25:D25"/>
    <mergeCell ref="C4:H4"/>
    <mergeCell ref="C5:H5"/>
    <mergeCell ref="C3:H3"/>
    <mergeCell ref="C26:D26"/>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08" t="s">
        <v>46</v>
      </c>
      <c r="C2" s="108"/>
      <c r="D2" s="107"/>
      <c r="E2" s="107"/>
      <c r="F2" s="107"/>
      <c r="G2" s="107"/>
      <c r="H2" s="107"/>
      <c r="I2" s="107"/>
      <c r="J2" s="107"/>
      <c r="K2" s="107"/>
    </row>
    <row r="3" spans="2:13" x14ac:dyDescent="0.25">
      <c r="B3" s="14" t="s">
        <v>0</v>
      </c>
      <c r="C3" s="12"/>
      <c r="D3" s="301" t="str">
        <f>'AER Summary'!C3</f>
        <v>Reinspection Fee (Level 1 and 2 work)</v>
      </c>
      <c r="E3" s="302"/>
      <c r="F3" s="302"/>
      <c r="G3" s="302"/>
      <c r="H3" s="302"/>
      <c r="I3" s="302"/>
      <c r="J3" s="302"/>
      <c r="K3" s="302"/>
      <c r="M3" s="6"/>
    </row>
    <row r="4" spans="2:13" x14ac:dyDescent="0.25">
      <c r="M4" s="6"/>
    </row>
    <row r="5" spans="2:13" x14ac:dyDescent="0.25">
      <c r="B5" s="106" t="s">
        <v>76</v>
      </c>
      <c r="C5" s="106"/>
      <c r="D5" s="106"/>
      <c r="E5" s="106"/>
      <c r="F5" s="106"/>
      <c r="G5" s="106"/>
      <c r="H5" s="106"/>
      <c r="I5" s="106"/>
      <c r="J5" s="106"/>
      <c r="K5" s="106"/>
      <c r="M5" s="7"/>
    </row>
    <row r="6" spans="2:13" ht="34.5" customHeight="1" x14ac:dyDescent="0.25">
      <c r="B6" s="296" t="s">
        <v>84</v>
      </c>
      <c r="C6" s="296"/>
      <c r="D6" s="296"/>
      <c r="E6" s="296"/>
      <c r="F6" s="296"/>
      <c r="G6" s="296"/>
      <c r="H6" s="296"/>
      <c r="I6" s="296"/>
      <c r="J6" s="296"/>
      <c r="K6" s="296"/>
      <c r="M6" s="7"/>
    </row>
    <row r="8" spans="2:13" x14ac:dyDescent="0.25">
      <c r="B8" s="106" t="s">
        <v>7</v>
      </c>
      <c r="C8" s="106"/>
      <c r="D8" s="106"/>
      <c r="E8" s="106"/>
      <c r="F8" s="106"/>
      <c r="G8" s="106"/>
      <c r="H8" s="106"/>
      <c r="I8" s="106"/>
      <c r="J8" s="106"/>
      <c r="K8" s="106"/>
    </row>
    <row r="9" spans="2:13" ht="30.75" customHeight="1" x14ac:dyDescent="0.25">
      <c r="B9" s="296" t="s">
        <v>85</v>
      </c>
      <c r="C9" s="296"/>
      <c r="D9" s="296"/>
      <c r="E9" s="296"/>
      <c r="F9" s="296"/>
      <c r="G9" s="296"/>
      <c r="H9" s="296"/>
      <c r="I9" s="296"/>
      <c r="J9" s="296"/>
      <c r="K9" s="296"/>
    </row>
    <row r="11" spans="2:13" x14ac:dyDescent="0.25">
      <c r="B11" s="106" t="s">
        <v>77</v>
      </c>
      <c r="C11" s="106"/>
      <c r="D11" s="106"/>
      <c r="E11" s="106"/>
      <c r="F11" s="106"/>
      <c r="G11" s="106"/>
      <c r="H11" s="106"/>
      <c r="I11" s="106"/>
      <c r="J11" s="106"/>
      <c r="K11" s="106"/>
    </row>
    <row r="12" spans="2:13" ht="33.75" customHeight="1" x14ac:dyDescent="0.25">
      <c r="B12" s="296" t="s">
        <v>86</v>
      </c>
      <c r="C12" s="296"/>
      <c r="D12" s="296"/>
      <c r="E12" s="296"/>
      <c r="F12" s="296"/>
      <c r="G12" s="296"/>
      <c r="H12" s="296"/>
      <c r="I12" s="296"/>
      <c r="J12" s="296"/>
      <c r="K12" s="296"/>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167"/>
  <sheetViews>
    <sheetView showGridLines="0" workbookViewId="0"/>
  </sheetViews>
  <sheetFormatPr defaultColWidth="9.140625" defaultRowHeight="12.75" zeroHeight="1" x14ac:dyDescent="0.25"/>
  <cols>
    <col min="1" max="1" width="2.5703125" style="24" customWidth="1"/>
    <col min="2" max="2" width="35.140625" style="24" customWidth="1"/>
    <col min="3" max="6" width="10" style="24" customWidth="1"/>
    <col min="7" max="7" width="2.85546875" style="24" customWidth="1"/>
    <col min="8" max="9" width="10" style="24" customWidth="1"/>
    <col min="10" max="12" width="10" style="62" customWidth="1"/>
    <col min="13" max="13" width="2.85546875" style="62" customWidth="1"/>
    <col min="14" max="14" width="12" style="62" customWidth="1"/>
    <col min="15" max="15" width="2.85546875" style="62" customWidth="1"/>
    <col min="16" max="20" width="10" style="62" customWidth="1"/>
    <col min="21" max="21" width="3.7109375" style="77" customWidth="1"/>
    <col min="22" max="26" width="10" style="78" customWidth="1"/>
    <col min="27" max="27" width="3.7109375" style="24" customWidth="1"/>
    <col min="28" max="32" width="10" style="24" customWidth="1"/>
    <col min="33" max="33" width="2.85546875" style="24" customWidth="1"/>
    <col min="34" max="63" width="9.140625" style="24" customWidth="1"/>
    <col min="64" max="16384" width="9.140625" style="24"/>
  </cols>
  <sheetData>
    <row r="1" spans="2:33" x14ac:dyDescent="0.25"/>
    <row r="2" spans="2:33" ht="21" x14ac:dyDescent="0.25">
      <c r="B2" s="129" t="s">
        <v>48</v>
      </c>
      <c r="C2" s="130"/>
      <c r="D2" s="130"/>
      <c r="E2" s="130"/>
      <c r="F2" s="130"/>
      <c r="G2" s="130"/>
      <c r="H2" s="130"/>
      <c r="I2" s="130"/>
      <c r="J2" s="131"/>
      <c r="K2" s="131"/>
      <c r="L2" s="131"/>
      <c r="M2" s="131"/>
      <c r="N2" s="131"/>
      <c r="O2" s="131"/>
      <c r="P2" s="131"/>
      <c r="Q2" s="131"/>
      <c r="R2" s="131"/>
      <c r="S2" s="131"/>
      <c r="T2" s="131"/>
      <c r="U2" s="131"/>
      <c r="V2" s="131"/>
      <c r="W2" s="131"/>
      <c r="X2" s="131"/>
      <c r="Y2" s="131"/>
      <c r="Z2" s="131"/>
      <c r="AA2" s="131"/>
      <c r="AB2" s="131"/>
      <c r="AC2" s="131"/>
      <c r="AD2" s="131"/>
      <c r="AE2" s="131"/>
      <c r="AF2" s="131"/>
    </row>
    <row r="3" spans="2:33" ht="15" x14ac:dyDescent="0.25">
      <c r="B3" s="75" t="s">
        <v>0</v>
      </c>
      <c r="C3" s="76" t="str">
        <f>+'AER Summary'!C3</f>
        <v>Reinspection Fee (Level 1 and 2 work)</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row>
    <row r="4" spans="2:33" x14ac:dyDescent="0.25"/>
    <row r="5" spans="2:33" ht="15" x14ac:dyDescent="0.25">
      <c r="B5" s="106" t="str">
        <f>"Proposed "&amp;'AER Summary'!C3&amp;" Fees &amp; Revenue"</f>
        <v>Proposed Reinspection Fee (Level 1 and 2 work) Fees &amp; Revenue</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row>
    <row r="6" spans="2:33" x14ac:dyDescent="0.25">
      <c r="M6" s="95"/>
      <c r="N6" s="95"/>
      <c r="O6" s="95"/>
      <c r="V6" s="67"/>
      <c r="W6" s="67"/>
      <c r="X6" s="67"/>
      <c r="Y6" s="67"/>
      <c r="Z6" s="67"/>
    </row>
    <row r="7" spans="2:33" x14ac:dyDescent="0.25">
      <c r="C7" s="309" t="s">
        <v>6</v>
      </c>
      <c r="D7" s="310"/>
      <c r="E7" s="310"/>
      <c r="F7" s="311"/>
      <c r="H7" s="312" t="s">
        <v>60</v>
      </c>
      <c r="I7" s="313"/>
      <c r="J7" s="313"/>
      <c r="K7" s="313"/>
      <c r="L7" s="314"/>
      <c r="M7" s="79"/>
      <c r="N7" s="79"/>
      <c r="O7" s="79"/>
      <c r="P7" s="312" t="s">
        <v>67</v>
      </c>
      <c r="Q7" s="313"/>
      <c r="R7" s="313"/>
      <c r="S7" s="313"/>
      <c r="T7" s="314"/>
      <c r="V7" s="315"/>
      <c r="W7" s="315"/>
      <c r="X7" s="315"/>
      <c r="Y7" s="315"/>
      <c r="Z7" s="315"/>
      <c r="AA7" s="122"/>
      <c r="AB7" s="312" t="s">
        <v>89</v>
      </c>
      <c r="AC7" s="313"/>
      <c r="AD7" s="313"/>
      <c r="AE7" s="313"/>
      <c r="AF7" s="314"/>
      <c r="AG7" s="122"/>
    </row>
    <row r="8" spans="2:33" ht="44.25" customHeight="1" x14ac:dyDescent="0.25">
      <c r="B8" s="80" t="s">
        <v>10</v>
      </c>
      <c r="C8" s="96" t="s">
        <v>50</v>
      </c>
      <c r="D8" s="179" t="s">
        <v>8</v>
      </c>
      <c r="E8" s="179" t="s">
        <v>61</v>
      </c>
      <c r="F8" s="97" t="s">
        <v>49</v>
      </c>
      <c r="H8" s="118" t="s">
        <v>17</v>
      </c>
      <c r="I8" s="119" t="s">
        <v>18</v>
      </c>
      <c r="J8" s="119" t="s">
        <v>19</v>
      </c>
      <c r="K8" s="119" t="s">
        <v>20</v>
      </c>
      <c r="L8" s="120" t="s">
        <v>21</v>
      </c>
      <c r="M8" s="81"/>
      <c r="N8" s="115" t="s">
        <v>103</v>
      </c>
      <c r="O8" s="81"/>
      <c r="P8" s="118" t="s">
        <v>17</v>
      </c>
      <c r="Q8" s="119" t="s">
        <v>18</v>
      </c>
      <c r="R8" s="119" t="s">
        <v>19</v>
      </c>
      <c r="S8" s="119" t="s">
        <v>20</v>
      </c>
      <c r="T8" s="120" t="s">
        <v>21</v>
      </c>
      <c r="V8" s="123"/>
      <c r="W8" s="123"/>
      <c r="X8" s="123"/>
      <c r="Y8" s="123"/>
      <c r="Z8" s="123"/>
      <c r="AA8" s="122"/>
      <c r="AB8" s="184" t="s">
        <v>17</v>
      </c>
      <c r="AC8" s="185" t="s">
        <v>18</v>
      </c>
      <c r="AD8" s="185" t="s">
        <v>19</v>
      </c>
      <c r="AE8" s="185" t="s">
        <v>20</v>
      </c>
      <c r="AF8" s="186" t="s">
        <v>21</v>
      </c>
      <c r="AG8" s="122"/>
    </row>
    <row r="9" spans="2:33" x14ac:dyDescent="0.2">
      <c r="B9" s="157" t="s">
        <v>83</v>
      </c>
      <c r="C9" s="143">
        <f>'Input Sheet'!H9</f>
        <v>80</v>
      </c>
      <c r="D9" s="159" t="str">
        <f>'Input Sheet'!I9</f>
        <v>Hourly</v>
      </c>
      <c r="E9" s="99">
        <f>'Input Sheet'!J9</f>
        <v>88</v>
      </c>
      <c r="F9" s="98">
        <f>'Input Sheet'!K9</f>
        <v>80</v>
      </c>
      <c r="G9" s="87"/>
      <c r="H9" s="116">
        <f>+'Input Sheet'!G$59</f>
        <v>192.57730087436508</v>
      </c>
      <c r="I9" s="110">
        <f>+'Input Sheet'!H$59</f>
        <v>200.97939457037651</v>
      </c>
      <c r="J9" s="110">
        <f>+'Input Sheet'!I$59</f>
        <v>207.78409448749471</v>
      </c>
      <c r="K9" s="110">
        <f>+'Input Sheet'!J$59</f>
        <v>215.10394538884529</v>
      </c>
      <c r="L9" s="111">
        <f>+'Input Sheet'!K$59</f>
        <v>222.51133986140965</v>
      </c>
      <c r="M9" s="84"/>
      <c r="N9" s="90" t="s">
        <v>9</v>
      </c>
      <c r="O9" s="84"/>
      <c r="P9" s="144">
        <f t="shared" ref="P9" si="0">IF($N9="Hourly",H9,H9*$N9)</f>
        <v>192.57730087436508</v>
      </c>
      <c r="Q9" s="145">
        <f t="shared" ref="Q9" si="1">IF($N9="Hourly",I9,I9*$N9)</f>
        <v>200.97939457037651</v>
      </c>
      <c r="R9" s="145">
        <f t="shared" ref="R9" si="2">IF($N9="Hourly",J9,J9*$N9)</f>
        <v>207.78409448749471</v>
      </c>
      <c r="S9" s="145">
        <f t="shared" ref="S9" si="3">IF($N9="Hourly",K9,K9*$N9)</f>
        <v>215.10394538884529</v>
      </c>
      <c r="T9" s="146">
        <f t="shared" ref="T9" si="4">IF($N9="Hourly",L9,L9*$N9)</f>
        <v>222.51133986140965</v>
      </c>
      <c r="U9" s="85"/>
      <c r="V9" s="161"/>
      <c r="W9" s="161"/>
      <c r="X9" s="161"/>
      <c r="Y9" s="161"/>
      <c r="Z9" s="161"/>
      <c r="AA9" s="122"/>
      <c r="AB9" s="213">
        <f>+P9*H17</f>
        <v>177941.42600791334</v>
      </c>
      <c r="AC9" s="214">
        <f t="shared" ref="AC9:AF9" si="5">+Q9*I17</f>
        <v>185704.96058302789</v>
      </c>
      <c r="AD9" s="214">
        <f t="shared" si="5"/>
        <v>191992.50330644511</v>
      </c>
      <c r="AE9" s="214">
        <f t="shared" si="5"/>
        <v>198756.04553929306</v>
      </c>
      <c r="AF9" s="215">
        <f t="shared" si="5"/>
        <v>205600.4780319425</v>
      </c>
      <c r="AG9" s="122"/>
    </row>
    <row r="10" spans="2:33" x14ac:dyDescent="0.25">
      <c r="B10" s="91"/>
      <c r="C10" s="160"/>
      <c r="D10" s="65"/>
      <c r="E10" s="65"/>
      <c r="F10" s="92"/>
      <c r="G10" s="88"/>
      <c r="H10" s="117"/>
      <c r="I10" s="112"/>
      <c r="J10" s="112"/>
      <c r="K10" s="112"/>
      <c r="L10" s="113"/>
      <c r="M10" s="89"/>
      <c r="N10" s="93"/>
      <c r="O10" s="89"/>
      <c r="P10" s="147"/>
      <c r="Q10" s="148"/>
      <c r="R10" s="148"/>
      <c r="S10" s="148"/>
      <c r="T10" s="149"/>
      <c r="U10" s="85"/>
      <c r="V10" s="161"/>
      <c r="W10" s="161"/>
      <c r="X10" s="161"/>
      <c r="Y10" s="161"/>
      <c r="Z10" s="161"/>
      <c r="AA10" s="122"/>
      <c r="AB10" s="216"/>
      <c r="AC10" s="217"/>
      <c r="AD10" s="217"/>
      <c r="AE10" s="217"/>
      <c r="AF10" s="218"/>
      <c r="AG10" s="122"/>
    </row>
    <row r="11" spans="2:33" x14ac:dyDescent="0.2">
      <c r="B11" s="64"/>
      <c r="C11" s="99"/>
      <c r="D11" s="64"/>
      <c r="E11" s="64"/>
      <c r="F11" s="99"/>
      <c r="G11" s="88"/>
      <c r="H11" s="110"/>
      <c r="I11" s="110"/>
      <c r="J11" s="110"/>
      <c r="K11" s="110"/>
      <c r="L11" s="110"/>
      <c r="M11" s="89"/>
      <c r="N11" s="86"/>
      <c r="O11" s="89"/>
      <c r="P11" s="145"/>
      <c r="Q11" s="145"/>
      <c r="R11" s="145"/>
      <c r="S11" s="145"/>
      <c r="T11" s="145"/>
      <c r="U11" s="85"/>
      <c r="V11" s="161"/>
      <c r="W11" s="161"/>
      <c r="X11" s="161"/>
      <c r="Y11" s="161"/>
      <c r="Z11" s="161"/>
      <c r="AA11" s="122"/>
      <c r="AB11" s="219">
        <f>SUM(AB9:AB10)</f>
        <v>177941.42600791334</v>
      </c>
      <c r="AC11" s="220">
        <f t="shared" ref="AC11:AF11" si="6">SUM(AC9:AC10)</f>
        <v>185704.96058302789</v>
      </c>
      <c r="AD11" s="220">
        <f t="shared" si="6"/>
        <v>191992.50330644511</v>
      </c>
      <c r="AE11" s="220">
        <f t="shared" si="6"/>
        <v>198756.04553929306</v>
      </c>
      <c r="AF11" s="221">
        <f t="shared" si="6"/>
        <v>205600.4780319425</v>
      </c>
      <c r="AG11" s="122"/>
    </row>
    <row r="12" spans="2:33" x14ac:dyDescent="0.25">
      <c r="C12" s="89"/>
      <c r="D12" s="64"/>
      <c r="E12" s="64"/>
      <c r="F12" s="64"/>
      <c r="G12" s="88"/>
      <c r="H12" s="88"/>
      <c r="I12" s="88"/>
      <c r="J12" s="94"/>
      <c r="K12" s="94"/>
      <c r="L12" s="94"/>
      <c r="M12" s="94"/>
      <c r="N12" s="94"/>
      <c r="O12" s="94"/>
      <c r="P12" s="94"/>
      <c r="Q12" s="94"/>
      <c r="R12" s="94"/>
      <c r="S12" s="94"/>
      <c r="T12" s="94"/>
      <c r="V12" s="124"/>
      <c r="W12" s="124"/>
      <c r="X12" s="124"/>
      <c r="Y12" s="124"/>
      <c r="Z12" s="124"/>
      <c r="AA12" s="122"/>
      <c r="AB12" s="124"/>
      <c r="AC12" s="124"/>
      <c r="AD12" s="124"/>
      <c r="AE12" s="124"/>
      <c r="AF12" s="124"/>
      <c r="AG12" s="122"/>
    </row>
    <row r="13" spans="2:33" ht="15" x14ac:dyDescent="0.25">
      <c r="B13" s="106" t="s">
        <v>68</v>
      </c>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row>
    <row r="14" spans="2:33" x14ac:dyDescent="0.25">
      <c r="M14" s="95"/>
      <c r="N14" s="95"/>
      <c r="O14" s="95"/>
      <c r="V14" s="67"/>
      <c r="W14" s="67"/>
      <c r="X14" s="67"/>
      <c r="Y14" s="67"/>
      <c r="Z14" s="67"/>
    </row>
    <row r="15" spans="2:33" s="77" customFormat="1" x14ac:dyDescent="0.2">
      <c r="C15" s="303" t="s">
        <v>104</v>
      </c>
      <c r="D15" s="304"/>
      <c r="E15" s="304"/>
      <c r="F15" s="305"/>
      <c r="G15" s="24"/>
      <c r="H15" s="306" t="s">
        <v>105</v>
      </c>
      <c r="I15" s="307"/>
      <c r="J15" s="307"/>
      <c r="K15" s="307"/>
      <c r="L15" s="308"/>
      <c r="P15" s="316" t="s">
        <v>52</v>
      </c>
      <c r="Q15" s="317"/>
      <c r="R15" s="317"/>
      <c r="S15" s="317"/>
      <c r="T15" s="318"/>
      <c r="V15" s="303" t="s">
        <v>51</v>
      </c>
      <c r="W15" s="304"/>
      <c r="X15" s="304"/>
      <c r="Y15" s="304"/>
      <c r="Z15" s="305"/>
      <c r="AB15" s="303" t="s">
        <v>36</v>
      </c>
      <c r="AC15" s="304"/>
      <c r="AD15" s="304"/>
      <c r="AE15" s="304"/>
      <c r="AF15" s="305"/>
    </row>
    <row r="16" spans="2:33" s="77" customFormat="1" ht="25.5" x14ac:dyDescent="0.25">
      <c r="B16" s="80" t="s">
        <v>10</v>
      </c>
      <c r="C16" s="118" t="s">
        <v>12</v>
      </c>
      <c r="D16" s="119" t="s">
        <v>13</v>
      </c>
      <c r="E16" s="119" t="s">
        <v>14</v>
      </c>
      <c r="F16" s="120" t="s">
        <v>15</v>
      </c>
      <c r="G16" s="24"/>
      <c r="H16" s="118" t="s">
        <v>17</v>
      </c>
      <c r="I16" s="119" t="s">
        <v>18</v>
      </c>
      <c r="J16" s="119" t="s">
        <v>19</v>
      </c>
      <c r="K16" s="119" t="s">
        <v>20</v>
      </c>
      <c r="L16" s="120" t="s">
        <v>21</v>
      </c>
      <c r="N16" s="180" t="s">
        <v>22</v>
      </c>
      <c r="P16" s="125" t="s">
        <v>17</v>
      </c>
      <c r="Q16" s="82" t="s">
        <v>18</v>
      </c>
      <c r="R16" s="82" t="s">
        <v>19</v>
      </c>
      <c r="S16" s="82" t="s">
        <v>20</v>
      </c>
      <c r="T16" s="83" t="s">
        <v>21</v>
      </c>
      <c r="V16" s="126" t="s">
        <v>17</v>
      </c>
      <c r="W16" s="127" t="s">
        <v>18</v>
      </c>
      <c r="X16" s="127" t="s">
        <v>19</v>
      </c>
      <c r="Y16" s="127" t="s">
        <v>20</v>
      </c>
      <c r="Z16" s="128" t="s">
        <v>21</v>
      </c>
      <c r="AB16" s="126" t="s">
        <v>17</v>
      </c>
      <c r="AC16" s="127" t="s">
        <v>18</v>
      </c>
      <c r="AD16" s="127" t="s">
        <v>19</v>
      </c>
      <c r="AE16" s="127" t="s">
        <v>20</v>
      </c>
      <c r="AF16" s="128" t="s">
        <v>21</v>
      </c>
    </row>
    <row r="17" spans="2:32" s="77" customFormat="1" x14ac:dyDescent="0.2">
      <c r="B17" s="157" t="s">
        <v>83</v>
      </c>
      <c r="C17" s="227">
        <f>+'Input Sheet'!G25</f>
        <v>1562</v>
      </c>
      <c r="D17" s="228">
        <f>+'Input Sheet'!H25</f>
        <v>1013</v>
      </c>
      <c r="E17" s="228">
        <f>+'Input Sheet'!I25</f>
        <v>776</v>
      </c>
      <c r="F17" s="229">
        <f>+'Input Sheet'!K25</f>
        <v>344</v>
      </c>
      <c r="G17" s="191"/>
      <c r="H17" s="227">
        <f>ROUND(AVERAGE($C17:$F17),0)</f>
        <v>924</v>
      </c>
      <c r="I17" s="228">
        <f t="shared" ref="I17:L17" si="7">ROUND(AVERAGE($C17:$F17),0)</f>
        <v>924</v>
      </c>
      <c r="J17" s="228">
        <f t="shared" si="7"/>
        <v>924</v>
      </c>
      <c r="K17" s="228">
        <f t="shared" si="7"/>
        <v>924</v>
      </c>
      <c r="L17" s="229">
        <f t="shared" si="7"/>
        <v>924</v>
      </c>
      <c r="N17" s="90" t="s">
        <v>106</v>
      </c>
      <c r="P17" s="197">
        <f>+H17*'Input Sheet'!G58</f>
        <v>78564.993864816963</v>
      </c>
      <c r="Q17" s="198">
        <f>+I17*'Input Sheet'!H58</f>
        <v>81992.762540988217</v>
      </c>
      <c r="R17" s="198">
        <f>+J17*'Input Sheet'!I58</f>
        <v>84768.848844062362</v>
      </c>
      <c r="S17" s="198">
        <f>+K17*'Input Sheet'!J58</f>
        <v>87755.099240889554</v>
      </c>
      <c r="T17" s="199">
        <f>+L17*'Input Sheet'!K58</f>
        <v>90777.064439534442</v>
      </c>
      <c r="U17" s="200"/>
      <c r="V17" s="201">
        <f>+P17*('Input Sheet'!G$68-1)</f>
        <v>92192.276948765939</v>
      </c>
      <c r="W17" s="202">
        <f>+Q17*('Input Sheet'!H$68-1)</f>
        <v>103311.16615187567</v>
      </c>
      <c r="X17" s="202">
        <f>+R17*('Input Sheet'!I$68-1)</f>
        <v>107744.78095338935</v>
      </c>
      <c r="Y17" s="202">
        <f>+S17*('Input Sheet'!J$68-1)</f>
        <v>113851.37007837664</v>
      </c>
      <c r="Z17" s="203">
        <f>+T17*('Input Sheet'!K$68-1)</f>
        <v>120061.61908522298</v>
      </c>
      <c r="AA17" s="200"/>
      <c r="AB17" s="201">
        <f t="shared" ref="AB17" si="8">+P17+V17</f>
        <v>170757.2708135829</v>
      </c>
      <c r="AC17" s="202">
        <f t="shared" ref="AC17" si="9">+Q17+W17</f>
        <v>185303.9286928639</v>
      </c>
      <c r="AD17" s="202">
        <f t="shared" ref="AD17" si="10">+R17+X17</f>
        <v>192513.62979745172</v>
      </c>
      <c r="AE17" s="202">
        <f t="shared" ref="AE17" si="11">+S17+Y17</f>
        <v>201606.46931926621</v>
      </c>
      <c r="AF17" s="203">
        <f t="shared" ref="AF17" si="12">+T17+Z17</f>
        <v>210838.68352475742</v>
      </c>
    </row>
    <row r="18" spans="2:32" s="77" customFormat="1" x14ac:dyDescent="0.25">
      <c r="B18" s="91"/>
      <c r="C18" s="227"/>
      <c r="D18" s="228"/>
      <c r="E18" s="228"/>
      <c r="F18" s="229"/>
      <c r="G18" s="191"/>
      <c r="H18" s="227"/>
      <c r="I18" s="228"/>
      <c r="J18" s="228"/>
      <c r="K18" s="228"/>
      <c r="L18" s="229"/>
      <c r="N18" s="93"/>
      <c r="P18" s="204"/>
      <c r="Q18" s="205"/>
      <c r="R18" s="205"/>
      <c r="S18" s="205"/>
      <c r="T18" s="206"/>
      <c r="U18" s="200"/>
      <c r="V18" s="201"/>
      <c r="W18" s="202"/>
      <c r="X18" s="202"/>
      <c r="Y18" s="202"/>
      <c r="Z18" s="203"/>
      <c r="AA18" s="200"/>
      <c r="AB18" s="201"/>
      <c r="AC18" s="202"/>
      <c r="AD18" s="202"/>
      <c r="AE18" s="202"/>
      <c r="AF18" s="203"/>
    </row>
    <row r="19" spans="2:32" s="77" customFormat="1" x14ac:dyDescent="0.2">
      <c r="C19" s="230">
        <f>SUM(C17:C18)</f>
        <v>1562</v>
      </c>
      <c r="D19" s="231">
        <f t="shared" ref="D19:F19" si="13">SUM(D17:D18)</f>
        <v>1013</v>
      </c>
      <c r="E19" s="231">
        <f t="shared" si="13"/>
        <v>776</v>
      </c>
      <c r="F19" s="232">
        <f t="shared" si="13"/>
        <v>344</v>
      </c>
      <c r="G19" s="233"/>
      <c r="H19" s="230">
        <f t="shared" ref="H19:L19" si="14">SUM(H17:H18)</f>
        <v>924</v>
      </c>
      <c r="I19" s="231">
        <f t="shared" si="14"/>
        <v>924</v>
      </c>
      <c r="J19" s="231">
        <f t="shared" si="14"/>
        <v>924</v>
      </c>
      <c r="K19" s="231">
        <f t="shared" si="14"/>
        <v>924</v>
      </c>
      <c r="L19" s="232">
        <f t="shared" si="14"/>
        <v>924</v>
      </c>
      <c r="P19" s="207">
        <f>SUM(P17:P18)</f>
        <v>78564.993864816963</v>
      </c>
      <c r="Q19" s="208">
        <f t="shared" ref="Q19:T19" si="15">SUM(Q17:Q18)</f>
        <v>81992.762540988217</v>
      </c>
      <c r="R19" s="208">
        <f t="shared" si="15"/>
        <v>84768.848844062362</v>
      </c>
      <c r="S19" s="208">
        <f t="shared" si="15"/>
        <v>87755.099240889554</v>
      </c>
      <c r="T19" s="209">
        <f t="shared" si="15"/>
        <v>90777.064439534442</v>
      </c>
      <c r="U19" s="200"/>
      <c r="V19" s="210">
        <f>SUM(V17:V18)</f>
        <v>92192.276948765939</v>
      </c>
      <c r="W19" s="211">
        <f t="shared" ref="W19" si="16">SUM(W17:W18)</f>
        <v>103311.16615187567</v>
      </c>
      <c r="X19" s="211">
        <f t="shared" ref="X19" si="17">SUM(X17:X18)</f>
        <v>107744.78095338935</v>
      </c>
      <c r="Y19" s="211">
        <f t="shared" ref="Y19" si="18">SUM(Y17:Y18)</f>
        <v>113851.37007837664</v>
      </c>
      <c r="Z19" s="212">
        <f t="shared" ref="Z19" si="19">SUM(Z17:Z18)</f>
        <v>120061.61908522298</v>
      </c>
      <c r="AA19" s="200"/>
      <c r="AB19" s="210">
        <f>SUM(AB17:AB18)</f>
        <v>170757.2708135829</v>
      </c>
      <c r="AC19" s="211">
        <f t="shared" ref="AC19" si="20">SUM(AC17:AC18)</f>
        <v>185303.9286928639</v>
      </c>
      <c r="AD19" s="211">
        <f t="shared" ref="AD19" si="21">SUM(AD17:AD18)</f>
        <v>192513.62979745172</v>
      </c>
      <c r="AE19" s="211">
        <f t="shared" ref="AE19" si="22">SUM(AE17:AE18)</f>
        <v>201606.46931926621</v>
      </c>
      <c r="AF19" s="212">
        <f t="shared" ref="AF19" si="23">SUM(AF17:AF18)</f>
        <v>210838.68352475742</v>
      </c>
    </row>
    <row r="20" spans="2:32" s="77" customFormat="1" x14ac:dyDescent="0.25">
      <c r="P20" s="26"/>
      <c r="Q20" s="26"/>
      <c r="R20" s="26"/>
      <c r="S20" s="26"/>
      <c r="T20" s="26"/>
      <c r="U20" s="26"/>
      <c r="V20" s="26"/>
      <c r="W20" s="26"/>
      <c r="X20" s="26"/>
      <c r="Y20" s="26"/>
      <c r="Z20" s="26"/>
      <c r="AA20" s="26"/>
      <c r="AB20" s="26"/>
      <c r="AC20" s="26"/>
      <c r="AD20" s="26"/>
      <c r="AE20" s="26"/>
      <c r="AF20" s="26"/>
    </row>
    <row r="21" spans="2:32" s="77" customFormat="1" hidden="1" x14ac:dyDescent="0.25">
      <c r="V21" s="67"/>
      <c r="W21" s="67"/>
      <c r="X21" s="67"/>
      <c r="Y21" s="67"/>
      <c r="Z21" s="67"/>
    </row>
    <row r="22" spans="2:32" hidden="1" x14ac:dyDescent="0.25"/>
    <row r="23" spans="2:32" hidden="1" x14ac:dyDescent="0.25"/>
    <row r="24" spans="2:32" hidden="1" x14ac:dyDescent="0.25"/>
    <row r="25" spans="2:32" hidden="1" x14ac:dyDescent="0.25"/>
    <row r="26" spans="2:32" hidden="1" x14ac:dyDescent="0.25"/>
    <row r="27" spans="2:32" hidden="1" x14ac:dyDescent="0.25"/>
    <row r="28" spans="2:32" hidden="1" x14ac:dyDescent="0.25"/>
    <row r="29" spans="2:32" hidden="1" x14ac:dyDescent="0.25"/>
    <row r="30" spans="2:32" hidden="1" x14ac:dyDescent="0.25"/>
    <row r="31" spans="2:32" hidden="1" x14ac:dyDescent="0.25"/>
    <row r="32" spans="2: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sheetData>
  <mergeCells count="10">
    <mergeCell ref="AB15:AF15"/>
    <mergeCell ref="C15:F15"/>
    <mergeCell ref="H15:L15"/>
    <mergeCell ref="C7:F7"/>
    <mergeCell ref="P7:T7"/>
    <mergeCell ref="H7:L7"/>
    <mergeCell ref="V7:Z7"/>
    <mergeCell ref="P15:T15"/>
    <mergeCell ref="V15:Z15"/>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2014-04-28T05:17:24Z</cp:lastPrinted>
  <dcterms:created xsi:type="dcterms:W3CDTF">2013-06-17T01:25:32Z</dcterms:created>
  <dcterms:modified xsi:type="dcterms:W3CDTF">2015-01-05T00:57:06Z</dcterms:modified>
</cp:coreProperties>
</file>