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Breakdown'!$A$1:$AE$24</definedName>
    <definedName name="TM1REBUILDOPTION">1</definedName>
  </definedNames>
  <calcPr calcId="145621" calcMode="manual" concurrentCalc="0"/>
</workbook>
</file>

<file path=xl/calcChain.xml><?xml version="1.0" encoding="utf-8"?>
<calcChain xmlns="http://schemas.openxmlformats.org/spreadsheetml/2006/main">
  <c r="K149" i="13" l="1"/>
  <c r="K126" i="13"/>
  <c r="R18" i="11"/>
  <c r="K140" i="13"/>
  <c r="X18" i="11"/>
  <c r="AD18" i="11"/>
  <c r="K127" i="13"/>
  <c r="R19" i="11"/>
  <c r="X19" i="11"/>
  <c r="AD19" i="11"/>
  <c r="AD21" i="11"/>
  <c r="J149" i="13"/>
  <c r="J126" i="13"/>
  <c r="Q18" i="11"/>
  <c r="J140" i="13"/>
  <c r="W18" i="11"/>
  <c r="AC18" i="11"/>
  <c r="J127" i="13"/>
  <c r="Q19" i="11"/>
  <c r="W19" i="11"/>
  <c r="AC19" i="11"/>
  <c r="AC21" i="11"/>
  <c r="I149" i="13"/>
  <c r="I126" i="13"/>
  <c r="P18" i="11"/>
  <c r="I140" i="13"/>
  <c r="V18" i="11"/>
  <c r="AB18" i="11"/>
  <c r="I127" i="13"/>
  <c r="P19" i="11"/>
  <c r="V19" i="11"/>
  <c r="AB19" i="11"/>
  <c r="AB21" i="11"/>
  <c r="H149" i="13"/>
  <c r="H126" i="13"/>
  <c r="O18" i="11"/>
  <c r="H140" i="13"/>
  <c r="U18" i="11"/>
  <c r="AA18" i="11"/>
  <c r="H127" i="13"/>
  <c r="O19" i="11"/>
  <c r="U19" i="11"/>
  <c r="AA19" i="11"/>
  <c r="AA21" i="11"/>
  <c r="G149" i="13"/>
  <c r="G126" i="13"/>
  <c r="N18" i="11"/>
  <c r="G140" i="13"/>
  <c r="T18" i="11"/>
  <c r="Z18" i="11"/>
  <c r="G127" i="13"/>
  <c r="N19" i="11"/>
  <c r="T19" i="11"/>
  <c r="Z19" i="11"/>
  <c r="Z21" i="11"/>
  <c r="X21" i="11"/>
  <c r="W21" i="11"/>
  <c r="V21" i="11"/>
  <c r="U21" i="11"/>
  <c r="T21" i="11"/>
  <c r="R21" i="11"/>
  <c r="Q21" i="11"/>
  <c r="P21" i="11"/>
  <c r="O21" i="11"/>
  <c r="N21" i="11"/>
  <c r="K142" i="13"/>
  <c r="J102" i="13"/>
  <c r="J104" i="13"/>
  <c r="G129" i="13"/>
  <c r="H9" i="11"/>
  <c r="Z9" i="11"/>
  <c r="I102" i="13"/>
  <c r="I104" i="13"/>
  <c r="G130" i="13"/>
  <c r="H10" i="11"/>
  <c r="Z10" i="11"/>
  <c r="Z12" i="11"/>
  <c r="C32" i="8"/>
  <c r="H129" i="13"/>
  <c r="I9" i="11"/>
  <c r="AA9" i="11"/>
  <c r="H130" i="13"/>
  <c r="I10" i="11"/>
  <c r="AA10" i="11"/>
  <c r="AA12" i="11"/>
  <c r="D32" i="8"/>
  <c r="I129" i="13"/>
  <c r="J9" i="11"/>
  <c r="AB9" i="11"/>
  <c r="I130" i="13"/>
  <c r="J10" i="11"/>
  <c r="AB10" i="11"/>
  <c r="AB12" i="11"/>
  <c r="E32" i="8"/>
  <c r="J129" i="13"/>
  <c r="K9" i="11"/>
  <c r="AC9" i="11"/>
  <c r="J130" i="13"/>
  <c r="K10" i="11"/>
  <c r="AC10" i="11"/>
  <c r="AC12" i="11"/>
  <c r="F32" i="8"/>
  <c r="K129" i="13"/>
  <c r="L9" i="11"/>
  <c r="AD9" i="11"/>
  <c r="K130" i="13"/>
  <c r="L10" i="11"/>
  <c r="AD10" i="11"/>
  <c r="AD12" i="11"/>
  <c r="G32" i="8"/>
  <c r="H32" i="8"/>
  <c r="J32" i="13"/>
  <c r="J33" i="13"/>
  <c r="F18" i="11"/>
  <c r="F19" i="11"/>
  <c r="F21" i="11"/>
  <c r="I32" i="13"/>
  <c r="I33" i="13"/>
  <c r="E18" i="11"/>
  <c r="E19" i="11"/>
  <c r="E21" i="11"/>
  <c r="H32" i="13"/>
  <c r="H33" i="13"/>
  <c r="D18" i="11"/>
  <c r="D19" i="11"/>
  <c r="D21" i="11"/>
  <c r="G81" i="13"/>
  <c r="H81" i="13"/>
  <c r="G82" i="13"/>
  <c r="H82" i="13"/>
  <c r="H83" i="13"/>
  <c r="H84" i="13"/>
  <c r="H85" i="13"/>
  <c r="I81" i="13"/>
  <c r="I82" i="13"/>
  <c r="I83" i="13"/>
  <c r="I84" i="13"/>
  <c r="I85" i="13"/>
  <c r="J81" i="13"/>
  <c r="J82" i="13"/>
  <c r="J83" i="13"/>
  <c r="J84" i="13"/>
  <c r="J85" i="13"/>
  <c r="J86" i="13"/>
  <c r="I71" i="13"/>
  <c r="I72" i="13"/>
  <c r="I73" i="13"/>
  <c r="F59" i="13"/>
  <c r="I59" i="13"/>
  <c r="F60" i="13"/>
  <c r="I60" i="13"/>
  <c r="F61" i="13"/>
  <c r="I61" i="13"/>
  <c r="F62" i="13"/>
  <c r="I62" i="13"/>
  <c r="F63" i="13"/>
  <c r="I63" i="13"/>
  <c r="F64" i="13"/>
  <c r="I64" i="13"/>
  <c r="F65" i="13"/>
  <c r="I65" i="13"/>
  <c r="I66" i="13"/>
  <c r="I68" i="13"/>
  <c r="I75" i="13"/>
  <c r="J90" i="13"/>
  <c r="G93" i="13"/>
  <c r="H93" i="13"/>
  <c r="H95" i="13"/>
  <c r="H96" i="13"/>
  <c r="I93" i="13"/>
  <c r="I95" i="13"/>
  <c r="I96" i="13"/>
  <c r="J93" i="13"/>
  <c r="J95" i="13"/>
  <c r="J96" i="13"/>
  <c r="J97" i="13"/>
  <c r="I100" i="13"/>
  <c r="K10" i="13"/>
  <c r="F10" i="11"/>
  <c r="E10" i="11"/>
  <c r="K9" i="13"/>
  <c r="F9" i="11"/>
  <c r="E9" i="11"/>
  <c r="G118" i="13"/>
  <c r="J110" i="13"/>
  <c r="J118" i="13"/>
  <c r="J72" i="13"/>
  <c r="J71" i="13"/>
  <c r="K21" i="13"/>
  <c r="H18" i="11"/>
  <c r="H19" i="11"/>
  <c r="I18" i="11"/>
  <c r="I19" i="11"/>
  <c r="J18" i="11"/>
  <c r="J19" i="11"/>
  <c r="K18" i="11"/>
  <c r="K19" i="11"/>
  <c r="L18" i="11"/>
  <c r="L19" i="11"/>
  <c r="J73" i="13"/>
  <c r="J59" i="13"/>
  <c r="J60" i="13"/>
  <c r="J61" i="13"/>
  <c r="J62" i="13"/>
  <c r="J63" i="13"/>
  <c r="J64" i="13"/>
  <c r="J65" i="13"/>
  <c r="J66" i="13"/>
  <c r="J68" i="13"/>
  <c r="J75" i="13"/>
  <c r="J89" i="13"/>
  <c r="J100" i="13"/>
  <c r="F127" i="13"/>
  <c r="J108" i="13"/>
  <c r="G112" i="13"/>
  <c r="J112" i="13"/>
  <c r="J109" i="13"/>
  <c r="G113" i="13"/>
  <c r="J113" i="13"/>
  <c r="J117" i="13"/>
  <c r="J119" i="13"/>
  <c r="I108" i="13"/>
  <c r="I112" i="13"/>
  <c r="I109" i="13"/>
  <c r="I113" i="13"/>
  <c r="I117" i="13"/>
  <c r="I110" i="13"/>
  <c r="I38" i="13"/>
  <c r="I118" i="13"/>
  <c r="I119" i="13"/>
  <c r="H108" i="13"/>
  <c r="H112" i="13"/>
  <c r="H109" i="13"/>
  <c r="H113" i="13"/>
  <c r="H117" i="13"/>
  <c r="H110" i="13"/>
  <c r="H38" i="13"/>
  <c r="H118" i="13"/>
  <c r="H119" i="13"/>
  <c r="F126" i="13"/>
  <c r="J114" i="13"/>
  <c r="G115" i="13"/>
  <c r="J37" i="13"/>
  <c r="J115" i="13"/>
  <c r="J116" i="13"/>
  <c r="I114" i="13"/>
  <c r="I37" i="13"/>
  <c r="I115" i="13"/>
  <c r="I116" i="13"/>
  <c r="H114" i="13"/>
  <c r="H37" i="13"/>
  <c r="H115" i="13"/>
  <c r="H116" i="13"/>
  <c r="J120" i="13"/>
  <c r="G25" i="8"/>
  <c r="I120" i="13"/>
  <c r="F25" i="8"/>
  <c r="H120" i="13"/>
  <c r="E25" i="8"/>
  <c r="L21" i="11"/>
  <c r="K21" i="11"/>
  <c r="J21" i="11"/>
  <c r="I21" i="11"/>
  <c r="H21" i="11"/>
  <c r="K151" i="13"/>
  <c r="H9" i="8"/>
  <c r="G9" i="8"/>
  <c r="F9" i="8"/>
  <c r="E9" i="8"/>
  <c r="H8" i="8"/>
  <c r="G8" i="8"/>
  <c r="F8" i="8"/>
  <c r="E8" i="8"/>
  <c r="D9" i="8"/>
  <c r="D8" i="8"/>
  <c r="G26" i="8"/>
  <c r="F26" i="8"/>
  <c r="E26" i="8"/>
  <c r="J94" i="13"/>
  <c r="I94" i="13"/>
  <c r="H94" i="13"/>
  <c r="K133" i="13"/>
  <c r="J133" i="13"/>
  <c r="I133" i="13"/>
  <c r="H133" i="13"/>
  <c r="J29" i="13"/>
  <c r="J30" i="13"/>
  <c r="I29" i="13"/>
  <c r="I30" i="13"/>
  <c r="H29" i="13"/>
  <c r="H30" i="13"/>
  <c r="G29" i="13"/>
  <c r="G30" i="13"/>
  <c r="I34" i="13"/>
  <c r="I35" i="13"/>
  <c r="H34" i="13"/>
  <c r="H35" i="13"/>
  <c r="J34" i="13"/>
  <c r="J35" i="13"/>
  <c r="B3" i="13"/>
  <c r="H21" i="13"/>
  <c r="I21" i="13"/>
  <c r="J21" i="13"/>
  <c r="B5" i="11"/>
  <c r="D38" i="8"/>
  <c r="E38" i="8"/>
  <c r="F38" i="8"/>
  <c r="G38" i="8"/>
  <c r="C38" i="8"/>
  <c r="D35" i="8"/>
  <c r="E35" i="8"/>
  <c r="F35" i="8"/>
  <c r="G35" i="8"/>
  <c r="C35" i="8"/>
  <c r="D34" i="8"/>
  <c r="E34" i="8"/>
  <c r="F34" i="8"/>
  <c r="G34" i="8"/>
  <c r="C34" i="8"/>
  <c r="E24" i="8"/>
  <c r="F24" i="8"/>
  <c r="G24" i="8"/>
  <c r="H24" i="8"/>
  <c r="C3" i="11"/>
  <c r="H34" i="8"/>
  <c r="H35" i="8"/>
  <c r="H36" i="8"/>
  <c r="G36" i="8"/>
  <c r="F36" i="8"/>
  <c r="E36" i="8"/>
  <c r="D36" i="8"/>
  <c r="C36" i="8"/>
  <c r="C44" i="8"/>
  <c r="D44" i="8"/>
  <c r="E44" i="8"/>
  <c r="F44" i="8"/>
  <c r="G44" i="8"/>
  <c r="H44" i="8"/>
  <c r="H26" i="8"/>
  <c r="H25" i="8"/>
  <c r="H38" i="8"/>
  <c r="G21" i="13"/>
  <c r="D3" i="9"/>
</calcChain>
</file>

<file path=xl/sharedStrings.xml><?xml version="1.0" encoding="utf-8"?>
<sst xmlns="http://schemas.openxmlformats.org/spreadsheetml/2006/main" count="335" uniqueCount="193">
  <si>
    <t>Service:</t>
  </si>
  <si>
    <t>Total</t>
  </si>
  <si>
    <t>Historical Revenue</t>
  </si>
  <si>
    <t>Description</t>
  </si>
  <si>
    <t>Volumes</t>
  </si>
  <si>
    <t>Source</t>
  </si>
  <si>
    <t>Current Fee</t>
  </si>
  <si>
    <t>AER Framework and Approach paper March 2013</t>
  </si>
  <si>
    <t>Fee Type</t>
  </si>
  <si>
    <t>Not available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</si>
  <si>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</si>
  <si>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</si>
  <si>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</si>
  <si>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</si>
  <si>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</si>
  <si>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</si>
  <si>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</si>
  <si>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</si>
  <si>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</si>
  <si>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</si>
  <si>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</si>
  <si>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</si>
  <si>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</si>
  <si>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</si>
  <si>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Work Order</t>
  </si>
  <si>
    <t>Indirect Costs (Nominal)</t>
  </si>
  <si>
    <t>Type</t>
  </si>
  <si>
    <t>Work Order Description</t>
  </si>
  <si>
    <t>Historical Work Order Costs</t>
  </si>
  <si>
    <t>EMPLOYEE_ID</t>
  </si>
  <si>
    <t>Name</t>
  </si>
  <si>
    <t>POS_TITLE</t>
  </si>
  <si>
    <t>Hourly Rate (Inc On-cost)</t>
  </si>
  <si>
    <t>Assumed annual labour growth</t>
  </si>
  <si>
    <t>Historical Volumes</t>
  </si>
  <si>
    <t>Labour Growth</t>
  </si>
  <si>
    <t>Total Operating Expenditure</t>
  </si>
  <si>
    <t>All unit rates have been calculated in real 12/13 dollars for comparison purposes. To estimate labour rates in real 12/13 dollars for prior years, the actual salary increases for award staff in those years has been used.</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</si>
  <si>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</si>
  <si>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</si>
  <si>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</si>
  <si>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</si>
  <si>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</si>
  <si>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</si>
  <si>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</si>
  <si>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</si>
  <si>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Fee
(Excluding GST)</t>
  </si>
  <si>
    <t>Historic Volumes</t>
  </si>
  <si>
    <t>Overheads</t>
  </si>
  <si>
    <t>Direct Operating Expenditure</t>
  </si>
  <si>
    <t>Framework &amp; Approach Service Description</t>
  </si>
  <si>
    <t>Network &amp; Corporate Overhead Factor</t>
  </si>
  <si>
    <t>Overhead Conversion Factor</t>
  </si>
  <si>
    <t>Average</t>
  </si>
  <si>
    <t>Total Costs</t>
  </si>
  <si>
    <t>Fee
(Including GST)</t>
  </si>
  <si>
    <t>Growth</t>
  </si>
  <si>
    <t>Proposed Fees (Nominal)</t>
  </si>
  <si>
    <t>Forecast Volumes</t>
  </si>
  <si>
    <t>Forecast Operating Expenditure</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</si>
  <si>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</si>
  <si>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</si>
  <si>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</si>
  <si>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</si>
  <si>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</si>
  <si>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</si>
  <si>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</si>
  <si>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 xml:space="preserve">Existing Service Description (2009-14) </t>
  </si>
  <si>
    <t>Updated Service Description (2015-19)</t>
  </si>
  <si>
    <t>Revenue related to this service is billed through Endeavour Energy's Ellipse billing system and is extracted from the general ledger.</t>
  </si>
  <si>
    <t>No historical work orders exist to capture the costs for this ancillary network service.</t>
  </si>
  <si>
    <t>Average Hourly Rates for Estimated Costs</t>
  </si>
  <si>
    <t>Average Unit Rates - 2012/13 Dollars</t>
  </si>
  <si>
    <t>Estimated Costs</t>
  </si>
  <si>
    <t>Average Unit Rate (2012/13$) - Direct Opex</t>
  </si>
  <si>
    <t>Average Unit Rates - Forecast Nominal</t>
  </si>
  <si>
    <t>Unit rate (excl overheads)</t>
  </si>
  <si>
    <t>Unit rate (incl overheads)</t>
  </si>
  <si>
    <t xml:space="preserve">The average unit rate in 2012/13 real dollars is converted to nominal dollars for each year in the next regulatory period using the nominal conversion factor derived from the CAM.  </t>
  </si>
  <si>
    <t>Cost Estimates</t>
  </si>
  <si>
    <t>Average Unit Rate (2012/13$) - Incl OH</t>
  </si>
  <si>
    <t>Standard Hours</t>
  </si>
  <si>
    <t>Hourly Rate
(Excluding GST)</t>
  </si>
  <si>
    <t>Authorisation of ASP's</t>
  </si>
  <si>
    <t>Volumes - Internal (Employees)</t>
  </si>
  <si>
    <t>Total number of authorisations (internal &amp; external)</t>
  </si>
  <si>
    <t>Volumes - Internal (Based on balance of total authorisations - external volumes)</t>
  </si>
  <si>
    <t>Volumes - External (New)</t>
  </si>
  <si>
    <t>Volumes - External (Renewals)</t>
  </si>
  <si>
    <t>Volumes - External</t>
  </si>
  <si>
    <t>Volumes were provided by the Manager Electrical Safety &amp; Authorisations.</t>
  </si>
  <si>
    <t xml:space="preserve">AUTHORISATIONS OFFICER                  </t>
  </si>
  <si>
    <t xml:space="preserve">AUTHORISATIONS PROCESS MANAGER          </t>
  </si>
  <si>
    <t xml:space="preserve">AUTHORISATION AND AUDIT OFFICER         </t>
  </si>
  <si>
    <t xml:space="preserve">TRAINING OFFICER - TECHNICAL            </t>
  </si>
  <si>
    <t>Payroll data was extracted as at 14/06/13 and provided by the Budgeting &amp; Forecasting Manager.  These hourly labour rates represent 2012/13 labour costs and are used to calculate an average hourly labour rate for those individuals involved in this ancillary network service.</t>
  </si>
  <si>
    <t>Electrical Safety Branch - 2 FTE's involved in Authorisations</t>
  </si>
  <si>
    <t>Authorisations Officer</t>
  </si>
  <si>
    <t>Authorisations Process Manager</t>
  </si>
  <si>
    <t>Hours per Week</t>
  </si>
  <si>
    <t>Productive Rate</t>
  </si>
  <si>
    <r>
      <t>Volumes - Total Authorisations</t>
    </r>
    <r>
      <rPr>
        <sz val="8"/>
        <color theme="1"/>
        <rFont val="Calibri"/>
        <family val="2"/>
        <scheme val="minor"/>
      </rPr>
      <t xml:space="preserve"> (These employees are involved in the authorisations of internal &amp; external customers)</t>
    </r>
  </si>
  <si>
    <t>Technical Training Centre</t>
  </si>
  <si>
    <t>Total Costs for Electrical Safety Branch (2012/13 $)</t>
  </si>
  <si>
    <t>Average Unit Rate per Authorisation</t>
  </si>
  <si>
    <t>Authorisation &amp; Audit Officer</t>
  </si>
  <si>
    <r>
      <t>Volumes - External Authorisations</t>
    </r>
    <r>
      <rPr>
        <sz val="8"/>
        <color theme="1"/>
        <rFont val="Calibri"/>
        <family val="2"/>
        <scheme val="minor"/>
      </rPr>
      <t xml:space="preserve"> (This employee only carries out audits on external ASP's)</t>
    </r>
  </si>
  <si>
    <t>Training Costs for ASP's</t>
  </si>
  <si>
    <t>Venue hire (Based on Liverpool Catholic Club Rates)</t>
  </si>
  <si>
    <t>Hire of data projector</t>
  </si>
  <si>
    <t>Setup of room</t>
  </si>
  <si>
    <t>Print assessments / attendance records</t>
  </si>
  <si>
    <t>Duration of training session - training delivery</t>
  </si>
  <si>
    <t>Assessment evaluation</t>
  </si>
  <si>
    <t>Pack up equipment and room</t>
  </si>
  <si>
    <t>Allowance for reasonable adjustment</t>
  </si>
  <si>
    <t>Provision for administration costs - organisation and record management</t>
  </si>
  <si>
    <t>Hours - New</t>
  </si>
  <si>
    <t>Hours - Renewal</t>
  </si>
  <si>
    <t>Hourly Rate</t>
  </si>
  <si>
    <t>Variable Costs</t>
  </si>
  <si>
    <t>Consumables (paper /pens etc)</t>
  </si>
  <si>
    <t>Unit Rate</t>
  </si>
  <si>
    <t>Fixed Costs (Costs associated with training 1-15 participants)</t>
  </si>
  <si>
    <t>Total Fixed Costs</t>
  </si>
  <si>
    <t>Average participants per course</t>
  </si>
  <si>
    <t>Average fixed costs per participant</t>
  </si>
  <si>
    <t>Average variable costs per participant</t>
  </si>
  <si>
    <t>Average training costs per participant</t>
  </si>
  <si>
    <t>Before an ASP can be authorised, they are required to attend mandatory training annually which is carried out at Endeavour Energy's Technical Training Centre. For existing ASP's wanting to renew their authorisation, they are required to attend a 1 hour training course, whereas any new ASP's are required to attend a 4 hour training course. Below are the estimated costs per training participant. These costs were provided by Manager Technical Training and are 2012/13 rates.</t>
  </si>
  <si>
    <t>Training
New</t>
  </si>
  <si>
    <t>Training
Renewal</t>
  </si>
  <si>
    <t>New</t>
  </si>
  <si>
    <t>Renewals</t>
  </si>
  <si>
    <t>Authorisations - New</t>
  </si>
  <si>
    <t>Authorisations - Renewal</t>
  </si>
  <si>
    <t>Average Unit Rate (2012/13$) - Direct Opex - Renewals (Refer to table below for training costs)</t>
  </si>
  <si>
    <t>Average Unit Rate (2012/13$) - Direct Opex - New (Refer to table below for training costs)</t>
  </si>
  <si>
    <t>Total Costs for Network Connections Branch (2012/13 $)</t>
  </si>
  <si>
    <t>Average Hourly Rate (Nominal) - Authorisations Officer &amp; Authorisations Process Manager</t>
  </si>
  <si>
    <t>Average Hourly Rate (Nominal) - Authorisations &amp; Audit Officer</t>
  </si>
  <si>
    <t>Average Hourly Rate (Nominal) - Training Officer</t>
  </si>
  <si>
    <t>Hours</t>
  </si>
  <si>
    <t>Renewal</t>
  </si>
  <si>
    <t>Annual authorisation of individual employees and sub-contractors of ASPs and additional authorisations at request of ASP. Authorisation excludes training costs.</t>
  </si>
  <si>
    <t>Electrical Safety Branch - 2 x FTE's involved in authorisations</t>
  </si>
  <si>
    <t>Network Connections - 1 x FTE involved in audit of ASP's</t>
  </si>
  <si>
    <t>These calculations represent the estimated costs related to this service.  These calculations were based on information provided by the Manager Electrical Safety &amp; Authorisations, Manager Network Connections and Manager Technical Training.</t>
  </si>
  <si>
    <t>Assumed non labour growth</t>
  </si>
  <si>
    <t>Technical Training - Training courses - Renewals - Variable Costs</t>
  </si>
  <si>
    <t>Technical Training - Training courses - Renewals - Fixed Labour Costs</t>
  </si>
  <si>
    <t>Technical Training - Training courses - Renewals - Fixed Non Labour Costs</t>
  </si>
  <si>
    <t>Technical Training - Training courses - New - Variable Costs</t>
  </si>
  <si>
    <t>Technical Training - Training courses - New - Fixed Labour Costs</t>
  </si>
  <si>
    <t>Technical Training - Training courses - New - Fixed Non Labour Costs</t>
  </si>
  <si>
    <t>Proposed Revenue (Nominal)</t>
  </si>
  <si>
    <t>Hours per Year</t>
  </si>
  <si>
    <t>2008/09</t>
  </si>
  <si>
    <t>2009-14 Current Fees</t>
  </si>
  <si>
    <t>Current fees approved by the AER for the 2009-14 regulatory period.</t>
  </si>
  <si>
    <t>N/A</t>
  </si>
  <si>
    <t>Network Connections - 1 FTE involved in Authorisations</t>
  </si>
  <si>
    <t>Average Unit Rate (2012/13$) - Excl OH</t>
  </si>
  <si>
    <t>Safety Rules and Orange folder (based on order quantity of 500)</t>
  </si>
  <si>
    <t>Quantity - New</t>
  </si>
  <si>
    <t>Quantity - Renewal</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</si>
  <si>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</si>
  <si>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</si>
  <si>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</si>
  <si>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</si>
  <si>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The annual authorisation by a DNSP of individual employees or sub-contractors of an ASP to carry out work on or near the DNSP’s distribution system.
This may include without limitation:
• Familiarisation and training in the DNSP's safety rules and access permit requirements;
• Induction in the unique aspects of the network;
• Verification that the applicant has undertaken the necessary safety training (resuscitation etc) within the last 12 months;
• Conducting interviews / examinations for access permit recipients; and
• Issuing authorisation cards.</t>
  </si>
  <si>
    <t>The annual authorisation by DNSP of individual employees or sub-contractors of an ASP to carry out work on or near DNSP’s distribution and subtransmission system.
This may include without limitation:
• Familiarisation and assessment in DNSP’s safety rules;
• Access Permit Recipient training  and assessment;
• Induction in the unique aspects of the network;
• Verification that the applicant has undertaken the necessary safety training (resuscitation etc) within the last 12 months;
• Conducting interviews and examinations and in-field safety audit;
• Issuing authorisation cards; and
• Administration support directly related to Authorisation.</t>
  </si>
  <si>
    <t>Assumed courses per year - renewal (assume 10 participants)</t>
  </si>
  <si>
    <t>Assumed courses per year - new (assume 10 participants)</t>
  </si>
  <si>
    <t>Pricing Mechanism:</t>
  </si>
  <si>
    <t>Proposed Fee (Excl GST):</t>
  </si>
  <si>
    <t>Current Fee (Excl GST):</t>
  </si>
  <si>
    <t>Based on the following unit rates for the 2015-19 regulatory period</t>
  </si>
  <si>
    <t>$159 per authorisation for both new authorisations and renewals</t>
  </si>
  <si>
    <t>Per authorisation</t>
  </si>
  <si>
    <t>2) As historic work order data was not available for the provision of this service, a 2012/13 unit rate was built up based on information provided by relevant internal stakeholders. This included identifying the individuals involved in the provision of this service and the number of hours spent in performing the service, quantifying the labour costs related to the provision of the service using average labour rates and quantifying non-labour costs incurred.</t>
  </si>
  <si>
    <t>3) An overhead factor derived from Endeavour Energy's Cost Allocation Model ('CAM') was applied to the direct unit rate to calculate a unit rate inclusive of network and corporate overheads. In addition, a 2012/13 real to nominal conversion factor derived from the CAM was applied to the unit rate to calculate the forecast unit rates in nominal dollars over the 2015-19 regulatory period.</t>
  </si>
  <si>
    <t>Authorisation history</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</si>
  <si>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</si>
  <si>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Historic revenue was extracted from Endeavour Energy's general ledger via an account code combination specifically set up to capture revenue for this service (as defined in the 2009-14 regulatory period). Historic costs were estimated based on labour and non-labour resource requirements estimated in the 2012/13 cost build up and  historic volumes. Historic volumes were provided by the Manager Electrical Safety &amp; Authorisations.</t>
  </si>
  <si>
    <t>2015-2019 Pricing Methodology for Service (Summary)</t>
  </si>
  <si>
    <t>Proposed fees (including network and corporate overheads) were multiplied by forecast volumes to calculate forecast revenue. Forecast costs associated with the provision of the service were calculated by multiplying direct cost unit rates (per year) by the annual overhead factor and forecast volumes. Forecast revenue differs slightly to forecast costs, as the calculation of the proposed fee uses an average overhead factor for the regulatory period, whereas costs are forecast based on the actual overhead factor for the year in order to balance to CAM outcomes. Volumes were forecasted based on a 6% growth rate which was the average annual growth rate calculated over three years of historical data.</t>
  </si>
  <si>
    <t>The calculation of these unit rates were built up based on the timing, number of people and the average hourly rate of the employee positions that carry out this service. This is inflated by the overhead factor derived from the CAM to calculate a fully loaded unit rate.
The data was provided by:
-  Manager Electrical Safety &amp; Authorisation
-  Manager Technical Training
-  Manager Network Connections
When the annual salary of a FTE is calculated a productive rate of 84% is used. This represents the estimated productive hours an employee is at work and not on annual leave, sick leave etc. This is calculated by the Budgeting &amp; Forecasting Manager.</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</si>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</sst>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 numFmtId="172" formatCode="#,##0.0000\ ;\(#,##0.0000\);\-\ "/>
    <numFmt numFmtId="173" formatCode="#,##0.00000\ ;\(#,##0.00000\);\-\ "/>
    <numFmt numFmtId="174" formatCode="0.0%"/>
    <numFmt numFmtId="175" formatCode="_-* #,##0_-;* \(#,##0\)_-;_-* &quot;-&quot;_-;_-@_-"/>
  </numFmts>
  <fonts count="29"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8"/>
      <color theme="1"/>
      <name val="Calibri"/>
      <family val="2"/>
      <scheme val="minor"/>
    </font>
    <font>
      <sz val="11"/>
      <color rgb="FFFF0000"/>
      <name val="Calibri"/>
      <family val="2"/>
      <scheme val="minor"/>
    </font>
  </fonts>
  <fills count="11">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bgColor indexed="64"/>
      </patternFill>
    </fill>
  </fills>
  <borders count="32">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right/>
      <top/>
      <bottom style="thin">
        <color theme="0"/>
      </bottom>
      <diagonal/>
    </border>
    <border>
      <left/>
      <right style="thin">
        <color indexed="64"/>
      </right>
      <top/>
      <bottom style="thin">
        <color theme="0"/>
      </bottom>
      <diagonal/>
    </border>
    <border>
      <left style="thin">
        <color indexed="64"/>
      </left>
      <right style="thin">
        <color theme="0"/>
      </right>
      <top style="thin">
        <color indexed="64"/>
      </top>
      <bottom style="thin">
        <color auto="1"/>
      </bottom>
      <diagonal/>
    </border>
    <border>
      <left style="thin">
        <color theme="0"/>
      </left>
      <right style="thin">
        <color auto="1"/>
      </right>
      <top style="thin">
        <color indexed="64"/>
      </top>
      <bottom style="thin">
        <color auto="1"/>
      </bottom>
      <diagonal/>
    </border>
    <border>
      <left/>
      <right style="thin">
        <color indexed="64"/>
      </right>
      <top style="thin">
        <color theme="0"/>
      </top>
      <bottom style="thin">
        <color theme="0"/>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438">
    <xf numFmtId="0" fontId="0" fillId="0" borderId="0" xfId="0"/>
    <xf numFmtId="0" fontId="5" fillId="0" borderId="0" xfId="0" applyFont="1"/>
    <xf numFmtId="0" fontId="0" fillId="0" borderId="0" xfId="0" applyFill="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6" fontId="14" fillId="0" borderId="0" xfId="2" applyNumberFormat="1" applyFont="1"/>
    <xf numFmtId="170" fontId="11" fillId="0" borderId="11" xfId="0" applyNumberFormat="1" applyFont="1" applyBorder="1" applyAlignment="1">
      <alignment horizontal="right" vertical="center"/>
    </xf>
    <xf numFmtId="170" fontId="11" fillId="0" borderId="7" xfId="0" applyNumberFormat="1" applyFont="1" applyBorder="1" applyAlignment="1">
      <alignment horizontal="right" vertical="center"/>
    </xf>
    <xf numFmtId="170" fontId="11" fillId="0" borderId="12" xfId="0" applyNumberFormat="1" applyFont="1" applyBorder="1" applyAlignment="1">
      <alignment horizontal="right" vertical="center"/>
    </xf>
    <xf numFmtId="9" fontId="11" fillId="0" borderId="7" xfId="1" applyFont="1" applyBorder="1" applyAlignment="1">
      <alignment vertical="center"/>
    </xf>
    <xf numFmtId="0" fontId="11" fillId="0" borderId="7" xfId="0" applyFont="1" applyFill="1" applyBorder="1" applyAlignment="1">
      <alignment horizontal="left" vertical="center"/>
    </xf>
    <xf numFmtId="170" fontId="11" fillId="0" borderId="17" xfId="0" applyNumberFormat="1" applyFont="1" applyBorder="1" applyAlignment="1">
      <alignment horizontal="right" vertical="center" wrapText="1"/>
    </xf>
    <xf numFmtId="170" fontId="11" fillId="2" borderId="7" xfId="0" applyNumberFormat="1" applyFont="1" applyFill="1" applyBorder="1" applyAlignment="1">
      <alignment horizontal="center" vertical="center"/>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0" fontId="20" fillId="0" borderId="7" xfId="0" applyFont="1" applyBorder="1" applyAlignment="1">
      <alignment horizontal="left" vertical="center" wrapText="1"/>
    </xf>
    <xf numFmtId="170" fontId="11" fillId="0" borderId="15" xfId="0" applyNumberFormat="1" applyFont="1" applyBorder="1" applyAlignment="1">
      <alignment vertical="center"/>
    </xf>
    <xf numFmtId="170" fontId="11" fillId="0" borderId="9" xfId="0" applyNumberFormat="1" applyFont="1" applyBorder="1" applyAlignment="1">
      <alignment vertical="center"/>
    </xf>
    <xf numFmtId="170" fontId="11" fillId="0" borderId="0" xfId="0" applyNumberFormat="1" applyFont="1" applyBorder="1" applyAlignment="1">
      <alignment vertical="center"/>
    </xf>
    <xf numFmtId="170" fontId="11" fillId="0" borderId="19" xfId="0" applyNumberFormat="1" applyFont="1" applyBorder="1" applyAlignment="1">
      <alignment vertical="center"/>
    </xf>
    <xf numFmtId="170" fontId="19" fillId="5" borderId="23" xfId="0" applyNumberFormat="1" applyFont="1" applyFill="1" applyBorder="1" applyAlignment="1">
      <alignment vertical="center"/>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9" fillId="0" borderId="23" xfId="0" applyNumberFormat="1" applyFont="1" applyBorder="1" applyAlignment="1">
      <alignment horizontal="right" vertical="center"/>
    </xf>
    <xf numFmtId="170" fontId="11" fillId="0" borderId="0" xfId="0" applyNumberFormat="1" applyFont="1" applyAlignment="1">
      <alignment horizontal="left" vertical="center"/>
    </xf>
    <xf numFmtId="170" fontId="18"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1" xfId="15" applyFont="1" applyFill="1" applyBorder="1" applyAlignment="1">
      <alignment horizontal="left" vertical="center"/>
    </xf>
    <xf numFmtId="0" fontId="22" fillId="5" borderId="13"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169" fontId="19" fillId="5" borderId="7" xfId="0" applyNumberFormat="1" applyFont="1" applyFill="1" applyBorder="1" applyAlignment="1">
      <alignment horizontal="right" vertical="center" wrapText="1"/>
    </xf>
    <xf numFmtId="0" fontId="23" fillId="0" borderId="0" xfId="15" applyFont="1" applyFill="1" applyBorder="1" applyAlignment="1">
      <alignment vertical="center"/>
    </xf>
    <xf numFmtId="0" fontId="11" fillId="0" borderId="0" xfId="0" applyFont="1" applyBorder="1" applyAlignment="1">
      <alignment vertical="center"/>
    </xf>
    <xf numFmtId="167" fontId="11" fillId="0" borderId="9" xfId="0" applyNumberFormat="1" applyFont="1" applyBorder="1" applyAlignment="1">
      <alignment vertical="center"/>
    </xf>
    <xf numFmtId="0" fontId="23" fillId="0" borderId="19" xfId="15" applyFont="1" applyFill="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0" borderId="16" xfId="0" applyFont="1" applyBorder="1" applyAlignment="1">
      <alignment vertical="center"/>
    </xf>
    <xf numFmtId="0" fontId="11" fillId="2" borderId="13" xfId="0" applyFont="1" applyFill="1" applyBorder="1" applyAlignment="1">
      <alignment horizontal="right" vertical="center"/>
    </xf>
    <xf numFmtId="9" fontId="11" fillId="2" borderId="13" xfId="1" applyFont="1" applyFill="1" applyBorder="1" applyAlignment="1">
      <alignment horizontal="center"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right" vertical="center" wrapText="1"/>
    </xf>
    <xf numFmtId="170" fontId="19" fillId="4" borderId="21" xfId="0" quotePrefix="1" applyNumberFormat="1" applyFont="1" applyFill="1" applyBorder="1" applyAlignment="1">
      <alignment horizontal="right" vertical="center" wrapText="1"/>
    </xf>
    <xf numFmtId="0" fontId="11" fillId="0" borderId="14" xfId="0" applyFont="1" applyBorder="1" applyAlignment="1">
      <alignment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70" fontId="11" fillId="0" borderId="14" xfId="0" applyNumberFormat="1" applyFont="1" applyBorder="1" applyAlignment="1">
      <alignment horizontal="center" vertical="center"/>
    </xf>
    <xf numFmtId="170" fontId="11" fillId="0" borderId="0"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70" fontId="11" fillId="0" borderId="18" xfId="0" applyNumberFormat="1" applyFont="1" applyBorder="1" applyAlignment="1">
      <alignment horizontal="center" vertical="center"/>
    </xf>
    <xf numFmtId="170" fontId="11" fillId="0" borderId="19" xfId="0" applyNumberFormat="1" applyFont="1" applyBorder="1" applyAlignment="1">
      <alignment horizontal="center" vertical="center"/>
    </xf>
    <xf numFmtId="167" fontId="11" fillId="0" borderId="0" xfId="0" applyNumberFormat="1" applyFont="1" applyAlignment="1">
      <alignment horizontal="center" vertical="center"/>
    </xf>
    <xf numFmtId="170" fontId="18" fillId="3" borderId="18" xfId="0" applyNumberFormat="1" applyFont="1" applyFill="1" applyBorder="1" applyAlignment="1">
      <alignment horizontal="center" vertical="center"/>
    </xf>
    <xf numFmtId="167" fontId="11" fillId="0" borderId="0" xfId="0" applyNumberFormat="1" applyFont="1" applyFill="1" applyAlignment="1">
      <alignment vertical="center"/>
    </xf>
    <xf numFmtId="0" fontId="19" fillId="4"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13" xfId="0" applyFont="1" applyFill="1" applyBorder="1" applyAlignment="1">
      <alignment horizontal="center" vertical="center" wrapText="1"/>
    </xf>
    <xf numFmtId="168" fontId="11" fillId="0" borderId="17" xfId="0" applyNumberFormat="1" applyFont="1" applyFill="1" applyBorder="1" applyAlignment="1">
      <alignment horizontal="center" vertical="center"/>
    </xf>
    <xf numFmtId="168" fontId="11" fillId="0" borderId="0" xfId="0" applyNumberFormat="1" applyFont="1" applyBorder="1" applyAlignment="1">
      <alignment horizontal="center" vertical="center"/>
    </xf>
    <xf numFmtId="0" fontId="11" fillId="0" borderId="10" xfId="0" applyFont="1" applyBorder="1" applyAlignment="1">
      <alignment vertical="center"/>
    </xf>
    <xf numFmtId="168" fontId="11" fillId="0" borderId="19" xfId="0" applyNumberFormat="1" applyFont="1" applyBorder="1" applyAlignment="1">
      <alignment horizontal="center" vertical="center"/>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167" fontId="11" fillId="0" borderId="18" xfId="0" applyNumberFormat="1" applyFont="1" applyFill="1" applyBorder="1" applyAlignment="1">
      <alignment vertical="center" wrapText="1"/>
    </xf>
    <xf numFmtId="170" fontId="19"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170" fontId="19" fillId="0" borderId="0" xfId="0" quotePrefix="1" applyNumberFormat="1" applyFont="1" applyFill="1" applyBorder="1" applyAlignment="1">
      <alignment horizontal="center" vertical="center" wrapText="1"/>
    </xf>
    <xf numFmtId="170" fontId="11" fillId="0" borderId="0" xfId="0" applyNumberFormat="1" applyFont="1" applyFill="1" applyBorder="1" applyAlignment="1">
      <alignment horizontal="center" vertical="center"/>
    </xf>
    <xf numFmtId="170" fontId="18" fillId="0" borderId="0" xfId="0" applyNumberFormat="1" applyFont="1" applyFill="1" applyBorder="1" applyAlignment="1">
      <alignment horizontal="center" vertical="center"/>
    </xf>
    <xf numFmtId="170" fontId="19" fillId="4" borderId="14" xfId="0" quotePrefix="1" applyNumberFormat="1" applyFont="1" applyFill="1" applyBorder="1" applyAlignment="1">
      <alignment horizontal="right" vertical="center" wrapText="1"/>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5" borderId="11" xfId="0" applyNumberFormat="1" applyFont="1" applyFill="1" applyBorder="1" applyAlignment="1">
      <alignment horizontal="center"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69" fontId="11" fillId="0" borderId="0" xfId="0" applyNumberFormat="1" applyFont="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11" fillId="0" borderId="7" xfId="0" applyFont="1" applyBorder="1" applyAlignment="1">
      <alignment horizontal="left" vertical="center" wrapText="1"/>
    </xf>
    <xf numFmtId="167" fontId="11" fillId="0" borderId="14" xfId="0" applyNumberFormat="1" applyFont="1" applyFill="1" applyBorder="1" applyAlignment="1">
      <alignment vertical="center" wrapText="1"/>
    </xf>
    <xf numFmtId="167" fontId="11" fillId="0" borderId="15" xfId="0" applyNumberFormat="1" applyFont="1" applyFill="1" applyBorder="1" applyAlignment="1">
      <alignment vertical="center" wrapText="1"/>
    </xf>
    <xf numFmtId="167" fontId="11" fillId="0" borderId="21" xfId="0" applyNumberFormat="1" applyFont="1" applyFill="1" applyBorder="1" applyAlignment="1">
      <alignment vertical="center" wrapText="1"/>
    </xf>
    <xf numFmtId="9" fontId="11" fillId="0" borderId="0" xfId="1" applyFont="1" applyAlignment="1">
      <alignment vertical="center"/>
    </xf>
    <xf numFmtId="0" fontId="11" fillId="0" borderId="11" xfId="0" applyFont="1" applyBorder="1" applyAlignment="1">
      <alignment horizontal="left"/>
    </xf>
    <xf numFmtId="0" fontId="11" fillId="0" borderId="12" xfId="0" applyFont="1" applyBorder="1" applyAlignment="1">
      <alignment horizontal="left"/>
    </xf>
    <xf numFmtId="0" fontId="11" fillId="0" borderId="0" xfId="0" applyFont="1" applyBorder="1" applyAlignment="1">
      <alignment horizontal="left"/>
    </xf>
    <xf numFmtId="0" fontId="11" fillId="0" borderId="14" xfId="0" applyFont="1" applyBorder="1" applyAlignment="1">
      <alignment horizontal="left"/>
    </xf>
    <xf numFmtId="0" fontId="11" fillId="0" borderId="15" xfId="0" applyFont="1" applyBorder="1" applyAlignment="1">
      <alignment horizontal="left"/>
    </xf>
    <xf numFmtId="0" fontId="11" fillId="0" borderId="16" xfId="0" applyFont="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11" fillId="0" borderId="0" xfId="0" applyFont="1" applyBorder="1" applyAlignment="1">
      <alignment horizontal="center"/>
    </xf>
    <xf numFmtId="0" fontId="11" fillId="0" borderId="16" xfId="0" applyFont="1" applyBorder="1" applyAlignment="1">
      <alignment horizontal="center"/>
    </xf>
    <xf numFmtId="167" fontId="11" fillId="0" borderId="17" xfId="0" applyNumberFormat="1" applyFont="1" applyBorder="1" applyAlignment="1">
      <alignment horizontal="center"/>
    </xf>
    <xf numFmtId="0" fontId="11" fillId="0" borderId="14" xfId="0" applyFont="1" applyBorder="1" applyAlignment="1">
      <alignment horizontal="center"/>
    </xf>
    <xf numFmtId="9" fontId="11" fillId="0" borderId="9" xfId="1" applyFont="1" applyBorder="1" applyAlignment="1">
      <alignment horizontal="center"/>
    </xf>
    <xf numFmtId="0" fontId="11" fillId="0" borderId="15" xfId="0" applyFont="1" applyBorder="1" applyAlignment="1">
      <alignment horizontal="center"/>
    </xf>
    <xf numFmtId="0" fontId="11" fillId="0" borderId="19" xfId="0" applyFont="1" applyBorder="1" applyAlignment="1">
      <alignment horizontal="center"/>
    </xf>
    <xf numFmtId="170" fontId="11" fillId="0" borderId="20" xfId="0" applyNumberFormat="1" applyFont="1" applyBorder="1" applyAlignment="1">
      <alignment vertical="center"/>
    </xf>
    <xf numFmtId="170" fontId="11" fillId="0" borderId="10" xfId="0" applyNumberFormat="1" applyFont="1" applyBorder="1" applyAlignment="1">
      <alignment vertical="center"/>
    </xf>
    <xf numFmtId="169" fontId="19" fillId="4" borderId="7" xfId="0" quotePrefix="1" applyNumberFormat="1" applyFont="1" applyFill="1" applyBorder="1" applyAlignment="1">
      <alignment horizontal="right" vertical="center"/>
    </xf>
    <xf numFmtId="167" fontId="11" fillId="0" borderId="16" xfId="0" applyNumberFormat="1" applyFont="1" applyFill="1" applyBorder="1" applyAlignment="1">
      <alignment vertical="center" wrapText="1"/>
    </xf>
    <xf numFmtId="167" fontId="11" fillId="0" borderId="0" xfId="0" applyNumberFormat="1" applyFont="1" applyFill="1" applyBorder="1" applyAlignment="1">
      <alignment vertical="center" wrapText="1"/>
    </xf>
    <xf numFmtId="167" fontId="11" fillId="0" borderId="17" xfId="0" applyNumberFormat="1" applyFont="1" applyFill="1" applyBorder="1" applyAlignment="1">
      <alignment vertical="center" wrapText="1"/>
    </xf>
    <xf numFmtId="170" fontId="11" fillId="0" borderId="16" xfId="0" applyNumberFormat="1" applyFont="1" applyBorder="1" applyAlignment="1">
      <alignment horizontal="center" vertical="center"/>
    </xf>
    <xf numFmtId="0" fontId="11" fillId="0" borderId="8" xfId="0" applyFont="1" applyBorder="1" applyAlignment="1">
      <alignment vertical="center"/>
    </xf>
    <xf numFmtId="0" fontId="11" fillId="0" borderId="9" xfId="0" applyFont="1" applyBorder="1" applyAlignment="1">
      <alignment vertical="center"/>
    </xf>
    <xf numFmtId="0" fontId="7" fillId="4" borderId="0" xfId="0" applyFont="1" applyFill="1" applyBorder="1" applyAlignment="1">
      <alignment horizontal="left" vertical="top" wrapText="1"/>
    </xf>
    <xf numFmtId="170" fontId="11" fillId="0" borderId="7" xfId="0" applyNumberFormat="1" applyFont="1" applyBorder="1" applyAlignment="1">
      <alignment vertical="center"/>
    </xf>
    <xf numFmtId="0" fontId="23" fillId="0" borderId="15" xfId="15" applyFont="1" applyFill="1" applyBorder="1" applyAlignment="1">
      <alignment vertical="center"/>
    </xf>
    <xf numFmtId="0" fontId="11" fillId="0" borderId="15" xfId="0" applyFont="1" applyBorder="1" applyAlignment="1">
      <alignment vertical="center"/>
    </xf>
    <xf numFmtId="167" fontId="11" fillId="0" borderId="8" xfId="0" applyNumberFormat="1" applyFont="1" applyBorder="1" applyAlignment="1">
      <alignment vertical="center"/>
    </xf>
    <xf numFmtId="0" fontId="11" fillId="0" borderId="9" xfId="0" applyFont="1" applyBorder="1" applyAlignment="1">
      <alignment horizontal="center"/>
    </xf>
    <xf numFmtId="167" fontId="11" fillId="0" borderId="0" xfId="0" applyNumberFormat="1" applyFont="1" applyBorder="1" applyAlignment="1">
      <alignment horizontal="center"/>
    </xf>
    <xf numFmtId="9" fontId="11" fillId="0" borderId="0" xfId="1" applyFont="1" applyBorder="1" applyAlignment="1">
      <alignment horizontal="center"/>
    </xf>
    <xf numFmtId="0" fontId="11" fillId="0" borderId="0" xfId="0" applyFont="1" applyBorder="1" applyAlignment="1">
      <alignment horizontal="left" vertical="top" wrapText="1"/>
    </xf>
    <xf numFmtId="167" fontId="19" fillId="2" borderId="7" xfId="0" applyNumberFormat="1" applyFont="1" applyFill="1" applyBorder="1" applyAlignment="1">
      <alignment horizontal="lef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70" fontId="11" fillId="0" borderId="17" xfId="0" applyNumberFormat="1" applyFont="1" applyBorder="1" applyAlignment="1">
      <alignment horizontal="center"/>
    </xf>
    <xf numFmtId="168" fontId="11" fillId="0" borderId="9" xfId="0" applyNumberFormat="1" applyFont="1" applyBorder="1" applyAlignment="1">
      <alignment vertical="center"/>
    </xf>
    <xf numFmtId="170" fontId="11" fillId="0" borderId="9" xfId="0" applyNumberFormat="1" applyFont="1" applyBorder="1" applyAlignment="1">
      <alignment horizontal="center"/>
    </xf>
    <xf numFmtId="168" fontId="11" fillId="0" borderId="17" xfId="0" applyNumberFormat="1" applyFont="1" applyBorder="1" applyAlignment="1">
      <alignment horizontal="right"/>
    </xf>
    <xf numFmtId="170" fontId="11" fillId="0" borderId="17" xfId="0" applyNumberFormat="1" applyFont="1" applyBorder="1" applyAlignment="1">
      <alignment horizontal="right"/>
    </xf>
    <xf numFmtId="167" fontId="11" fillId="0" borderId="17" xfId="0" applyNumberFormat="1" applyFont="1" applyBorder="1" applyAlignment="1">
      <alignment horizontal="right"/>
    </xf>
    <xf numFmtId="168" fontId="19" fillId="10" borderId="7" xfId="1" applyNumberFormat="1" applyFont="1" applyFill="1" applyBorder="1" applyAlignment="1">
      <alignment horizontal="right"/>
    </xf>
    <xf numFmtId="168" fontId="11" fillId="0" borderId="7" xfId="0" applyNumberFormat="1" applyFont="1" applyBorder="1" applyAlignment="1">
      <alignment vertical="center"/>
    </xf>
    <xf numFmtId="167" fontId="11" fillId="0" borderId="14" xfId="0" applyNumberFormat="1" applyFont="1" applyBorder="1" applyAlignment="1">
      <alignment horizontal="center"/>
    </xf>
    <xf numFmtId="167" fontId="11" fillId="0" borderId="16" xfId="0" applyNumberFormat="1" applyFont="1" applyBorder="1" applyAlignment="1">
      <alignment horizontal="center"/>
    </xf>
    <xf numFmtId="167" fontId="11" fillId="0" borderId="18" xfId="0" applyNumberFormat="1" applyFont="1" applyBorder="1" applyAlignment="1">
      <alignment horizontal="center"/>
    </xf>
    <xf numFmtId="169" fontId="11" fillId="0" borderId="16" xfId="0" applyNumberFormat="1" applyFont="1" applyBorder="1" applyAlignment="1">
      <alignment horizontal="center"/>
    </xf>
    <xf numFmtId="169" fontId="11" fillId="0" borderId="18" xfId="0" applyNumberFormat="1" applyFont="1" applyBorder="1" applyAlignment="1">
      <alignment horizontal="center"/>
    </xf>
    <xf numFmtId="167" fontId="11" fillId="0" borderId="8" xfId="0" applyNumberFormat="1" applyFont="1" applyBorder="1" applyAlignment="1">
      <alignment horizontal="center"/>
    </xf>
    <xf numFmtId="167" fontId="11" fillId="0" borderId="9" xfId="0" applyNumberFormat="1" applyFont="1" applyBorder="1" applyAlignment="1">
      <alignment horizontal="center"/>
    </xf>
    <xf numFmtId="169" fontId="11" fillId="0" borderId="9" xfId="0" applyNumberFormat="1" applyFont="1" applyBorder="1" applyAlignment="1">
      <alignment horizontal="center"/>
    </xf>
    <xf numFmtId="169" fontId="11" fillId="0" borderId="10" xfId="0" applyNumberFormat="1" applyFont="1" applyBorder="1" applyAlignment="1">
      <alignment horizontal="center"/>
    </xf>
    <xf numFmtId="168" fontId="11" fillId="0" borderId="0" xfId="0" applyNumberFormat="1" applyFont="1" applyBorder="1" applyAlignment="1">
      <alignment vertical="center"/>
    </xf>
    <xf numFmtId="0" fontId="11" fillId="0" borderId="12" xfId="0" applyFont="1" applyBorder="1" applyAlignment="1">
      <alignment horizontal="center"/>
    </xf>
    <xf numFmtId="167" fontId="11" fillId="0" borderId="12" xfId="0" applyNumberFormat="1" applyFont="1" applyBorder="1" applyAlignment="1">
      <alignment horizontal="center"/>
    </xf>
    <xf numFmtId="167" fontId="11" fillId="0" borderId="13" xfId="0" applyNumberFormat="1" applyFont="1" applyBorder="1" applyAlignment="1">
      <alignment horizontal="center"/>
    </xf>
    <xf numFmtId="167" fontId="11" fillId="0" borderId="10" xfId="0" applyNumberFormat="1" applyFont="1" applyBorder="1" applyAlignment="1">
      <alignment horizontal="center"/>
    </xf>
    <xf numFmtId="0" fontId="11" fillId="0" borderId="17" xfId="0" applyFont="1" applyBorder="1" applyAlignment="1">
      <alignment horizontal="center"/>
    </xf>
    <xf numFmtId="0" fontId="11" fillId="0" borderId="20" xfId="0" applyFont="1" applyBorder="1" applyAlignment="1">
      <alignment horizontal="center"/>
    </xf>
    <xf numFmtId="167" fontId="19" fillId="10" borderId="7" xfId="0" applyNumberFormat="1" applyFont="1" applyFill="1" applyBorder="1" applyAlignment="1">
      <alignment vertical="center"/>
    </xf>
    <xf numFmtId="167" fontId="19" fillId="10" borderId="13" xfId="0" applyNumberFormat="1" applyFont="1" applyFill="1" applyBorder="1" applyAlignment="1">
      <alignment vertical="center"/>
    </xf>
    <xf numFmtId="168" fontId="11" fillId="0" borderId="17" xfId="0" applyNumberFormat="1" applyFont="1" applyBorder="1" applyAlignment="1">
      <alignment vertical="center"/>
    </xf>
    <xf numFmtId="9" fontId="11" fillId="0" borderId="17" xfId="1" applyFont="1" applyBorder="1" applyAlignment="1">
      <alignment horizontal="center"/>
    </xf>
    <xf numFmtId="9" fontId="11" fillId="0" borderId="7" xfId="1" applyFont="1" applyBorder="1" applyAlignment="1">
      <alignment horizontal="center"/>
    </xf>
    <xf numFmtId="167" fontId="19" fillId="5" borderId="10" xfId="0" applyNumberFormat="1" applyFont="1" applyFill="1" applyBorder="1" applyAlignment="1">
      <alignment vertical="center"/>
    </xf>
    <xf numFmtId="167" fontId="19" fillId="2" borderId="11" xfId="0" applyNumberFormat="1" applyFont="1" applyFill="1" applyBorder="1" applyAlignment="1">
      <alignment horizontal="left"/>
    </xf>
    <xf numFmtId="167" fontId="19" fillId="2" borderId="12" xfId="0" applyNumberFormat="1" applyFont="1" applyFill="1" applyBorder="1" applyAlignment="1">
      <alignment horizontal="left"/>
    </xf>
    <xf numFmtId="167" fontId="19" fillId="2" borderId="13" xfId="0" applyNumberFormat="1" applyFont="1" applyFill="1" applyBorder="1" applyAlignment="1">
      <alignment horizontal="left"/>
    </xf>
    <xf numFmtId="172" fontId="11" fillId="0" borderId="0" xfId="0" applyNumberFormat="1" applyFont="1" applyAlignment="1">
      <alignment vertical="center"/>
    </xf>
    <xf numFmtId="167" fontId="19" fillId="5" borderId="13" xfId="0" applyNumberFormat="1" applyFont="1" applyFill="1" applyBorder="1" applyAlignment="1">
      <alignment vertical="center"/>
    </xf>
    <xf numFmtId="167" fontId="19" fillId="5" borderId="20" xfId="0" applyNumberFormat="1" applyFont="1" applyFill="1" applyBorder="1" applyAlignment="1">
      <alignment vertical="center"/>
    </xf>
    <xf numFmtId="170" fontId="11" fillId="0" borderId="13" xfId="0" applyNumberFormat="1" applyFont="1" applyBorder="1" applyAlignment="1">
      <alignment horizontal="center"/>
    </xf>
    <xf numFmtId="170" fontId="11" fillId="0" borderId="7" xfId="0" applyNumberFormat="1" applyFont="1" applyBorder="1" applyAlignment="1">
      <alignment horizontal="center"/>
    </xf>
    <xf numFmtId="169" fontId="11" fillId="0" borderId="0" xfId="0" applyNumberFormat="1" applyFont="1" applyFill="1" applyBorder="1" applyAlignment="1">
      <alignment horizontal="center" vertical="center"/>
    </xf>
    <xf numFmtId="173" fontId="11" fillId="0" borderId="0" xfId="0" applyNumberFormat="1" applyFont="1" applyAlignment="1">
      <alignment vertical="center"/>
    </xf>
    <xf numFmtId="170" fontId="19" fillId="0" borderId="0" xfId="0" applyNumberFormat="1" applyFont="1" applyAlignment="1">
      <alignment vertical="center"/>
    </xf>
    <xf numFmtId="169" fontId="19" fillId="0" borderId="0" xfId="0" applyNumberFormat="1" applyFont="1" applyAlignment="1">
      <alignment vertical="center"/>
    </xf>
    <xf numFmtId="170" fontId="0" fillId="0" borderId="0" xfId="0" applyNumberFormat="1"/>
    <xf numFmtId="0" fontId="28" fillId="0" borderId="0" xfId="0" applyFont="1"/>
    <xf numFmtId="170" fontId="18" fillId="5" borderId="7" xfId="0" applyNumberFormat="1" applyFont="1" applyFill="1" applyBorder="1" applyAlignment="1">
      <alignment horizontal="center" vertical="center" wrapText="1"/>
    </xf>
    <xf numFmtId="0" fontId="11" fillId="0" borderId="7" xfId="0" applyFont="1" applyBorder="1" applyAlignment="1">
      <alignment vertical="center"/>
    </xf>
    <xf numFmtId="170" fontId="11" fillId="2" borderId="7" xfId="0" applyNumberFormat="1" applyFont="1" applyFill="1" applyBorder="1" applyAlignment="1">
      <alignment vertical="center"/>
    </xf>
    <xf numFmtId="174" fontId="11" fillId="0" borderId="7" xfId="1" applyNumberFormat="1" applyFont="1" applyBorder="1" applyAlignment="1">
      <alignment vertical="center"/>
    </xf>
    <xf numFmtId="169" fontId="11" fillId="0" borderId="7" xfId="0" applyNumberFormat="1" applyFont="1" applyBorder="1" applyAlignment="1">
      <alignment horizontal="center"/>
    </xf>
    <xf numFmtId="164" fontId="7" fillId="4" borderId="0" xfId="2" applyFont="1" applyFill="1" applyBorder="1" applyAlignment="1">
      <alignment horizontal="left" vertical="top" wrapText="1"/>
    </xf>
    <xf numFmtId="0" fontId="14" fillId="3" borderId="0" xfId="0" applyFont="1" applyFill="1" applyBorder="1" applyAlignment="1">
      <alignment horizontal="right"/>
    </xf>
    <xf numFmtId="169" fontId="19" fillId="0" borderId="7" xfId="0" applyNumberFormat="1" applyFont="1" applyBorder="1" applyAlignment="1">
      <alignment vertic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2" xfId="0" applyFont="1" applyBorder="1" applyAlignment="1">
      <alignment horizontal="left"/>
    </xf>
    <xf numFmtId="0" fontId="11" fillId="0" borderId="0" xfId="0" applyFont="1" applyBorder="1" applyAlignment="1">
      <alignment horizontal="right" vertical="center"/>
    </xf>
    <xf numFmtId="0" fontId="11" fillId="0" borderId="14" xfId="0" applyFont="1" applyBorder="1" applyAlignment="1">
      <alignment horizontal="left"/>
    </xf>
    <xf numFmtId="0" fontId="11" fillId="0" borderId="15" xfId="0" applyFont="1" applyBorder="1" applyAlignment="1">
      <alignment horizontal="left"/>
    </xf>
    <xf numFmtId="0" fontId="11" fillId="0" borderId="18" xfId="0" applyFont="1" applyBorder="1" applyAlignment="1">
      <alignment horizontal="left"/>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0" fontId="18" fillId="5" borderId="7" xfId="0" quotePrefix="1" applyFont="1" applyFill="1" applyBorder="1" applyAlignment="1">
      <alignment horizontal="center" vertical="center" wrapText="1"/>
    </xf>
    <xf numFmtId="170" fontId="11" fillId="0" borderId="8" xfId="0" applyNumberFormat="1" applyFont="1" applyFill="1" applyBorder="1" applyAlignment="1">
      <alignment horizontal="right" vertical="center"/>
    </xf>
    <xf numFmtId="170" fontId="11" fillId="0" borderId="10" xfId="0" applyNumberFormat="1" applyFont="1" applyFill="1" applyBorder="1" applyAlignment="1">
      <alignment horizontal="right" vertical="center"/>
    </xf>
    <xf numFmtId="170" fontId="11" fillId="0" borderId="14" xfId="0" applyNumberFormat="1" applyFont="1" applyFill="1" applyBorder="1" applyAlignment="1">
      <alignment horizontal="right" vertical="center"/>
    </xf>
    <xf numFmtId="170" fontId="11" fillId="0" borderId="18" xfId="0" applyNumberFormat="1" applyFont="1" applyFill="1" applyBorder="1" applyAlignment="1">
      <alignment horizontal="right" vertical="center"/>
    </xf>
    <xf numFmtId="168" fontId="11" fillId="0" borderId="8" xfId="0" applyNumberFormat="1" applyFont="1" applyFill="1" applyBorder="1" applyAlignment="1">
      <alignment horizontal="center" vertical="center"/>
    </xf>
    <xf numFmtId="168" fontId="11" fillId="0" borderId="10" xfId="0" applyNumberFormat="1" applyFont="1" applyFill="1" applyBorder="1" applyAlignment="1">
      <alignment horizontal="center" vertical="center"/>
    </xf>
    <xf numFmtId="168" fontId="11" fillId="0" borderId="8" xfId="0" applyNumberFormat="1" applyFont="1" applyBorder="1" applyAlignment="1">
      <alignment horizontal="center" vertical="center"/>
    </xf>
    <xf numFmtId="168" fontId="11" fillId="0" borderId="10" xfId="0" applyNumberFormat="1" applyFont="1" applyBorder="1" applyAlignment="1">
      <alignment horizontal="center" vertical="center"/>
    </xf>
    <xf numFmtId="170" fontId="19" fillId="5" borderId="24" xfId="0" applyNumberFormat="1" applyFont="1" applyFill="1" applyBorder="1" applyAlignment="1">
      <alignment vertical="center"/>
    </xf>
    <xf numFmtId="0" fontId="11" fillId="2" borderId="17" xfId="0" applyFont="1" applyFill="1" applyBorder="1" applyAlignment="1">
      <alignment vertical="center"/>
    </xf>
    <xf numFmtId="0" fontId="11" fillId="2" borderId="20" xfId="0" applyFont="1" applyFill="1" applyBorder="1" applyAlignment="1">
      <alignment vertical="center"/>
    </xf>
    <xf numFmtId="170" fontId="18" fillId="5" borderId="14" xfId="0" applyNumberFormat="1" applyFont="1" applyFill="1" applyBorder="1" applyAlignment="1">
      <alignment horizontal="left" vertical="top"/>
    </xf>
    <xf numFmtId="170" fontId="18" fillId="5" borderId="15" xfId="0" applyNumberFormat="1" applyFont="1" applyFill="1" applyBorder="1" applyAlignment="1">
      <alignment horizontal="left" vertical="top"/>
    </xf>
    <xf numFmtId="170" fontId="18" fillId="5" borderId="8" xfId="0" applyNumberFormat="1" applyFont="1" applyFill="1" applyBorder="1" applyAlignment="1">
      <alignment horizontal="center" vertical="top" wrapText="1"/>
    </xf>
    <xf numFmtId="170" fontId="18" fillId="5" borderId="7" xfId="0" applyNumberFormat="1" applyFont="1" applyFill="1" applyBorder="1" applyAlignment="1">
      <alignment horizontal="center" vertical="top" wrapText="1"/>
    </xf>
    <xf numFmtId="170" fontId="19" fillId="5" borderId="8" xfId="0" quotePrefix="1" applyNumberFormat="1" applyFont="1" applyFill="1" applyBorder="1" applyAlignment="1">
      <alignment horizontal="center" vertical="top"/>
    </xf>
    <xf numFmtId="170" fontId="19" fillId="5" borderId="15" xfId="0" quotePrefix="1" applyNumberFormat="1" applyFont="1" applyFill="1" applyBorder="1" applyAlignment="1">
      <alignment horizontal="center" vertical="top"/>
    </xf>
    <xf numFmtId="167" fontId="19" fillId="9" borderId="8" xfId="0" applyNumberFormat="1" applyFont="1" applyFill="1" applyBorder="1" applyAlignment="1">
      <alignment horizontal="center" vertical="top"/>
    </xf>
    <xf numFmtId="170" fontId="19" fillId="3" borderId="7" xfId="0" quotePrefix="1" applyNumberFormat="1" applyFont="1" applyFill="1" applyBorder="1" applyAlignment="1">
      <alignment horizontal="center" vertical="top" wrapText="1"/>
    </xf>
    <xf numFmtId="167" fontId="19" fillId="9" borderId="7" xfId="0" applyNumberFormat="1" applyFont="1" applyFill="1" applyBorder="1" applyAlignment="1">
      <alignment horizontal="center" vertical="top"/>
    </xf>
    <xf numFmtId="167" fontId="19" fillId="9" borderId="13" xfId="0" applyNumberFormat="1" applyFont="1" applyFill="1" applyBorder="1" applyAlignment="1">
      <alignment horizontal="center" vertical="top"/>
    </xf>
    <xf numFmtId="167" fontId="19" fillId="9" borderId="13" xfId="0" applyNumberFormat="1" applyFont="1" applyFill="1" applyBorder="1" applyAlignment="1">
      <alignment horizontal="center" vertical="top" wrapText="1"/>
    </xf>
    <xf numFmtId="167" fontId="19" fillId="9" borderId="8" xfId="0" applyNumberFormat="1" applyFont="1" applyFill="1" applyBorder="1" applyAlignment="1">
      <alignment horizontal="center" vertical="top" wrapText="1"/>
    </xf>
    <xf numFmtId="170" fontId="21" fillId="7" borderId="29" xfId="0" quotePrefix="1" applyNumberFormat="1" applyFont="1" applyFill="1" applyBorder="1" applyAlignment="1">
      <alignment horizontal="center" vertical="center"/>
    </xf>
    <xf numFmtId="170" fontId="21" fillId="7" borderId="30" xfId="0" quotePrefix="1" applyNumberFormat="1" applyFont="1" applyFill="1" applyBorder="1" applyAlignment="1">
      <alignment horizontal="center" vertical="center"/>
    </xf>
    <xf numFmtId="167" fontId="21" fillId="7" borderId="7" xfId="0" applyNumberFormat="1" applyFont="1" applyFill="1" applyBorder="1" applyAlignment="1">
      <alignment horizontal="right" vertical="center"/>
    </xf>
    <xf numFmtId="175" fontId="11" fillId="0" borderId="14" xfId="0" applyNumberFormat="1" applyFont="1" applyBorder="1" applyAlignment="1">
      <alignment horizontal="right" vertical="center"/>
    </xf>
    <xf numFmtId="175" fontId="11" fillId="0" borderId="15" xfId="0" applyNumberFormat="1" applyFont="1" applyBorder="1" applyAlignment="1">
      <alignment horizontal="right" vertical="center"/>
    </xf>
    <xf numFmtId="175" fontId="11" fillId="0" borderId="21" xfId="0" applyNumberFormat="1" applyFont="1" applyBorder="1" applyAlignment="1">
      <alignment horizontal="right" vertical="center"/>
    </xf>
    <xf numFmtId="175" fontId="11" fillId="0" borderId="0" xfId="0" applyNumberFormat="1" applyFont="1" applyAlignment="1">
      <alignment vertical="center"/>
    </xf>
    <xf numFmtId="175" fontId="11" fillId="0" borderId="16" xfId="0" applyNumberFormat="1" applyFont="1" applyBorder="1" applyAlignment="1">
      <alignment horizontal="right" vertical="center"/>
    </xf>
    <xf numFmtId="175" fontId="11" fillId="0" borderId="0" xfId="0" applyNumberFormat="1" applyFont="1" applyBorder="1" applyAlignment="1">
      <alignment horizontal="right" vertical="center"/>
    </xf>
    <xf numFmtId="175" fontId="11" fillId="0" borderId="17" xfId="0" applyNumberFormat="1" applyFont="1" applyBorder="1" applyAlignment="1">
      <alignment horizontal="right" vertical="center"/>
    </xf>
    <xf numFmtId="175" fontId="11" fillId="0" borderId="18" xfId="0" applyNumberFormat="1" applyFont="1" applyBorder="1" applyAlignment="1">
      <alignment horizontal="right" vertical="center"/>
    </xf>
    <xf numFmtId="175" fontId="11" fillId="0" borderId="19" xfId="0" applyNumberFormat="1" applyFont="1" applyBorder="1" applyAlignment="1">
      <alignment horizontal="right" vertical="center"/>
    </xf>
    <xf numFmtId="175" fontId="11" fillId="0" borderId="20" xfId="0" applyNumberFormat="1" applyFont="1" applyBorder="1" applyAlignment="1">
      <alignment horizontal="right" vertical="center"/>
    </xf>
    <xf numFmtId="175" fontId="18" fillId="3" borderId="18" xfId="0" applyNumberFormat="1" applyFont="1" applyFill="1" applyBorder="1" applyAlignment="1">
      <alignment horizontal="right" vertical="center"/>
    </xf>
    <xf numFmtId="175" fontId="18" fillId="3" borderId="19" xfId="0" applyNumberFormat="1" applyFont="1" applyFill="1" applyBorder="1" applyAlignment="1">
      <alignment horizontal="right" vertical="center"/>
    </xf>
    <xf numFmtId="175" fontId="18" fillId="3" borderId="20" xfId="0" applyNumberFormat="1" applyFont="1" applyFill="1" applyBorder="1" applyAlignment="1">
      <alignment horizontal="right" vertical="center"/>
    </xf>
    <xf numFmtId="175" fontId="11" fillId="0" borderId="18" xfId="0" applyNumberFormat="1" applyFont="1" applyFill="1" applyBorder="1" applyAlignment="1">
      <alignment vertical="center" wrapText="1"/>
    </xf>
    <xf numFmtId="175" fontId="11" fillId="0" borderId="19" xfId="0" applyNumberFormat="1" applyFont="1" applyFill="1" applyBorder="1" applyAlignment="1">
      <alignment vertical="center" wrapText="1"/>
    </xf>
    <xf numFmtId="175" fontId="11" fillId="0" borderId="20" xfId="0" applyNumberFormat="1" applyFont="1" applyFill="1" applyBorder="1" applyAlignment="1">
      <alignment vertical="center" wrapText="1"/>
    </xf>
    <xf numFmtId="170" fontId="11" fillId="0" borderId="15" xfId="0" applyNumberFormat="1" applyFont="1" applyBorder="1" applyAlignment="1">
      <alignment horizontal="right" vertical="center"/>
    </xf>
    <xf numFmtId="170" fontId="11" fillId="0" borderId="21" xfId="0" applyNumberFormat="1" applyFont="1" applyBorder="1" applyAlignment="1">
      <alignment horizontal="right" vertical="center"/>
    </xf>
    <xf numFmtId="169" fontId="11" fillId="0" borderId="0" xfId="0" applyNumberFormat="1" applyFont="1" applyBorder="1" applyAlignment="1">
      <alignment horizontal="right" vertical="center"/>
    </xf>
    <xf numFmtId="170" fontId="11" fillId="0" borderId="14" xfId="0" applyNumberFormat="1" applyFont="1" applyBorder="1" applyAlignment="1">
      <alignment horizontal="right" vertical="center"/>
    </xf>
    <xf numFmtId="170" fontId="11" fillId="0" borderId="0" xfId="0" applyNumberFormat="1" applyFont="1" applyBorder="1" applyAlignment="1">
      <alignment horizontal="right" vertical="center"/>
    </xf>
    <xf numFmtId="170" fontId="11" fillId="0" borderId="17" xfId="0" applyNumberFormat="1" applyFont="1" applyBorder="1" applyAlignment="1">
      <alignment horizontal="right" vertical="center"/>
    </xf>
    <xf numFmtId="170" fontId="11" fillId="0" borderId="16"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8" fillId="3" borderId="19" xfId="0" applyNumberFormat="1" applyFont="1" applyFill="1" applyBorder="1" applyAlignment="1">
      <alignment horizontal="right" vertical="center"/>
    </xf>
    <xf numFmtId="170" fontId="18" fillId="3" borderId="20" xfId="0" applyNumberFormat="1" applyFont="1" applyFill="1" applyBorder="1" applyAlignment="1">
      <alignment horizontal="right" vertical="center"/>
    </xf>
    <xf numFmtId="0" fontId="11" fillId="0" borderId="0" xfId="0" applyFont="1" applyAlignment="1">
      <alignment horizontal="right" vertical="center"/>
    </xf>
    <xf numFmtId="170" fontId="18" fillId="3" borderId="18" xfId="0" applyNumberFormat="1" applyFont="1" applyFill="1" applyBorder="1" applyAlignment="1">
      <alignment horizontal="right" vertical="center"/>
    </xf>
    <xf numFmtId="170" fontId="18" fillId="5" borderId="13" xfId="0" applyNumberFormat="1" applyFont="1" applyFill="1" applyBorder="1" applyAlignment="1">
      <alignment horizontal="left"/>
    </xf>
    <xf numFmtId="0" fontId="11" fillId="0" borderId="0" xfId="0" applyFont="1" applyBorder="1" applyAlignment="1">
      <alignment vertical="top" wrapText="1"/>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170" fontId="18" fillId="5" borderId="7" xfId="0" applyNumberFormat="1" applyFont="1" applyFill="1" applyBorder="1" applyAlignment="1">
      <alignment horizontal="left" vertical="center"/>
    </xf>
    <xf numFmtId="0" fontId="20" fillId="0" borderId="8" xfId="0" applyFont="1" applyBorder="1" applyAlignment="1">
      <alignment horizontal="left" vertical="center" wrapText="1"/>
    </xf>
    <xf numFmtId="0" fontId="20" fillId="0" borderId="10" xfId="0" applyFont="1" applyBorder="1" applyAlignment="1">
      <alignment horizontal="left" vertical="center" wrapText="1"/>
    </xf>
    <xf numFmtId="0" fontId="11" fillId="0" borderId="14" xfId="0" applyFont="1" applyBorder="1" applyAlignment="1">
      <alignment horizontal="left" vertical="center"/>
    </xf>
    <xf numFmtId="0" fontId="11" fillId="0" borderId="15" xfId="0" applyFont="1" applyBorder="1" applyAlignment="1">
      <alignment horizontal="left" vertical="center"/>
    </xf>
    <xf numFmtId="0" fontId="11" fillId="0" borderId="21" xfId="0" applyFont="1" applyBorder="1" applyAlignment="1">
      <alignment horizontal="left" vertical="center"/>
    </xf>
    <xf numFmtId="0" fontId="11" fillId="0" borderId="18" xfId="0" applyFont="1" applyBorder="1" applyAlignment="1">
      <alignment horizontal="left" vertical="center"/>
    </xf>
    <xf numFmtId="0" fontId="11" fillId="0" borderId="19" xfId="0" applyFont="1" applyBorder="1" applyAlignment="1">
      <alignment horizontal="left" vertical="center"/>
    </xf>
    <xf numFmtId="0" fontId="11" fillId="0" borderId="20" xfId="0" applyFont="1" applyBorder="1" applyAlignment="1">
      <alignment horizontal="left" vertical="center"/>
    </xf>
    <xf numFmtId="0" fontId="18" fillId="2" borderId="2" xfId="0" applyFont="1" applyFill="1" applyBorder="1" applyAlignment="1">
      <alignment horizontal="left" vertical="center"/>
    </xf>
    <xf numFmtId="0" fontId="18" fillId="2" borderId="31" xfId="0" applyFont="1" applyFill="1" applyBorder="1" applyAlignment="1">
      <alignment horizontal="left" vertical="center"/>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11" xfId="0" applyFont="1" applyBorder="1" applyAlignment="1">
      <alignment horizontal="left"/>
    </xf>
    <xf numFmtId="0" fontId="11" fillId="0" borderId="12" xfId="0" applyFont="1" applyBorder="1" applyAlignment="1">
      <alignment horizontal="left"/>
    </xf>
    <xf numFmtId="0" fontId="11" fillId="0" borderId="13" xfId="0" applyFont="1" applyBorder="1" applyAlignment="1">
      <alignment horizontal="left"/>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0" fontId="11" fillId="0" borderId="14" xfId="0" applyFont="1" applyBorder="1" applyAlignment="1">
      <alignment horizontal="left"/>
    </xf>
    <xf numFmtId="0" fontId="11" fillId="0" borderId="15" xfId="0" applyFont="1" applyBorder="1" applyAlignment="1">
      <alignment horizontal="left"/>
    </xf>
    <xf numFmtId="0" fontId="11" fillId="0" borderId="21" xfId="0" applyFont="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11" fillId="0" borderId="20" xfId="0" applyFont="1" applyBorder="1" applyAlignment="1">
      <alignment horizontal="left"/>
    </xf>
    <xf numFmtId="0" fontId="19" fillId="3" borderId="11" xfId="0" applyFont="1" applyFill="1" applyBorder="1" applyAlignment="1">
      <alignment horizontal="right"/>
    </xf>
    <xf numFmtId="0" fontId="19" fillId="3" borderId="12" xfId="0" applyFont="1" applyFill="1" applyBorder="1" applyAlignment="1">
      <alignment horizontal="right"/>
    </xf>
    <xf numFmtId="0" fontId="19" fillId="3" borderId="13" xfId="0" applyFont="1" applyFill="1" applyBorder="1" applyAlignment="1">
      <alignment horizontal="right"/>
    </xf>
    <xf numFmtId="0" fontId="11" fillId="0" borderId="10" xfId="0" applyFont="1" applyBorder="1" applyAlignment="1">
      <alignment horizontal="left" vertical="center" wrapText="1"/>
    </xf>
    <xf numFmtId="0" fontId="18" fillId="3" borderId="11" xfId="0" applyFont="1" applyFill="1" applyBorder="1" applyAlignment="1">
      <alignment horizontal="left" vertical="top"/>
    </xf>
    <xf numFmtId="0" fontId="18" fillId="3" borderId="12" xfId="0" applyFont="1" applyFill="1" applyBorder="1" applyAlignment="1">
      <alignment horizontal="left" vertical="top"/>
    </xf>
    <xf numFmtId="0" fontId="18" fillId="3" borderId="13" xfId="0" applyFont="1" applyFill="1" applyBorder="1" applyAlignment="1">
      <alignment horizontal="left" vertical="top"/>
    </xf>
    <xf numFmtId="0" fontId="11" fillId="0" borderId="11" xfId="0" applyFont="1" applyBorder="1" applyAlignment="1">
      <alignment horizontal="left" wrapText="1"/>
    </xf>
    <xf numFmtId="0" fontId="11" fillId="0" borderId="12" xfId="0" applyFont="1" applyBorder="1" applyAlignment="1">
      <alignment horizontal="left" wrapText="1"/>
    </xf>
    <xf numFmtId="0" fontId="11" fillId="0" borderId="13" xfId="0" applyFont="1" applyBorder="1" applyAlignment="1">
      <alignment horizontal="left" wrapText="1"/>
    </xf>
    <xf numFmtId="0" fontId="19" fillId="9" borderId="11" xfId="0" applyFont="1" applyFill="1" applyBorder="1" applyAlignment="1">
      <alignment horizontal="left"/>
    </xf>
    <xf numFmtId="0" fontId="19" fillId="9" borderId="12" xfId="0" applyFont="1" applyFill="1" applyBorder="1" applyAlignment="1">
      <alignment horizontal="left"/>
    </xf>
    <xf numFmtId="0" fontId="19" fillId="9" borderId="13" xfId="0" applyFont="1" applyFill="1" applyBorder="1" applyAlignment="1">
      <alignment horizontal="left"/>
    </xf>
    <xf numFmtId="0" fontId="19" fillId="3" borderId="11" xfId="0" applyFont="1" applyFill="1" applyBorder="1" applyAlignment="1">
      <alignment horizontal="left"/>
    </xf>
    <xf numFmtId="0" fontId="19" fillId="3" borderId="12" xfId="0" applyFont="1" applyFill="1" applyBorder="1" applyAlignment="1">
      <alignment horizontal="left"/>
    </xf>
    <xf numFmtId="0" fontId="19" fillId="3" borderId="13" xfId="0" applyFont="1" applyFill="1" applyBorder="1" applyAlignment="1">
      <alignment horizontal="left"/>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18" fillId="2" borderId="25" xfId="0" applyFont="1" applyFill="1" applyBorder="1" applyAlignment="1">
      <alignment horizontal="left" vertical="center"/>
    </xf>
    <xf numFmtId="0" fontId="18" fillId="2" borderId="26" xfId="0" applyFont="1" applyFill="1" applyBorder="1" applyAlignment="1">
      <alignment horizontal="left" vertical="center"/>
    </xf>
    <xf numFmtId="0" fontId="19" fillId="10" borderId="11" xfId="0" applyFont="1" applyFill="1" applyBorder="1" applyAlignment="1">
      <alignment horizontal="left"/>
    </xf>
    <xf numFmtId="0" fontId="19" fillId="10" borderId="12" xfId="0" applyFont="1" applyFill="1" applyBorder="1" applyAlignment="1">
      <alignment horizontal="left"/>
    </xf>
    <xf numFmtId="0" fontId="19" fillId="10" borderId="13" xfId="0" applyFont="1" applyFill="1" applyBorder="1" applyAlignment="1">
      <alignment horizontal="left"/>
    </xf>
    <xf numFmtId="0" fontId="18" fillId="2" borderId="27" xfId="0" applyFont="1" applyFill="1" applyBorder="1" applyAlignment="1">
      <alignment horizontal="left" vertical="center"/>
    </xf>
    <xf numFmtId="0" fontId="18" fillId="2" borderId="28" xfId="0" applyFont="1" applyFill="1" applyBorder="1" applyAlignment="1">
      <alignment horizontal="left" vertical="center"/>
    </xf>
    <xf numFmtId="170" fontId="11" fillId="2" borderId="21" xfId="0" applyNumberFormat="1" applyFont="1" applyFill="1" applyBorder="1" applyAlignment="1">
      <alignment horizontal="center" vertical="center"/>
    </xf>
    <xf numFmtId="170" fontId="11" fillId="2" borderId="17" xfId="0" applyNumberFormat="1" applyFont="1" applyFill="1" applyBorder="1" applyAlignment="1">
      <alignment horizontal="center" vertical="center"/>
    </xf>
    <xf numFmtId="0" fontId="19" fillId="3" borderId="18" xfId="0" applyFont="1" applyFill="1" applyBorder="1" applyAlignment="1">
      <alignment horizontal="right"/>
    </xf>
    <xf numFmtId="0" fontId="19" fillId="3" borderId="19" xfId="0" applyFont="1" applyFill="1" applyBorder="1" applyAlignment="1">
      <alignment horizontal="right"/>
    </xf>
    <xf numFmtId="0" fontId="19" fillId="3" borderId="20" xfId="0" applyFont="1" applyFill="1" applyBorder="1" applyAlignment="1">
      <alignment horizontal="right"/>
    </xf>
    <xf numFmtId="0" fontId="18" fillId="2" borderId="11" xfId="0" applyFont="1" applyFill="1" applyBorder="1" applyAlignment="1">
      <alignment horizontal="left"/>
    </xf>
    <xf numFmtId="0" fontId="18" fillId="2" borderId="12" xfId="0" applyFont="1" applyFill="1" applyBorder="1" applyAlignment="1">
      <alignment horizontal="left"/>
    </xf>
    <xf numFmtId="0" fontId="18" fillId="2" borderId="13" xfId="0" applyFont="1" applyFill="1" applyBorder="1" applyAlignment="1">
      <alignment horizontal="left"/>
    </xf>
    <xf numFmtId="167" fontId="19" fillId="3" borderId="11" xfId="0" applyNumberFormat="1" applyFont="1" applyFill="1" applyBorder="1" applyAlignment="1">
      <alignment horizontal="right" vertical="center"/>
    </xf>
    <xf numFmtId="167" fontId="19" fillId="3" borderId="12" xfId="0" applyNumberFormat="1" applyFont="1" applyFill="1" applyBorder="1" applyAlignment="1">
      <alignment horizontal="right" vertical="center"/>
    </xf>
    <xf numFmtId="167" fontId="19" fillId="3" borderId="13" xfId="0" applyNumberFormat="1" applyFont="1" applyFill="1" applyBorder="1" applyAlignment="1">
      <alignment horizontal="right" vertical="center"/>
    </xf>
    <xf numFmtId="9" fontId="11" fillId="0" borderId="8" xfId="1" applyFont="1" applyBorder="1" applyAlignment="1">
      <alignment horizontal="left" vertical="center" wrapText="1"/>
    </xf>
    <xf numFmtId="9" fontId="11" fillId="0" borderId="10" xfId="1" applyFont="1" applyBorder="1" applyAlignment="1">
      <alignment horizontal="left" vertical="center" wrapText="1"/>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0" fontId="7" fillId="4" borderId="1" xfId="0" applyFont="1" applyFill="1" applyBorder="1" applyAlignment="1">
      <alignment horizontal="left" vertical="top" wrapText="1"/>
    </xf>
    <xf numFmtId="0" fontId="7" fillId="0" borderId="0" xfId="2" applyNumberFormat="1" applyFont="1" applyAlignment="1">
      <alignment horizontal="left" vertical="top"/>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5" fillId="4" borderId="6" xfId="0" applyFont="1" applyFill="1" applyBorder="1" applyAlignment="1">
      <alignment horizontal="left"/>
    </xf>
    <xf numFmtId="0" fontId="5" fillId="4" borderId="0" xfId="0" applyFont="1" applyFill="1" applyBorder="1" applyAlignment="1">
      <alignment horizontal="left"/>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4" xfId="0" applyFont="1" applyFill="1" applyBorder="1" applyAlignment="1">
      <alignment horizontal="center" vertical="center"/>
    </xf>
    <xf numFmtId="0" fontId="18" fillId="3" borderId="15" xfId="0" applyFont="1" applyFill="1" applyBorder="1" applyAlignment="1">
      <alignment horizontal="center" vertical="center"/>
    </xf>
    <xf numFmtId="0" fontId="18" fillId="3" borderId="21" xfId="0" applyFont="1" applyFill="1" applyBorder="1" applyAlignment="1">
      <alignment horizontal="center" vertical="center"/>
    </xf>
    <xf numFmtId="170" fontId="18" fillId="0" borderId="0" xfId="0" applyNumberFormat="1" applyFont="1" applyFill="1" applyBorder="1" applyAlignment="1">
      <alignment horizontal="center" vertic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xf numFmtId="0" fontId="23" fillId="2" borderId="8" xfId="15" applyFont="1" applyFill="1" applyBorder="1" applyAlignment="1">
      <alignment vertical="center"/>
    </xf>
    <xf numFmtId="0" fontId="23" fillId="2" borderId="14" xfId="15" applyFont="1" applyFill="1" applyBorder="1" applyAlignment="1">
      <alignment vertical="center"/>
    </xf>
    <xf numFmtId="0" fontId="23" fillId="2" borderId="21" xfId="15" applyFont="1" applyFill="1" applyBorder="1" applyAlignment="1">
      <alignment vertical="center"/>
    </xf>
    <xf numFmtId="0" fontId="23" fillId="2" borderId="9" xfId="15" applyFont="1" applyFill="1" applyBorder="1" applyAlignment="1">
      <alignment vertical="center"/>
    </xf>
    <xf numFmtId="0" fontId="23" fillId="2" borderId="16" xfId="15" applyFont="1" applyFill="1" applyBorder="1" applyAlignment="1">
      <alignment vertical="center"/>
    </xf>
    <xf numFmtId="0" fontId="23" fillId="2" borderId="17" xfId="15" applyFont="1" applyFill="1" applyBorder="1" applyAlignment="1">
      <alignment vertical="center"/>
    </xf>
    <xf numFmtId="0" fontId="23" fillId="2" borderId="10" xfId="15" applyFont="1" applyFill="1" applyBorder="1" applyAlignment="1">
      <alignment vertical="center"/>
    </xf>
    <xf numFmtId="0" fontId="23" fillId="2" borderId="18" xfId="15" applyFont="1" applyFill="1" applyBorder="1" applyAlignment="1">
      <alignment vertical="center"/>
    </xf>
    <xf numFmtId="0" fontId="23" fillId="2" borderId="20" xfId="15" applyFont="1" applyFill="1" applyBorder="1" applyAlignment="1">
      <alignment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40</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6"/>
  <sheetViews>
    <sheetView showGridLines="0" zoomScaleNormal="100" workbookViewId="0"/>
  </sheetViews>
  <sheetFormatPr defaultColWidth="9.140625" defaultRowHeight="12.75" x14ac:dyDescent="0.25"/>
  <cols>
    <col min="1" max="1" width="2.85546875" style="24" customWidth="1"/>
    <col min="2" max="2" width="21.140625" style="24" bestFit="1" customWidth="1"/>
    <col min="3" max="3" width="16.85546875" style="24" customWidth="1"/>
    <col min="4" max="4" width="13.42578125" style="24" bestFit="1" customWidth="1"/>
    <col min="5" max="6" width="13.28515625" style="24" customWidth="1"/>
    <col min="7" max="10" width="13.28515625" style="26" customWidth="1"/>
    <col min="11" max="11" width="12.85546875" style="24" customWidth="1"/>
    <col min="12" max="12" width="2.85546875" style="24" customWidth="1"/>
    <col min="13" max="13" width="49.85546875" style="27" customWidth="1"/>
    <col min="14" max="14" width="2.85546875" style="24" customWidth="1"/>
    <col min="15" max="17" width="9.140625" style="24" customWidth="1"/>
    <col min="18" max="16384" width="9.140625" style="24"/>
  </cols>
  <sheetData>
    <row r="1" spans="2:13" x14ac:dyDescent="0.25">
      <c r="B1" s="25"/>
    </row>
    <row r="2" spans="2:13" ht="21" x14ac:dyDescent="0.25">
      <c r="B2" s="28" t="s">
        <v>38</v>
      </c>
    </row>
    <row r="3" spans="2:13" ht="21" x14ac:dyDescent="0.25">
      <c r="B3" s="28" t="str">
        <f>'AER Summary'!C3</f>
        <v>Authorisation of ASP's</v>
      </c>
    </row>
    <row r="4" spans="2:13" ht="18.75" x14ac:dyDescent="0.25">
      <c r="B4" s="29" t="s">
        <v>39</v>
      </c>
    </row>
    <row r="6" spans="2:13" ht="15.75" x14ac:dyDescent="0.25">
      <c r="B6" s="30" t="s">
        <v>158</v>
      </c>
      <c r="C6" s="31"/>
      <c r="D6" s="31"/>
      <c r="E6" s="31"/>
      <c r="F6" s="31"/>
      <c r="G6" s="32"/>
      <c r="H6" s="32"/>
      <c r="I6" s="32"/>
      <c r="J6" s="32"/>
      <c r="K6" s="31"/>
      <c r="M6" s="33"/>
    </row>
    <row r="8" spans="2:13" ht="25.5" x14ac:dyDescent="0.25">
      <c r="B8" s="312" t="s">
        <v>8</v>
      </c>
      <c r="C8" s="312"/>
      <c r="D8" s="312"/>
      <c r="E8" s="312"/>
      <c r="F8" s="312"/>
      <c r="G8" s="312"/>
      <c r="H8" s="122" t="s">
        <v>82</v>
      </c>
      <c r="I8" s="122" t="s">
        <v>81</v>
      </c>
      <c r="J8" s="122" t="s">
        <v>55</v>
      </c>
      <c r="K8" s="247" t="s">
        <v>46</v>
      </c>
      <c r="M8" s="38" t="s">
        <v>5</v>
      </c>
    </row>
    <row r="9" spans="2:13" x14ac:dyDescent="0.25">
      <c r="B9" s="315" t="s">
        <v>135</v>
      </c>
      <c r="C9" s="316"/>
      <c r="D9" s="316"/>
      <c r="E9" s="316"/>
      <c r="F9" s="316"/>
      <c r="G9" s="317"/>
      <c r="H9" s="248"/>
      <c r="I9" s="250"/>
      <c r="J9" s="254">
        <v>174.9</v>
      </c>
      <c r="K9" s="252">
        <f>+J9/11*10</f>
        <v>159</v>
      </c>
      <c r="M9" s="313" t="s">
        <v>159</v>
      </c>
    </row>
    <row r="10" spans="2:13" x14ac:dyDescent="0.25">
      <c r="B10" s="318" t="s">
        <v>134</v>
      </c>
      <c r="C10" s="319"/>
      <c r="D10" s="319"/>
      <c r="E10" s="319"/>
      <c r="F10" s="319"/>
      <c r="G10" s="320"/>
      <c r="H10" s="249"/>
      <c r="I10" s="251"/>
      <c r="J10" s="255">
        <v>174.9</v>
      </c>
      <c r="K10" s="253">
        <f t="shared" ref="K10" si="0">+J10/11*10</f>
        <v>159</v>
      </c>
      <c r="M10" s="314"/>
    </row>
    <row r="12" spans="2:13" ht="15.75" x14ac:dyDescent="0.25">
      <c r="B12" s="30" t="s">
        <v>2</v>
      </c>
      <c r="C12" s="31"/>
      <c r="D12" s="31"/>
      <c r="E12" s="31"/>
      <c r="F12" s="31"/>
      <c r="G12" s="32"/>
      <c r="H12" s="32"/>
      <c r="I12" s="32"/>
      <c r="J12" s="32"/>
      <c r="K12" s="31"/>
      <c r="M12" s="33"/>
    </row>
    <row r="14" spans="2:13" x14ac:dyDescent="0.25">
      <c r="B14" s="306" t="s">
        <v>26</v>
      </c>
      <c r="C14" s="307"/>
      <c r="D14" s="307"/>
      <c r="E14" s="307"/>
      <c r="F14" s="308"/>
      <c r="G14" s="34" t="s">
        <v>10</v>
      </c>
      <c r="H14" s="35" t="s">
        <v>11</v>
      </c>
      <c r="I14" s="36" t="s">
        <v>12</v>
      </c>
      <c r="J14" s="35" t="s">
        <v>13</v>
      </c>
      <c r="K14" s="37" t="s">
        <v>14</v>
      </c>
      <c r="M14" s="38" t="s">
        <v>5</v>
      </c>
    </row>
    <row r="15" spans="2:13" ht="42" customHeight="1" x14ac:dyDescent="0.25">
      <c r="B15" s="309" t="s">
        <v>2</v>
      </c>
      <c r="C15" s="310"/>
      <c r="D15" s="310"/>
      <c r="E15" s="310"/>
      <c r="F15" s="311"/>
      <c r="G15" s="17">
        <v>175556.03</v>
      </c>
      <c r="H15" s="18">
        <v>211334</v>
      </c>
      <c r="I15" s="19">
        <v>237313.81999999998</v>
      </c>
      <c r="J15" s="18">
        <v>254611.77999999994</v>
      </c>
      <c r="K15" s="72"/>
      <c r="M15" s="39" t="s">
        <v>69</v>
      </c>
    </row>
    <row r="17" spans="2:13" ht="15.75" x14ac:dyDescent="0.25">
      <c r="B17" s="30" t="s">
        <v>28</v>
      </c>
      <c r="C17" s="31"/>
      <c r="D17" s="31"/>
      <c r="E17" s="31"/>
      <c r="F17" s="31"/>
      <c r="G17" s="32"/>
      <c r="H17" s="32"/>
      <c r="I17" s="32"/>
      <c r="J17" s="32"/>
      <c r="K17" s="31"/>
      <c r="M17" s="33"/>
    </row>
    <row r="19" spans="2:13" x14ac:dyDescent="0.25">
      <c r="B19" s="45" t="s">
        <v>24</v>
      </c>
      <c r="C19" s="312" t="s">
        <v>27</v>
      </c>
      <c r="D19" s="312"/>
      <c r="E19" s="312"/>
      <c r="F19" s="312"/>
      <c r="G19" s="35" t="s">
        <v>10</v>
      </c>
      <c r="H19" s="35" t="s">
        <v>11</v>
      </c>
      <c r="I19" s="35" t="s">
        <v>12</v>
      </c>
      <c r="J19" s="35" t="s">
        <v>13</v>
      </c>
      <c r="K19" s="46" t="s">
        <v>14</v>
      </c>
      <c r="M19" s="38" t="s">
        <v>5</v>
      </c>
    </row>
    <row r="20" spans="2:13" ht="27.75" customHeight="1" x14ac:dyDescent="0.25">
      <c r="B20" s="21"/>
      <c r="C20" s="330"/>
      <c r="D20" s="331"/>
      <c r="E20" s="331"/>
      <c r="F20" s="332"/>
      <c r="G20" s="23" t="s">
        <v>9</v>
      </c>
      <c r="H20" s="23" t="s">
        <v>9</v>
      </c>
      <c r="I20" s="23" t="s">
        <v>9</v>
      </c>
      <c r="J20" s="23" t="s">
        <v>9</v>
      </c>
      <c r="K20" s="23" t="s">
        <v>9</v>
      </c>
      <c r="M20" s="141" t="s">
        <v>70</v>
      </c>
    </row>
    <row r="21" spans="2:13" ht="13.5" thickBot="1" x14ac:dyDescent="0.3">
      <c r="B21" s="47"/>
      <c r="C21" s="47"/>
      <c r="D21" s="47"/>
      <c r="E21" s="47"/>
      <c r="F21" s="47"/>
      <c r="G21" s="48">
        <f>SUM(G20:G20)</f>
        <v>0</v>
      </c>
      <c r="H21" s="48">
        <f>SUM(H20:H20)</f>
        <v>0</v>
      </c>
      <c r="I21" s="48">
        <f>SUM(I20:I20)</f>
        <v>0</v>
      </c>
      <c r="J21" s="48">
        <f>SUM(J20:J20)</f>
        <v>0</v>
      </c>
      <c r="K21" s="48">
        <f>SUM(K20:K20)</f>
        <v>0</v>
      </c>
    </row>
    <row r="22" spans="2:13" x14ac:dyDescent="0.25">
      <c r="B22" s="47"/>
      <c r="C22" s="47"/>
      <c r="D22" s="47"/>
      <c r="E22" s="47"/>
      <c r="F22" s="47"/>
      <c r="G22" s="49"/>
      <c r="H22" s="49"/>
      <c r="I22" s="49"/>
      <c r="J22" s="49"/>
      <c r="K22" s="27"/>
    </row>
    <row r="23" spans="2:13" ht="15.75" x14ac:dyDescent="0.25">
      <c r="B23" s="30" t="s">
        <v>34</v>
      </c>
      <c r="C23" s="31"/>
      <c r="D23" s="31"/>
      <c r="E23" s="31"/>
      <c r="F23" s="31"/>
      <c r="G23" s="32"/>
      <c r="H23" s="32"/>
      <c r="I23" s="32"/>
      <c r="J23" s="32"/>
      <c r="K23" s="31"/>
      <c r="M23" s="33"/>
    </row>
    <row r="25" spans="2:13" x14ac:dyDescent="0.25">
      <c r="B25" s="312" t="s">
        <v>26</v>
      </c>
      <c r="C25" s="312"/>
      <c r="D25" s="312"/>
      <c r="E25" s="312"/>
      <c r="F25" s="312"/>
      <c r="G25" s="35" t="s">
        <v>10</v>
      </c>
      <c r="H25" s="35" t="s">
        <v>11</v>
      </c>
      <c r="I25" s="35" t="s">
        <v>12</v>
      </c>
      <c r="J25" s="35" t="s">
        <v>13</v>
      </c>
      <c r="K25" s="46" t="s">
        <v>14</v>
      </c>
      <c r="M25" s="38" t="s">
        <v>5</v>
      </c>
    </row>
    <row r="26" spans="2:13" ht="12.75" customHeight="1" x14ac:dyDescent="0.2">
      <c r="B26" s="240" t="s">
        <v>85</v>
      </c>
      <c r="C26" s="241"/>
      <c r="D26" s="241"/>
      <c r="E26" s="241"/>
      <c r="F26" s="241"/>
      <c r="G26" s="40">
        <v>2015</v>
      </c>
      <c r="H26" s="40">
        <v>2778</v>
      </c>
      <c r="I26" s="40">
        <v>3272</v>
      </c>
      <c r="J26" s="40">
        <v>3672</v>
      </c>
      <c r="K26" s="365"/>
      <c r="M26" s="323" t="s">
        <v>90</v>
      </c>
    </row>
    <row r="27" spans="2:13" x14ac:dyDescent="0.2">
      <c r="B27" s="151"/>
      <c r="C27" s="148"/>
      <c r="D27" s="148"/>
      <c r="E27" s="148"/>
      <c r="F27" s="148"/>
      <c r="G27" s="42"/>
      <c r="H27" s="42"/>
      <c r="I27" s="42"/>
      <c r="J27" s="42"/>
      <c r="K27" s="366"/>
      <c r="M27" s="324"/>
    </row>
    <row r="28" spans="2:13" x14ac:dyDescent="0.2">
      <c r="B28" s="151" t="s">
        <v>89</v>
      </c>
      <c r="C28" s="148"/>
      <c r="D28" s="148"/>
      <c r="E28" s="148"/>
      <c r="F28" s="148"/>
      <c r="G28" s="42">
        <v>1104</v>
      </c>
      <c r="H28" s="42">
        <v>1329</v>
      </c>
      <c r="I28" s="42">
        <v>1493</v>
      </c>
      <c r="J28" s="42">
        <v>1497</v>
      </c>
      <c r="K28" s="366"/>
      <c r="M28" s="324"/>
    </row>
    <row r="29" spans="2:13" x14ac:dyDescent="0.2">
      <c r="B29" s="151" t="s">
        <v>86</v>
      </c>
      <c r="C29" s="148"/>
      <c r="D29" s="148"/>
      <c r="E29" s="148"/>
      <c r="F29" s="148"/>
      <c r="G29" s="42">
        <f>+G26-G28</f>
        <v>911</v>
      </c>
      <c r="H29" s="42">
        <f t="shared" ref="H29:J29" si="1">+H26-H28</f>
        <v>1449</v>
      </c>
      <c r="I29" s="42">
        <f t="shared" si="1"/>
        <v>1779</v>
      </c>
      <c r="J29" s="42">
        <f t="shared" si="1"/>
        <v>2175</v>
      </c>
      <c r="K29" s="366"/>
      <c r="M29" s="324"/>
    </row>
    <row r="30" spans="2:13" ht="13.5" thickBot="1" x14ac:dyDescent="0.25">
      <c r="B30" s="151"/>
      <c r="C30" s="148"/>
      <c r="D30" s="148"/>
      <c r="E30" s="148"/>
      <c r="F30" s="148"/>
      <c r="G30" s="256">
        <f>SUM(G28:G29)</f>
        <v>2015</v>
      </c>
      <c r="H30" s="256">
        <f>SUM(H28:H29)</f>
        <v>2778</v>
      </c>
      <c r="I30" s="256">
        <f>SUM(I28:I29)</f>
        <v>3272</v>
      </c>
      <c r="J30" s="256">
        <f>SUM(J28:J29)</f>
        <v>3672</v>
      </c>
      <c r="K30" s="366"/>
      <c r="M30" s="324"/>
    </row>
    <row r="31" spans="2:13" x14ac:dyDescent="0.2">
      <c r="B31" s="151"/>
      <c r="C31" s="148"/>
      <c r="D31" s="148"/>
      <c r="E31" s="148"/>
      <c r="F31" s="148"/>
      <c r="G31" s="42"/>
      <c r="H31" s="42"/>
      <c r="I31" s="42"/>
      <c r="J31" s="42"/>
      <c r="K31" s="366"/>
      <c r="M31" s="324"/>
    </row>
    <row r="32" spans="2:13" x14ac:dyDescent="0.2">
      <c r="B32" s="151" t="s">
        <v>87</v>
      </c>
      <c r="C32" s="148"/>
      <c r="D32" s="148"/>
      <c r="E32" s="148"/>
      <c r="F32" s="148"/>
      <c r="G32" s="90" t="s">
        <v>160</v>
      </c>
      <c r="H32" s="42">
        <f>+H28-G28</f>
        <v>225</v>
      </c>
      <c r="I32" s="42">
        <f>+I28-H28</f>
        <v>164</v>
      </c>
      <c r="J32" s="42">
        <f>+J28-I28</f>
        <v>4</v>
      </c>
      <c r="K32" s="366"/>
      <c r="M32" s="324"/>
    </row>
    <row r="33" spans="2:13" x14ac:dyDescent="0.2">
      <c r="B33" s="151" t="s">
        <v>88</v>
      </c>
      <c r="C33" s="148"/>
      <c r="D33" s="148"/>
      <c r="E33" s="148"/>
      <c r="F33" s="148"/>
      <c r="G33" s="90" t="s">
        <v>160</v>
      </c>
      <c r="H33" s="42">
        <f t="shared" ref="H33:I33" si="2">+H28-H32</f>
        <v>1104</v>
      </c>
      <c r="I33" s="42">
        <f t="shared" si="2"/>
        <v>1329</v>
      </c>
      <c r="J33" s="42">
        <f>+J28-J32</f>
        <v>1493</v>
      </c>
      <c r="K33" s="366"/>
      <c r="M33" s="324"/>
    </row>
    <row r="34" spans="2:13" x14ac:dyDescent="0.2">
      <c r="B34" s="151" t="s">
        <v>84</v>
      </c>
      <c r="C34" s="148"/>
      <c r="D34" s="148"/>
      <c r="E34" s="148"/>
      <c r="F34" s="148"/>
      <c r="G34" s="90" t="s">
        <v>160</v>
      </c>
      <c r="H34" s="42">
        <f t="shared" ref="H34:J34" si="3">+H29</f>
        <v>1449</v>
      </c>
      <c r="I34" s="42">
        <f t="shared" si="3"/>
        <v>1779</v>
      </c>
      <c r="J34" s="42">
        <f t="shared" si="3"/>
        <v>2175</v>
      </c>
      <c r="K34" s="366"/>
      <c r="M34" s="324"/>
    </row>
    <row r="35" spans="2:13" ht="13.5" thickBot="1" x14ac:dyDescent="0.3">
      <c r="B35" s="71"/>
      <c r="C35" s="62"/>
      <c r="D35" s="62"/>
      <c r="E35" s="62"/>
      <c r="F35" s="62"/>
      <c r="G35" s="256"/>
      <c r="H35" s="256">
        <f t="shared" ref="H35:I35" si="4">SUM(H32:H34)</f>
        <v>2778</v>
      </c>
      <c r="I35" s="256">
        <f t="shared" si="4"/>
        <v>3272</v>
      </c>
      <c r="J35" s="256">
        <f>SUM(J32:J34)</f>
        <v>3672</v>
      </c>
      <c r="K35" s="257"/>
      <c r="M35" s="324"/>
    </row>
    <row r="36" spans="2:13" x14ac:dyDescent="0.25">
      <c r="B36" s="71"/>
      <c r="C36" s="62"/>
      <c r="D36" s="62"/>
      <c r="E36" s="62"/>
      <c r="F36" s="62"/>
      <c r="G36" s="42"/>
      <c r="H36" s="42"/>
      <c r="I36" s="42"/>
      <c r="J36" s="42"/>
      <c r="K36" s="257"/>
      <c r="M36" s="324"/>
    </row>
    <row r="37" spans="2:13" x14ac:dyDescent="0.2">
      <c r="B37" s="151" t="s">
        <v>172</v>
      </c>
      <c r="C37" s="62"/>
      <c r="D37" s="62"/>
      <c r="E37" s="62"/>
      <c r="F37" s="62"/>
      <c r="G37" s="90" t="s">
        <v>160</v>
      </c>
      <c r="H37" s="42">
        <f>ROUND(H33/10,0)</f>
        <v>110</v>
      </c>
      <c r="I37" s="42">
        <f>ROUND(I33/10,0)</f>
        <v>133</v>
      </c>
      <c r="J37" s="42">
        <f>ROUND(J33/10,0)</f>
        <v>149</v>
      </c>
      <c r="K37" s="257"/>
      <c r="M37" s="324"/>
    </row>
    <row r="38" spans="2:13" x14ac:dyDescent="0.2">
      <c r="B38" s="242" t="s">
        <v>173</v>
      </c>
      <c r="C38" s="65"/>
      <c r="D38" s="65"/>
      <c r="E38" s="65"/>
      <c r="F38" s="65"/>
      <c r="G38" s="97" t="s">
        <v>160</v>
      </c>
      <c r="H38" s="43">
        <f>ROUND(H32/10,0)</f>
        <v>23</v>
      </c>
      <c r="I38" s="43">
        <f>ROUND(I32/10,0)</f>
        <v>16</v>
      </c>
      <c r="J38" s="43">
        <v>1</v>
      </c>
      <c r="K38" s="258"/>
      <c r="M38" s="342"/>
    </row>
    <row r="40" spans="2:13" ht="15.75" x14ac:dyDescent="0.25">
      <c r="B40" s="30" t="s">
        <v>71</v>
      </c>
      <c r="C40" s="31"/>
      <c r="D40" s="31"/>
      <c r="E40" s="31"/>
      <c r="F40" s="31"/>
      <c r="G40" s="32"/>
      <c r="H40" s="32"/>
      <c r="I40" s="32"/>
      <c r="J40" s="32"/>
      <c r="K40" s="31"/>
      <c r="M40" s="33"/>
    </row>
    <row r="42" spans="2:13" ht="25.5" x14ac:dyDescent="0.25">
      <c r="B42" s="55" t="s">
        <v>29</v>
      </c>
      <c r="C42" s="56" t="s">
        <v>30</v>
      </c>
      <c r="D42" s="57"/>
      <c r="E42" s="58" t="s">
        <v>31</v>
      </c>
      <c r="F42" s="59"/>
      <c r="G42" s="59"/>
      <c r="H42" s="60" t="s">
        <v>32</v>
      </c>
      <c r="J42" s="24"/>
      <c r="M42" s="38" t="s">
        <v>5</v>
      </c>
    </row>
    <row r="43" spans="2:13" ht="15.95" customHeight="1" x14ac:dyDescent="0.25">
      <c r="B43" s="429"/>
      <c r="C43" s="430"/>
      <c r="D43" s="431"/>
      <c r="E43" s="172" t="s">
        <v>91</v>
      </c>
      <c r="F43" s="173"/>
      <c r="G43" s="40"/>
      <c r="H43" s="174">
        <v>58.053726820000001</v>
      </c>
      <c r="J43" s="24"/>
      <c r="M43" s="323" t="s">
        <v>95</v>
      </c>
    </row>
    <row r="44" spans="2:13" ht="15.95" customHeight="1" x14ac:dyDescent="0.25">
      <c r="B44" s="432"/>
      <c r="C44" s="433"/>
      <c r="D44" s="434"/>
      <c r="E44" s="61" t="s">
        <v>92</v>
      </c>
      <c r="F44" s="62"/>
      <c r="G44" s="42"/>
      <c r="H44" s="63">
        <v>68.886602409999995</v>
      </c>
      <c r="J44" s="24"/>
      <c r="M44" s="324"/>
    </row>
    <row r="45" spans="2:13" ht="15.95" customHeight="1" x14ac:dyDescent="0.25">
      <c r="B45" s="432"/>
      <c r="C45" s="433"/>
      <c r="D45" s="434"/>
      <c r="E45" s="61" t="s">
        <v>93</v>
      </c>
      <c r="F45" s="62"/>
      <c r="G45" s="42"/>
      <c r="H45" s="63">
        <v>77.225909080000008</v>
      </c>
      <c r="J45" s="24"/>
      <c r="M45" s="324"/>
    </row>
    <row r="46" spans="2:13" ht="15.95" customHeight="1" x14ac:dyDescent="0.25">
      <c r="B46" s="435"/>
      <c r="C46" s="436"/>
      <c r="D46" s="437"/>
      <c r="E46" s="64" t="s">
        <v>94</v>
      </c>
      <c r="F46" s="65"/>
      <c r="G46" s="43"/>
      <c r="H46" s="66">
        <v>74.13</v>
      </c>
      <c r="J46" s="24"/>
      <c r="M46" s="342"/>
    </row>
    <row r="48" spans="2:13" ht="15.75" x14ac:dyDescent="0.25">
      <c r="B48" s="30" t="s">
        <v>35</v>
      </c>
      <c r="C48" s="31"/>
      <c r="D48" s="31"/>
      <c r="E48" s="31"/>
      <c r="F48" s="31"/>
      <c r="G48" s="32"/>
      <c r="H48" s="32"/>
      <c r="I48" s="32"/>
      <c r="J48" s="32"/>
      <c r="K48" s="31"/>
      <c r="M48" s="33"/>
    </row>
    <row r="50" spans="2:13" x14ac:dyDescent="0.25">
      <c r="B50" s="243" t="s">
        <v>26</v>
      </c>
      <c r="C50" s="244"/>
      <c r="D50" s="244"/>
      <c r="E50" s="244"/>
      <c r="F50" s="34" t="s">
        <v>157</v>
      </c>
      <c r="G50" s="34" t="s">
        <v>10</v>
      </c>
      <c r="H50" s="35" t="s">
        <v>11</v>
      </c>
      <c r="I50" s="36" t="s">
        <v>12</v>
      </c>
      <c r="J50" s="35" t="s">
        <v>13</v>
      </c>
      <c r="K50" s="37" t="s">
        <v>14</v>
      </c>
      <c r="M50" s="38" t="s">
        <v>5</v>
      </c>
    </row>
    <row r="51" spans="2:13" ht="54" customHeight="1" x14ac:dyDescent="0.2">
      <c r="B51" s="236" t="s">
        <v>33</v>
      </c>
      <c r="C51" s="238"/>
      <c r="D51" s="237"/>
      <c r="E51" s="238"/>
      <c r="F51" s="245">
        <v>3.5000000000000003E-2</v>
      </c>
      <c r="G51" s="245">
        <v>3.5000000000000003E-2</v>
      </c>
      <c r="H51" s="245">
        <v>0.04</v>
      </c>
      <c r="I51" s="246">
        <v>0.04</v>
      </c>
      <c r="J51" s="245">
        <v>0</v>
      </c>
      <c r="K51" s="73"/>
      <c r="M51" s="376" t="s">
        <v>37</v>
      </c>
    </row>
    <row r="52" spans="2:13" ht="54" customHeight="1" x14ac:dyDescent="0.2">
      <c r="B52" s="236" t="s">
        <v>148</v>
      </c>
      <c r="C52" s="238"/>
      <c r="D52" s="238"/>
      <c r="E52" s="238"/>
      <c r="F52" s="229">
        <v>2.5000000000000001E-2</v>
      </c>
      <c r="G52" s="229">
        <v>2.5000000000000001E-2</v>
      </c>
      <c r="H52" s="229">
        <v>2.5000000000000001E-2</v>
      </c>
      <c r="I52" s="229">
        <v>2.5000000000000001E-2</v>
      </c>
      <c r="J52" s="20">
        <v>0</v>
      </c>
      <c r="K52" s="73"/>
      <c r="M52" s="377"/>
    </row>
    <row r="54" spans="2:13" ht="15.75" x14ac:dyDescent="0.25">
      <c r="B54" s="30" t="s">
        <v>107</v>
      </c>
      <c r="C54" s="31"/>
      <c r="D54" s="31"/>
      <c r="E54" s="31"/>
      <c r="F54" s="31"/>
      <c r="G54" s="32"/>
      <c r="H54" s="32"/>
      <c r="I54" s="32"/>
      <c r="J54" s="32"/>
      <c r="K54" s="31"/>
      <c r="M54" s="33"/>
    </row>
    <row r="55" spans="2:13" x14ac:dyDescent="0.2">
      <c r="B55" s="148"/>
      <c r="C55" s="148"/>
      <c r="D55" s="148"/>
      <c r="E55" s="154"/>
      <c r="F55" s="176"/>
      <c r="G55" s="154"/>
      <c r="H55" s="176"/>
      <c r="I55" s="154"/>
      <c r="J55" s="177"/>
      <c r="L55" s="76"/>
      <c r="M55" s="178"/>
    </row>
    <row r="56" spans="2:13" ht="25.5" x14ac:dyDescent="0.25">
      <c r="B56" s="343" t="s">
        <v>123</v>
      </c>
      <c r="C56" s="344"/>
      <c r="D56" s="344"/>
      <c r="E56" s="345"/>
      <c r="F56" s="265" t="s">
        <v>119</v>
      </c>
      <c r="G56" s="265" t="s">
        <v>117</v>
      </c>
      <c r="H56" s="270" t="s">
        <v>118</v>
      </c>
      <c r="I56" s="266" t="s">
        <v>130</v>
      </c>
      <c r="J56" s="266" t="s">
        <v>131</v>
      </c>
      <c r="L56" s="76"/>
      <c r="M56" s="38" t="s">
        <v>5</v>
      </c>
    </row>
    <row r="57" spans="2:13" x14ac:dyDescent="0.2">
      <c r="B57" s="149" t="s">
        <v>108</v>
      </c>
      <c r="C57" s="150"/>
      <c r="D57" s="150"/>
      <c r="E57" s="159"/>
      <c r="F57" s="190"/>
      <c r="G57" s="157"/>
      <c r="H57" s="195"/>
      <c r="I57" s="63">
        <v>220</v>
      </c>
      <c r="J57" s="63">
        <v>220</v>
      </c>
      <c r="L57" s="76"/>
      <c r="M57" s="355" t="s">
        <v>129</v>
      </c>
    </row>
    <row r="58" spans="2:13" x14ac:dyDescent="0.2">
      <c r="B58" s="151" t="s">
        <v>109</v>
      </c>
      <c r="C58" s="148"/>
      <c r="D58" s="148"/>
      <c r="E58" s="154"/>
      <c r="F58" s="191"/>
      <c r="G58" s="155"/>
      <c r="H58" s="196"/>
      <c r="I58" s="63">
        <v>290</v>
      </c>
      <c r="J58" s="63">
        <v>290</v>
      </c>
      <c r="L58" s="76"/>
      <c r="M58" s="356"/>
    </row>
    <row r="59" spans="2:13" x14ac:dyDescent="0.2">
      <c r="B59" s="151" t="s">
        <v>110</v>
      </c>
      <c r="C59" s="148"/>
      <c r="D59" s="148"/>
      <c r="E59" s="154"/>
      <c r="F59" s="191">
        <f>+$H$46</f>
        <v>74.13</v>
      </c>
      <c r="G59" s="193">
        <v>0.5</v>
      </c>
      <c r="H59" s="197">
        <v>0.5</v>
      </c>
      <c r="I59" s="63">
        <f t="shared" ref="I59:J65" si="5">+$F59*G59</f>
        <v>37.064999999999998</v>
      </c>
      <c r="J59" s="63">
        <f t="shared" si="5"/>
        <v>37.064999999999998</v>
      </c>
      <c r="L59" s="76"/>
      <c r="M59" s="356"/>
    </row>
    <row r="60" spans="2:13" x14ac:dyDescent="0.2">
      <c r="B60" s="151" t="s">
        <v>111</v>
      </c>
      <c r="C60" s="148"/>
      <c r="D60" s="148"/>
      <c r="E60" s="154"/>
      <c r="F60" s="191">
        <f t="shared" ref="F60:F65" si="6">+$H$46</f>
        <v>74.13</v>
      </c>
      <c r="G60" s="193">
        <v>0.16</v>
      </c>
      <c r="H60" s="197">
        <v>0.16</v>
      </c>
      <c r="I60" s="63">
        <f t="shared" si="5"/>
        <v>11.860799999999999</v>
      </c>
      <c r="J60" s="63">
        <f t="shared" si="5"/>
        <v>11.860799999999999</v>
      </c>
      <c r="L60" s="76"/>
      <c r="M60" s="356"/>
    </row>
    <row r="61" spans="2:13" x14ac:dyDescent="0.2">
      <c r="B61" s="151" t="s">
        <v>112</v>
      </c>
      <c r="C61" s="148"/>
      <c r="D61" s="148"/>
      <c r="E61" s="154"/>
      <c r="F61" s="191">
        <f t="shared" si="6"/>
        <v>74.13</v>
      </c>
      <c r="G61" s="193">
        <v>4</v>
      </c>
      <c r="H61" s="197">
        <v>1</v>
      </c>
      <c r="I61" s="63">
        <f t="shared" si="5"/>
        <v>296.52</v>
      </c>
      <c r="J61" s="63">
        <f t="shared" si="5"/>
        <v>74.13</v>
      </c>
      <c r="L61" s="76"/>
      <c r="M61" s="356"/>
    </row>
    <row r="62" spans="2:13" x14ac:dyDescent="0.2">
      <c r="B62" s="151" t="s">
        <v>113</v>
      </c>
      <c r="C62" s="148"/>
      <c r="D62" s="148"/>
      <c r="E62" s="154"/>
      <c r="F62" s="191">
        <f t="shared" si="6"/>
        <v>74.13</v>
      </c>
      <c r="G62" s="193">
        <v>0.5</v>
      </c>
      <c r="H62" s="197">
        <v>0.5</v>
      </c>
      <c r="I62" s="63">
        <f t="shared" si="5"/>
        <v>37.064999999999998</v>
      </c>
      <c r="J62" s="63">
        <f t="shared" si="5"/>
        <v>37.064999999999998</v>
      </c>
      <c r="L62" s="76"/>
      <c r="M62" s="356"/>
    </row>
    <row r="63" spans="2:13" x14ac:dyDescent="0.2">
      <c r="B63" s="151" t="s">
        <v>114</v>
      </c>
      <c r="C63" s="148"/>
      <c r="D63" s="148"/>
      <c r="E63" s="154"/>
      <c r="F63" s="191">
        <f t="shared" si="6"/>
        <v>74.13</v>
      </c>
      <c r="G63" s="193">
        <v>0.5</v>
      </c>
      <c r="H63" s="197">
        <v>0.5</v>
      </c>
      <c r="I63" s="63">
        <f t="shared" si="5"/>
        <v>37.064999999999998</v>
      </c>
      <c r="J63" s="63">
        <f t="shared" si="5"/>
        <v>37.064999999999998</v>
      </c>
      <c r="L63" s="76"/>
      <c r="M63" s="356"/>
    </row>
    <row r="64" spans="2:13" x14ac:dyDescent="0.2">
      <c r="B64" s="151" t="s">
        <v>115</v>
      </c>
      <c r="C64" s="148"/>
      <c r="D64" s="148"/>
      <c r="E64" s="154"/>
      <c r="F64" s="191">
        <f t="shared" si="6"/>
        <v>74.13</v>
      </c>
      <c r="G64" s="193">
        <v>1</v>
      </c>
      <c r="H64" s="197">
        <v>1</v>
      </c>
      <c r="I64" s="63">
        <f t="shared" si="5"/>
        <v>74.13</v>
      </c>
      <c r="J64" s="63">
        <f t="shared" si="5"/>
        <v>74.13</v>
      </c>
      <c r="L64" s="76"/>
      <c r="M64" s="356"/>
    </row>
    <row r="65" spans="2:13" x14ac:dyDescent="0.2">
      <c r="B65" s="152" t="s">
        <v>116</v>
      </c>
      <c r="C65" s="153"/>
      <c r="D65" s="153"/>
      <c r="E65" s="160"/>
      <c r="F65" s="192">
        <f t="shared" si="6"/>
        <v>74.13</v>
      </c>
      <c r="G65" s="194">
        <v>0.5</v>
      </c>
      <c r="H65" s="198">
        <v>0.5</v>
      </c>
      <c r="I65" s="63">
        <f t="shared" si="5"/>
        <v>37.064999999999998</v>
      </c>
      <c r="J65" s="63">
        <f t="shared" si="5"/>
        <v>37.064999999999998</v>
      </c>
      <c r="L65" s="76"/>
      <c r="M65" s="356"/>
    </row>
    <row r="66" spans="2:13" x14ac:dyDescent="0.2">
      <c r="B66" s="360" t="s">
        <v>124</v>
      </c>
      <c r="C66" s="361"/>
      <c r="D66" s="361"/>
      <c r="E66" s="361"/>
      <c r="F66" s="361"/>
      <c r="G66" s="361"/>
      <c r="H66" s="362"/>
      <c r="I66" s="206">
        <f t="shared" ref="I66:J66" si="7">SUM(I57:I65)</f>
        <v>1040.7708</v>
      </c>
      <c r="J66" s="207">
        <f t="shared" si="7"/>
        <v>818.38080000000014</v>
      </c>
      <c r="L66" s="76"/>
      <c r="M66" s="356"/>
    </row>
    <row r="67" spans="2:13" x14ac:dyDescent="0.2">
      <c r="B67" s="146" t="s">
        <v>125</v>
      </c>
      <c r="C67" s="147"/>
      <c r="D67" s="147"/>
      <c r="E67" s="200"/>
      <c r="F67" s="201"/>
      <c r="G67" s="200"/>
      <c r="H67" s="202"/>
      <c r="I67" s="162">
        <v>10</v>
      </c>
      <c r="J67" s="161">
        <v>10</v>
      </c>
      <c r="L67" s="76"/>
      <c r="M67" s="356"/>
    </row>
    <row r="68" spans="2:13" x14ac:dyDescent="0.2">
      <c r="B68" s="349" t="s">
        <v>126</v>
      </c>
      <c r="C68" s="350"/>
      <c r="D68" s="350"/>
      <c r="E68" s="350"/>
      <c r="F68" s="350"/>
      <c r="G68" s="350"/>
      <c r="H68" s="351"/>
      <c r="I68" s="180">
        <f>+I66/I67</f>
        <v>104.07708</v>
      </c>
      <c r="J68" s="180">
        <f>+J66/J67</f>
        <v>81.838080000000019</v>
      </c>
      <c r="K68" s="62"/>
      <c r="L68" s="76"/>
      <c r="M68" s="356"/>
    </row>
    <row r="69" spans="2:13" x14ac:dyDescent="0.2">
      <c r="B69" s="151"/>
      <c r="C69" s="148"/>
      <c r="D69" s="148"/>
      <c r="E69" s="154"/>
      <c r="F69" s="176"/>
      <c r="G69" s="154"/>
      <c r="H69" s="176"/>
      <c r="I69" s="199"/>
      <c r="J69" s="208"/>
      <c r="K69" s="62"/>
      <c r="L69" s="76"/>
      <c r="M69" s="356"/>
    </row>
    <row r="70" spans="2:13" ht="25.5" x14ac:dyDescent="0.25">
      <c r="B70" s="343" t="s">
        <v>120</v>
      </c>
      <c r="C70" s="344"/>
      <c r="D70" s="344"/>
      <c r="E70" s="345"/>
      <c r="F70" s="267" t="s">
        <v>122</v>
      </c>
      <c r="G70" s="268" t="s">
        <v>164</v>
      </c>
      <c r="H70" s="269" t="s">
        <v>165</v>
      </c>
      <c r="I70" s="266" t="s">
        <v>130</v>
      </c>
      <c r="J70" s="266" t="s">
        <v>131</v>
      </c>
      <c r="K70" s="62"/>
      <c r="L70" s="76"/>
      <c r="M70" s="356"/>
    </row>
    <row r="71" spans="2:13" x14ac:dyDescent="0.2">
      <c r="B71" s="151" t="s">
        <v>163</v>
      </c>
      <c r="C71" s="148"/>
      <c r="D71" s="148"/>
      <c r="E71" s="204"/>
      <c r="F71" s="196">
        <v>12.13</v>
      </c>
      <c r="G71" s="204">
        <v>1</v>
      </c>
      <c r="H71" s="204">
        <v>1</v>
      </c>
      <c r="I71" s="174">
        <f>+$F$71*G71</f>
        <v>12.13</v>
      </c>
      <c r="J71" s="174">
        <f>+$F$71*H71</f>
        <v>12.13</v>
      </c>
      <c r="L71" s="76"/>
      <c r="M71" s="356"/>
    </row>
    <row r="72" spans="2:13" x14ac:dyDescent="0.2">
      <c r="B72" s="152" t="s">
        <v>121</v>
      </c>
      <c r="C72" s="153"/>
      <c r="D72" s="153"/>
      <c r="E72" s="205"/>
      <c r="F72" s="203">
        <v>0.52</v>
      </c>
      <c r="G72" s="205">
        <v>1</v>
      </c>
      <c r="H72" s="205">
        <v>1</v>
      </c>
      <c r="I72" s="63">
        <f>+$F$72*G72</f>
        <v>0.52</v>
      </c>
      <c r="J72" s="63">
        <f>+$F$72*H72</f>
        <v>0.52</v>
      </c>
      <c r="L72" s="76"/>
      <c r="M72" s="356"/>
    </row>
    <row r="73" spans="2:13" x14ac:dyDescent="0.2">
      <c r="B73" s="349" t="s">
        <v>127</v>
      </c>
      <c r="C73" s="350"/>
      <c r="D73" s="350"/>
      <c r="E73" s="350"/>
      <c r="F73" s="350"/>
      <c r="G73" s="350"/>
      <c r="H73" s="351"/>
      <c r="I73" s="180">
        <f>SUM(I71:I72)</f>
        <v>12.65</v>
      </c>
      <c r="J73" s="180">
        <f>SUM(J71:J72)</f>
        <v>12.65</v>
      </c>
      <c r="L73" s="76"/>
      <c r="M73" s="356"/>
    </row>
    <row r="74" spans="2:13" x14ac:dyDescent="0.2">
      <c r="B74" s="151"/>
      <c r="C74" s="148"/>
      <c r="D74" s="148"/>
      <c r="E74" s="154"/>
      <c r="F74" s="176"/>
      <c r="G74" s="154"/>
      <c r="H74" s="176"/>
      <c r="I74" s="154"/>
      <c r="J74" s="209"/>
      <c r="L74" s="76"/>
      <c r="M74" s="356"/>
    </row>
    <row r="75" spans="2:13" x14ac:dyDescent="0.2">
      <c r="B75" s="352" t="s">
        <v>128</v>
      </c>
      <c r="C75" s="353"/>
      <c r="D75" s="353"/>
      <c r="E75" s="353"/>
      <c r="F75" s="353"/>
      <c r="G75" s="353"/>
      <c r="H75" s="354"/>
      <c r="I75" s="180">
        <f>+I73+I68</f>
        <v>116.72708</v>
      </c>
      <c r="J75" s="180">
        <f>+J73+J68</f>
        <v>94.488080000000025</v>
      </c>
      <c r="L75" s="76"/>
      <c r="M75" s="357"/>
    </row>
    <row r="76" spans="2:13" x14ac:dyDescent="0.2">
      <c r="B76" s="148"/>
      <c r="C76" s="148"/>
      <c r="D76" s="148"/>
      <c r="E76" s="154"/>
      <c r="F76" s="176"/>
      <c r="G76" s="154"/>
      <c r="H76" s="176"/>
      <c r="I76" s="154"/>
      <c r="J76" s="177"/>
      <c r="L76" s="76"/>
      <c r="M76" s="178"/>
    </row>
    <row r="77" spans="2:13" ht="15.75" x14ac:dyDescent="0.25">
      <c r="B77" s="30" t="s">
        <v>72</v>
      </c>
      <c r="C77" s="31"/>
      <c r="D77" s="31"/>
      <c r="E77" s="31"/>
      <c r="F77" s="31"/>
      <c r="G77" s="32"/>
      <c r="H77" s="32"/>
      <c r="I77" s="32"/>
      <c r="J77" s="32"/>
      <c r="K77" s="31"/>
      <c r="M77" s="33"/>
    </row>
    <row r="78" spans="2:13" x14ac:dyDescent="0.25">
      <c r="E78" s="51"/>
    </row>
    <row r="79" spans="2:13" ht="25.5" x14ac:dyDescent="0.25">
      <c r="B79" s="259" t="s">
        <v>3</v>
      </c>
      <c r="C79" s="260"/>
      <c r="D79" s="260"/>
      <c r="E79" s="261" t="s">
        <v>100</v>
      </c>
      <c r="F79" s="262" t="s">
        <v>99</v>
      </c>
      <c r="G79" s="262" t="s">
        <v>156</v>
      </c>
      <c r="H79" s="263" t="s">
        <v>11</v>
      </c>
      <c r="I79" s="264" t="s">
        <v>12</v>
      </c>
      <c r="J79" s="263" t="s">
        <v>13</v>
      </c>
      <c r="M79" s="38" t="s">
        <v>5</v>
      </c>
    </row>
    <row r="80" spans="2:13" x14ac:dyDescent="0.2">
      <c r="B80" s="370" t="s">
        <v>96</v>
      </c>
      <c r="C80" s="371"/>
      <c r="D80" s="371"/>
      <c r="E80" s="371"/>
      <c r="F80" s="371"/>
      <c r="G80" s="371"/>
      <c r="H80" s="371"/>
      <c r="I80" s="371"/>
      <c r="J80" s="372"/>
      <c r="L80" s="76"/>
      <c r="M80" s="355" t="s">
        <v>187</v>
      </c>
    </row>
    <row r="81" spans="2:13" x14ac:dyDescent="0.2">
      <c r="B81" s="151" t="s">
        <v>97</v>
      </c>
      <c r="C81" s="148"/>
      <c r="D81" s="148"/>
      <c r="E81" s="158">
        <v>0.84</v>
      </c>
      <c r="F81" s="182">
        <v>35</v>
      </c>
      <c r="G81" s="184">
        <f>+F81*52.17*E81</f>
        <v>1533.798</v>
      </c>
      <c r="H81" s="185">
        <f>+G81*H43</f>
        <v>89042.690089062366</v>
      </c>
      <c r="I81" s="183">
        <f>+G81*H43</f>
        <v>89042.690089062366</v>
      </c>
      <c r="J81" s="183">
        <f>+G81*$H$43</f>
        <v>89042.690089062366</v>
      </c>
      <c r="L81" s="76"/>
      <c r="M81" s="356"/>
    </row>
    <row r="82" spans="2:13" x14ac:dyDescent="0.2">
      <c r="B82" s="151" t="s">
        <v>98</v>
      </c>
      <c r="C82" s="148"/>
      <c r="D82" s="148"/>
      <c r="E82" s="158">
        <v>0.84</v>
      </c>
      <c r="F82" s="182">
        <v>35</v>
      </c>
      <c r="G82" s="184">
        <f>+F82*52.17*E82</f>
        <v>1533.798</v>
      </c>
      <c r="H82" s="185">
        <f>+G82*H44</f>
        <v>105658.13300325317</v>
      </c>
      <c r="I82" s="183">
        <f>+G82*H44</f>
        <v>105658.13300325317</v>
      </c>
      <c r="J82" s="183">
        <f>+G82*$H$44</f>
        <v>105658.13300325317</v>
      </c>
      <c r="L82" s="76"/>
      <c r="M82" s="356"/>
    </row>
    <row r="83" spans="2:13" x14ac:dyDescent="0.2">
      <c r="B83" s="360" t="s">
        <v>103</v>
      </c>
      <c r="C83" s="361"/>
      <c r="D83" s="361"/>
      <c r="E83" s="361"/>
      <c r="F83" s="361"/>
      <c r="G83" s="362"/>
      <c r="H83" s="188">
        <f>SUM(H81:H82)</f>
        <v>194700.82309231552</v>
      </c>
      <c r="I83" s="188">
        <f>SUM(I81:I82)</f>
        <v>194700.82309231552</v>
      </c>
      <c r="J83" s="188">
        <f>SUM(J81:J82)</f>
        <v>194700.82309231552</v>
      </c>
      <c r="L83" s="76"/>
      <c r="M83" s="356"/>
    </row>
    <row r="84" spans="2:13" x14ac:dyDescent="0.2">
      <c r="B84" s="333" t="s">
        <v>101</v>
      </c>
      <c r="C84" s="334"/>
      <c r="D84" s="334"/>
      <c r="E84" s="334"/>
      <c r="F84" s="334"/>
      <c r="G84" s="335"/>
      <c r="H84" s="186">
        <f>+H26</f>
        <v>2778</v>
      </c>
      <c r="I84" s="186">
        <f>+I26</f>
        <v>3272</v>
      </c>
      <c r="J84" s="186">
        <f>+J26</f>
        <v>3672</v>
      </c>
      <c r="L84" s="76"/>
      <c r="M84" s="356"/>
    </row>
    <row r="85" spans="2:13" x14ac:dyDescent="0.2">
      <c r="B85" s="336" t="s">
        <v>104</v>
      </c>
      <c r="C85" s="337"/>
      <c r="D85" s="337"/>
      <c r="E85" s="337"/>
      <c r="F85" s="337"/>
      <c r="G85" s="338"/>
      <c r="H85" s="187">
        <f>+H83/H84</f>
        <v>70.086689378083335</v>
      </c>
      <c r="I85" s="187">
        <f>+I83/I84</f>
        <v>59.505141531881272</v>
      </c>
      <c r="J85" s="187">
        <f>+J83/J84</f>
        <v>53.02309997067416</v>
      </c>
      <c r="L85" s="76"/>
      <c r="M85" s="356"/>
    </row>
    <row r="86" spans="2:13" x14ac:dyDescent="0.25">
      <c r="B86" s="373" t="s">
        <v>74</v>
      </c>
      <c r="C86" s="374"/>
      <c r="D86" s="374"/>
      <c r="E86" s="374"/>
      <c r="F86" s="374"/>
      <c r="G86" s="374"/>
      <c r="H86" s="374"/>
      <c r="I86" s="375"/>
      <c r="J86" s="180">
        <f>AVERAGE(H85:J85)</f>
        <v>60.871643626879596</v>
      </c>
      <c r="K86" s="76"/>
      <c r="L86" s="76"/>
      <c r="M86" s="356"/>
    </row>
    <row r="87" spans="2:13" x14ac:dyDescent="0.2">
      <c r="B87" s="151"/>
      <c r="C87" s="148"/>
      <c r="D87" s="148"/>
      <c r="E87" s="154"/>
      <c r="F87" s="176"/>
      <c r="G87" s="154"/>
      <c r="H87" s="176"/>
      <c r="I87" s="154"/>
      <c r="J87" s="209"/>
      <c r="L87" s="76"/>
      <c r="M87" s="356"/>
    </row>
    <row r="88" spans="2:13" x14ac:dyDescent="0.2">
      <c r="B88" s="370" t="s">
        <v>102</v>
      </c>
      <c r="C88" s="371"/>
      <c r="D88" s="371"/>
      <c r="E88" s="371"/>
      <c r="F88" s="371"/>
      <c r="G88" s="371"/>
      <c r="H88" s="371"/>
      <c r="I88" s="371"/>
      <c r="J88" s="372"/>
      <c r="L88" s="76"/>
      <c r="M88" s="356"/>
    </row>
    <row r="89" spans="2:13" x14ac:dyDescent="0.2">
      <c r="B89" s="367" t="s">
        <v>136</v>
      </c>
      <c r="C89" s="368"/>
      <c r="D89" s="368"/>
      <c r="E89" s="368"/>
      <c r="F89" s="368"/>
      <c r="G89" s="368"/>
      <c r="H89" s="368"/>
      <c r="I89" s="369"/>
      <c r="J89" s="217">
        <f>+J75</f>
        <v>94.488080000000025</v>
      </c>
      <c r="K89" s="215"/>
      <c r="L89" s="76"/>
      <c r="M89" s="356"/>
    </row>
    <row r="90" spans="2:13" x14ac:dyDescent="0.2">
      <c r="B90" s="339" t="s">
        <v>137</v>
      </c>
      <c r="C90" s="340"/>
      <c r="D90" s="340"/>
      <c r="E90" s="340"/>
      <c r="F90" s="340"/>
      <c r="G90" s="340"/>
      <c r="H90" s="340"/>
      <c r="I90" s="341"/>
      <c r="J90" s="216">
        <f>+I75</f>
        <v>116.72708</v>
      </c>
      <c r="K90" s="215"/>
      <c r="L90" s="76"/>
      <c r="M90" s="356"/>
    </row>
    <row r="91" spans="2:13" x14ac:dyDescent="0.2">
      <c r="B91" s="151"/>
      <c r="C91" s="148"/>
      <c r="D91" s="148"/>
      <c r="E91" s="175"/>
      <c r="F91" s="156"/>
      <c r="G91" s="175"/>
      <c r="H91" s="156"/>
      <c r="I91" s="154"/>
      <c r="J91" s="158"/>
      <c r="K91" s="76"/>
      <c r="L91" s="76"/>
      <c r="M91" s="356"/>
    </row>
    <row r="92" spans="2:13" x14ac:dyDescent="0.2">
      <c r="B92" s="370" t="s">
        <v>161</v>
      </c>
      <c r="C92" s="371"/>
      <c r="D92" s="371"/>
      <c r="E92" s="371"/>
      <c r="F92" s="371"/>
      <c r="G92" s="371"/>
      <c r="H92" s="371"/>
      <c r="I92" s="371"/>
      <c r="J92" s="372"/>
      <c r="K92" s="76"/>
      <c r="L92" s="76"/>
      <c r="M92" s="356"/>
    </row>
    <row r="93" spans="2:13" x14ac:dyDescent="0.2">
      <c r="B93" s="146" t="s">
        <v>105</v>
      </c>
      <c r="C93" s="147"/>
      <c r="D93" s="147"/>
      <c r="E93" s="210">
        <v>0.84</v>
      </c>
      <c r="F93" s="218">
        <v>36</v>
      </c>
      <c r="G93" s="219">
        <f>+F93*52.17*E93</f>
        <v>1577.6208000000001</v>
      </c>
      <c r="H93" s="189">
        <f>+$G$93*$H$45</f>
        <v>121833.20046351689</v>
      </c>
      <c r="I93" s="189">
        <f>+$G$93*$H$45</f>
        <v>121833.20046351689</v>
      </c>
      <c r="J93" s="189">
        <f>+$G$93*$H$45</f>
        <v>121833.20046351689</v>
      </c>
      <c r="K93" s="76"/>
      <c r="L93" s="76"/>
      <c r="M93" s="356"/>
    </row>
    <row r="94" spans="2:13" x14ac:dyDescent="0.2">
      <c r="B94" s="360" t="s">
        <v>138</v>
      </c>
      <c r="C94" s="361"/>
      <c r="D94" s="361"/>
      <c r="E94" s="361"/>
      <c r="F94" s="361"/>
      <c r="G94" s="362"/>
      <c r="H94" s="188">
        <f>SUM(H93)</f>
        <v>121833.20046351689</v>
      </c>
      <c r="I94" s="188">
        <f>SUM(I93)</f>
        <v>121833.20046351689</v>
      </c>
      <c r="J94" s="188">
        <f>SUM(J93)</f>
        <v>121833.20046351689</v>
      </c>
      <c r="K94" s="76"/>
      <c r="L94" s="76"/>
      <c r="M94" s="356"/>
    </row>
    <row r="95" spans="2:13" x14ac:dyDescent="0.2">
      <c r="B95" s="333" t="s">
        <v>106</v>
      </c>
      <c r="C95" s="334"/>
      <c r="D95" s="334"/>
      <c r="E95" s="334"/>
      <c r="F95" s="334"/>
      <c r="G95" s="335"/>
      <c r="H95" s="186">
        <f>+H28</f>
        <v>1329</v>
      </c>
      <c r="I95" s="186">
        <f>+I28</f>
        <v>1493</v>
      </c>
      <c r="J95" s="186">
        <f>+J28</f>
        <v>1497</v>
      </c>
      <c r="K95" s="76"/>
      <c r="L95" s="76"/>
      <c r="M95" s="356"/>
    </row>
    <row r="96" spans="2:13" x14ac:dyDescent="0.2">
      <c r="B96" s="336" t="s">
        <v>104</v>
      </c>
      <c r="C96" s="337"/>
      <c r="D96" s="337"/>
      <c r="E96" s="337"/>
      <c r="F96" s="337"/>
      <c r="G96" s="338"/>
      <c r="H96" s="187">
        <f>+H93/H95</f>
        <v>91.672837068109018</v>
      </c>
      <c r="I96" s="187">
        <f>+I93/I95</f>
        <v>81.602947396863286</v>
      </c>
      <c r="J96" s="187">
        <f>+J93/J95</f>
        <v>81.384903449243083</v>
      </c>
      <c r="K96" s="76"/>
      <c r="L96" s="76"/>
      <c r="M96" s="356"/>
    </row>
    <row r="97" spans="1:13" x14ac:dyDescent="0.2">
      <c r="B97" s="339" t="s">
        <v>74</v>
      </c>
      <c r="C97" s="340"/>
      <c r="D97" s="340"/>
      <c r="E97" s="340"/>
      <c r="F97" s="340"/>
      <c r="G97" s="340"/>
      <c r="H97" s="340"/>
      <c r="I97" s="341"/>
      <c r="J97" s="180">
        <f>AVERAGE(H96:J96)</f>
        <v>84.886895971405124</v>
      </c>
      <c r="K97" s="76"/>
      <c r="L97" s="76"/>
      <c r="M97" s="357"/>
    </row>
    <row r="98" spans="1:13" x14ac:dyDescent="0.25">
      <c r="A98" s="76"/>
      <c r="B98" s="76"/>
      <c r="C98" s="76"/>
      <c r="D98" s="76"/>
      <c r="E98" s="76"/>
      <c r="F98" s="76"/>
      <c r="G98" s="76"/>
      <c r="H98" s="76"/>
      <c r="I98" s="76"/>
      <c r="J98" s="76"/>
      <c r="K98" s="76"/>
      <c r="L98" s="76"/>
      <c r="M98" s="178"/>
    </row>
    <row r="99" spans="1:13" x14ac:dyDescent="0.2">
      <c r="B99" s="148"/>
      <c r="C99" s="148"/>
      <c r="D99" s="148"/>
      <c r="E99" s="154"/>
      <c r="F99" s="176"/>
      <c r="G99" s="154"/>
      <c r="H99" s="176"/>
      <c r="I99" s="271" t="s">
        <v>132</v>
      </c>
      <c r="J99" s="272" t="s">
        <v>133</v>
      </c>
      <c r="L99" s="76"/>
      <c r="M99" s="178"/>
    </row>
    <row r="100" spans="1:13" x14ac:dyDescent="0.2">
      <c r="B100" s="148"/>
      <c r="C100" s="148"/>
      <c r="D100" s="148"/>
      <c r="E100" s="154"/>
      <c r="F100" s="179" t="s">
        <v>162</v>
      </c>
      <c r="G100" s="179"/>
      <c r="H100" s="179"/>
      <c r="I100" s="211">
        <f>+J86+J90+J97</f>
        <v>262.48561959828476</v>
      </c>
      <c r="J100" s="211">
        <f>+J86+J89+J97</f>
        <v>240.24661959828475</v>
      </c>
      <c r="K100" s="26"/>
      <c r="L100" s="76"/>
      <c r="M100" s="178"/>
    </row>
    <row r="101" spans="1:13" x14ac:dyDescent="0.2">
      <c r="B101" s="148"/>
      <c r="C101" s="148"/>
      <c r="D101" s="148"/>
      <c r="E101" s="154"/>
      <c r="F101" s="26"/>
      <c r="G101" s="53"/>
      <c r="H101" s="53"/>
      <c r="I101" s="53"/>
      <c r="J101" s="53"/>
      <c r="K101" s="26"/>
      <c r="L101" s="76"/>
      <c r="M101" s="178"/>
    </row>
    <row r="102" spans="1:13" x14ac:dyDescent="0.2">
      <c r="B102" s="148"/>
      <c r="C102" s="148"/>
      <c r="D102" s="148"/>
      <c r="E102" s="154"/>
      <c r="F102" s="212" t="s">
        <v>42</v>
      </c>
      <c r="G102" s="213"/>
      <c r="H102" s="214"/>
      <c r="I102" s="181">
        <f>+$K$142-1</f>
        <v>1.2648945446885498</v>
      </c>
      <c r="J102" s="181">
        <f>+$K$142-1</f>
        <v>1.2648945446885498</v>
      </c>
      <c r="L102" s="76"/>
      <c r="M102" s="178"/>
    </row>
    <row r="103" spans="1:13" x14ac:dyDescent="0.2">
      <c r="B103" s="148"/>
      <c r="C103" s="148"/>
      <c r="D103" s="148"/>
      <c r="E103" s="154"/>
      <c r="F103" s="26"/>
      <c r="G103" s="53"/>
      <c r="H103" s="53"/>
      <c r="I103" s="53"/>
      <c r="J103" s="53"/>
      <c r="L103" s="76"/>
      <c r="M103" s="178"/>
    </row>
    <row r="104" spans="1:13" x14ac:dyDescent="0.2">
      <c r="B104" s="148"/>
      <c r="C104" s="148"/>
      <c r="D104" s="148"/>
      <c r="E104" s="154"/>
      <c r="F104" s="179" t="s">
        <v>80</v>
      </c>
      <c r="G104" s="179"/>
      <c r="H104" s="179"/>
      <c r="I104" s="180">
        <f>+I100+(I102*I100)</f>
        <v>594.50224788734909</v>
      </c>
      <c r="J104" s="180">
        <f>+J100+(J102*J100)</f>
        <v>544.13325810802041</v>
      </c>
      <c r="L104" s="76"/>
      <c r="M104" s="178"/>
    </row>
    <row r="105" spans="1:13" x14ac:dyDescent="0.2">
      <c r="B105" s="148"/>
      <c r="C105" s="148"/>
      <c r="D105" s="148"/>
      <c r="E105" s="154"/>
      <c r="F105" s="176"/>
      <c r="G105" s="154"/>
      <c r="H105" s="176"/>
      <c r="I105" s="154"/>
      <c r="J105" s="177"/>
      <c r="L105" s="76"/>
      <c r="M105" s="178"/>
    </row>
    <row r="106" spans="1:13" ht="15.75" x14ac:dyDescent="0.25">
      <c r="B106" s="30" t="s">
        <v>73</v>
      </c>
      <c r="C106" s="31"/>
      <c r="D106" s="31"/>
      <c r="E106" s="31"/>
      <c r="F106" s="31"/>
      <c r="G106" s="32"/>
      <c r="H106" s="32"/>
      <c r="I106" s="32"/>
      <c r="J106" s="32"/>
      <c r="K106" s="31"/>
      <c r="M106" s="33"/>
    </row>
    <row r="108" spans="1:13" ht="15" customHeight="1" x14ac:dyDescent="0.25">
      <c r="B108" s="363" t="s">
        <v>139</v>
      </c>
      <c r="C108" s="363"/>
      <c r="D108" s="363"/>
      <c r="E108" s="363"/>
      <c r="F108" s="363"/>
      <c r="G108" s="364"/>
      <c r="H108" s="273">
        <f>+I108/(1+$H$51)</f>
        <v>117.36347007211538</v>
      </c>
      <c r="I108" s="273">
        <f>+J108/(1+$I$51)</f>
        <v>122.058008875</v>
      </c>
      <c r="J108" s="273">
        <f>+H43+H44</f>
        <v>126.94032923</v>
      </c>
    </row>
    <row r="109" spans="1:13" x14ac:dyDescent="0.25">
      <c r="B109" s="321" t="s">
        <v>140</v>
      </c>
      <c r="C109" s="321"/>
      <c r="D109" s="321"/>
      <c r="E109" s="321"/>
      <c r="F109" s="321"/>
      <c r="G109" s="322"/>
      <c r="H109" s="273">
        <f>+I109/(1+$H$51)</f>
        <v>71.399694045857984</v>
      </c>
      <c r="I109" s="273">
        <f>+J109/(1+$I$51)</f>
        <v>74.255681807692312</v>
      </c>
      <c r="J109" s="273">
        <f>+H45</f>
        <v>77.225909080000008</v>
      </c>
    </row>
    <row r="110" spans="1:13" x14ac:dyDescent="0.25">
      <c r="B110" s="358" t="s">
        <v>141</v>
      </c>
      <c r="C110" s="358"/>
      <c r="D110" s="358"/>
      <c r="E110" s="358"/>
      <c r="F110" s="358"/>
      <c r="G110" s="359"/>
      <c r="H110" s="273">
        <f>+I110/(1+$H$51)</f>
        <v>68.537352071005913</v>
      </c>
      <c r="I110" s="273">
        <f>+J110/(1+$I$51)</f>
        <v>71.278846153846146</v>
      </c>
      <c r="J110" s="273">
        <f>+H46</f>
        <v>74.13</v>
      </c>
    </row>
    <row r="111" spans="1:13" x14ac:dyDescent="0.25">
      <c r="B111" s="306" t="s">
        <v>3</v>
      </c>
      <c r="C111" s="308"/>
      <c r="D111" s="50"/>
      <c r="E111" s="50"/>
      <c r="F111" s="226"/>
      <c r="G111" s="50" t="s">
        <v>142</v>
      </c>
      <c r="H111" s="35" t="s">
        <v>11</v>
      </c>
      <c r="I111" s="35" t="s">
        <v>12</v>
      </c>
      <c r="J111" s="35" t="s">
        <v>13</v>
      </c>
      <c r="K111" s="46" t="s">
        <v>14</v>
      </c>
      <c r="M111" s="38" t="s">
        <v>5</v>
      </c>
    </row>
    <row r="112" spans="1:13" x14ac:dyDescent="0.2">
      <c r="B112" s="327" t="s">
        <v>145</v>
      </c>
      <c r="C112" s="328"/>
      <c r="D112" s="328"/>
      <c r="E112" s="328"/>
      <c r="F112" s="329"/>
      <c r="G112" s="219">
        <f>+G81</f>
        <v>1533.798</v>
      </c>
      <c r="H112" s="171">
        <f>+H108*$G$112</f>
        <v>180011.85566967042</v>
      </c>
      <c r="I112" s="171">
        <f>+I108*$G$112</f>
        <v>187212.32989645726</v>
      </c>
      <c r="J112" s="171">
        <f>+J108*$G$112</f>
        <v>194700.82309231555</v>
      </c>
      <c r="K112" s="228"/>
      <c r="M112" s="323" t="s">
        <v>147</v>
      </c>
    </row>
    <row r="113" spans="2:13" ht="12.75" customHeight="1" x14ac:dyDescent="0.2">
      <c r="B113" s="346" t="s">
        <v>146</v>
      </c>
      <c r="C113" s="347"/>
      <c r="D113" s="347"/>
      <c r="E113" s="347"/>
      <c r="F113" s="348"/>
      <c r="G113" s="219">
        <f>+G93</f>
        <v>1577.6208000000001</v>
      </c>
      <c r="H113" s="171">
        <f>+H109*$G$113</f>
        <v>112641.64244038172</v>
      </c>
      <c r="I113" s="171">
        <f>+I109*$G$113</f>
        <v>117147.308137997</v>
      </c>
      <c r="J113" s="171">
        <f>+J109*$G$113</f>
        <v>121833.20046351689</v>
      </c>
      <c r="K113" s="228"/>
      <c r="M113" s="324"/>
    </row>
    <row r="114" spans="2:13" ht="12.75" customHeight="1" x14ac:dyDescent="0.2">
      <c r="B114" s="346" t="s">
        <v>149</v>
      </c>
      <c r="C114" s="347"/>
      <c r="D114" s="347"/>
      <c r="E114" s="347"/>
      <c r="F114" s="348"/>
      <c r="G114" s="227"/>
      <c r="H114" s="171">
        <f>($J$73/(1+H52)/(1+H52)*H$33)</f>
        <v>13292.659131469367</v>
      </c>
      <c r="I114" s="171">
        <f>($J$73/(1+I52)*I$33)</f>
        <v>16401.804878048784</v>
      </c>
      <c r="J114" s="171">
        <f>($J$73*J$33)</f>
        <v>18886.45</v>
      </c>
      <c r="K114" s="228"/>
      <c r="M114" s="325"/>
    </row>
    <row r="115" spans="2:13" ht="12.75" customHeight="1" x14ac:dyDescent="0.2">
      <c r="B115" s="346" t="s">
        <v>150</v>
      </c>
      <c r="C115" s="347"/>
      <c r="D115" s="347"/>
      <c r="E115" s="347"/>
      <c r="F115" s="348"/>
      <c r="G115" s="230">
        <f>SUM(H59:H65)</f>
        <v>4.16</v>
      </c>
      <c r="H115" s="171">
        <f>+$G$115*H110*H37</f>
        <v>31362.692307692305</v>
      </c>
      <c r="I115" s="171">
        <f>+$G$115*I110*I37</f>
        <v>39437.159999999996</v>
      </c>
      <c r="J115" s="171">
        <f>+$G$115*J110*J37</f>
        <v>45948.739199999996</v>
      </c>
      <c r="K115" s="228"/>
      <c r="M115" s="325"/>
    </row>
    <row r="116" spans="2:13" ht="12.75" customHeight="1" x14ac:dyDescent="0.2">
      <c r="B116" s="346" t="s">
        <v>151</v>
      </c>
      <c r="C116" s="347"/>
      <c r="D116" s="347"/>
      <c r="E116" s="347"/>
      <c r="F116" s="348"/>
      <c r="G116" s="227"/>
      <c r="H116" s="171">
        <f>($J$57+$J$58)/(1+I52)/(1+H52)*H37</f>
        <v>53396.787626412857</v>
      </c>
      <c r="I116" s="171">
        <f>($J$57+$J$58)/(1+I52)*I37</f>
        <v>66175.609756097576</v>
      </c>
      <c r="J116" s="171">
        <f>($J$57+$J$58)*J37</f>
        <v>75990</v>
      </c>
      <c r="K116" s="228"/>
      <c r="M116" s="325"/>
    </row>
    <row r="117" spans="2:13" ht="12.75" customHeight="1" x14ac:dyDescent="0.2">
      <c r="B117" s="346" t="s">
        <v>152</v>
      </c>
      <c r="C117" s="347"/>
      <c r="D117" s="347"/>
      <c r="E117" s="347"/>
      <c r="F117" s="348"/>
      <c r="G117" s="227"/>
      <c r="H117" s="171">
        <f>($I$73/(1+H52)/(1+I52)*H$32)</f>
        <v>2709.1017251635935</v>
      </c>
      <c r="I117" s="171">
        <f>($I$73/(1+I52)*I$32)</f>
        <v>2024.0000000000005</v>
      </c>
      <c r="J117" s="171">
        <f>($I$73*J$32)</f>
        <v>50.6</v>
      </c>
      <c r="K117" s="228"/>
      <c r="M117" s="325"/>
    </row>
    <row r="118" spans="2:13" ht="12.75" customHeight="1" x14ac:dyDescent="0.2">
      <c r="B118" s="346" t="s">
        <v>153</v>
      </c>
      <c r="C118" s="347"/>
      <c r="D118" s="347"/>
      <c r="E118" s="347"/>
      <c r="F118" s="348"/>
      <c r="G118" s="230">
        <f>SUM(G59:G65)</f>
        <v>7.16</v>
      </c>
      <c r="H118" s="171">
        <f>+$G$118*H110*H38</f>
        <v>11286.731139053254</v>
      </c>
      <c r="I118" s="171">
        <f>+$G$118*I110*I38</f>
        <v>8165.704615384615</v>
      </c>
      <c r="J118" s="171">
        <f>+$G$118*J110*J38</f>
        <v>530.77080000000001</v>
      </c>
      <c r="K118" s="228"/>
      <c r="M118" s="325"/>
    </row>
    <row r="119" spans="2:13" ht="12.75" customHeight="1" x14ac:dyDescent="0.2">
      <c r="B119" s="346" t="s">
        <v>154</v>
      </c>
      <c r="C119" s="347"/>
      <c r="D119" s="347"/>
      <c r="E119" s="347"/>
      <c r="F119" s="348"/>
      <c r="G119" s="227"/>
      <c r="H119" s="171">
        <f>($J$57+$J$58)/(1+I52)/(1+H52)*H38</f>
        <v>11164.782867340871</v>
      </c>
      <c r="I119" s="171">
        <f>($J$57+$J$58)/(1+I52)*I38</f>
        <v>7960.9756097560985</v>
      </c>
      <c r="J119" s="171">
        <f>($J$57+$J$58)*J38</f>
        <v>510</v>
      </c>
      <c r="K119" s="228"/>
      <c r="M119" s="326"/>
    </row>
    <row r="120" spans="2:13" ht="13.5" thickBot="1" x14ac:dyDescent="0.3">
      <c r="E120" s="51"/>
      <c r="H120" s="44">
        <f>SUM(H112:H119)</f>
        <v>415866.25290718442</v>
      </c>
      <c r="I120" s="44">
        <f>SUM(I112:I119)</f>
        <v>444524.89289374131</v>
      </c>
      <c r="J120" s="44">
        <f>SUM(J112:J119)</f>
        <v>458450.58355583245</v>
      </c>
    </row>
    <row r="121" spans="2:13" x14ac:dyDescent="0.2">
      <c r="B121" s="148"/>
      <c r="C121" s="148"/>
      <c r="D121" s="148"/>
      <c r="E121" s="154"/>
      <c r="F121" s="176"/>
      <c r="G121" s="154"/>
      <c r="H121" s="176"/>
      <c r="I121" s="154"/>
      <c r="J121" s="177"/>
      <c r="L121" s="76"/>
      <c r="M121" s="178"/>
    </row>
    <row r="122" spans="2:13" ht="15.75" x14ac:dyDescent="0.25">
      <c r="B122" s="30" t="s">
        <v>75</v>
      </c>
      <c r="C122" s="31"/>
      <c r="D122" s="31"/>
      <c r="E122" s="31"/>
      <c r="F122" s="31"/>
      <c r="G122" s="32"/>
      <c r="H122" s="32"/>
      <c r="I122" s="32"/>
      <c r="J122" s="32"/>
      <c r="K122" s="31"/>
      <c r="M122" s="33"/>
    </row>
    <row r="123" spans="2:13" x14ac:dyDescent="0.25">
      <c r="E123" s="51"/>
    </row>
    <row r="124" spans="2:13" x14ac:dyDescent="0.25">
      <c r="B124" s="132"/>
      <c r="C124" s="133"/>
      <c r="D124" s="133"/>
      <c r="E124" s="133"/>
      <c r="F124" s="35" t="s">
        <v>14</v>
      </c>
      <c r="G124" s="35" t="s">
        <v>15</v>
      </c>
      <c r="H124" s="35" t="s">
        <v>16</v>
      </c>
      <c r="I124" s="35" t="s">
        <v>17</v>
      </c>
      <c r="J124" s="35" t="s">
        <v>18</v>
      </c>
      <c r="K124" s="35" t="s">
        <v>19</v>
      </c>
      <c r="M124" s="38" t="s">
        <v>5</v>
      </c>
    </row>
    <row r="125" spans="2:13" x14ac:dyDescent="0.25">
      <c r="H125" s="53"/>
      <c r="I125" s="53"/>
      <c r="J125" s="53"/>
      <c r="M125" s="323" t="s">
        <v>78</v>
      </c>
    </row>
    <row r="126" spans="2:13" x14ac:dyDescent="0.25">
      <c r="B126" s="24" t="s">
        <v>135</v>
      </c>
      <c r="D126" s="24" t="s">
        <v>76</v>
      </c>
      <c r="F126" s="54">
        <f>+G126/1.025</f>
        <v>250.61251648339595</v>
      </c>
      <c r="G126" s="54">
        <f>+$J$100*G$149</f>
        <v>256.87782939548083</v>
      </c>
      <c r="H126" s="54">
        <f>+$J$100*H$149</f>
        <v>268.08533714021195</v>
      </c>
      <c r="I126" s="54">
        <f>+$J$100*I$149</f>
        <v>277.16208988552796</v>
      </c>
      <c r="J126" s="54">
        <f>+$J$100*J$149</f>
        <v>286.92599976743128</v>
      </c>
      <c r="K126" s="54">
        <f>+$J$100*K$149</f>
        <v>296.80668354973113</v>
      </c>
      <c r="M126" s="324"/>
    </row>
    <row r="127" spans="2:13" x14ac:dyDescent="0.25">
      <c r="B127" s="24" t="s">
        <v>134</v>
      </c>
      <c r="D127" s="24" t="s">
        <v>76</v>
      </c>
      <c r="F127" s="54">
        <f>+G127/1.025</f>
        <v>273.81106039378875</v>
      </c>
      <c r="G127" s="54">
        <f>+$I$100*G149</f>
        <v>280.65633690363342</v>
      </c>
      <c r="H127" s="54">
        <f t="shared" ref="H127:K127" si="8">+$I$100*H149</f>
        <v>292.90129427055632</v>
      </c>
      <c r="I127" s="54">
        <f t="shared" si="8"/>
        <v>302.81825823149984</v>
      </c>
      <c r="J127" s="54">
        <f t="shared" si="8"/>
        <v>313.48598766444087</v>
      </c>
      <c r="K127" s="54">
        <f t="shared" si="8"/>
        <v>324.2813004517273</v>
      </c>
      <c r="M127" s="324"/>
    </row>
    <row r="128" spans="2:13" x14ac:dyDescent="0.25">
      <c r="G128" s="54"/>
      <c r="H128" s="54"/>
      <c r="I128" s="54"/>
      <c r="J128" s="54"/>
      <c r="K128" s="54"/>
      <c r="M128" s="324"/>
    </row>
    <row r="129" spans="2:13" x14ac:dyDescent="0.25">
      <c r="B129" s="24" t="s">
        <v>135</v>
      </c>
      <c r="D129" s="24" t="s">
        <v>77</v>
      </c>
      <c r="G129" s="54">
        <f>+$J$104*G$149</f>
        <v>581.80119444926049</v>
      </c>
      <c r="H129" s="54">
        <f>+$J$104*H$149</f>
        <v>607.18501759985679</v>
      </c>
      <c r="I129" s="54">
        <f>+$J$104*I$149</f>
        <v>627.74290537620982</v>
      </c>
      <c r="J129" s="54">
        <f>+$J$104*J$149</f>
        <v>649.8571316025633</v>
      </c>
      <c r="K129" s="54">
        <f>+$J$104*K$149</f>
        <v>672.23583839888681</v>
      </c>
      <c r="M129" s="324"/>
    </row>
    <row r="130" spans="2:13" x14ac:dyDescent="0.25">
      <c r="B130" s="24" t="s">
        <v>134</v>
      </c>
      <c r="D130" s="24" t="s">
        <v>77</v>
      </c>
      <c r="G130" s="54">
        <f>+$I$104*G$149</f>
        <v>635.65700638531109</v>
      </c>
      <c r="H130" s="54">
        <f>+$I$104*H$149</f>
        <v>663.39054352559856</v>
      </c>
      <c r="I130" s="54">
        <f>+$I$104*I$149</f>
        <v>685.85142110061258</v>
      </c>
      <c r="J130" s="54">
        <f>+$I$104*J$149</f>
        <v>710.01270329749423</v>
      </c>
      <c r="K130" s="54">
        <f>+$I$104*K$149</f>
        <v>734.46294833762579</v>
      </c>
      <c r="M130" s="324"/>
    </row>
    <row r="131" spans="2:13" x14ac:dyDescent="0.25">
      <c r="G131" s="54"/>
      <c r="H131" s="54"/>
      <c r="I131" s="54"/>
      <c r="J131" s="54"/>
      <c r="K131" s="54"/>
      <c r="M131" s="324"/>
    </row>
    <row r="132" spans="2:13" x14ac:dyDescent="0.25">
      <c r="G132" s="54"/>
      <c r="H132" s="54"/>
      <c r="I132" s="54"/>
      <c r="J132" s="54"/>
      <c r="K132" s="54"/>
      <c r="M132" s="324"/>
    </row>
    <row r="133" spans="2:13" x14ac:dyDescent="0.25">
      <c r="B133" s="134" t="s">
        <v>56</v>
      </c>
      <c r="C133" s="134"/>
      <c r="D133" s="134"/>
      <c r="E133" s="134"/>
      <c r="F133" s="134"/>
      <c r="G133" s="135"/>
      <c r="H133" s="135">
        <f>(H130-G130)/G130</f>
        <v>4.3629719898778951E-2</v>
      </c>
      <c r="I133" s="135">
        <f t="shared" ref="I133:K133" si="9">(I130-H130)/H130</f>
        <v>3.385769935104195E-2</v>
      </c>
      <c r="J133" s="135">
        <f t="shared" si="9"/>
        <v>3.5228157956003196E-2</v>
      </c>
      <c r="K133" s="135">
        <f t="shared" si="9"/>
        <v>3.4436348711196156E-2</v>
      </c>
      <c r="M133" s="342"/>
    </row>
    <row r="134" spans="2:13" x14ac:dyDescent="0.25">
      <c r="E134" s="51"/>
      <c r="H134" s="53"/>
      <c r="I134" s="53"/>
      <c r="J134" s="53"/>
    </row>
    <row r="135" spans="2:13" ht="15.75" x14ac:dyDescent="0.25">
      <c r="B135" s="30" t="s">
        <v>41</v>
      </c>
      <c r="C135" s="31"/>
      <c r="D135" s="31"/>
      <c r="E135" s="31"/>
      <c r="F135" s="31"/>
      <c r="G135" s="32"/>
      <c r="H135" s="32"/>
      <c r="I135" s="32"/>
      <c r="J135" s="32"/>
      <c r="K135" s="31"/>
      <c r="M135" s="33"/>
    </row>
    <row r="137" spans="2:13" x14ac:dyDescent="0.25">
      <c r="B137" s="384" t="s">
        <v>20</v>
      </c>
      <c r="C137" s="385"/>
      <c r="D137" s="385"/>
      <c r="E137" s="386"/>
      <c r="F137" s="131" t="s">
        <v>14</v>
      </c>
      <c r="G137" s="131" t="s">
        <v>15</v>
      </c>
      <c r="H137" s="131" t="s">
        <v>16</v>
      </c>
      <c r="I137" s="131" t="s">
        <v>17</v>
      </c>
      <c r="J137" s="131" t="s">
        <v>18</v>
      </c>
      <c r="K137" s="50" t="s">
        <v>19</v>
      </c>
      <c r="M137" s="38" t="s">
        <v>5</v>
      </c>
    </row>
    <row r="138" spans="2:13" ht="12.75" customHeight="1" x14ac:dyDescent="0.25">
      <c r="B138" s="387" t="s">
        <v>167</v>
      </c>
      <c r="C138" s="388"/>
      <c r="D138" s="388"/>
      <c r="E138" s="389"/>
      <c r="F138" s="41"/>
      <c r="G138" s="52">
        <v>18449161.14072692</v>
      </c>
      <c r="H138" s="52">
        <v>19652616.51053571</v>
      </c>
      <c r="I138" s="52">
        <v>20750302.453561164</v>
      </c>
      <c r="J138" s="52">
        <v>21950966.582370307</v>
      </c>
      <c r="K138" s="41">
        <v>23217206.584968176</v>
      </c>
      <c r="M138" s="323" t="s">
        <v>166</v>
      </c>
    </row>
    <row r="139" spans="2:13" x14ac:dyDescent="0.25">
      <c r="B139" s="390" t="s">
        <v>168</v>
      </c>
      <c r="C139" s="391"/>
      <c r="D139" s="391"/>
      <c r="E139" s="392"/>
      <c r="F139" s="41"/>
      <c r="G139" s="52">
        <v>40098372.700329572</v>
      </c>
      <c r="H139" s="52">
        <v>44414981.708611391</v>
      </c>
      <c r="I139" s="52">
        <v>47124811.758132517</v>
      </c>
      <c r="J139" s="52">
        <v>50429626.415997855</v>
      </c>
      <c r="K139" s="41">
        <v>53924251.70079805</v>
      </c>
      <c r="M139" s="324"/>
    </row>
    <row r="140" spans="2:13" x14ac:dyDescent="0.25">
      <c r="B140" s="393" t="s">
        <v>20</v>
      </c>
      <c r="C140" s="394"/>
      <c r="D140" s="394"/>
      <c r="E140" s="395"/>
      <c r="F140" s="67"/>
      <c r="G140" s="67">
        <f t="shared" ref="G140:K140" si="10">+G139/G138</f>
        <v>2.1734523534412387</v>
      </c>
      <c r="H140" s="67">
        <f t="shared" si="10"/>
        <v>2.2600034801880273</v>
      </c>
      <c r="I140" s="67">
        <f t="shared" si="10"/>
        <v>2.2710421625707418</v>
      </c>
      <c r="J140" s="67">
        <f t="shared" si="10"/>
        <v>2.2973761190315822</v>
      </c>
      <c r="K140" s="233">
        <f t="shared" si="10"/>
        <v>2.3225986082111594</v>
      </c>
      <c r="M140" s="324"/>
    </row>
    <row r="141" spans="2:13" x14ac:dyDescent="0.25">
      <c r="F141" s="26"/>
      <c r="K141" s="26"/>
      <c r="M141" s="324"/>
    </row>
    <row r="142" spans="2:13" x14ac:dyDescent="0.25">
      <c r="F142" s="378" t="s">
        <v>21</v>
      </c>
      <c r="G142" s="379"/>
      <c r="H142" s="379"/>
      <c r="I142" s="379"/>
      <c r="J142" s="380"/>
      <c r="K142" s="163">
        <f>AVERAGE(G140:K140)</f>
        <v>2.2648945446885498</v>
      </c>
      <c r="M142" s="342"/>
    </row>
    <row r="143" spans="2:13" x14ac:dyDescent="0.25">
      <c r="G143" s="24"/>
      <c r="H143" s="24"/>
      <c r="I143" s="24"/>
      <c r="J143" s="24"/>
      <c r="K143" s="234"/>
    </row>
    <row r="144" spans="2:13" ht="15.75" x14ac:dyDescent="0.25">
      <c r="B144" s="30" t="s">
        <v>189</v>
      </c>
      <c r="C144" s="31"/>
      <c r="D144" s="31"/>
      <c r="E144" s="31"/>
      <c r="F144" s="31"/>
      <c r="G144" s="32"/>
      <c r="H144" s="32"/>
      <c r="I144" s="32"/>
      <c r="J144" s="32"/>
      <c r="K144" s="31"/>
      <c r="M144" s="33"/>
    </row>
    <row r="146" spans="2:13" x14ac:dyDescent="0.2">
      <c r="B146" s="396" t="s">
        <v>190</v>
      </c>
      <c r="C146" s="397"/>
      <c r="D146" s="397"/>
      <c r="E146" s="398"/>
      <c r="F146" s="304"/>
      <c r="G146" s="131" t="s">
        <v>15</v>
      </c>
      <c r="H146" s="131" t="s">
        <v>16</v>
      </c>
      <c r="I146" s="131" t="s">
        <v>17</v>
      </c>
      <c r="J146" s="131" t="s">
        <v>18</v>
      </c>
      <c r="K146" s="50" t="s">
        <v>19</v>
      </c>
      <c r="M146" s="38" t="s">
        <v>5</v>
      </c>
    </row>
    <row r="147" spans="2:13" ht="12.75" customHeight="1" x14ac:dyDescent="0.2">
      <c r="B147" s="381" t="s">
        <v>169</v>
      </c>
      <c r="C147" s="382"/>
      <c r="D147" s="382"/>
      <c r="E147" s="383"/>
      <c r="F147" s="22"/>
      <c r="G147" s="22">
        <v>17254695.000010207</v>
      </c>
      <c r="H147" s="22">
        <v>17611834.848126188</v>
      </c>
      <c r="I147" s="22">
        <v>17986550.838063825</v>
      </c>
      <c r="J147" s="22">
        <v>18379810.552560411</v>
      </c>
      <c r="K147" s="235">
        <v>18792890.146016706</v>
      </c>
      <c r="M147" s="355" t="s">
        <v>188</v>
      </c>
    </row>
    <row r="148" spans="2:13" x14ac:dyDescent="0.2">
      <c r="B148" s="399" t="s">
        <v>191</v>
      </c>
      <c r="C148" s="400"/>
      <c r="D148" s="400"/>
      <c r="E148" s="401"/>
      <c r="F148" s="22"/>
      <c r="G148" s="22">
        <v>18449161.14072692</v>
      </c>
      <c r="H148" s="22">
        <v>19652616.51053571</v>
      </c>
      <c r="I148" s="22">
        <v>20750302.453561164</v>
      </c>
      <c r="J148" s="22">
        <v>21950966.582370307</v>
      </c>
      <c r="K148" s="235">
        <v>23217206.584968176</v>
      </c>
      <c r="M148" s="356"/>
    </row>
    <row r="149" spans="2:13" x14ac:dyDescent="0.2">
      <c r="B149" s="402" t="s">
        <v>192</v>
      </c>
      <c r="C149" s="403"/>
      <c r="D149" s="403"/>
      <c r="E149" s="404"/>
      <c r="F149" s="67"/>
      <c r="G149" s="67">
        <f t="shared" ref="G149:K149" si="11">+G148/G147</f>
        <v>1.0692255725595849</v>
      </c>
      <c r="H149" s="67">
        <f t="shared" si="11"/>
        <v>1.1158755847989712</v>
      </c>
      <c r="I149" s="67">
        <f t="shared" si="11"/>
        <v>1.1536565648622628</v>
      </c>
      <c r="J149" s="67">
        <f t="shared" si="11"/>
        <v>1.1942977605562106</v>
      </c>
      <c r="K149" s="233">
        <f t="shared" si="11"/>
        <v>1.2354250147037249</v>
      </c>
      <c r="M149" s="356"/>
    </row>
    <row r="150" spans="2:13" x14ac:dyDescent="0.25">
      <c r="F150" s="26"/>
      <c r="K150" s="26"/>
      <c r="M150" s="356"/>
    </row>
    <row r="151" spans="2:13" x14ac:dyDescent="0.25">
      <c r="F151" s="378" t="s">
        <v>22</v>
      </c>
      <c r="G151" s="379"/>
      <c r="H151" s="379"/>
      <c r="I151" s="379"/>
      <c r="J151" s="380"/>
      <c r="K151" s="163">
        <f>AVERAGE(G149:K149)</f>
        <v>1.1536960994961507</v>
      </c>
      <c r="M151" s="357"/>
    </row>
    <row r="152" spans="2:13" ht="54.95" customHeight="1" x14ac:dyDescent="0.25">
      <c r="K152" s="136"/>
      <c r="M152" s="305"/>
    </row>
    <row r="153" spans="2:13" ht="12.75" hidden="1" customHeight="1" x14ac:dyDescent="0.25">
      <c r="M153" s="69"/>
    </row>
    <row r="154" spans="2:13" ht="12.75" hidden="1" customHeight="1" x14ac:dyDescent="0.25">
      <c r="M154" s="70"/>
    </row>
    <row r="155" spans="2:13" ht="12.75" hidden="1" customHeight="1" x14ac:dyDescent="0.25">
      <c r="M155" s="70"/>
    </row>
    <row r="156" spans="2:13" x14ac:dyDescent="0.25">
      <c r="M156" s="70"/>
    </row>
  </sheetData>
  <mergeCells count="60">
    <mergeCell ref="M147:M151"/>
    <mergeCell ref="B119:F119"/>
    <mergeCell ref="B113:F113"/>
    <mergeCell ref="B115:F115"/>
    <mergeCell ref="B116:F116"/>
    <mergeCell ref="F151:J151"/>
    <mergeCell ref="M138:M142"/>
    <mergeCell ref="B147:E147"/>
    <mergeCell ref="B137:E137"/>
    <mergeCell ref="B138:E138"/>
    <mergeCell ref="B139:E139"/>
    <mergeCell ref="B140:E140"/>
    <mergeCell ref="B146:E146"/>
    <mergeCell ref="B148:E148"/>
    <mergeCell ref="B149:E149"/>
    <mergeCell ref="F142:J142"/>
    <mergeCell ref="B86:I86"/>
    <mergeCell ref="M51:M52"/>
    <mergeCell ref="B92:J92"/>
    <mergeCell ref="B94:G94"/>
    <mergeCell ref="M26:M38"/>
    <mergeCell ref="M125:M133"/>
    <mergeCell ref="M43:M46"/>
    <mergeCell ref="B56:E56"/>
    <mergeCell ref="B70:E70"/>
    <mergeCell ref="B114:F114"/>
    <mergeCell ref="B68:H68"/>
    <mergeCell ref="B73:H73"/>
    <mergeCell ref="B75:H75"/>
    <mergeCell ref="M57:M75"/>
    <mergeCell ref="B110:G110"/>
    <mergeCell ref="B83:G83"/>
    <mergeCell ref="B111:C111"/>
    <mergeCell ref="B108:G108"/>
    <mergeCell ref="B66:H66"/>
    <mergeCell ref="B117:F117"/>
    <mergeCell ref="B118:F118"/>
    <mergeCell ref="B109:G109"/>
    <mergeCell ref="M112:M119"/>
    <mergeCell ref="B112:F112"/>
    <mergeCell ref="C19:F19"/>
    <mergeCell ref="C20:F20"/>
    <mergeCell ref="B95:G95"/>
    <mergeCell ref="B96:G96"/>
    <mergeCell ref="B97:I97"/>
    <mergeCell ref="K26:K34"/>
    <mergeCell ref="M80:M97"/>
    <mergeCell ref="B89:I89"/>
    <mergeCell ref="B90:I90"/>
    <mergeCell ref="B80:J80"/>
    <mergeCell ref="B88:J88"/>
    <mergeCell ref="B84:G84"/>
    <mergeCell ref="B85:G85"/>
    <mergeCell ref="B14:F14"/>
    <mergeCell ref="B15:F15"/>
    <mergeCell ref="B25:F25"/>
    <mergeCell ref="M9:M10"/>
    <mergeCell ref="B8:G8"/>
    <mergeCell ref="B9:G9"/>
    <mergeCell ref="B10:G10"/>
  </mergeCells>
  <pageMargins left="0.39370078740157483" right="0.39370078740157483" top="0.39370078740157483" bottom="0.39370078740157483" header="0.19685039370078741" footer="0.19685039370078741"/>
  <pageSetup paperSize="9" scale="47"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40</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44"/>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10" ht="21" x14ac:dyDescent="0.35">
      <c r="B2" s="116" t="s">
        <v>44</v>
      </c>
      <c r="C2" s="117"/>
      <c r="D2" s="117"/>
      <c r="E2" s="117"/>
      <c r="F2" s="117"/>
      <c r="G2" s="117"/>
      <c r="H2" s="117"/>
    </row>
    <row r="3" spans="2:10" x14ac:dyDescent="0.25">
      <c r="B3" s="9" t="s">
        <v>0</v>
      </c>
      <c r="C3" s="14" t="s">
        <v>83</v>
      </c>
      <c r="D3" s="15"/>
      <c r="E3" s="15"/>
      <c r="F3" s="15"/>
      <c r="G3" s="15"/>
      <c r="H3" s="15"/>
    </row>
    <row r="4" spans="2:10" x14ac:dyDescent="0.25">
      <c r="B4" s="9" t="s">
        <v>174</v>
      </c>
      <c r="C4" s="14" t="s">
        <v>179</v>
      </c>
      <c r="D4" s="15"/>
      <c r="E4" s="15"/>
      <c r="F4" s="15"/>
      <c r="G4" s="15"/>
      <c r="H4" s="15"/>
    </row>
    <row r="5" spans="2:10" x14ac:dyDescent="0.25">
      <c r="B5" s="9" t="s">
        <v>176</v>
      </c>
      <c r="C5" s="405" t="s">
        <v>178</v>
      </c>
      <c r="D5" s="405"/>
      <c r="E5" s="405"/>
      <c r="F5" s="405"/>
      <c r="G5" s="405"/>
      <c r="H5" s="405"/>
    </row>
    <row r="6" spans="2:10" x14ac:dyDescent="0.25">
      <c r="B6" s="120" t="s">
        <v>175</v>
      </c>
      <c r="C6" s="405" t="s">
        <v>177</v>
      </c>
      <c r="D6" s="405"/>
      <c r="E6" s="405"/>
      <c r="F6" s="405"/>
      <c r="G6" s="405"/>
      <c r="H6" s="405"/>
      <c r="J6" s="225"/>
    </row>
    <row r="7" spans="2:10" x14ac:dyDescent="0.25">
      <c r="B7" s="120"/>
      <c r="C7" s="170"/>
      <c r="D7" s="232" t="s">
        <v>15</v>
      </c>
      <c r="E7" s="232" t="s">
        <v>16</v>
      </c>
      <c r="F7" s="232" t="s">
        <v>17</v>
      </c>
      <c r="G7" s="232" t="s">
        <v>18</v>
      </c>
      <c r="H7" s="232" t="s">
        <v>19</v>
      </c>
      <c r="J7" s="225"/>
    </row>
    <row r="8" spans="2:10" x14ac:dyDescent="0.25">
      <c r="B8" s="120"/>
      <c r="C8" s="170" t="s">
        <v>143</v>
      </c>
      <c r="D8" s="231">
        <f>+'Input Sheet'!G129</f>
        <v>581.80119444926049</v>
      </c>
      <c r="E8" s="231">
        <f>+'Input Sheet'!H129</f>
        <v>607.18501759985679</v>
      </c>
      <c r="F8" s="231">
        <f>+'Input Sheet'!I129</f>
        <v>627.74290537620982</v>
      </c>
      <c r="G8" s="231">
        <f>+'Input Sheet'!J129</f>
        <v>649.8571316025633</v>
      </c>
      <c r="H8" s="231">
        <f>+'Input Sheet'!K129</f>
        <v>672.23583839888681</v>
      </c>
      <c r="J8" s="225"/>
    </row>
    <row r="9" spans="2:10" x14ac:dyDescent="0.25">
      <c r="B9" s="120"/>
      <c r="C9" s="170" t="s">
        <v>132</v>
      </c>
      <c r="D9" s="231">
        <f>+'Input Sheet'!G130</f>
        <v>635.65700638531109</v>
      </c>
      <c r="E9" s="231">
        <f>+'Input Sheet'!H130</f>
        <v>663.39054352559856</v>
      </c>
      <c r="F9" s="231">
        <f>+'Input Sheet'!I130</f>
        <v>685.85142110061258</v>
      </c>
      <c r="G9" s="231">
        <f>+'Input Sheet'!J130</f>
        <v>710.01270329749423</v>
      </c>
      <c r="H9" s="231">
        <f>+'Input Sheet'!K130</f>
        <v>734.46294833762579</v>
      </c>
      <c r="J9" s="225"/>
    </row>
    <row r="11" spans="2:10" x14ac:dyDescent="0.25">
      <c r="B11" s="114" t="s">
        <v>50</v>
      </c>
      <c r="C11" s="111"/>
      <c r="D11" s="111"/>
      <c r="E11" s="111"/>
      <c r="F11" s="111"/>
      <c r="G11" s="111"/>
      <c r="H11" s="111"/>
    </row>
    <row r="12" spans="2:10" ht="30" customHeight="1" x14ac:dyDescent="0.25">
      <c r="B12" s="407" t="s">
        <v>144</v>
      </c>
      <c r="C12" s="407"/>
      <c r="D12" s="407"/>
      <c r="E12" s="407"/>
      <c r="F12" s="407"/>
      <c r="G12" s="407"/>
      <c r="H12" s="407"/>
    </row>
    <row r="14" spans="2:10" x14ac:dyDescent="0.25">
      <c r="B14" s="114" t="s">
        <v>185</v>
      </c>
      <c r="C14" s="111"/>
      <c r="D14" s="111"/>
      <c r="E14" s="111"/>
      <c r="F14" s="111"/>
      <c r="G14" s="111"/>
      <c r="H14" s="111"/>
    </row>
    <row r="15" spans="2:10" ht="15" customHeight="1" x14ac:dyDescent="0.25">
      <c r="B15" s="407" t="s">
        <v>60</v>
      </c>
      <c r="C15" s="407"/>
      <c r="D15" s="407"/>
      <c r="E15" s="407"/>
      <c r="F15" s="407"/>
      <c r="G15" s="407"/>
      <c r="H15" s="407"/>
    </row>
    <row r="16" spans="2:10" ht="47.25" customHeight="1" x14ac:dyDescent="0.25">
      <c r="B16" s="408" t="s">
        <v>61</v>
      </c>
      <c r="C16" s="408"/>
      <c r="D16" s="408"/>
      <c r="E16" s="408"/>
      <c r="F16" s="408"/>
      <c r="G16" s="408"/>
      <c r="H16" s="408"/>
    </row>
    <row r="17" spans="2:8" ht="63" customHeight="1" x14ac:dyDescent="0.25">
      <c r="B17" s="408" t="s">
        <v>180</v>
      </c>
      <c r="C17" s="408"/>
      <c r="D17" s="408"/>
      <c r="E17" s="408"/>
      <c r="F17" s="408"/>
      <c r="G17" s="408"/>
      <c r="H17" s="408"/>
    </row>
    <row r="18" spans="2:8" ht="47.25" customHeight="1" x14ac:dyDescent="0.25">
      <c r="B18" s="408" t="s">
        <v>181</v>
      </c>
      <c r="C18" s="408"/>
      <c r="D18" s="408"/>
      <c r="E18" s="408"/>
      <c r="F18" s="408"/>
      <c r="G18" s="408"/>
      <c r="H18" s="408"/>
    </row>
    <row r="20" spans="2:8" x14ac:dyDescent="0.25">
      <c r="B20" s="114" t="s">
        <v>62</v>
      </c>
      <c r="C20" s="111"/>
      <c r="D20" s="111"/>
      <c r="E20" s="111"/>
      <c r="F20" s="111"/>
      <c r="G20" s="111"/>
      <c r="H20" s="111"/>
    </row>
    <row r="21" spans="2:8" ht="61.5" customHeight="1" x14ac:dyDescent="0.25">
      <c r="B21" s="407" t="s">
        <v>184</v>
      </c>
      <c r="C21" s="407"/>
      <c r="D21" s="407"/>
      <c r="E21" s="407"/>
      <c r="F21" s="407"/>
      <c r="G21" s="407"/>
      <c r="H21" s="407"/>
    </row>
    <row r="23" spans="2:8" x14ac:dyDescent="0.25">
      <c r="B23" s="12" t="s">
        <v>65</v>
      </c>
      <c r="C23" s="409" t="s">
        <v>5</v>
      </c>
      <c r="D23" s="410"/>
      <c r="E23" s="11" t="s">
        <v>11</v>
      </c>
      <c r="F23" s="11" t="s">
        <v>12</v>
      </c>
      <c r="G23" s="11" t="s">
        <v>13</v>
      </c>
      <c r="H23" s="139" t="s">
        <v>1</v>
      </c>
    </row>
    <row r="24" spans="2:8" x14ac:dyDescent="0.25">
      <c r="B24" s="13" t="s">
        <v>63</v>
      </c>
      <c r="C24" s="406" t="s">
        <v>66</v>
      </c>
      <c r="D24" s="406"/>
      <c r="E24" s="7">
        <f>'Input Sheet'!H15</f>
        <v>211334</v>
      </c>
      <c r="F24" s="7">
        <f>'Input Sheet'!I15</f>
        <v>237313.81999999998</v>
      </c>
      <c r="G24" s="7">
        <f>'Input Sheet'!J15</f>
        <v>254611.77999999994</v>
      </c>
      <c r="H24" s="16">
        <f>SUM(D24:G24)</f>
        <v>703259.59999999986</v>
      </c>
    </row>
    <row r="25" spans="2:8" x14ac:dyDescent="0.25">
      <c r="B25" s="13" t="s">
        <v>23</v>
      </c>
      <c r="C25" s="406" t="s">
        <v>79</v>
      </c>
      <c r="D25" s="406"/>
      <c r="E25" s="7">
        <f>+'Input Sheet'!H120</f>
        <v>415866.25290718442</v>
      </c>
      <c r="F25" s="7">
        <f>+'Input Sheet'!I120</f>
        <v>444524.89289374131</v>
      </c>
      <c r="G25" s="7">
        <f>+'Input Sheet'!J120</f>
        <v>458450.58355583245</v>
      </c>
      <c r="H25" s="16">
        <f>SUM(D25:G25)</f>
        <v>1318841.7293567583</v>
      </c>
    </row>
    <row r="26" spans="2:8" x14ac:dyDescent="0.25">
      <c r="B26" t="s">
        <v>4</v>
      </c>
      <c r="C26" s="406" t="s">
        <v>182</v>
      </c>
      <c r="D26" s="406"/>
      <c r="E26" s="108">
        <f>+'Input Sheet'!H32+'Input Sheet'!H33</f>
        <v>1329</v>
      </c>
      <c r="F26" s="108">
        <f>+'Input Sheet'!I32+'Input Sheet'!I33</f>
        <v>1493</v>
      </c>
      <c r="G26" s="108">
        <f>+'Input Sheet'!J32+'Input Sheet'!J33</f>
        <v>1497</v>
      </c>
      <c r="H26" s="110">
        <f>SUM(D26:G26)</f>
        <v>4319</v>
      </c>
    </row>
    <row r="28" spans="2:8" x14ac:dyDescent="0.25">
      <c r="B28" s="114" t="s">
        <v>64</v>
      </c>
      <c r="C28" s="111"/>
      <c r="D28" s="111"/>
      <c r="E28" s="111"/>
      <c r="F28" s="111"/>
      <c r="G28" s="111"/>
      <c r="H28" s="111"/>
    </row>
    <row r="29" spans="2:8" ht="76.5" customHeight="1" x14ac:dyDescent="0.25">
      <c r="B29" s="407" t="s">
        <v>186</v>
      </c>
      <c r="C29" s="407"/>
      <c r="D29" s="407"/>
      <c r="E29" s="407"/>
      <c r="F29" s="407"/>
      <c r="G29" s="407"/>
      <c r="H29" s="407"/>
    </row>
    <row r="31" spans="2:8" x14ac:dyDescent="0.25">
      <c r="B31" s="10" t="s">
        <v>65</v>
      </c>
      <c r="C31" s="11" t="s">
        <v>15</v>
      </c>
      <c r="D31" s="11" t="s">
        <v>16</v>
      </c>
      <c r="E31" s="11" t="s">
        <v>17</v>
      </c>
      <c r="F31" s="11" t="s">
        <v>18</v>
      </c>
      <c r="G31" s="11" t="s">
        <v>19</v>
      </c>
      <c r="H31" s="139" t="s">
        <v>1</v>
      </c>
    </row>
    <row r="32" spans="2:8" x14ac:dyDescent="0.25">
      <c r="B32" s="13" t="s">
        <v>63</v>
      </c>
      <c r="C32" s="7">
        <f>'Fee Breakdown'!Z12</f>
        <v>983705.91119758098</v>
      </c>
      <c r="D32" s="7">
        <f>'Fee Breakdown'!AA12</f>
        <v>1088287.6444990446</v>
      </c>
      <c r="E32" s="7">
        <f>'Fee Breakdown'!AB12</f>
        <v>1192651.7023435475</v>
      </c>
      <c r="F32" s="7">
        <f>'Fee Breakdown'!AC12</f>
        <v>1308461.4142014615</v>
      </c>
      <c r="G32" s="7">
        <f>'Fee Breakdown'!AD12</f>
        <v>1434623.9381134855</v>
      </c>
      <c r="H32" s="16">
        <f>SUM(C32:G32)</f>
        <v>6007730.6103551202</v>
      </c>
    </row>
    <row r="33" spans="2:8" x14ac:dyDescent="0.25">
      <c r="B33" s="13"/>
      <c r="C33" s="7"/>
      <c r="D33" s="7"/>
      <c r="E33" s="7"/>
      <c r="F33" s="7"/>
      <c r="G33" s="7"/>
      <c r="H33" s="16"/>
    </row>
    <row r="34" spans="2:8" x14ac:dyDescent="0.25">
      <c r="B34" s="13" t="s">
        <v>23</v>
      </c>
      <c r="C34" s="7">
        <f>'Fee Breakdown'!N21</f>
        <v>434327.46725647326</v>
      </c>
      <c r="D34" s="7">
        <f>'Fee Breakdown'!O21</f>
        <v>480502.5677911627</v>
      </c>
      <c r="E34" s="7">
        <f>'Fee Breakdown'!P21</f>
        <v>526581.55989666691</v>
      </c>
      <c r="F34" s="7">
        <f>'Fee Breakdown'!Q21</f>
        <v>577714.05616652686</v>
      </c>
      <c r="G34" s="7">
        <f>'Fee Breakdown'!R21</f>
        <v>633417.54320431873</v>
      </c>
      <c r="H34" s="16">
        <f>SUM(C34:G34)</f>
        <v>2652543.1943151485</v>
      </c>
    </row>
    <row r="35" spans="2:8" x14ac:dyDescent="0.25">
      <c r="B35" s="13" t="s">
        <v>25</v>
      </c>
      <c r="C35" s="7">
        <f>'Fee Breakdown'!T21</f>
        <v>509662.58861628111</v>
      </c>
      <c r="D35" s="7">
        <f>'Fee Breakdown'!U21</f>
        <v>605434.90765614843</v>
      </c>
      <c r="E35" s="7">
        <f>'Fee Breakdown'!V21</f>
        <v>669307.36466093408</v>
      </c>
      <c r="F35" s="7">
        <f>'Fee Breakdown'!W21</f>
        <v>749512.42009932222</v>
      </c>
      <c r="G35" s="7">
        <f>'Fee Breakdown'!X21</f>
        <v>837757.16105856386</v>
      </c>
      <c r="H35" s="16">
        <f>SUM(C35:G35)</f>
        <v>3371674.4420912499</v>
      </c>
    </row>
    <row r="36" spans="2:8" ht="15.75" thickBot="1" x14ac:dyDescent="0.3">
      <c r="B36" s="112" t="s">
        <v>54</v>
      </c>
      <c r="C36" s="113">
        <f>SUM(C34:C35)</f>
        <v>943990.05587275443</v>
      </c>
      <c r="D36" s="113">
        <f t="shared" ref="D36:H36" si="0">SUM(D34:D35)</f>
        <v>1085937.4754473111</v>
      </c>
      <c r="E36" s="113">
        <f t="shared" si="0"/>
        <v>1195888.9245576011</v>
      </c>
      <c r="F36" s="113">
        <f t="shared" si="0"/>
        <v>1327226.4762658491</v>
      </c>
      <c r="G36" s="113">
        <f t="shared" si="0"/>
        <v>1471174.7042628825</v>
      </c>
      <c r="H36" s="113">
        <f t="shared" si="0"/>
        <v>6024217.6364063984</v>
      </c>
    </row>
    <row r="37" spans="2:8" x14ac:dyDescent="0.25">
      <c r="B37" s="13"/>
      <c r="C37" s="7"/>
      <c r="D37" s="7"/>
      <c r="E37" s="7"/>
      <c r="F37" s="7"/>
      <c r="G37" s="7"/>
      <c r="H37" s="7"/>
    </row>
    <row r="38" spans="2:8" x14ac:dyDescent="0.25">
      <c r="B38" t="s">
        <v>4</v>
      </c>
      <c r="C38" s="137">
        <f>'Fee Breakdown'!H21</f>
        <v>1682</v>
      </c>
      <c r="D38" s="137">
        <f>'Fee Breakdown'!I21</f>
        <v>1783</v>
      </c>
      <c r="E38" s="137">
        <f>'Fee Breakdown'!J21</f>
        <v>1890</v>
      </c>
      <c r="F38" s="137">
        <f>'Fee Breakdown'!K21</f>
        <v>2003</v>
      </c>
      <c r="G38" s="137">
        <f>'Fee Breakdown'!L21</f>
        <v>2123</v>
      </c>
      <c r="H38" s="138">
        <f>SUM(C38:G38)</f>
        <v>9481</v>
      </c>
    </row>
    <row r="39" spans="2:8" x14ac:dyDescent="0.25">
      <c r="C39" s="108"/>
      <c r="D39" s="224"/>
      <c r="E39" s="108"/>
      <c r="F39" s="108"/>
      <c r="G39" s="108"/>
    </row>
    <row r="40" spans="2:8" x14ac:dyDescent="0.25">
      <c r="B40" s="114" t="s">
        <v>51</v>
      </c>
      <c r="C40" s="111"/>
      <c r="D40" s="111"/>
      <c r="E40" s="111"/>
      <c r="F40" s="111"/>
      <c r="G40" s="111"/>
      <c r="H40" s="111"/>
    </row>
    <row r="41" spans="2:8" ht="61.5" customHeight="1" x14ac:dyDescent="0.25">
      <c r="B41" s="407" t="s">
        <v>183</v>
      </c>
      <c r="C41" s="407"/>
      <c r="D41" s="407"/>
      <c r="E41" s="407"/>
      <c r="F41" s="407"/>
      <c r="G41" s="407"/>
      <c r="H41" s="407"/>
    </row>
    <row r="43" spans="2:8" x14ac:dyDescent="0.25">
      <c r="B43" s="10" t="s">
        <v>65</v>
      </c>
      <c r="C43" s="11" t="s">
        <v>15</v>
      </c>
      <c r="D43" s="11" t="s">
        <v>16</v>
      </c>
      <c r="E43" s="11" t="s">
        <v>17</v>
      </c>
      <c r="F43" s="11" t="s">
        <v>18</v>
      </c>
      <c r="G43" s="11" t="s">
        <v>19</v>
      </c>
      <c r="H43" s="139" t="s">
        <v>53</v>
      </c>
    </row>
    <row r="44" spans="2:8" x14ac:dyDescent="0.25">
      <c r="B44" t="s">
        <v>52</v>
      </c>
      <c r="C44" s="6">
        <f>+'Input Sheet'!G140</f>
        <v>2.1734523534412387</v>
      </c>
      <c r="D44" s="6">
        <f>+'Input Sheet'!H140</f>
        <v>2.2600034801880273</v>
      </c>
      <c r="E44" s="6">
        <f>+'Input Sheet'!I140</f>
        <v>2.2710421625707418</v>
      </c>
      <c r="F44" s="6">
        <f>+'Input Sheet'!J140</f>
        <v>2.2973761190315822</v>
      </c>
      <c r="G44" s="6">
        <f>+'Input Sheet'!K140</f>
        <v>2.3225986082111594</v>
      </c>
      <c r="H44" s="109">
        <f>AVERAGE(C44:G44)</f>
        <v>2.2648945446885498</v>
      </c>
    </row>
  </sheetData>
  <mergeCells count="14">
    <mergeCell ref="B41:H41"/>
    <mergeCell ref="B15:H15"/>
    <mergeCell ref="B12:H12"/>
    <mergeCell ref="B16:H16"/>
    <mergeCell ref="B17:H17"/>
    <mergeCell ref="B21:H21"/>
    <mergeCell ref="B18:H18"/>
    <mergeCell ref="B29:H29"/>
    <mergeCell ref="C23:D23"/>
    <mergeCell ref="C5:H5"/>
    <mergeCell ref="C24:D24"/>
    <mergeCell ref="C25:D25"/>
    <mergeCell ref="C26:D26"/>
    <mergeCell ref="C6:H6"/>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3" customWidth="1"/>
    <col min="3" max="3" width="10.140625" style="3" customWidth="1"/>
    <col min="4" max="9" width="13.140625" style="3" customWidth="1"/>
    <col min="10" max="11" width="9.140625" style="3" customWidth="1"/>
    <col min="12" max="12" width="2.85546875" style="3" customWidth="1"/>
    <col min="13" max="14" width="9.140625" customWidth="1"/>
  </cols>
  <sheetData>
    <row r="2" spans="2:13" ht="21" x14ac:dyDescent="0.35">
      <c r="B2" s="116" t="s">
        <v>43</v>
      </c>
      <c r="C2" s="116"/>
      <c r="D2" s="115"/>
      <c r="E2" s="115"/>
      <c r="F2" s="115"/>
      <c r="G2" s="115"/>
      <c r="H2" s="115"/>
      <c r="I2" s="115"/>
      <c r="J2" s="115"/>
      <c r="K2" s="115"/>
    </row>
    <row r="3" spans="2:13" x14ac:dyDescent="0.25">
      <c r="B3" s="12" t="s">
        <v>0</v>
      </c>
      <c r="C3" s="10"/>
      <c r="D3" s="411" t="str">
        <f>'AER Summary'!C3</f>
        <v>Authorisation of ASP's</v>
      </c>
      <c r="E3" s="412"/>
      <c r="F3" s="412"/>
      <c r="G3" s="412"/>
      <c r="H3" s="412"/>
      <c r="I3" s="412"/>
      <c r="J3" s="412"/>
      <c r="K3" s="412"/>
      <c r="M3" s="4"/>
    </row>
    <row r="4" spans="2:13" x14ac:dyDescent="0.25">
      <c r="M4" s="4"/>
    </row>
    <row r="5" spans="2:13" x14ac:dyDescent="0.25">
      <c r="B5" s="114" t="s">
        <v>67</v>
      </c>
      <c r="C5" s="114"/>
      <c r="D5" s="114"/>
      <c r="E5" s="114"/>
      <c r="F5" s="114"/>
      <c r="G5" s="114"/>
      <c r="H5" s="114"/>
      <c r="I5" s="114"/>
      <c r="J5" s="114"/>
      <c r="K5" s="114"/>
      <c r="M5" s="5"/>
    </row>
    <row r="6" spans="2:13" ht="121.5" customHeight="1" x14ac:dyDescent="0.25">
      <c r="B6" s="407" t="s">
        <v>170</v>
      </c>
      <c r="C6" s="407"/>
      <c r="D6" s="407"/>
      <c r="E6" s="407"/>
      <c r="F6" s="407"/>
      <c r="G6" s="407"/>
      <c r="H6" s="407"/>
      <c r="I6" s="407"/>
      <c r="J6" s="407"/>
      <c r="K6" s="407"/>
      <c r="M6" s="5"/>
    </row>
    <row r="8" spans="2:13" x14ac:dyDescent="0.25">
      <c r="B8" s="114" t="s">
        <v>7</v>
      </c>
      <c r="C8" s="114"/>
      <c r="D8" s="114"/>
      <c r="E8" s="114"/>
      <c r="F8" s="114"/>
      <c r="G8" s="114"/>
      <c r="H8" s="114"/>
      <c r="I8" s="114"/>
      <c r="J8" s="114"/>
      <c r="K8" s="114"/>
    </row>
    <row r="9" spans="2:13" ht="32.25" customHeight="1" x14ac:dyDescent="0.25">
      <c r="B9" s="407" t="s">
        <v>144</v>
      </c>
      <c r="C9" s="407"/>
      <c r="D9" s="407"/>
      <c r="E9" s="407"/>
      <c r="F9" s="407"/>
      <c r="G9" s="407"/>
      <c r="H9" s="407"/>
      <c r="I9" s="407"/>
      <c r="J9" s="407"/>
      <c r="K9" s="407"/>
    </row>
    <row r="11" spans="2:13" x14ac:dyDescent="0.25">
      <c r="B11" s="114" t="s">
        <v>68</v>
      </c>
      <c r="C11" s="114"/>
      <c r="D11" s="114"/>
      <c r="E11" s="114"/>
      <c r="F11" s="114"/>
      <c r="G11" s="114"/>
      <c r="H11" s="114"/>
      <c r="I11" s="114"/>
      <c r="J11" s="114"/>
      <c r="K11" s="114"/>
    </row>
    <row r="12" spans="2:13" ht="153" customHeight="1" x14ac:dyDescent="0.25">
      <c r="B12" s="407" t="s">
        <v>171</v>
      </c>
      <c r="C12" s="407"/>
      <c r="D12" s="407"/>
      <c r="E12" s="407"/>
      <c r="F12" s="407"/>
      <c r="G12" s="407"/>
      <c r="H12" s="407"/>
      <c r="I12" s="407"/>
      <c r="J12" s="407"/>
      <c r="K12" s="407"/>
    </row>
    <row r="13" spans="2:13" x14ac:dyDescent="0.25">
      <c r="B13" s="8"/>
    </row>
  </sheetData>
  <mergeCells count="4">
    <mergeCell ref="D3:K3"/>
    <mergeCell ref="B9:K9"/>
    <mergeCell ref="B6:K6"/>
    <mergeCell ref="B12:K12"/>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74"/>
  <sheetViews>
    <sheetView showGridLines="0" zoomScaleNormal="100" workbookViewId="0"/>
  </sheetViews>
  <sheetFormatPr defaultColWidth="9.140625" defaultRowHeight="12.75" x14ac:dyDescent="0.25"/>
  <cols>
    <col min="1" max="1" width="2.5703125" style="24" customWidth="1"/>
    <col min="2" max="2" width="57.28515625" style="24" bestFit="1" customWidth="1"/>
    <col min="3" max="6" width="10" style="24" customWidth="1"/>
    <col min="7" max="7" width="2.85546875" style="24" customWidth="1"/>
    <col min="8" max="9" width="10" style="24" customWidth="1"/>
    <col min="10" max="12" width="10" style="53" customWidth="1"/>
    <col min="13" max="13" width="2.85546875" style="53" customWidth="1"/>
    <col min="14" max="18" width="10" style="53" customWidth="1"/>
    <col min="19" max="19" width="3.7109375" style="76" customWidth="1"/>
    <col min="20" max="24" width="10" style="77" customWidth="1"/>
    <col min="25" max="25" width="3.7109375" style="24" customWidth="1"/>
    <col min="26" max="30" width="10" style="24" customWidth="1"/>
    <col min="31" max="31" width="2.85546875" style="24" customWidth="1"/>
    <col min="32" max="63" width="9.140625" style="24" customWidth="1"/>
    <col min="64" max="16384" width="9.140625" style="24"/>
  </cols>
  <sheetData>
    <row r="2" spans="2:31" ht="21" x14ac:dyDescent="0.25">
      <c r="B2" s="128" t="s">
        <v>45</v>
      </c>
      <c r="C2" s="129"/>
      <c r="D2" s="129"/>
      <c r="E2" s="129"/>
      <c r="F2" s="129"/>
      <c r="G2" s="129"/>
      <c r="H2" s="129"/>
      <c r="I2" s="129"/>
      <c r="J2" s="130"/>
      <c r="K2" s="130"/>
      <c r="L2" s="130"/>
      <c r="M2" s="130"/>
      <c r="N2" s="130"/>
      <c r="O2" s="130"/>
      <c r="P2" s="130"/>
      <c r="Q2" s="130"/>
      <c r="R2" s="130"/>
      <c r="S2" s="130"/>
      <c r="T2" s="130"/>
      <c r="U2" s="130"/>
      <c r="V2" s="130"/>
      <c r="W2" s="130"/>
      <c r="X2" s="130"/>
      <c r="Y2" s="130"/>
      <c r="Z2" s="130"/>
      <c r="AA2" s="130"/>
      <c r="AB2" s="130"/>
      <c r="AC2" s="130"/>
      <c r="AD2" s="130"/>
    </row>
    <row r="3" spans="2:31" ht="15" x14ac:dyDescent="0.25">
      <c r="B3" s="74" t="s">
        <v>0</v>
      </c>
      <c r="C3" s="75" t="str">
        <f>+'AER Summary'!C3</f>
        <v>Authorisation of ASP's</v>
      </c>
      <c r="D3" s="75"/>
      <c r="E3" s="75"/>
      <c r="F3" s="75"/>
      <c r="G3" s="75"/>
      <c r="H3" s="75"/>
      <c r="I3" s="75"/>
      <c r="J3" s="75"/>
      <c r="K3" s="75"/>
      <c r="L3" s="75"/>
      <c r="M3" s="75"/>
      <c r="N3" s="75"/>
      <c r="O3" s="75"/>
      <c r="P3" s="75"/>
      <c r="Q3" s="75"/>
      <c r="R3" s="75"/>
      <c r="S3" s="75"/>
      <c r="T3" s="75"/>
      <c r="U3" s="75"/>
      <c r="V3" s="75"/>
      <c r="W3" s="75"/>
      <c r="X3" s="75"/>
      <c r="Y3" s="75"/>
      <c r="Z3" s="75"/>
      <c r="AA3" s="75"/>
      <c r="AB3" s="75"/>
      <c r="AC3" s="75"/>
      <c r="AD3" s="75"/>
    </row>
    <row r="5" spans="2:31" ht="15" x14ac:dyDescent="0.25">
      <c r="B5" s="114" t="str">
        <f>"Proposed "&amp;'AER Summary'!C3</f>
        <v>Proposed Authorisation of ASP's</v>
      </c>
      <c r="C5" s="114"/>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c r="AD5" s="114"/>
    </row>
    <row r="6" spans="2:31" x14ac:dyDescent="0.25">
      <c r="M6" s="100"/>
      <c r="T6" s="68"/>
      <c r="U6" s="68"/>
      <c r="V6" s="68"/>
      <c r="W6" s="68"/>
      <c r="X6" s="68"/>
    </row>
    <row r="7" spans="2:31" x14ac:dyDescent="0.25">
      <c r="C7" s="419" t="s">
        <v>6</v>
      </c>
      <c r="D7" s="420"/>
      <c r="E7" s="420"/>
      <c r="F7" s="421"/>
      <c r="H7" s="423" t="s">
        <v>57</v>
      </c>
      <c r="I7" s="424"/>
      <c r="J7" s="424"/>
      <c r="K7" s="424"/>
      <c r="L7" s="425"/>
      <c r="M7" s="78"/>
      <c r="N7" s="422"/>
      <c r="O7" s="422"/>
      <c r="P7" s="422"/>
      <c r="Q7" s="422"/>
      <c r="R7" s="422"/>
      <c r="T7" s="422"/>
      <c r="U7" s="422"/>
      <c r="V7" s="422"/>
      <c r="W7" s="422"/>
      <c r="X7" s="422"/>
      <c r="Y7" s="123"/>
      <c r="Z7" s="423" t="s">
        <v>155</v>
      </c>
      <c r="AA7" s="424"/>
      <c r="AB7" s="424"/>
      <c r="AC7" s="424"/>
      <c r="AD7" s="425"/>
      <c r="AE7" s="123"/>
    </row>
    <row r="8" spans="2:31" ht="51" x14ac:dyDescent="0.25">
      <c r="B8" s="79" t="s">
        <v>8</v>
      </c>
      <c r="C8" s="101" t="s">
        <v>82</v>
      </c>
      <c r="D8" s="102" t="s">
        <v>81</v>
      </c>
      <c r="E8" s="102" t="s">
        <v>55</v>
      </c>
      <c r="F8" s="103" t="s">
        <v>46</v>
      </c>
      <c r="H8" s="81" t="s">
        <v>15</v>
      </c>
      <c r="I8" s="82" t="s">
        <v>16</v>
      </c>
      <c r="J8" s="82" t="s">
        <v>17</v>
      </c>
      <c r="K8" s="82" t="s">
        <v>18</v>
      </c>
      <c r="L8" s="83" t="s">
        <v>19</v>
      </c>
      <c r="M8" s="80"/>
      <c r="N8" s="124"/>
      <c r="O8" s="124"/>
      <c r="P8" s="124"/>
      <c r="Q8" s="124"/>
      <c r="R8" s="124"/>
      <c r="T8" s="124"/>
      <c r="U8" s="124"/>
      <c r="V8" s="124"/>
      <c r="W8" s="124"/>
      <c r="X8" s="124"/>
      <c r="Y8" s="123"/>
      <c r="Z8" s="81" t="s">
        <v>15</v>
      </c>
      <c r="AA8" s="82" t="s">
        <v>16</v>
      </c>
      <c r="AB8" s="82" t="s">
        <v>17</v>
      </c>
      <c r="AC8" s="82" t="s">
        <v>18</v>
      </c>
      <c r="AD8" s="83" t="s">
        <v>19</v>
      </c>
      <c r="AE8" s="123"/>
    </row>
    <row r="9" spans="2:31" x14ac:dyDescent="0.25">
      <c r="B9" s="168" t="s">
        <v>135</v>
      </c>
      <c r="C9" s="105"/>
      <c r="D9" s="90"/>
      <c r="E9" s="105">
        <f>'Input Sheet'!J9</f>
        <v>174.9</v>
      </c>
      <c r="F9" s="104">
        <f>'Input Sheet'!K9</f>
        <v>159</v>
      </c>
      <c r="G9" s="91"/>
      <c r="H9" s="142">
        <f>+'Input Sheet'!G129</f>
        <v>581.80119444926049</v>
      </c>
      <c r="I9" s="143">
        <f>+'Input Sheet'!H129</f>
        <v>607.18501759985679</v>
      </c>
      <c r="J9" s="143">
        <f>+'Input Sheet'!I129</f>
        <v>627.74290537620982</v>
      </c>
      <c r="K9" s="143">
        <f>+'Input Sheet'!J129</f>
        <v>649.8571316025633</v>
      </c>
      <c r="L9" s="144">
        <f>+'Input Sheet'!K129</f>
        <v>672.23583839888681</v>
      </c>
      <c r="M9" s="87"/>
      <c r="N9" s="220"/>
      <c r="O9" s="220"/>
      <c r="P9" s="220"/>
      <c r="Q9" s="220"/>
      <c r="R9" s="220"/>
      <c r="S9" s="88"/>
      <c r="T9" s="125"/>
      <c r="U9" s="125"/>
      <c r="V9" s="125"/>
      <c r="W9" s="125"/>
      <c r="X9" s="125"/>
      <c r="Y9" s="123"/>
      <c r="Z9" s="274">
        <f>+H9*H18</f>
        <v>923318.49559097644</v>
      </c>
      <c r="AA9" s="275">
        <f t="shared" ref="AA9:AD9" si="0">+I9*I18</f>
        <v>1021285.1996029591</v>
      </c>
      <c r="AB9" s="275">
        <f t="shared" si="0"/>
        <v>1119265.600285782</v>
      </c>
      <c r="AC9" s="275">
        <f t="shared" si="0"/>
        <v>1228229.9787288446</v>
      </c>
      <c r="AD9" s="276">
        <f t="shared" si="0"/>
        <v>1346488.3843129703</v>
      </c>
      <c r="AE9" s="123"/>
    </row>
    <row r="10" spans="2:31" x14ac:dyDescent="0.25">
      <c r="B10" s="169" t="s">
        <v>134</v>
      </c>
      <c r="C10" s="105"/>
      <c r="D10" s="90"/>
      <c r="E10" s="105">
        <f>'Input Sheet'!J10</f>
        <v>174.9</v>
      </c>
      <c r="F10" s="104">
        <f>'Input Sheet'!K10</f>
        <v>159</v>
      </c>
      <c r="G10" s="91"/>
      <c r="H10" s="164">
        <f>+'Input Sheet'!G130</f>
        <v>635.65700638531109</v>
      </c>
      <c r="I10" s="165">
        <f>+'Input Sheet'!H130</f>
        <v>663.39054352559856</v>
      </c>
      <c r="J10" s="165">
        <f>+'Input Sheet'!I130</f>
        <v>685.85142110061258</v>
      </c>
      <c r="K10" s="165">
        <f>+'Input Sheet'!J130</f>
        <v>710.01270329749423</v>
      </c>
      <c r="L10" s="166">
        <f>+'Input Sheet'!K130</f>
        <v>734.46294833762579</v>
      </c>
      <c r="M10" s="87"/>
      <c r="N10" s="220"/>
      <c r="O10" s="220"/>
      <c r="P10" s="220"/>
      <c r="Q10" s="220"/>
      <c r="R10" s="220"/>
      <c r="S10" s="88"/>
      <c r="T10" s="125"/>
      <c r="U10" s="125"/>
      <c r="V10" s="125"/>
      <c r="W10" s="125"/>
      <c r="X10" s="125"/>
      <c r="Y10" s="123"/>
      <c r="Z10" s="278">
        <f t="shared" ref="Z10:AD10" si="1">+H10*H19</f>
        <v>60387.415606604554</v>
      </c>
      <c r="AA10" s="279">
        <f t="shared" si="1"/>
        <v>67002.44489608545</v>
      </c>
      <c r="AB10" s="279">
        <f t="shared" si="1"/>
        <v>73386.102057765544</v>
      </c>
      <c r="AC10" s="279">
        <f t="shared" si="1"/>
        <v>80231.435472616853</v>
      </c>
      <c r="AD10" s="280">
        <f t="shared" si="1"/>
        <v>88135.553800515088</v>
      </c>
      <c r="AE10" s="123"/>
    </row>
    <row r="11" spans="2:31" x14ac:dyDescent="0.25">
      <c r="B11" s="106"/>
      <c r="C11" s="107"/>
      <c r="D11" s="65"/>
      <c r="E11" s="65"/>
      <c r="F11" s="95"/>
      <c r="G11" s="92"/>
      <c r="H11" s="121"/>
      <c r="I11" s="118"/>
      <c r="J11" s="118"/>
      <c r="K11" s="118"/>
      <c r="L11" s="119"/>
      <c r="M11" s="93"/>
      <c r="N11" s="125"/>
      <c r="O11" s="125"/>
      <c r="P11" s="125"/>
      <c r="Q11" s="125"/>
      <c r="R11" s="125"/>
      <c r="S11" s="88"/>
      <c r="T11" s="125"/>
      <c r="U11" s="125"/>
      <c r="V11" s="125"/>
      <c r="W11" s="125"/>
      <c r="X11" s="125"/>
      <c r="Y11" s="123"/>
      <c r="Z11" s="287"/>
      <c r="AA11" s="288"/>
      <c r="AB11" s="288"/>
      <c r="AC11" s="288"/>
      <c r="AD11" s="289"/>
      <c r="AE11" s="123"/>
    </row>
    <row r="12" spans="2:31" x14ac:dyDescent="0.25">
      <c r="B12" s="62"/>
      <c r="C12" s="105"/>
      <c r="D12" s="62"/>
      <c r="E12" s="62"/>
      <c r="F12" s="105"/>
      <c r="G12" s="92"/>
      <c r="H12" s="165"/>
      <c r="I12" s="165"/>
      <c r="J12" s="165"/>
      <c r="K12" s="165"/>
      <c r="L12" s="165"/>
      <c r="M12" s="93"/>
      <c r="N12" s="125"/>
      <c r="O12" s="125"/>
      <c r="P12" s="125"/>
      <c r="Q12" s="125"/>
      <c r="R12" s="125"/>
      <c r="S12" s="88"/>
      <c r="T12" s="125"/>
      <c r="U12" s="125"/>
      <c r="V12" s="125"/>
      <c r="W12" s="125"/>
      <c r="X12" s="125"/>
      <c r="Y12" s="123"/>
      <c r="Z12" s="284">
        <f>SUM(Z9:Z11)</f>
        <v>983705.91119758098</v>
      </c>
      <c r="AA12" s="285">
        <f>SUM(AA9:AA11)</f>
        <v>1088287.6444990446</v>
      </c>
      <c r="AB12" s="285">
        <f>SUM(AB9:AB11)</f>
        <v>1192651.7023435475</v>
      </c>
      <c r="AC12" s="285">
        <f>SUM(AC9:AC11)</f>
        <v>1308461.4142014615</v>
      </c>
      <c r="AD12" s="286">
        <f>SUM(AD9:AD11)</f>
        <v>1434623.9381134855</v>
      </c>
      <c r="AE12" s="123"/>
    </row>
    <row r="13" spans="2:31" x14ac:dyDescent="0.25">
      <c r="C13" s="93"/>
      <c r="D13" s="62"/>
      <c r="E13" s="62"/>
      <c r="F13" s="62"/>
      <c r="G13" s="92"/>
      <c r="H13" s="92"/>
      <c r="I13" s="92"/>
      <c r="J13" s="98"/>
      <c r="K13" s="98"/>
      <c r="L13" s="98"/>
      <c r="M13" s="98"/>
      <c r="N13" s="98"/>
      <c r="O13" s="98"/>
      <c r="P13" s="98"/>
      <c r="Q13" s="98"/>
      <c r="R13" s="98"/>
      <c r="T13" s="126"/>
      <c r="U13" s="126"/>
      <c r="V13" s="126"/>
      <c r="W13" s="126"/>
      <c r="X13" s="126"/>
      <c r="Y13" s="123"/>
      <c r="Z13" s="126"/>
      <c r="AA13" s="126"/>
      <c r="AB13" s="126"/>
      <c r="AC13" s="126"/>
      <c r="AD13" s="126"/>
      <c r="AE13" s="123"/>
    </row>
    <row r="14" spans="2:31" ht="15" x14ac:dyDescent="0.25">
      <c r="B14" s="114" t="s">
        <v>59</v>
      </c>
      <c r="C14" s="114"/>
      <c r="D14" s="114"/>
      <c r="E14" s="114"/>
      <c r="F14" s="114"/>
      <c r="G14" s="114"/>
      <c r="H14" s="114"/>
      <c r="I14" s="114"/>
      <c r="J14" s="114"/>
      <c r="K14" s="114"/>
      <c r="L14" s="114"/>
      <c r="M14" s="114"/>
      <c r="N14" s="114"/>
      <c r="O14" s="114"/>
      <c r="P14" s="114"/>
      <c r="Q14" s="114"/>
      <c r="R14" s="114"/>
      <c r="S14" s="114"/>
      <c r="T14" s="114"/>
      <c r="U14" s="114"/>
      <c r="V14" s="114"/>
      <c r="W14" s="114"/>
      <c r="X14" s="114"/>
      <c r="Y14" s="114"/>
      <c r="Z14" s="114"/>
      <c r="AA14" s="114"/>
      <c r="AB14" s="114"/>
      <c r="AC14" s="114"/>
      <c r="AD14" s="114"/>
    </row>
    <row r="15" spans="2:31" x14ac:dyDescent="0.25">
      <c r="M15" s="100"/>
      <c r="T15" s="140"/>
      <c r="U15" s="140"/>
      <c r="V15" s="140"/>
      <c r="W15" s="140"/>
      <c r="X15" s="140"/>
    </row>
    <row r="16" spans="2:31" s="76" customFormat="1" x14ac:dyDescent="0.2">
      <c r="C16" s="413" t="s">
        <v>47</v>
      </c>
      <c r="D16" s="414"/>
      <c r="E16" s="414"/>
      <c r="F16" s="415"/>
      <c r="G16" s="24"/>
      <c r="H16" s="416" t="s">
        <v>58</v>
      </c>
      <c r="I16" s="417"/>
      <c r="J16" s="417"/>
      <c r="K16" s="417"/>
      <c r="L16" s="418"/>
      <c r="N16" s="426" t="s">
        <v>49</v>
      </c>
      <c r="O16" s="427"/>
      <c r="P16" s="427"/>
      <c r="Q16" s="427"/>
      <c r="R16" s="428"/>
      <c r="T16" s="413" t="s">
        <v>48</v>
      </c>
      <c r="U16" s="414"/>
      <c r="V16" s="414"/>
      <c r="W16" s="414"/>
      <c r="X16" s="415"/>
      <c r="Z16" s="413" t="s">
        <v>36</v>
      </c>
      <c r="AA16" s="414"/>
      <c r="AB16" s="414"/>
      <c r="AC16" s="414"/>
      <c r="AD16" s="415"/>
    </row>
    <row r="17" spans="2:30" s="76" customFormat="1" x14ac:dyDescent="0.25">
      <c r="B17" s="79" t="s">
        <v>8</v>
      </c>
      <c r="C17" s="81" t="s">
        <v>10</v>
      </c>
      <c r="D17" s="82" t="s">
        <v>11</v>
      </c>
      <c r="E17" s="82" t="s">
        <v>12</v>
      </c>
      <c r="F17" s="83" t="s">
        <v>13</v>
      </c>
      <c r="G17" s="24"/>
      <c r="H17" s="81" t="s">
        <v>15</v>
      </c>
      <c r="I17" s="82" t="s">
        <v>16</v>
      </c>
      <c r="J17" s="82" t="s">
        <v>17</v>
      </c>
      <c r="K17" s="82" t="s">
        <v>18</v>
      </c>
      <c r="L17" s="83" t="s">
        <v>19</v>
      </c>
      <c r="N17" s="127" t="s">
        <v>15</v>
      </c>
      <c r="O17" s="84" t="s">
        <v>16</v>
      </c>
      <c r="P17" s="84" t="s">
        <v>17</v>
      </c>
      <c r="Q17" s="84" t="s">
        <v>18</v>
      </c>
      <c r="R17" s="85" t="s">
        <v>19</v>
      </c>
      <c r="T17" s="127" t="s">
        <v>15</v>
      </c>
      <c r="U17" s="84" t="s">
        <v>16</v>
      </c>
      <c r="V17" s="84" t="s">
        <v>17</v>
      </c>
      <c r="W17" s="84" t="s">
        <v>18</v>
      </c>
      <c r="X17" s="85" t="s">
        <v>19</v>
      </c>
      <c r="Z17" s="127" t="s">
        <v>15</v>
      </c>
      <c r="AA17" s="84" t="s">
        <v>16</v>
      </c>
      <c r="AB17" s="84" t="s">
        <v>17</v>
      </c>
      <c r="AC17" s="84" t="s">
        <v>18</v>
      </c>
      <c r="AD17" s="85" t="s">
        <v>19</v>
      </c>
    </row>
    <row r="18" spans="2:30" s="76" customFormat="1" x14ac:dyDescent="0.25">
      <c r="B18" s="86" t="s">
        <v>135</v>
      </c>
      <c r="C18" s="89"/>
      <c r="D18" s="290">
        <f>+'Input Sheet'!H33</f>
        <v>1104</v>
      </c>
      <c r="E18" s="290">
        <f>+'Input Sheet'!I33</f>
        <v>1329</v>
      </c>
      <c r="F18" s="291">
        <f>+'Input Sheet'!J33</f>
        <v>1493</v>
      </c>
      <c r="G18" s="292"/>
      <c r="H18" s="293">
        <f>ROUND((($F$18+$F$19)*1.06),0)</f>
        <v>1587</v>
      </c>
      <c r="I18" s="290">
        <f>+H18+H19</f>
        <v>1682</v>
      </c>
      <c r="J18" s="290">
        <f>+I18+I19</f>
        <v>1783</v>
      </c>
      <c r="K18" s="290">
        <f>+J18+J19</f>
        <v>1890</v>
      </c>
      <c r="L18" s="291">
        <f>+K18+K19</f>
        <v>2003</v>
      </c>
      <c r="N18" s="274">
        <f>+H18*'Input Sheet'!G126</f>
        <v>407665.11525062809</v>
      </c>
      <c r="O18" s="275">
        <f>+I18*'Input Sheet'!H126</f>
        <v>450919.53706983652</v>
      </c>
      <c r="P18" s="275">
        <f>+J18*'Input Sheet'!I126</f>
        <v>494180.00626589637</v>
      </c>
      <c r="Q18" s="275">
        <f>+K18*'Input Sheet'!J126</f>
        <v>542290.1395604451</v>
      </c>
      <c r="R18" s="276">
        <f>+L18*'Input Sheet'!K126</f>
        <v>594503.78715011152</v>
      </c>
      <c r="S18" s="277"/>
      <c r="T18" s="274">
        <f>+N18*('Input Sheet'!G$140-1)</f>
        <v>478375.58890674333</v>
      </c>
      <c r="U18" s="275">
        <f>+O18*('Input Sheet'!H$140-1)</f>
        <v>568160.18599276815</v>
      </c>
      <c r="V18" s="275">
        <f>+P18*('Input Sheet'!I$140-1)</f>
        <v>628123.62386342767</v>
      </c>
      <c r="W18" s="275">
        <f>+Q18*('Input Sheet'!J$140-1)</f>
        <v>703554.27665202541</v>
      </c>
      <c r="X18" s="276">
        <f>+R18*('Input Sheet'!K$140-1)</f>
        <v>786289.88146100077</v>
      </c>
      <c r="Y18" s="277"/>
      <c r="Z18" s="274">
        <f>+N18+T18</f>
        <v>886040.70415737142</v>
      </c>
      <c r="AA18" s="275">
        <f t="shared" ref="AA18" si="2">+O18+U18</f>
        <v>1019079.7230626047</v>
      </c>
      <c r="AB18" s="275">
        <f t="shared" ref="AB18" si="3">+P18+V18</f>
        <v>1122303.630129324</v>
      </c>
      <c r="AC18" s="275">
        <f t="shared" ref="AC18" si="4">+Q18+W18</f>
        <v>1245844.4162124705</v>
      </c>
      <c r="AD18" s="276">
        <f t="shared" ref="AD18" si="5">+R18+X18</f>
        <v>1380793.6686111123</v>
      </c>
    </row>
    <row r="19" spans="2:30" s="76" customFormat="1" x14ac:dyDescent="0.25">
      <c r="B19" s="71" t="s">
        <v>134</v>
      </c>
      <c r="C19" s="167"/>
      <c r="D19" s="294">
        <f>+'Input Sheet'!H32</f>
        <v>225</v>
      </c>
      <c r="E19" s="294">
        <f>+'Input Sheet'!I32</f>
        <v>164</v>
      </c>
      <c r="F19" s="295">
        <f>+'Input Sheet'!J32</f>
        <v>4</v>
      </c>
      <c r="G19" s="292"/>
      <c r="H19" s="296">
        <f>ROUND((($F$18+$F$19)*1.06*1.06),0)-H18</f>
        <v>95</v>
      </c>
      <c r="I19" s="294">
        <f>ROUND((H18+H19)*1.06,0)-I18</f>
        <v>101</v>
      </c>
      <c r="J19" s="294">
        <f>ROUND((I18+I19)*1.06,0)-J18</f>
        <v>107</v>
      </c>
      <c r="K19" s="294">
        <f>ROUND((J18+J19)*1.06,0)-K18</f>
        <v>113</v>
      </c>
      <c r="L19" s="295">
        <f>ROUND((K18+K19)*1.06,0)-L18</f>
        <v>120</v>
      </c>
      <c r="N19" s="278">
        <f>+H19*'Input Sheet'!G127</f>
        <v>26662.352005845176</v>
      </c>
      <c r="O19" s="279">
        <f>+I19*'Input Sheet'!H127</f>
        <v>29583.030721326188</v>
      </c>
      <c r="P19" s="279">
        <f>+J19*'Input Sheet'!I127</f>
        <v>32401.553630770482</v>
      </c>
      <c r="Q19" s="279">
        <f>+K19*'Input Sheet'!J127</f>
        <v>35423.916606081817</v>
      </c>
      <c r="R19" s="280">
        <f>+L19*'Input Sheet'!K127</f>
        <v>38913.756054207275</v>
      </c>
      <c r="S19" s="277"/>
      <c r="T19" s="278">
        <f>+N19*('Input Sheet'!G$140-1)</f>
        <v>31286.999709537751</v>
      </c>
      <c r="U19" s="279">
        <f>+O19*('Input Sheet'!H$140-1)</f>
        <v>37274.721663380325</v>
      </c>
      <c r="V19" s="279">
        <f>+P19*('Input Sheet'!I$140-1)</f>
        <v>41183.740797506383</v>
      </c>
      <c r="W19" s="279">
        <f>+Q19*('Input Sheet'!J$140-1)</f>
        <v>45958.143447296847</v>
      </c>
      <c r="X19" s="280">
        <f>+R19*('Input Sheet'!K$140-1)</f>
        <v>51467.279597563116</v>
      </c>
      <c r="Y19" s="277"/>
      <c r="Z19" s="278">
        <f t="shared" ref="Z19" si="6">+N19+T19</f>
        <v>57949.351715382931</v>
      </c>
      <c r="AA19" s="279">
        <f t="shared" ref="AA19" si="7">+O19+U19</f>
        <v>66857.752384706517</v>
      </c>
      <c r="AB19" s="279">
        <f t="shared" ref="AB19" si="8">+P19+V19</f>
        <v>73585.294428276859</v>
      </c>
      <c r="AC19" s="279">
        <f t="shared" ref="AC19" si="9">+Q19+W19</f>
        <v>81382.060053378664</v>
      </c>
      <c r="AD19" s="280">
        <f t="shared" ref="AD19" si="10">+R19+X19</f>
        <v>90381.035651770391</v>
      </c>
    </row>
    <row r="20" spans="2:30" s="76" customFormat="1" x14ac:dyDescent="0.25">
      <c r="B20" s="94"/>
      <c r="C20" s="96"/>
      <c r="D20" s="297"/>
      <c r="E20" s="297"/>
      <c r="F20" s="298"/>
      <c r="G20" s="239"/>
      <c r="H20" s="299"/>
      <c r="I20" s="297"/>
      <c r="J20" s="297"/>
      <c r="K20" s="297"/>
      <c r="L20" s="298"/>
      <c r="N20" s="281"/>
      <c r="O20" s="282"/>
      <c r="P20" s="282"/>
      <c r="Q20" s="282"/>
      <c r="R20" s="283"/>
      <c r="S20" s="277"/>
      <c r="T20" s="281"/>
      <c r="U20" s="282"/>
      <c r="V20" s="282"/>
      <c r="W20" s="282"/>
      <c r="X20" s="283"/>
      <c r="Y20" s="277"/>
      <c r="Z20" s="281"/>
      <c r="AA20" s="282"/>
      <c r="AB20" s="282"/>
      <c r="AC20" s="282"/>
      <c r="AD20" s="283"/>
    </row>
    <row r="21" spans="2:30" s="76" customFormat="1" x14ac:dyDescent="0.25">
      <c r="C21" s="99"/>
      <c r="D21" s="300">
        <f>SUM(D18:D20)</f>
        <v>1329</v>
      </c>
      <c r="E21" s="300">
        <f>SUM(E18:E20)</f>
        <v>1493</v>
      </c>
      <c r="F21" s="301">
        <f>SUM(F18:F20)</f>
        <v>1497</v>
      </c>
      <c r="G21" s="302"/>
      <c r="H21" s="303">
        <f>SUM(H18:H20)</f>
        <v>1682</v>
      </c>
      <c r="I21" s="300">
        <f>SUM(I18:I20)</f>
        <v>1783</v>
      </c>
      <c r="J21" s="300">
        <f>SUM(J18:J20)</f>
        <v>1890</v>
      </c>
      <c r="K21" s="300">
        <f>SUM(K18:K20)</f>
        <v>2003</v>
      </c>
      <c r="L21" s="301">
        <f>SUM(L18:L20)</f>
        <v>2123</v>
      </c>
      <c r="N21" s="284">
        <f>SUM(N18:N20)</f>
        <v>434327.46725647326</v>
      </c>
      <c r="O21" s="285">
        <f>SUM(O18:O20)</f>
        <v>480502.5677911627</v>
      </c>
      <c r="P21" s="285">
        <f>SUM(P18:P20)</f>
        <v>526581.55989666691</v>
      </c>
      <c r="Q21" s="285">
        <f>SUM(Q18:Q20)</f>
        <v>577714.05616652686</v>
      </c>
      <c r="R21" s="286">
        <f>SUM(R18:R20)</f>
        <v>633417.54320431873</v>
      </c>
      <c r="S21" s="277"/>
      <c r="T21" s="284">
        <f>SUM(T18:T20)</f>
        <v>509662.58861628111</v>
      </c>
      <c r="U21" s="285">
        <f>SUM(U18:U20)</f>
        <v>605434.90765614843</v>
      </c>
      <c r="V21" s="285">
        <f>SUM(V18:V20)</f>
        <v>669307.36466093408</v>
      </c>
      <c r="W21" s="285">
        <f>SUM(W18:W20)</f>
        <v>749512.42009932222</v>
      </c>
      <c r="X21" s="286">
        <f>SUM(X18:X20)</f>
        <v>837757.16105856386</v>
      </c>
      <c r="Y21" s="277"/>
      <c r="Z21" s="284">
        <f>SUM(Z18:Z20)</f>
        <v>943990.05587275431</v>
      </c>
      <c r="AA21" s="285">
        <f>SUM(AA18:AA20)</f>
        <v>1085937.4754473111</v>
      </c>
      <c r="AB21" s="285">
        <f>SUM(AB18:AB20)</f>
        <v>1195888.9245576009</v>
      </c>
      <c r="AC21" s="285">
        <f>SUM(AC18:AC20)</f>
        <v>1327226.4762658491</v>
      </c>
      <c r="AD21" s="286">
        <f>SUM(AD18:AD20)</f>
        <v>1471174.7042628827</v>
      </c>
    </row>
    <row r="22" spans="2:30" s="76" customFormat="1" x14ac:dyDescent="0.25">
      <c r="C22" s="145"/>
      <c r="D22" s="145"/>
      <c r="E22" s="145"/>
      <c r="F22" s="145"/>
      <c r="I22" s="145"/>
      <c r="N22" s="277"/>
      <c r="O22" s="277"/>
      <c r="P22" s="277"/>
      <c r="Q22" s="277"/>
      <c r="R22" s="277"/>
      <c r="S22" s="277"/>
      <c r="T22" s="277"/>
      <c r="U22" s="277"/>
      <c r="V22" s="277"/>
      <c r="W22" s="277"/>
      <c r="X22" s="277"/>
      <c r="Y22" s="277"/>
      <c r="Z22" s="277"/>
      <c r="AA22" s="277"/>
      <c r="AB22" s="277"/>
      <c r="AC22" s="277"/>
      <c r="AD22" s="277"/>
    </row>
    <row r="23" spans="2:30" s="76" customFormat="1" hidden="1" x14ac:dyDescent="0.25">
      <c r="T23" s="68"/>
      <c r="U23" s="68"/>
      <c r="V23" s="68"/>
      <c r="W23" s="68"/>
      <c r="X23" s="68"/>
    </row>
    <row r="24" spans="2:30" hidden="1" x14ac:dyDescent="0.25"/>
    <row r="25" spans="2:30" hidden="1" x14ac:dyDescent="0.25"/>
    <row r="26" spans="2:30" hidden="1" x14ac:dyDescent="0.25"/>
    <row r="27" spans="2:30" hidden="1" x14ac:dyDescent="0.25"/>
    <row r="28" spans="2:30" hidden="1" x14ac:dyDescent="0.25"/>
    <row r="29" spans="2:30" hidden="1" x14ac:dyDescent="0.25"/>
    <row r="30" spans="2:30" hidden="1" x14ac:dyDescent="0.25"/>
    <row r="31" spans="2:30" hidden="1" x14ac:dyDescent="0.25"/>
    <row r="32" spans="2:30"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spans="5:15" hidden="1" x14ac:dyDescent="0.25"/>
    <row r="66" spans="5:15" hidden="1" x14ac:dyDescent="0.25"/>
    <row r="67" spans="5:15" x14ac:dyDescent="0.25">
      <c r="H67" s="76"/>
      <c r="I67" s="76"/>
      <c r="J67" s="76"/>
      <c r="K67" s="76"/>
      <c r="L67" s="76"/>
    </row>
    <row r="68" spans="5:15" x14ac:dyDescent="0.25">
      <c r="H68" s="76"/>
      <c r="I68" s="76"/>
      <c r="J68" s="26"/>
      <c r="K68" s="76"/>
      <c r="L68" s="76"/>
    </row>
    <row r="69" spans="5:15" x14ac:dyDescent="0.25">
      <c r="H69" s="76"/>
      <c r="I69" s="76"/>
      <c r="J69" s="26"/>
      <c r="K69" s="76"/>
      <c r="L69" s="76"/>
    </row>
    <row r="70" spans="5:15" x14ac:dyDescent="0.25">
      <c r="I70" s="223"/>
      <c r="J70" s="222"/>
    </row>
    <row r="71" spans="5:15" x14ac:dyDescent="0.25">
      <c r="E71" s="221"/>
      <c r="F71" s="76"/>
      <c r="H71" s="26"/>
      <c r="I71" s="76"/>
      <c r="N71" s="26"/>
      <c r="O71" s="76"/>
    </row>
    <row r="72" spans="5:15" x14ac:dyDescent="0.25">
      <c r="E72" s="76"/>
      <c r="F72" s="76"/>
      <c r="G72" s="76"/>
      <c r="H72" s="76"/>
      <c r="I72" s="76"/>
      <c r="J72" s="26"/>
      <c r="K72" s="76"/>
      <c r="N72" s="26"/>
    </row>
    <row r="73" spans="5:15" x14ac:dyDescent="0.25">
      <c r="G73" s="76"/>
      <c r="H73" s="76"/>
      <c r="I73" s="76"/>
      <c r="J73" s="26"/>
      <c r="K73" s="76"/>
    </row>
    <row r="74" spans="5:15" x14ac:dyDescent="0.25">
      <c r="J74" s="222"/>
    </row>
  </sheetData>
  <mergeCells count="10">
    <mergeCell ref="Z16:AD16"/>
    <mergeCell ref="C16:F16"/>
    <mergeCell ref="H16:L16"/>
    <mergeCell ref="C7:F7"/>
    <mergeCell ref="N7:R7"/>
    <mergeCell ref="H7:L7"/>
    <mergeCell ref="T7:X7"/>
    <mergeCell ref="N16:R16"/>
    <mergeCell ref="T16:X16"/>
    <mergeCell ref="Z7:AD7"/>
  </mergeCells>
  <pageMargins left="0.39370078740157483" right="0.39370078740157483" top="0.39370078740157483" bottom="0.39370078740157483" header="0.19685039370078741" footer="0.19685039370078741"/>
  <pageSetup paperSize="8" scale="63"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2014-04-03T23:13:20Z</cp:lastPrinted>
  <dcterms:created xsi:type="dcterms:W3CDTF">2013-06-17T01:25:32Z</dcterms:created>
  <dcterms:modified xsi:type="dcterms:W3CDTF">2015-01-04T23:45:36Z</dcterms:modified>
</cp:coreProperties>
</file>