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953"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Breakdown'!$A$1:$AG$32</definedName>
    <definedName name="TM1REBUILDOPTION">1</definedName>
  </definedNames>
  <calcPr calcId="145621" calcMode="manual" concurrentCalc="0"/>
</workbook>
</file>

<file path=xl/calcChain.xml><?xml version="1.0" encoding="utf-8"?>
<calcChain xmlns="http://schemas.openxmlformats.org/spreadsheetml/2006/main">
  <c r="G170" i="13" l="1"/>
  <c r="G151" i="13"/>
  <c r="T22" i="11"/>
  <c r="K161" i="13"/>
  <c r="Z22" i="11"/>
  <c r="AF22" i="11"/>
  <c r="K170" i="13"/>
  <c r="K151" i="13"/>
  <c r="T23" i="11"/>
  <c r="Z23" i="11"/>
  <c r="AF23" i="11"/>
  <c r="T24" i="11"/>
  <c r="Z24" i="11"/>
  <c r="AF24" i="11"/>
  <c r="T25" i="11"/>
  <c r="Z25" i="11"/>
  <c r="AF25" i="11"/>
  <c r="T26" i="11"/>
  <c r="Z26" i="11"/>
  <c r="AF26" i="11"/>
  <c r="T27" i="11"/>
  <c r="Z27" i="11"/>
  <c r="AF27" i="11"/>
  <c r="AF29" i="11"/>
  <c r="S22" i="11"/>
  <c r="J161" i="13"/>
  <c r="Y22" i="11"/>
  <c r="AE22" i="11"/>
  <c r="J170" i="13"/>
  <c r="J151" i="13"/>
  <c r="S23" i="11"/>
  <c r="Y23" i="11"/>
  <c r="AE23" i="11"/>
  <c r="S24" i="11"/>
  <c r="Y24" i="11"/>
  <c r="AE24" i="11"/>
  <c r="S25" i="11"/>
  <c r="Y25" i="11"/>
  <c r="AE25" i="11"/>
  <c r="S26" i="11"/>
  <c r="Y26" i="11"/>
  <c r="AE26" i="11"/>
  <c r="S27" i="11"/>
  <c r="Y27" i="11"/>
  <c r="AE27" i="11"/>
  <c r="AE29" i="11"/>
  <c r="R22" i="11"/>
  <c r="I161" i="13"/>
  <c r="X22" i="11"/>
  <c r="AD22" i="11"/>
  <c r="I170" i="13"/>
  <c r="I151" i="13"/>
  <c r="R23" i="11"/>
  <c r="X23" i="11"/>
  <c r="AD23" i="11"/>
  <c r="R24" i="11"/>
  <c r="X24" i="11"/>
  <c r="AD24" i="11"/>
  <c r="R25" i="11"/>
  <c r="X25" i="11"/>
  <c r="AD25" i="11"/>
  <c r="R26" i="11"/>
  <c r="X26" i="11"/>
  <c r="AD26" i="11"/>
  <c r="R27" i="11"/>
  <c r="X27" i="11"/>
  <c r="AD27" i="11"/>
  <c r="AD29" i="11"/>
  <c r="Q22" i="11"/>
  <c r="H161" i="13"/>
  <c r="W22" i="11"/>
  <c r="AC22" i="11"/>
  <c r="H170" i="13"/>
  <c r="H151" i="13"/>
  <c r="Q23" i="11"/>
  <c r="W23" i="11"/>
  <c r="AC23" i="11"/>
  <c r="Q24" i="11"/>
  <c r="W24" i="11"/>
  <c r="AC24" i="11"/>
  <c r="Q25" i="11"/>
  <c r="W25" i="11"/>
  <c r="AC25" i="11"/>
  <c r="Q26" i="11"/>
  <c r="W26" i="11"/>
  <c r="AC26" i="11"/>
  <c r="Q27" i="11"/>
  <c r="W27" i="11"/>
  <c r="AC27" i="11"/>
  <c r="AC29" i="11"/>
  <c r="P22" i="11"/>
  <c r="G161" i="13"/>
  <c r="V22" i="11"/>
  <c r="AB22" i="11"/>
  <c r="P23" i="11"/>
  <c r="V23" i="11"/>
  <c r="AB23" i="11"/>
  <c r="P24" i="11"/>
  <c r="V24" i="11"/>
  <c r="AB24" i="11"/>
  <c r="P25" i="11"/>
  <c r="V25" i="11"/>
  <c r="AB25" i="11"/>
  <c r="P26" i="11"/>
  <c r="V26" i="11"/>
  <c r="AB26" i="11"/>
  <c r="P27" i="11"/>
  <c r="V27" i="11"/>
  <c r="AB27" i="11"/>
  <c r="AB29" i="11"/>
  <c r="Z29" i="11"/>
  <c r="Y29" i="11"/>
  <c r="X29" i="11"/>
  <c r="W29" i="11"/>
  <c r="V29" i="11"/>
  <c r="T29" i="11"/>
  <c r="S29" i="11"/>
  <c r="R29" i="11"/>
  <c r="Q29" i="11"/>
  <c r="P29" i="11"/>
  <c r="H115" i="13"/>
  <c r="J124" i="13"/>
  <c r="I124" i="13"/>
  <c r="H124" i="13"/>
  <c r="H39" i="13"/>
  <c r="H127" i="13"/>
  <c r="H87" i="13"/>
  <c r="J125" i="13"/>
  <c r="I125" i="13"/>
  <c r="H125" i="13"/>
  <c r="H128" i="13"/>
  <c r="H129" i="13"/>
  <c r="H130" i="13"/>
  <c r="H27" i="13"/>
  <c r="H135" i="13"/>
  <c r="E26" i="8"/>
  <c r="E10" i="11"/>
  <c r="K10" i="13"/>
  <c r="F10" i="11"/>
  <c r="E11" i="11"/>
  <c r="K11" i="13"/>
  <c r="F11" i="11"/>
  <c r="E12" i="11"/>
  <c r="K12" i="13"/>
  <c r="F12" i="11"/>
  <c r="E13" i="11"/>
  <c r="K13" i="13"/>
  <c r="F13" i="11"/>
  <c r="E14" i="11"/>
  <c r="K14" i="13"/>
  <c r="F14" i="11"/>
  <c r="K9" i="13"/>
  <c r="F9" i="11"/>
  <c r="E9" i="11"/>
  <c r="I9" i="13"/>
  <c r="D9" i="11"/>
  <c r="C22" i="11"/>
  <c r="D22" i="11"/>
  <c r="E22" i="11"/>
  <c r="F22" i="11"/>
  <c r="H22" i="11"/>
  <c r="N9" i="11"/>
  <c r="AB9" i="11"/>
  <c r="H136" i="13"/>
  <c r="H137" i="13"/>
  <c r="H138" i="13"/>
  <c r="I138" i="13"/>
  <c r="H139" i="13"/>
  <c r="I39" i="13"/>
  <c r="I127" i="13"/>
  <c r="I128" i="13"/>
  <c r="I129" i="13"/>
  <c r="I130" i="13"/>
  <c r="I27" i="13"/>
  <c r="I135" i="13"/>
  <c r="I136" i="13"/>
  <c r="I137" i="13"/>
  <c r="I139" i="13"/>
  <c r="J39" i="13"/>
  <c r="J127" i="13"/>
  <c r="J128" i="13"/>
  <c r="J129" i="13"/>
  <c r="J130" i="13"/>
  <c r="J27" i="13"/>
  <c r="J135" i="13"/>
  <c r="J136" i="13"/>
  <c r="J137" i="13"/>
  <c r="J139" i="13"/>
  <c r="J141" i="13"/>
  <c r="K163" i="13"/>
  <c r="J143" i="13"/>
  <c r="J145" i="13"/>
  <c r="G152" i="13"/>
  <c r="H10" i="11"/>
  <c r="P10" i="11"/>
  <c r="C23" i="11"/>
  <c r="D23" i="11"/>
  <c r="E23" i="11"/>
  <c r="F23" i="11"/>
  <c r="H23" i="11"/>
  <c r="AB10" i="11"/>
  <c r="H11" i="11"/>
  <c r="P11" i="11"/>
  <c r="C24" i="11"/>
  <c r="D24" i="11"/>
  <c r="E24" i="11"/>
  <c r="F24" i="11"/>
  <c r="H24" i="11"/>
  <c r="AB11" i="11"/>
  <c r="H12" i="11"/>
  <c r="P12" i="11"/>
  <c r="C25" i="11"/>
  <c r="D25" i="11"/>
  <c r="E25" i="11"/>
  <c r="F25" i="11"/>
  <c r="H25" i="11"/>
  <c r="AB12" i="11"/>
  <c r="H13" i="11"/>
  <c r="P13" i="11"/>
  <c r="C26" i="11"/>
  <c r="D26" i="11"/>
  <c r="E26" i="11"/>
  <c r="F26" i="11"/>
  <c r="H26" i="11"/>
  <c r="AB13" i="11"/>
  <c r="H14" i="11"/>
  <c r="P14" i="11"/>
  <c r="C27" i="11"/>
  <c r="D27" i="11"/>
  <c r="E27" i="11"/>
  <c r="F27" i="11"/>
  <c r="H27" i="11"/>
  <c r="AB14" i="11"/>
  <c r="AB16" i="11"/>
  <c r="C33" i="8"/>
  <c r="I22" i="11"/>
  <c r="AC9" i="11"/>
  <c r="H152" i="13"/>
  <c r="I10" i="11"/>
  <c r="Q10" i="11"/>
  <c r="I23" i="11"/>
  <c r="AC10" i="11"/>
  <c r="I11" i="11"/>
  <c r="Q11" i="11"/>
  <c r="I24" i="11"/>
  <c r="AC11" i="11"/>
  <c r="I12" i="11"/>
  <c r="Q12" i="11"/>
  <c r="I25" i="11"/>
  <c r="AC12" i="11"/>
  <c r="I13" i="11"/>
  <c r="Q13" i="11"/>
  <c r="I26" i="11"/>
  <c r="AC13" i="11"/>
  <c r="I14" i="11"/>
  <c r="Q14" i="11"/>
  <c r="I27" i="11"/>
  <c r="AC14" i="11"/>
  <c r="AC16" i="11"/>
  <c r="D33" i="8"/>
  <c r="J22" i="11"/>
  <c r="AD9" i="11"/>
  <c r="I152" i="13"/>
  <c r="J10" i="11"/>
  <c r="R10" i="11"/>
  <c r="J23" i="11"/>
  <c r="AD10" i="11"/>
  <c r="J11" i="11"/>
  <c r="R11" i="11"/>
  <c r="J24" i="11"/>
  <c r="AD11" i="11"/>
  <c r="J12" i="11"/>
  <c r="R12" i="11"/>
  <c r="J25" i="11"/>
  <c r="AD12" i="11"/>
  <c r="J13" i="11"/>
  <c r="R13" i="11"/>
  <c r="J26" i="11"/>
  <c r="AD13" i="11"/>
  <c r="J14" i="11"/>
  <c r="R14" i="11"/>
  <c r="J27" i="11"/>
  <c r="AD14" i="11"/>
  <c r="AD16" i="11"/>
  <c r="E33" i="8"/>
  <c r="K22" i="11"/>
  <c r="AE9" i="11"/>
  <c r="J152" i="13"/>
  <c r="K10" i="11"/>
  <c r="S10" i="11"/>
  <c r="K23" i="11"/>
  <c r="AE10" i="11"/>
  <c r="K11" i="11"/>
  <c r="S11" i="11"/>
  <c r="K24" i="11"/>
  <c r="AE11" i="11"/>
  <c r="K12" i="11"/>
  <c r="S12" i="11"/>
  <c r="K25" i="11"/>
  <c r="AE12" i="11"/>
  <c r="K13" i="11"/>
  <c r="S13" i="11"/>
  <c r="K26" i="11"/>
  <c r="AE13" i="11"/>
  <c r="K14" i="11"/>
  <c r="S14" i="11"/>
  <c r="K27" i="11"/>
  <c r="AE14" i="11"/>
  <c r="AE16" i="11"/>
  <c r="F33" i="8"/>
  <c r="L22" i="11"/>
  <c r="AF9" i="11"/>
  <c r="K152" i="13"/>
  <c r="L10" i="11"/>
  <c r="T10" i="11"/>
  <c r="L23" i="11"/>
  <c r="AF10" i="11"/>
  <c r="L11" i="11"/>
  <c r="T11" i="11"/>
  <c r="L24" i="11"/>
  <c r="AF11" i="11"/>
  <c r="L12" i="11"/>
  <c r="T12" i="11"/>
  <c r="L25" i="11"/>
  <c r="AF12" i="11"/>
  <c r="L13" i="11"/>
  <c r="T13" i="11"/>
  <c r="L26" i="11"/>
  <c r="AF13" i="11"/>
  <c r="L14" i="11"/>
  <c r="T14" i="11"/>
  <c r="L27" i="11"/>
  <c r="AF14" i="11"/>
  <c r="AF16" i="11"/>
  <c r="G33" i="8"/>
  <c r="H33" i="8"/>
  <c r="F151" i="13"/>
  <c r="G26" i="8"/>
  <c r="F26" i="8"/>
  <c r="N22" i="11"/>
  <c r="L29" i="11"/>
  <c r="K29" i="11"/>
  <c r="J29" i="11"/>
  <c r="I29" i="11"/>
  <c r="H29" i="11"/>
  <c r="G39" i="13"/>
  <c r="F152" i="13"/>
  <c r="K172" i="13"/>
  <c r="B5" i="11"/>
  <c r="H8" i="8"/>
  <c r="G8" i="8"/>
  <c r="F8" i="8"/>
  <c r="E8" i="8"/>
  <c r="D8" i="8"/>
  <c r="L9" i="11"/>
  <c r="T9" i="11"/>
  <c r="K9" i="11"/>
  <c r="S9" i="11"/>
  <c r="J9" i="11"/>
  <c r="R9" i="11"/>
  <c r="I9" i="11"/>
  <c r="Q9" i="11"/>
  <c r="H9" i="11"/>
  <c r="P9" i="11"/>
  <c r="F129" i="13"/>
  <c r="F128" i="13"/>
  <c r="F127" i="13"/>
  <c r="B3" i="13"/>
  <c r="D39" i="8"/>
  <c r="E39" i="8"/>
  <c r="F39" i="8"/>
  <c r="G39" i="8"/>
  <c r="C39" i="8"/>
  <c r="D36" i="8"/>
  <c r="E36" i="8"/>
  <c r="F36" i="8"/>
  <c r="G36" i="8"/>
  <c r="C36" i="8"/>
  <c r="D35" i="8"/>
  <c r="E35" i="8"/>
  <c r="F35" i="8"/>
  <c r="G35" i="8"/>
  <c r="C35" i="8"/>
  <c r="F27" i="8"/>
  <c r="G27" i="8"/>
  <c r="E27" i="8"/>
  <c r="E25" i="8"/>
  <c r="F25" i="8"/>
  <c r="G25" i="8"/>
  <c r="H25" i="8"/>
  <c r="C3" i="11"/>
  <c r="K39" i="13"/>
  <c r="F29" i="11"/>
  <c r="E29" i="11"/>
  <c r="D29" i="11"/>
  <c r="C29" i="11"/>
  <c r="K154" i="13"/>
  <c r="J154" i="13"/>
  <c r="I154" i="13"/>
  <c r="H154" i="13"/>
  <c r="H35" i="8"/>
  <c r="H36" i="8"/>
  <c r="H37" i="8"/>
  <c r="G37" i="8"/>
  <c r="F37" i="8"/>
  <c r="E37" i="8"/>
  <c r="D37" i="8"/>
  <c r="C37" i="8"/>
  <c r="C45" i="8"/>
  <c r="D45" i="8"/>
  <c r="E45" i="8"/>
  <c r="F45" i="8"/>
  <c r="G45" i="8"/>
  <c r="H45" i="8"/>
  <c r="H27" i="8"/>
  <c r="H26" i="8"/>
  <c r="H39" i="8"/>
  <c r="J138" i="13"/>
  <c r="G27" i="13"/>
  <c r="D3" i="9"/>
</calcChain>
</file>

<file path=xl/comments1.xml><?xml version="1.0" encoding="utf-8"?>
<comments xmlns="http://schemas.openxmlformats.org/spreadsheetml/2006/main">
  <authors>
    <author>moorsc</author>
    <author>Jacob Muscat</author>
  </authors>
  <commentList>
    <comment ref="N9" authorId="0">
      <text>
        <r>
          <rPr>
            <b/>
            <sz val="9"/>
            <color indexed="81"/>
            <rFont val="Tahoma"/>
            <family val="2"/>
          </rPr>
          <t>moorsc:</t>
        </r>
        <r>
          <rPr>
            <sz val="9"/>
            <color indexed="81"/>
            <rFont val="Tahoma"/>
            <family val="2"/>
          </rPr>
          <t xml:space="preserve">
As there is no historical billing data to derive the actual average lots per job, we have assumed the average that was used in the previous AER Determination.</t>
        </r>
      </text>
    </comment>
    <comment ref="F21" authorId="1">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 ref="N22" authorId="0">
      <text>
        <r>
          <rPr>
            <b/>
            <sz val="9"/>
            <color indexed="81"/>
            <rFont val="Tahoma"/>
            <family val="2"/>
          </rPr>
          <t>moorsc:</t>
        </r>
        <r>
          <rPr>
            <sz val="9"/>
            <color indexed="81"/>
            <rFont val="Tahoma"/>
            <family val="2"/>
          </rPr>
          <t xml:space="preserve">
As there is no historical billing data to derive the actual average lots per job, we have assumed the average that was used in the previous AER Determination.</t>
        </r>
      </text>
    </comment>
  </commentList>
</comments>
</file>

<file path=xl/sharedStrings.xml><?xml version="1.0" encoding="utf-8"?>
<sst xmlns="http://schemas.openxmlformats.org/spreadsheetml/2006/main" count="360" uniqueCount="148">
  <si>
    <t>Service:</t>
  </si>
  <si>
    <t>Total</t>
  </si>
  <si>
    <t>Historical Revenue</t>
  </si>
  <si>
    <t>Description</t>
  </si>
  <si>
    <t>Volumes</t>
  </si>
  <si>
    <t>Source</t>
  </si>
  <si>
    <t>Current Fee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</si>
  <si>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</si>
  <si>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</si>
  <si>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</si>
  <si>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</si>
  <si>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</si>
  <si>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</si>
  <si>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</si>
  <si>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</si>
  <si>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</si>
  <si>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</si>
  <si>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</si>
  <si>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</si>
  <si>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</si>
  <si>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</si>
  <si>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</si>
  <si>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</si>
  <si>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</si>
  <si>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</si>
  <si>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</si>
  <si>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</si>
  <si>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</si>
  <si>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</si>
  <si>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</si>
  <si>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</si>
  <si>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</si>
  <si>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</si>
  <si>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</si>
  <si>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AVERAGE</t>
  </si>
  <si>
    <t>No. of People</t>
  </si>
  <si>
    <t>Average hourly Rate
12/13$</t>
  </si>
  <si>
    <t>Assumed annual labour growth</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</si>
  <si>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</si>
  <si>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</si>
  <si>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</si>
  <si>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</si>
  <si>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</si>
  <si>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</si>
  <si>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</si>
  <si>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</si>
  <si>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</si>
  <si>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</si>
  <si>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</si>
  <si>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</si>
  <si>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</si>
  <si>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</si>
  <si>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</si>
  <si>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</si>
  <si>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</si>
  <si>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</si>
  <si>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</si>
  <si>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</si>
  <si>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</si>
  <si>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</si>
  <si>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</si>
  <si>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2012/13 YTD May Extrapolated</t>
  </si>
  <si>
    <t>Labour Growth Rates</t>
  </si>
  <si>
    <t>Growth</t>
  </si>
  <si>
    <t>Total Volumes</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</si>
  <si>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</si>
  <si>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</si>
  <si>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</si>
  <si>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</si>
  <si>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</si>
  <si>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</si>
  <si>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</si>
  <si>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</si>
  <si>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</si>
  <si>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</si>
  <si>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</si>
  <si>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CAM projects invoiced</t>
  </si>
  <si>
    <t xml:space="preserve">Existing Service Description (2009-14) </t>
  </si>
  <si>
    <t>Updated Service Description (2015-19)</t>
  </si>
  <si>
    <t>Access Permits</t>
  </si>
  <si>
    <t>Revenue related to this service is billed through Endeavour Energy's Ellipse billing system and is extracted from the general ledger.</t>
  </si>
  <si>
    <t>NCI10002</t>
  </si>
  <si>
    <t>NCI10009</t>
  </si>
  <si>
    <t>SWITCHING/ASSISTING DO</t>
  </si>
  <si>
    <t>PROVISION OF ACCESS TO NETWORK</t>
  </si>
  <si>
    <t>Subdivision - URD (Per Lot)</t>
  </si>
  <si>
    <t>Other - Industrial &amp; Commercial (Per Request)</t>
  </si>
  <si>
    <t>Other - Non Urban (Per Request)</t>
  </si>
  <si>
    <t>Other - URD (Per Request)</t>
  </si>
  <si>
    <t>Other - Asset Relocation (Per Request)</t>
  </si>
  <si>
    <t>Other - Public Lighting (Per Request)</t>
  </si>
  <si>
    <t xml:space="preserve">DISTRICT OPERATOR                       </t>
  </si>
  <si>
    <t xml:space="preserve">SYSTEM OPERATOR                         </t>
  </si>
  <si>
    <t>Accept, write, check and schedule average job - SYSTEM OPERATOR</t>
  </si>
  <si>
    <t>Carry out work on the day to switch in the field and issue an AA - DISTRICT OPERATOR</t>
  </si>
  <si>
    <t>Restore the job and system to normal - DISTRICT OPERATOR</t>
  </si>
  <si>
    <t>Avg Hourly Rate (Nominal) - System Operator</t>
  </si>
  <si>
    <t>Avg Hourly Rate (Nominal) - District operator</t>
  </si>
  <si>
    <t>These calculations represent the costs of System Operations related to this service.  These calculations were based on information provided by the Control Room Manager as individual work orders which captured the costs do not exist.
System Operations branch identified which employee positions carried out this type of work and provided and an estimate for the number of hours required to complete each task.</t>
  </si>
  <si>
    <t>Estimated Costs (Sytem Operations)</t>
  </si>
  <si>
    <t>Average Unit Rates - 2012/13 Dollars</t>
  </si>
  <si>
    <t>Average Unit Rates - Forecast Nominal</t>
  </si>
  <si>
    <t>Unit rate (excl overheads)</t>
  </si>
  <si>
    <t>Unit rate (incl overheads)</t>
  </si>
  <si>
    <t>Average lots per job</t>
  </si>
  <si>
    <t>Proposed Unit Rates</t>
  </si>
  <si>
    <t>The provision of an access permit by a distributor to a person authorised to work on or near distribution systems including high voltage.</t>
  </si>
  <si>
    <t xml:space="preserve">Historic revenue was extracted from Endeavour Energy's general ledger via an account code combination specifically set up to capture this revenue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the number of invoices that were raised throughout the year for this service. </t>
  </si>
  <si>
    <t>Work orders relating to this service were identified and extracted from the general ledger. These work orders capture the costs associated with performing this ancillary network service.</t>
  </si>
  <si>
    <t>Average Hourly Rates for Estimated Costs</t>
  </si>
  <si>
    <t>Payroll data was extracted as at 14/06/13 and provided by the Budgeting &amp; Forecasting Manager.  These hourly labour rates represent 2012/13 labour costs and are used to calculate an average hourly labour rate for those individuals involved in this service.</t>
  </si>
  <si>
    <t>Proposed Revenue (Nominal)</t>
  </si>
  <si>
    <t>2008/09</t>
  </si>
  <si>
    <t>2009-14 Current Fees</t>
  </si>
  <si>
    <t>Current Fees approved by the AER for the 2009-14 Regulatory Control Period.</t>
  </si>
  <si>
    <t>N/A</t>
  </si>
  <si>
    <t>Hours per Person</t>
  </si>
  <si>
    <t>The calculation of an Access Permits relies on an average unit rate.  An average unit rate is calculated for the historic period by dividing historic costs by historic volumes.  This is converted to 2012/13 real dollars and an average of the three years calculated.  This is inflated by the overhead factor derived from the CAM to calculate a fully loaded unit rate.</t>
  </si>
  <si>
    <t>Pricing Mechanism:</t>
  </si>
  <si>
    <t>Per Job - Refer to the Fee Breakdown schedule for specific fees</t>
  </si>
  <si>
    <t>$1,181 per job - Refer to the Fee Breakdown schedule for specific fees</t>
  </si>
  <si>
    <t>2015-19 Pricing Methodology for Service (Summary)</t>
  </si>
  <si>
    <t>2) Where available, the work orders used to capture the costs associated with the provision of this service were identified and extracted from the general ledger over a 3 year historic period (2010/11 to 2012/13). Adjustments were made to remove costs that were not relevant to the service.</t>
  </si>
  <si>
    <t>Current Fee (Excl GST):</t>
  </si>
  <si>
    <t>Proposed Fee (Excl GST):</t>
  </si>
  <si>
    <t xml:space="preserve">The provision of a permit by a DNSP to a person authorised by law to work on, or near, a distribution systems.
This may include without limitation:
• Researching and documenting the request for access;
• Documenting the actual switching process;
• Programming the work;
• Control room activities; 
• Fitting and removing of operational earths;
• The actual switching together with any operator's transport costs;
• Identification of any customers who will be interrupted; and
• Low voltage switching and paralleling of substations that permits high voltage work without disrupting supply to other customers.
</t>
  </si>
  <si>
    <t>This service fee includes High Voltage access and may include without limitation:
• Access to the low voltage network (e.g direct distributors);
• Researching and documenting the request for access including a site visit as required;
• Documenting the actual switching process;
• Programming the work;
• Control room activities; 
• Fitting and removing of access permit / authority earths;
• The actual switching of the High Voltage network including travel costs;
• Identification of any customers who will be interrupted for carding by the ASP;
• Low voltage switching and paralleling of substations that permits high voltage work without disrupting supply to other customers;
• Excludes provision of MG and Live Line to maintain supply. These are services in addition and covered by another quoted service;
• Cable ID, stab, cut and phase;
• Reinstate network and testing; and
• Travel costs.
This activity may be commonly referred to as system switching.</t>
  </si>
  <si>
    <t>The average unit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</si>
  <si>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</si>
  <si>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</si>
  <si>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</si>
  <si>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</si>
  <si>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Average Unit Rate (Real 2012/13$)</t>
  </si>
  <si>
    <t>Based on the following unit rates for the 2015-19 regulatory period - Refer to the Fee Breakdown schedule for specific fees</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</si>
  <si>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</si>
  <si>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4) Historic work order data and estimates provided by internal stakeholders were combined and used to derive an average unit rate for each year in the historic analysis period. These unit rates were converted to real 2012/13 dollars using actual award wage increases for the period, and an average 2012/13 unit rate derived based on the 3 years data.</t>
  </si>
  <si>
    <t>5)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the forecast unit rates in nominal dollars over the 2015-19 regulatory period.</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</si>
  <si>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</si>
  <si>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</si>
  <si>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Unit Rate (2012/13$) - Excl OH</t>
  </si>
  <si>
    <t>Average Unit Rate (2012/13$) - Incl OH</t>
  </si>
  <si>
    <t>Average Unit Rate (Nominal)</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</si>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</sst>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3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75">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0" fontId="11" fillId="0" borderId="7" xfId="0" applyFont="1" applyBorder="1" applyAlignment="1">
      <alignment horizontal="center"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8"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67" fontId="19" fillId="0" borderId="7" xfId="0" applyNumberFormat="1" applyFont="1" applyBorder="1" applyAlignment="1">
      <alignment horizontal="center"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1" fillId="2" borderId="7" xfId="0" applyFont="1" applyFill="1" applyBorder="1" applyAlignment="1">
      <alignment horizontal="center" vertical="center"/>
    </xf>
    <xf numFmtId="170" fontId="19" fillId="2" borderId="23" xfId="0" applyNumberFormat="1" applyFont="1" applyFill="1" applyBorder="1" applyAlignment="1">
      <alignment horizontal="right" vertical="center"/>
    </xf>
    <xf numFmtId="170" fontId="11" fillId="2" borderId="7" xfId="0" applyNumberFormat="1" applyFont="1" applyFill="1" applyBorder="1" applyAlignment="1">
      <alignmen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70" fontId="19" fillId="4" borderId="8" xfId="0" quotePrefix="1" applyNumberFormat="1"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9"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21" xfId="0" applyFont="1" applyBorder="1" applyAlignment="1">
      <alignment horizontal="left"/>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67" fontId="19" fillId="5" borderId="10" xfId="0" applyNumberFormat="1" applyFont="1" applyFill="1" applyBorder="1" applyAlignment="1">
      <alignment vertical="center"/>
    </xf>
    <xf numFmtId="0" fontId="11" fillId="2" borderId="21" xfId="0" applyFont="1" applyFill="1" applyBorder="1" applyAlignment="1">
      <alignment vertical="center"/>
    </xf>
    <xf numFmtId="0" fontId="11" fillId="2" borderId="17" xfId="0" applyFont="1" applyFill="1" applyBorder="1" applyAlignment="1">
      <alignment vertical="center"/>
    </xf>
    <xf numFmtId="170" fontId="19" fillId="5" borderId="8" xfId="0" quotePrefix="1" applyNumberFormat="1" applyFont="1" applyFill="1" applyBorder="1" applyAlignment="1">
      <alignment horizontal="center" vertical="center"/>
    </xf>
    <xf numFmtId="167" fontId="11" fillId="0" borderId="18" xfId="0" applyNumberFormat="1" applyFont="1" applyBorder="1" applyAlignment="1">
      <alignment vertical="center"/>
    </xf>
    <xf numFmtId="167" fontId="11" fillId="0" borderId="19" xfId="0" applyNumberFormat="1" applyFont="1" applyBorder="1" applyAlignment="1">
      <alignment vertical="center"/>
    </xf>
    <xf numFmtId="167" fontId="11" fillId="0" borderId="20" xfId="0" applyNumberFormat="1" applyFont="1" applyBorder="1" applyAlignment="1">
      <alignment vertical="center"/>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7" fillId="4" borderId="0" xfId="0" applyFont="1" applyFill="1" applyBorder="1" applyAlignment="1">
      <alignment horizontal="left" vertical="top" wrapText="1"/>
    </xf>
    <xf numFmtId="170" fontId="18" fillId="5" borderId="11" xfId="0" applyNumberFormat="1" applyFont="1" applyFill="1" applyBorder="1" applyAlignment="1">
      <alignment horizontal="center" vertical="center"/>
    </xf>
    <xf numFmtId="0" fontId="14" fillId="3" borderId="0" xfId="0" applyFont="1" applyFill="1" applyBorder="1" applyAlignment="1">
      <alignment horizontal="center"/>
    </xf>
    <xf numFmtId="0" fontId="20" fillId="4" borderId="0" xfId="0" applyFont="1" applyFill="1" applyBorder="1" applyAlignment="1">
      <alignment horizontal="left" vertical="top" wrapText="1"/>
    </xf>
    <xf numFmtId="164" fontId="7" fillId="4" borderId="0" xfId="2" applyFont="1" applyFill="1" applyBorder="1" applyAlignment="1">
      <alignment horizontal="left" vertical="top" wrapText="1"/>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0" xfId="0" applyFont="1" applyBorder="1" applyAlignment="1">
      <alignment horizontal="righ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1" fillId="0" borderId="10" xfId="0" applyNumberFormat="1" applyFont="1" applyBorder="1" applyAlignment="1">
      <alignment vertical="center"/>
    </xf>
    <xf numFmtId="170" fontId="19" fillId="5" borderId="7" xfId="0" quotePrefix="1" applyNumberFormat="1" applyFont="1" applyFill="1" applyBorder="1" applyAlignment="1">
      <alignment horizontal="center" vertical="top" wrapText="1"/>
    </xf>
    <xf numFmtId="170" fontId="19" fillId="5" borderId="12" xfId="0" quotePrefix="1" applyNumberFormat="1" applyFont="1" applyFill="1" applyBorder="1" applyAlignment="1">
      <alignment horizontal="center" vertical="top" wrapText="1"/>
    </xf>
    <xf numFmtId="0" fontId="18" fillId="5" borderId="13" xfId="0" quotePrefix="1" applyFont="1" applyFill="1" applyBorder="1" applyAlignment="1">
      <alignment horizontal="center" vertical="top" wrapText="1"/>
    </xf>
    <xf numFmtId="168" fontId="11" fillId="0" borderId="8" xfId="0" applyNumberFormat="1" applyFont="1" applyBorder="1" applyAlignment="1">
      <alignment horizontal="center" vertical="center"/>
    </xf>
    <xf numFmtId="168" fontId="11" fillId="0" borderId="9" xfId="0" applyNumberFormat="1" applyFont="1" applyBorder="1" applyAlignment="1">
      <alignment horizontal="center"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70" fontId="18" fillId="3" borderId="11" xfId="0" applyNumberFormat="1" applyFont="1" applyFill="1" applyBorder="1" applyAlignment="1">
      <alignment horizontal="right" vertical="center"/>
    </xf>
    <xf numFmtId="170" fontId="18" fillId="3" borderId="12" xfId="0" applyNumberFormat="1" applyFont="1" applyFill="1" applyBorder="1" applyAlignment="1">
      <alignment horizontal="right" vertical="center"/>
    </xf>
    <xf numFmtId="170" fontId="18" fillId="3" borderId="13" xfId="0" applyNumberFormat="1" applyFont="1" applyFill="1" applyBorder="1" applyAlignment="1">
      <alignment horizontal="right" vertical="center"/>
    </xf>
    <xf numFmtId="170" fontId="18" fillId="5" borderId="11" xfId="0" applyNumberFormat="1" applyFont="1" applyFill="1" applyBorder="1" applyAlignment="1">
      <alignment horizontal="center" vertical="center"/>
    </xf>
    <xf numFmtId="170" fontId="18" fillId="5" borderId="13" xfId="0" applyNumberFormat="1" applyFont="1" applyFill="1" applyBorder="1" applyAlignment="1">
      <alignment horizontal="left"/>
    </xf>
    <xf numFmtId="0" fontId="11" fillId="0" borderId="0" xfId="0" applyFont="1" applyBorder="1" applyAlignment="1">
      <alignment vertical="top" wrapText="1"/>
    </xf>
    <xf numFmtId="0" fontId="21" fillId="7" borderId="18" xfId="0" applyFont="1" applyFill="1" applyBorder="1" applyAlignment="1">
      <alignment horizontal="center" vertical="center"/>
    </xf>
    <xf numFmtId="0" fontId="21" fillId="7" borderId="19" xfId="0" applyFont="1" applyFill="1" applyBorder="1" applyAlignment="1">
      <alignment horizontal="center" vertical="center"/>
    </xf>
    <xf numFmtId="0" fontId="21" fillId="7" borderId="20" xfId="0" applyFont="1" applyFill="1" applyBorder="1" applyAlignment="1">
      <alignment horizontal="center" vertical="center"/>
    </xf>
    <xf numFmtId="167" fontId="19" fillId="2" borderId="7" xfId="0" applyNumberFormat="1" applyFont="1" applyFill="1" applyBorder="1" applyAlignment="1">
      <alignment horizontal="left" vertical="center"/>
    </xf>
    <xf numFmtId="0" fontId="11" fillId="0" borderId="11" xfId="0" applyFont="1" applyBorder="1" applyAlignment="1">
      <alignment horizontal="left" vertical="center" wrapText="1"/>
    </xf>
    <xf numFmtId="0" fontId="11" fillId="0" borderId="13" xfId="0" applyFont="1" applyBorder="1" applyAlignment="1">
      <alignment horizontal="left" vertical="center" wrapText="1"/>
    </xf>
    <xf numFmtId="170" fontId="18" fillId="5" borderId="11"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21"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168" fontId="11" fillId="2" borderId="8" xfId="0" applyNumberFormat="1" applyFont="1" applyFill="1" applyBorder="1" applyAlignment="1">
      <alignment horizontal="center" vertical="center"/>
    </xf>
    <xf numFmtId="168" fontId="11" fillId="2" borderId="9" xfId="0" applyNumberFormat="1" applyFont="1" applyFill="1" applyBorder="1" applyAlignment="1">
      <alignment horizontal="center" vertical="center"/>
    </xf>
    <xf numFmtId="168" fontId="11" fillId="2" borderId="10" xfId="0" applyNumberFormat="1" applyFont="1" applyFill="1" applyBorder="1" applyAlignment="1">
      <alignment horizontal="center" vertical="center"/>
    </xf>
    <xf numFmtId="0" fontId="21" fillId="7" borderId="27" xfId="0" applyFont="1" applyFill="1" applyBorder="1" applyAlignment="1">
      <alignment horizontal="center" vertical="center"/>
    </xf>
    <xf numFmtId="0" fontId="21" fillId="7" borderId="28" xfId="0" applyFont="1" applyFill="1" applyBorder="1" applyAlignment="1">
      <alignment horizontal="center" vertical="center"/>
    </xf>
    <xf numFmtId="0" fontId="21" fillId="7" borderId="29" xfId="0" applyFont="1" applyFill="1" applyBorder="1" applyAlignment="1">
      <alignment horizontal="center"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170" fontId="18" fillId="5" borderId="12" xfId="0" applyNumberFormat="1" applyFont="1" applyFill="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7" fillId="0" borderId="0" xfId="2" applyNumberFormat="1" applyFont="1" applyAlignment="1">
      <alignment horizontal="left" vertical="top"/>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44</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64"/>
  <sheetViews>
    <sheetView showGridLines="0" zoomScaleNormal="100" workbookViewId="0"/>
  </sheetViews>
  <sheetFormatPr defaultColWidth="9.140625" defaultRowHeight="12.75" zeroHeight="1" x14ac:dyDescent="0.25"/>
  <cols>
    <col min="1" max="1" width="2.85546875" style="27" customWidth="1"/>
    <col min="2" max="2" width="21.140625" style="27" bestFit="1" customWidth="1"/>
    <col min="3" max="3" width="16.85546875" style="27" customWidth="1"/>
    <col min="4" max="4" width="13.42578125" style="27" bestFit="1" customWidth="1"/>
    <col min="5" max="5" width="13.42578125" style="27" customWidth="1"/>
    <col min="6" max="6" width="12.7109375" style="27" customWidth="1"/>
    <col min="7" max="10" width="12.85546875" style="29" customWidth="1"/>
    <col min="11" max="11" width="12.85546875" style="27" customWidth="1"/>
    <col min="12" max="12" width="2.85546875" style="27" customWidth="1"/>
    <col min="13" max="13" width="49.85546875" style="30" customWidth="1"/>
    <col min="14" max="14" width="2.85546875" style="27" customWidth="1"/>
    <col min="15" max="17" width="9.140625" style="27" customWidth="1"/>
    <col min="18" max="16384" width="9.140625" style="27"/>
  </cols>
  <sheetData>
    <row r="1" spans="2:13" x14ac:dyDescent="0.25">
      <c r="B1" s="28"/>
    </row>
    <row r="2" spans="2:13" ht="21" x14ac:dyDescent="0.25">
      <c r="B2" s="31" t="s">
        <v>42</v>
      </c>
    </row>
    <row r="3" spans="2:13" ht="21" x14ac:dyDescent="0.25">
      <c r="B3" s="31" t="str">
        <f>'AER Summary'!C3</f>
        <v>Access Permits</v>
      </c>
    </row>
    <row r="4" spans="2:13" ht="18.75" x14ac:dyDescent="0.25">
      <c r="B4" s="32" t="s">
        <v>43</v>
      </c>
    </row>
    <row r="5" spans="2:13" x14ac:dyDescent="0.25"/>
    <row r="6" spans="2:13" ht="15.75" x14ac:dyDescent="0.25">
      <c r="B6" s="33" t="s">
        <v>113</v>
      </c>
      <c r="C6" s="34"/>
      <c r="D6" s="34"/>
      <c r="E6" s="34"/>
      <c r="F6" s="34"/>
      <c r="G6" s="35"/>
      <c r="H6" s="35"/>
      <c r="I6" s="35"/>
      <c r="J6" s="35"/>
      <c r="K6" s="34"/>
      <c r="M6" s="36"/>
    </row>
    <row r="7" spans="2:13" x14ac:dyDescent="0.25"/>
    <row r="8" spans="2:13" ht="25.5" x14ac:dyDescent="0.25">
      <c r="B8" s="325" t="s">
        <v>8</v>
      </c>
      <c r="C8" s="326"/>
      <c r="D8" s="326"/>
      <c r="E8" s="326"/>
      <c r="F8" s="326"/>
      <c r="G8" s="327"/>
      <c r="H8" s="230" t="s">
        <v>51</v>
      </c>
      <c r="I8" s="231" t="s">
        <v>104</v>
      </c>
      <c r="J8" s="230" t="s">
        <v>60</v>
      </c>
      <c r="K8" s="232" t="s">
        <v>50</v>
      </c>
      <c r="M8" s="41" t="s">
        <v>5</v>
      </c>
    </row>
    <row r="9" spans="2:13" ht="12.75" customHeight="1" x14ac:dyDescent="0.2">
      <c r="B9" s="191" t="s">
        <v>85</v>
      </c>
      <c r="C9" s="192"/>
      <c r="D9" s="192"/>
      <c r="E9" s="192"/>
      <c r="F9" s="192"/>
      <c r="G9" s="192"/>
      <c r="H9" s="328" t="s">
        <v>115</v>
      </c>
      <c r="I9" s="114">
        <f>+K10/K9</f>
        <v>43.300000000000004</v>
      </c>
      <c r="J9" s="233">
        <v>30</v>
      </c>
      <c r="K9" s="130">
        <f>+J9/11*10</f>
        <v>27.27272727272727</v>
      </c>
      <c r="M9" s="294" t="s">
        <v>114</v>
      </c>
    </row>
    <row r="10" spans="2:13" x14ac:dyDescent="0.2">
      <c r="B10" s="194" t="s">
        <v>86</v>
      </c>
      <c r="C10" s="195"/>
      <c r="D10" s="195"/>
      <c r="E10" s="195"/>
      <c r="F10" s="195"/>
      <c r="G10" s="195"/>
      <c r="H10" s="329"/>
      <c r="I10" s="120"/>
      <c r="J10" s="234">
        <v>1299</v>
      </c>
      <c r="K10" s="130">
        <f t="shared" ref="K10:K14" si="0">+J10/11*10</f>
        <v>1180.909090909091</v>
      </c>
      <c r="M10" s="295"/>
    </row>
    <row r="11" spans="2:13" x14ac:dyDescent="0.2">
      <c r="B11" s="194" t="s">
        <v>87</v>
      </c>
      <c r="C11" s="195"/>
      <c r="D11" s="195"/>
      <c r="E11" s="195"/>
      <c r="F11" s="195"/>
      <c r="G11" s="195"/>
      <c r="H11" s="329"/>
      <c r="I11" s="120"/>
      <c r="J11" s="234">
        <v>1299</v>
      </c>
      <c r="K11" s="130">
        <f t="shared" si="0"/>
        <v>1180.909090909091</v>
      </c>
      <c r="M11" s="295"/>
    </row>
    <row r="12" spans="2:13" x14ac:dyDescent="0.2">
      <c r="B12" s="194" t="s">
        <v>88</v>
      </c>
      <c r="C12" s="195"/>
      <c r="D12" s="195"/>
      <c r="E12" s="195"/>
      <c r="F12" s="195"/>
      <c r="G12" s="195"/>
      <c r="H12" s="329"/>
      <c r="I12" s="120"/>
      <c r="J12" s="234">
        <v>1299</v>
      </c>
      <c r="K12" s="130">
        <f t="shared" si="0"/>
        <v>1180.909090909091</v>
      </c>
      <c r="M12" s="295"/>
    </row>
    <row r="13" spans="2:13" x14ac:dyDescent="0.2">
      <c r="B13" s="194" t="s">
        <v>89</v>
      </c>
      <c r="C13" s="195"/>
      <c r="D13" s="195"/>
      <c r="E13" s="195"/>
      <c r="F13" s="195"/>
      <c r="G13" s="195"/>
      <c r="H13" s="329"/>
      <c r="I13" s="120"/>
      <c r="J13" s="234">
        <v>1299</v>
      </c>
      <c r="K13" s="130">
        <f t="shared" si="0"/>
        <v>1180.909090909091</v>
      </c>
      <c r="M13" s="295"/>
    </row>
    <row r="14" spans="2:13" x14ac:dyDescent="0.2">
      <c r="B14" s="194" t="s">
        <v>90</v>
      </c>
      <c r="C14" s="195"/>
      <c r="D14" s="195"/>
      <c r="E14" s="195"/>
      <c r="F14" s="195"/>
      <c r="G14" s="195"/>
      <c r="H14" s="329"/>
      <c r="I14" s="120"/>
      <c r="J14" s="234">
        <v>1299</v>
      </c>
      <c r="K14" s="130">
        <f t="shared" si="0"/>
        <v>1180.909090909091</v>
      </c>
      <c r="M14" s="295"/>
    </row>
    <row r="15" spans="2:13" x14ac:dyDescent="0.2">
      <c r="B15" s="197"/>
      <c r="C15" s="198"/>
      <c r="D15" s="198"/>
      <c r="E15" s="198"/>
      <c r="F15" s="198"/>
      <c r="G15" s="198"/>
      <c r="H15" s="330"/>
      <c r="I15" s="229"/>
      <c r="J15" s="229"/>
      <c r="K15" s="211"/>
      <c r="M15" s="296"/>
    </row>
    <row r="16" spans="2:13" x14ac:dyDescent="0.25"/>
    <row r="17" spans="2:13" ht="15.75" x14ac:dyDescent="0.25">
      <c r="B17" s="33" t="s">
        <v>2</v>
      </c>
      <c r="C17" s="34"/>
      <c r="D17" s="34"/>
      <c r="E17" s="34"/>
      <c r="F17" s="34"/>
      <c r="G17" s="35"/>
      <c r="H17" s="35"/>
      <c r="I17" s="35"/>
      <c r="J17" s="35"/>
      <c r="K17" s="34"/>
      <c r="M17" s="36"/>
    </row>
    <row r="18" spans="2:13" x14ac:dyDescent="0.25"/>
    <row r="19" spans="2:13" x14ac:dyDescent="0.25">
      <c r="B19" s="276" t="s">
        <v>27</v>
      </c>
      <c r="C19" s="336"/>
      <c r="D19" s="336"/>
      <c r="E19" s="336"/>
      <c r="F19" s="277"/>
      <c r="G19" s="37" t="s">
        <v>10</v>
      </c>
      <c r="H19" s="38" t="s">
        <v>11</v>
      </c>
      <c r="I19" s="39" t="s">
        <v>12</v>
      </c>
      <c r="J19" s="38" t="s">
        <v>13</v>
      </c>
      <c r="K19" s="40" t="s">
        <v>14</v>
      </c>
      <c r="M19" s="41" t="s">
        <v>5</v>
      </c>
    </row>
    <row r="20" spans="2:13" ht="42" customHeight="1" x14ac:dyDescent="0.25">
      <c r="B20" s="300" t="s">
        <v>2</v>
      </c>
      <c r="C20" s="301"/>
      <c r="D20" s="301"/>
      <c r="E20" s="301"/>
      <c r="F20" s="302"/>
      <c r="G20" s="19">
        <v>731091.18999999797</v>
      </c>
      <c r="H20" s="20">
        <v>779988.71000000206</v>
      </c>
      <c r="I20" s="21">
        <v>585194.05999999703</v>
      </c>
      <c r="J20" s="20">
        <v>674054.11999999615</v>
      </c>
      <c r="K20" s="94"/>
      <c r="M20" s="42" t="s">
        <v>80</v>
      </c>
    </row>
    <row r="21" spans="2:13" x14ac:dyDescent="0.25"/>
    <row r="22" spans="2:13" ht="15.75" x14ac:dyDescent="0.25">
      <c r="B22" s="33" t="s">
        <v>29</v>
      </c>
      <c r="C22" s="34"/>
      <c r="D22" s="34"/>
      <c r="E22" s="34"/>
      <c r="F22" s="34"/>
      <c r="G22" s="35"/>
      <c r="H22" s="35"/>
      <c r="I22" s="35"/>
      <c r="J22" s="35"/>
      <c r="K22" s="34"/>
      <c r="M22" s="36"/>
    </row>
    <row r="23" spans="2:13" x14ac:dyDescent="0.25"/>
    <row r="24" spans="2:13" x14ac:dyDescent="0.25">
      <c r="B24" s="54" t="s">
        <v>25</v>
      </c>
      <c r="C24" s="337" t="s">
        <v>28</v>
      </c>
      <c r="D24" s="337"/>
      <c r="E24" s="337"/>
      <c r="F24" s="337"/>
      <c r="G24" s="38" t="s">
        <v>10</v>
      </c>
      <c r="H24" s="38" t="s">
        <v>11</v>
      </c>
      <c r="I24" s="38" t="s">
        <v>12</v>
      </c>
      <c r="J24" s="38" t="s">
        <v>13</v>
      </c>
      <c r="K24" s="55" t="s">
        <v>14</v>
      </c>
      <c r="M24" s="41" t="s">
        <v>5</v>
      </c>
    </row>
    <row r="25" spans="2:13" ht="27.75" customHeight="1" x14ac:dyDescent="0.25">
      <c r="B25" s="22" t="s">
        <v>81</v>
      </c>
      <c r="C25" s="338" t="s">
        <v>83</v>
      </c>
      <c r="D25" s="339"/>
      <c r="E25" s="339"/>
      <c r="F25" s="340"/>
      <c r="G25" s="26" t="s">
        <v>9</v>
      </c>
      <c r="H25" s="23">
        <v>63521.670929412678</v>
      </c>
      <c r="I25" s="20">
        <v>37596.533470674221</v>
      </c>
      <c r="J25" s="20">
        <v>46008.819101145011</v>
      </c>
      <c r="K25" s="96"/>
      <c r="M25" s="294" t="s">
        <v>108</v>
      </c>
    </row>
    <row r="26" spans="2:13" ht="27.75" customHeight="1" x14ac:dyDescent="0.25">
      <c r="B26" s="22" t="s">
        <v>82</v>
      </c>
      <c r="C26" s="338" t="s">
        <v>84</v>
      </c>
      <c r="D26" s="339"/>
      <c r="E26" s="339"/>
      <c r="F26" s="340"/>
      <c r="G26" s="26" t="s">
        <v>9</v>
      </c>
      <c r="H26" s="23">
        <v>203168.34610172303</v>
      </c>
      <c r="I26" s="20">
        <v>283123.7104085951</v>
      </c>
      <c r="J26" s="20">
        <v>399787.1523046525</v>
      </c>
      <c r="K26" s="96"/>
      <c r="M26" s="296"/>
    </row>
    <row r="27" spans="2:13" ht="13.5" thickBot="1" x14ac:dyDescent="0.3">
      <c r="B27" s="56"/>
      <c r="C27" s="56"/>
      <c r="D27" s="56"/>
      <c r="E27" s="56"/>
      <c r="F27" s="56"/>
      <c r="G27" s="57">
        <f t="shared" ref="G27" si="1">SUM(G25:G26)</f>
        <v>0</v>
      </c>
      <c r="H27" s="57">
        <f>SUM(H25:H26)</f>
        <v>266690.01703113574</v>
      </c>
      <c r="I27" s="57">
        <f t="shared" ref="I27:J27" si="2">SUM(I25:I26)</f>
        <v>320720.24387926934</v>
      </c>
      <c r="J27" s="57">
        <f t="shared" si="2"/>
        <v>445795.97140579752</v>
      </c>
      <c r="K27" s="97"/>
    </row>
    <row r="28" spans="2:13" x14ac:dyDescent="0.25">
      <c r="B28" s="56"/>
      <c r="C28" s="56"/>
      <c r="D28" s="56"/>
      <c r="E28" s="56"/>
      <c r="F28" s="56"/>
      <c r="G28" s="58"/>
      <c r="H28" s="58"/>
      <c r="I28" s="58"/>
      <c r="J28" s="58"/>
      <c r="K28" s="30"/>
    </row>
    <row r="29" spans="2:13" ht="15.75" x14ac:dyDescent="0.25">
      <c r="B29" s="33" t="s">
        <v>38</v>
      </c>
      <c r="C29" s="34"/>
      <c r="D29" s="34"/>
      <c r="E29" s="34"/>
      <c r="F29" s="34"/>
      <c r="G29" s="35"/>
      <c r="H29" s="35"/>
      <c r="I29" s="35"/>
      <c r="J29" s="35"/>
      <c r="K29" s="34"/>
      <c r="M29" s="36"/>
    </row>
    <row r="30" spans="2:13" x14ac:dyDescent="0.25"/>
    <row r="31" spans="2:13" ht="38.25" x14ac:dyDescent="0.25">
      <c r="B31" s="325" t="s">
        <v>8</v>
      </c>
      <c r="C31" s="326"/>
      <c r="D31" s="326"/>
      <c r="E31" s="326"/>
      <c r="F31" s="327"/>
      <c r="G31" s="37" t="s">
        <v>10</v>
      </c>
      <c r="H31" s="38" t="s">
        <v>11</v>
      </c>
      <c r="I31" s="38" t="s">
        <v>12</v>
      </c>
      <c r="J31" s="38" t="s">
        <v>13</v>
      </c>
      <c r="K31" s="155" t="s">
        <v>61</v>
      </c>
      <c r="M31" s="41" t="s">
        <v>5</v>
      </c>
    </row>
    <row r="32" spans="2:13" ht="30" customHeight="1" x14ac:dyDescent="0.2">
      <c r="B32" s="191" t="s">
        <v>85</v>
      </c>
      <c r="C32" s="192"/>
      <c r="D32" s="192"/>
      <c r="E32" s="192"/>
      <c r="F32" s="193"/>
      <c r="G32" s="45">
        <v>0</v>
      </c>
      <c r="H32" s="44">
        <v>0</v>
      </c>
      <c r="I32" s="45">
        <v>0</v>
      </c>
      <c r="J32" s="44">
        <v>0</v>
      </c>
      <c r="K32" s="44">
        <v>0</v>
      </c>
      <c r="M32" s="294" t="s">
        <v>138</v>
      </c>
    </row>
    <row r="33" spans="2:13" ht="30" customHeight="1" x14ac:dyDescent="0.2">
      <c r="B33" s="194" t="s">
        <v>86</v>
      </c>
      <c r="C33" s="195"/>
      <c r="D33" s="195"/>
      <c r="E33" s="195"/>
      <c r="F33" s="196"/>
      <c r="G33" s="47">
        <v>295.00021016166374</v>
      </c>
      <c r="H33" s="46">
        <v>287</v>
      </c>
      <c r="I33" s="47">
        <v>193</v>
      </c>
      <c r="J33" s="46">
        <v>168</v>
      </c>
      <c r="K33" s="46">
        <v>165</v>
      </c>
      <c r="M33" s="295"/>
    </row>
    <row r="34" spans="2:13" ht="30" customHeight="1" x14ac:dyDescent="0.2">
      <c r="B34" s="194" t="s">
        <v>87</v>
      </c>
      <c r="C34" s="195"/>
      <c r="D34" s="195"/>
      <c r="E34" s="195"/>
      <c r="F34" s="196"/>
      <c r="G34" s="47">
        <v>111.00007544264815</v>
      </c>
      <c r="H34" s="46">
        <v>119</v>
      </c>
      <c r="I34" s="47">
        <v>110</v>
      </c>
      <c r="J34" s="46">
        <v>112</v>
      </c>
      <c r="K34" s="46">
        <v>109</v>
      </c>
      <c r="M34" s="295"/>
    </row>
    <row r="35" spans="2:13" ht="30" customHeight="1" x14ac:dyDescent="0.2">
      <c r="B35" s="194" t="s">
        <v>88</v>
      </c>
      <c r="C35" s="195"/>
      <c r="D35" s="195"/>
      <c r="E35" s="195"/>
      <c r="F35" s="196"/>
      <c r="G35" s="47">
        <v>74.000055427251738</v>
      </c>
      <c r="H35" s="46">
        <v>97</v>
      </c>
      <c r="I35" s="47">
        <v>53</v>
      </c>
      <c r="J35" s="46">
        <v>77</v>
      </c>
      <c r="K35" s="46">
        <v>81</v>
      </c>
      <c r="M35" s="295"/>
    </row>
    <row r="36" spans="2:13" ht="30" customHeight="1" x14ac:dyDescent="0.2">
      <c r="B36" s="194" t="s">
        <v>89</v>
      </c>
      <c r="C36" s="195"/>
      <c r="D36" s="195"/>
      <c r="E36" s="195"/>
      <c r="F36" s="196"/>
      <c r="G36" s="47">
        <v>139.00005773672089</v>
      </c>
      <c r="H36" s="46">
        <v>132</v>
      </c>
      <c r="I36" s="47">
        <v>116</v>
      </c>
      <c r="J36" s="46">
        <v>198</v>
      </c>
      <c r="K36" s="46">
        <v>208</v>
      </c>
      <c r="M36" s="295"/>
    </row>
    <row r="37" spans="2:13" ht="30" customHeight="1" x14ac:dyDescent="0.2">
      <c r="B37" s="194" t="s">
        <v>90</v>
      </c>
      <c r="C37" s="195"/>
      <c r="D37" s="195"/>
      <c r="E37" s="195"/>
      <c r="F37" s="196"/>
      <c r="G37" s="47">
        <v>17.000011547344116</v>
      </c>
      <c r="H37" s="46">
        <v>26</v>
      </c>
      <c r="I37" s="47">
        <v>24</v>
      </c>
      <c r="J37" s="46">
        <v>13</v>
      </c>
      <c r="K37" s="46">
        <v>13</v>
      </c>
      <c r="M37" s="295"/>
    </row>
    <row r="38" spans="2:13" x14ac:dyDescent="0.2">
      <c r="B38" s="197"/>
      <c r="C38" s="198"/>
      <c r="D38" s="198"/>
      <c r="E38" s="198"/>
      <c r="F38" s="199"/>
      <c r="G38" s="47"/>
      <c r="H38" s="46"/>
      <c r="I38" s="47"/>
      <c r="J38" s="46"/>
      <c r="K38" s="46"/>
      <c r="M38" s="296"/>
    </row>
    <row r="39" spans="2:13" ht="13.5" thickBot="1" x14ac:dyDescent="0.3">
      <c r="G39" s="50">
        <f>SUM(G32:G37)</f>
        <v>636.00041031562864</v>
      </c>
      <c r="H39" s="51">
        <f>SUM(H32:H37)</f>
        <v>661</v>
      </c>
      <c r="I39" s="52">
        <f>SUM(I32:I37)</f>
        <v>496</v>
      </c>
      <c r="J39" s="51">
        <f>SUM(J32:J37)</f>
        <v>568</v>
      </c>
      <c r="K39" s="51">
        <f>SUM(K32:K37)</f>
        <v>576</v>
      </c>
    </row>
    <row r="40" spans="2:13" x14ac:dyDescent="0.25"/>
    <row r="41" spans="2:13" ht="15.75" x14ac:dyDescent="0.25">
      <c r="B41" s="33" t="s">
        <v>109</v>
      </c>
      <c r="C41" s="34"/>
      <c r="D41" s="34"/>
      <c r="E41" s="34"/>
      <c r="F41" s="34"/>
      <c r="G41" s="35"/>
      <c r="H41" s="35"/>
      <c r="I41" s="35"/>
      <c r="J41" s="35"/>
      <c r="K41" s="34"/>
      <c r="M41" s="36"/>
    </row>
    <row r="42" spans="2:13" x14ac:dyDescent="0.25"/>
    <row r="43" spans="2:13" ht="25.5" x14ac:dyDescent="0.25">
      <c r="B43" s="75" t="s">
        <v>30</v>
      </c>
      <c r="C43" s="76" t="s">
        <v>31</v>
      </c>
      <c r="D43" s="77"/>
      <c r="E43" s="78" t="s">
        <v>32</v>
      </c>
      <c r="F43" s="79"/>
      <c r="G43" s="79"/>
      <c r="H43" s="80" t="s">
        <v>33</v>
      </c>
      <c r="J43" s="27"/>
      <c r="M43" s="41" t="s">
        <v>5</v>
      </c>
    </row>
    <row r="44" spans="2:13" x14ac:dyDescent="0.25">
      <c r="B44" s="366"/>
      <c r="C44" s="367"/>
      <c r="D44" s="368"/>
      <c r="E44" s="200" t="s">
        <v>91</v>
      </c>
      <c r="F44" s="201"/>
      <c r="G44" s="45"/>
      <c r="H44" s="202">
        <v>80.411931859999996</v>
      </c>
      <c r="J44" s="27"/>
      <c r="M44" s="294" t="s">
        <v>110</v>
      </c>
    </row>
    <row r="45" spans="2:13" x14ac:dyDescent="0.25">
      <c r="B45" s="369"/>
      <c r="C45" s="370"/>
      <c r="D45" s="371"/>
      <c r="E45" s="81" t="s">
        <v>91</v>
      </c>
      <c r="F45" s="82"/>
      <c r="G45" s="47"/>
      <c r="H45" s="83">
        <v>84.861124009999997</v>
      </c>
      <c r="J45" s="27"/>
      <c r="M45" s="295"/>
    </row>
    <row r="46" spans="2:13" x14ac:dyDescent="0.25">
      <c r="B46" s="369"/>
      <c r="C46" s="370"/>
      <c r="D46" s="371"/>
      <c r="E46" s="81" t="s">
        <v>91</v>
      </c>
      <c r="F46" s="82"/>
      <c r="G46" s="47"/>
      <c r="H46" s="83">
        <v>84.861124009999997</v>
      </c>
      <c r="J46" s="27"/>
      <c r="M46" s="295"/>
    </row>
    <row r="47" spans="2:13" x14ac:dyDescent="0.25">
      <c r="B47" s="369"/>
      <c r="C47" s="370"/>
      <c r="D47" s="371"/>
      <c r="E47" s="81" t="s">
        <v>91</v>
      </c>
      <c r="F47" s="82"/>
      <c r="G47" s="47"/>
      <c r="H47" s="83">
        <v>80.411931859999996</v>
      </c>
      <c r="J47" s="27"/>
      <c r="M47" s="295"/>
    </row>
    <row r="48" spans="2:13" x14ac:dyDescent="0.25">
      <c r="B48" s="369"/>
      <c r="C48" s="370"/>
      <c r="D48" s="371"/>
      <c r="E48" s="81" t="s">
        <v>91</v>
      </c>
      <c r="F48" s="82"/>
      <c r="G48" s="47"/>
      <c r="H48" s="83">
        <v>84.861124009999997</v>
      </c>
      <c r="J48" s="27"/>
      <c r="M48" s="295"/>
    </row>
    <row r="49" spans="2:13" x14ac:dyDescent="0.25">
      <c r="B49" s="369"/>
      <c r="C49" s="370"/>
      <c r="D49" s="371"/>
      <c r="E49" s="81" t="s">
        <v>91</v>
      </c>
      <c r="F49" s="82"/>
      <c r="G49" s="47"/>
      <c r="H49" s="83">
        <v>84.861124009999997</v>
      </c>
      <c r="J49" s="27"/>
      <c r="M49" s="295"/>
    </row>
    <row r="50" spans="2:13" x14ac:dyDescent="0.25">
      <c r="B50" s="369"/>
      <c r="C50" s="370"/>
      <c r="D50" s="371"/>
      <c r="E50" s="81" t="s">
        <v>91</v>
      </c>
      <c r="F50" s="82"/>
      <c r="G50" s="47"/>
      <c r="H50" s="83">
        <v>84.861124009999997</v>
      </c>
      <c r="J50" s="27"/>
      <c r="M50" s="295"/>
    </row>
    <row r="51" spans="2:13" x14ac:dyDescent="0.25">
      <c r="B51" s="369"/>
      <c r="C51" s="370"/>
      <c r="D51" s="371"/>
      <c r="E51" s="81" t="s">
        <v>91</v>
      </c>
      <c r="F51" s="82"/>
      <c r="G51" s="47"/>
      <c r="H51" s="83">
        <v>84.861124009999997</v>
      </c>
      <c r="J51" s="27"/>
      <c r="M51" s="295"/>
    </row>
    <row r="52" spans="2:13" x14ac:dyDescent="0.25">
      <c r="B52" s="369"/>
      <c r="C52" s="370"/>
      <c r="D52" s="371"/>
      <c r="E52" s="81" t="s">
        <v>91</v>
      </c>
      <c r="F52" s="82"/>
      <c r="G52" s="47"/>
      <c r="H52" s="83">
        <v>80.411931859999996</v>
      </c>
      <c r="J52" s="27"/>
      <c r="M52" s="295"/>
    </row>
    <row r="53" spans="2:13" x14ac:dyDescent="0.25">
      <c r="B53" s="369"/>
      <c r="C53" s="370"/>
      <c r="D53" s="371"/>
      <c r="E53" s="81" t="s">
        <v>91</v>
      </c>
      <c r="F53" s="82"/>
      <c r="G53" s="47"/>
      <c r="H53" s="83">
        <v>84.861124009999997</v>
      </c>
      <c r="J53" s="27"/>
      <c r="M53" s="295"/>
    </row>
    <row r="54" spans="2:13" x14ac:dyDescent="0.25">
      <c r="B54" s="369"/>
      <c r="C54" s="370"/>
      <c r="D54" s="371"/>
      <c r="E54" s="81" t="s">
        <v>91</v>
      </c>
      <c r="F54" s="82"/>
      <c r="G54" s="47"/>
      <c r="H54" s="83">
        <v>84.861124009999997</v>
      </c>
      <c r="J54" s="27"/>
      <c r="M54" s="295"/>
    </row>
    <row r="55" spans="2:13" x14ac:dyDescent="0.25">
      <c r="B55" s="369"/>
      <c r="C55" s="370"/>
      <c r="D55" s="371"/>
      <c r="E55" s="81" t="s">
        <v>91</v>
      </c>
      <c r="F55" s="82"/>
      <c r="G55" s="47"/>
      <c r="H55" s="83">
        <v>80.411931859999996</v>
      </c>
      <c r="J55" s="27"/>
      <c r="M55" s="295"/>
    </row>
    <row r="56" spans="2:13" x14ac:dyDescent="0.25">
      <c r="B56" s="369"/>
      <c r="C56" s="370"/>
      <c r="D56" s="371"/>
      <c r="E56" s="81" t="s">
        <v>91</v>
      </c>
      <c r="F56" s="82"/>
      <c r="G56" s="47"/>
      <c r="H56" s="83">
        <v>84.861124009999997</v>
      </c>
      <c r="J56" s="27"/>
      <c r="M56" s="295"/>
    </row>
    <row r="57" spans="2:13" x14ac:dyDescent="0.25">
      <c r="B57" s="369"/>
      <c r="C57" s="370"/>
      <c r="D57" s="371"/>
      <c r="E57" s="81" t="s">
        <v>91</v>
      </c>
      <c r="F57" s="82"/>
      <c r="G57" s="47"/>
      <c r="H57" s="83">
        <v>84.861124009999997</v>
      </c>
      <c r="J57" s="27"/>
      <c r="M57" s="295"/>
    </row>
    <row r="58" spans="2:13" x14ac:dyDescent="0.25">
      <c r="B58" s="369"/>
      <c r="C58" s="370"/>
      <c r="D58" s="371"/>
      <c r="E58" s="81" t="s">
        <v>91</v>
      </c>
      <c r="F58" s="82"/>
      <c r="G58" s="47"/>
      <c r="H58" s="83">
        <v>84.861124009999997</v>
      </c>
      <c r="J58" s="27"/>
      <c r="M58" s="295"/>
    </row>
    <row r="59" spans="2:13" x14ac:dyDescent="0.25">
      <c r="B59" s="369"/>
      <c r="C59" s="370"/>
      <c r="D59" s="371"/>
      <c r="E59" s="81" t="s">
        <v>91</v>
      </c>
      <c r="F59" s="82"/>
      <c r="G59" s="47"/>
      <c r="H59" s="83">
        <v>83.502554650000008</v>
      </c>
      <c r="J59" s="27"/>
      <c r="M59" s="295"/>
    </row>
    <row r="60" spans="2:13" x14ac:dyDescent="0.25">
      <c r="B60" s="369"/>
      <c r="C60" s="370"/>
      <c r="D60" s="371"/>
      <c r="E60" s="81" t="s">
        <v>91</v>
      </c>
      <c r="F60" s="82"/>
      <c r="G60" s="47"/>
      <c r="H60" s="83">
        <v>84.861124009999997</v>
      </c>
      <c r="J60" s="27"/>
      <c r="M60" s="295"/>
    </row>
    <row r="61" spans="2:13" x14ac:dyDescent="0.25">
      <c r="B61" s="369"/>
      <c r="C61" s="370"/>
      <c r="D61" s="371"/>
      <c r="E61" s="81" t="s">
        <v>91</v>
      </c>
      <c r="F61" s="82"/>
      <c r="G61" s="47"/>
      <c r="H61" s="83">
        <v>83.502554650000008</v>
      </c>
      <c r="J61" s="27"/>
      <c r="M61" s="295"/>
    </row>
    <row r="62" spans="2:13" x14ac:dyDescent="0.25">
      <c r="B62" s="369"/>
      <c r="C62" s="370"/>
      <c r="D62" s="371"/>
      <c r="E62" s="81" t="s">
        <v>91</v>
      </c>
      <c r="F62" s="82"/>
      <c r="G62" s="47"/>
      <c r="H62" s="83">
        <v>84.861124009999997</v>
      </c>
      <c r="J62" s="27"/>
      <c r="M62" s="295"/>
    </row>
    <row r="63" spans="2:13" x14ac:dyDescent="0.25">
      <c r="B63" s="369"/>
      <c r="C63" s="370"/>
      <c r="D63" s="371"/>
      <c r="E63" s="81" t="s">
        <v>91</v>
      </c>
      <c r="F63" s="82"/>
      <c r="G63" s="47"/>
      <c r="H63" s="83">
        <v>84.861124009999997</v>
      </c>
      <c r="J63" s="27"/>
      <c r="M63" s="295"/>
    </row>
    <row r="64" spans="2:13" x14ac:dyDescent="0.25">
      <c r="B64" s="369"/>
      <c r="C64" s="370"/>
      <c r="D64" s="371"/>
      <c r="E64" s="81" t="s">
        <v>91</v>
      </c>
      <c r="F64" s="82"/>
      <c r="G64" s="47"/>
      <c r="H64" s="83">
        <v>84.861124009999997</v>
      </c>
      <c r="J64" s="27"/>
      <c r="M64" s="295"/>
    </row>
    <row r="65" spans="2:13" x14ac:dyDescent="0.25">
      <c r="B65" s="369"/>
      <c r="C65" s="370"/>
      <c r="D65" s="371"/>
      <c r="E65" s="81" t="s">
        <v>91</v>
      </c>
      <c r="F65" s="82"/>
      <c r="G65" s="47"/>
      <c r="H65" s="83">
        <v>84.861124009999997</v>
      </c>
      <c r="J65" s="27"/>
      <c r="M65" s="295"/>
    </row>
    <row r="66" spans="2:13" x14ac:dyDescent="0.25">
      <c r="B66" s="369"/>
      <c r="C66" s="370"/>
      <c r="D66" s="371"/>
      <c r="E66" s="81" t="s">
        <v>91</v>
      </c>
      <c r="F66" s="82"/>
      <c r="G66" s="47"/>
      <c r="H66" s="83">
        <v>83.502554650000008</v>
      </c>
      <c r="J66" s="27"/>
      <c r="M66" s="295"/>
    </row>
    <row r="67" spans="2:13" x14ac:dyDescent="0.25">
      <c r="B67" s="369"/>
      <c r="C67" s="370"/>
      <c r="D67" s="371"/>
      <c r="E67" s="81" t="s">
        <v>91</v>
      </c>
      <c r="F67" s="82"/>
      <c r="G67" s="47"/>
      <c r="H67" s="83">
        <v>83.502554650000008</v>
      </c>
      <c r="J67" s="27"/>
      <c r="M67" s="295"/>
    </row>
    <row r="68" spans="2:13" x14ac:dyDescent="0.25">
      <c r="B68" s="369"/>
      <c r="C68" s="370"/>
      <c r="D68" s="371"/>
      <c r="E68" s="81" t="s">
        <v>91</v>
      </c>
      <c r="F68" s="82"/>
      <c r="G68" s="47"/>
      <c r="H68" s="83">
        <v>84.861124009999997</v>
      </c>
      <c r="J68" s="27"/>
      <c r="M68" s="295"/>
    </row>
    <row r="69" spans="2:13" x14ac:dyDescent="0.25">
      <c r="B69" s="369"/>
      <c r="C69" s="370"/>
      <c r="D69" s="371"/>
      <c r="E69" s="81" t="s">
        <v>91</v>
      </c>
      <c r="F69" s="82"/>
      <c r="G69" s="47"/>
      <c r="H69" s="83">
        <v>84.861124009999997</v>
      </c>
      <c r="J69" s="27"/>
      <c r="M69" s="295"/>
    </row>
    <row r="70" spans="2:13" x14ac:dyDescent="0.25">
      <c r="B70" s="369"/>
      <c r="C70" s="370"/>
      <c r="D70" s="371"/>
      <c r="E70" s="81" t="s">
        <v>91</v>
      </c>
      <c r="F70" s="82"/>
      <c r="G70" s="47"/>
      <c r="H70" s="83">
        <v>84.861124009999997</v>
      </c>
      <c r="J70" s="27"/>
      <c r="M70" s="295"/>
    </row>
    <row r="71" spans="2:13" x14ac:dyDescent="0.25">
      <c r="B71" s="369"/>
      <c r="C71" s="370"/>
      <c r="D71" s="371"/>
      <c r="E71" s="81" t="s">
        <v>91</v>
      </c>
      <c r="F71" s="82"/>
      <c r="G71" s="47"/>
      <c r="H71" s="83">
        <v>84.861124009999997</v>
      </c>
      <c r="J71" s="27"/>
      <c r="M71" s="295"/>
    </row>
    <row r="72" spans="2:13" x14ac:dyDescent="0.25">
      <c r="B72" s="369"/>
      <c r="C72" s="370"/>
      <c r="D72" s="371"/>
      <c r="E72" s="81" t="s">
        <v>91</v>
      </c>
      <c r="F72" s="82"/>
      <c r="G72" s="47"/>
      <c r="H72" s="83">
        <v>84.861124009999997</v>
      </c>
      <c r="J72" s="27"/>
      <c r="M72" s="295"/>
    </row>
    <row r="73" spans="2:13" x14ac:dyDescent="0.25">
      <c r="B73" s="369"/>
      <c r="C73" s="370"/>
      <c r="D73" s="371"/>
      <c r="E73" s="81" t="s">
        <v>91</v>
      </c>
      <c r="F73" s="82"/>
      <c r="G73" s="47"/>
      <c r="H73" s="83">
        <v>80.411931859999996</v>
      </c>
      <c r="J73" s="27"/>
      <c r="M73" s="295"/>
    </row>
    <row r="74" spans="2:13" x14ac:dyDescent="0.25">
      <c r="B74" s="369"/>
      <c r="C74" s="370"/>
      <c r="D74" s="371"/>
      <c r="E74" s="81" t="s">
        <v>91</v>
      </c>
      <c r="F74" s="82"/>
      <c r="G74" s="47"/>
      <c r="H74" s="83">
        <v>84.861124009999997</v>
      </c>
      <c r="J74" s="27"/>
      <c r="M74" s="295"/>
    </row>
    <row r="75" spans="2:13" x14ac:dyDescent="0.25">
      <c r="B75" s="369"/>
      <c r="C75" s="370"/>
      <c r="D75" s="371"/>
      <c r="E75" s="81" t="s">
        <v>91</v>
      </c>
      <c r="F75" s="82"/>
      <c r="G75" s="47"/>
      <c r="H75" s="83">
        <v>84.861124009999997</v>
      </c>
      <c r="J75" s="27"/>
      <c r="M75" s="295"/>
    </row>
    <row r="76" spans="2:13" x14ac:dyDescent="0.25">
      <c r="B76" s="369"/>
      <c r="C76" s="370"/>
      <c r="D76" s="371"/>
      <c r="E76" s="81" t="s">
        <v>91</v>
      </c>
      <c r="F76" s="82"/>
      <c r="G76" s="47"/>
      <c r="H76" s="83">
        <v>84.861124009999997</v>
      </c>
      <c r="J76" s="27"/>
      <c r="M76" s="295"/>
    </row>
    <row r="77" spans="2:13" x14ac:dyDescent="0.25">
      <c r="B77" s="369"/>
      <c r="C77" s="370"/>
      <c r="D77" s="371"/>
      <c r="E77" s="81" t="s">
        <v>91</v>
      </c>
      <c r="F77" s="82"/>
      <c r="G77" s="47"/>
      <c r="H77" s="83">
        <v>84.861124009999997</v>
      </c>
      <c r="J77" s="27"/>
      <c r="M77" s="295"/>
    </row>
    <row r="78" spans="2:13" x14ac:dyDescent="0.25">
      <c r="B78" s="369"/>
      <c r="C78" s="370"/>
      <c r="D78" s="371"/>
      <c r="E78" s="81" t="s">
        <v>91</v>
      </c>
      <c r="F78" s="82"/>
      <c r="G78" s="47"/>
      <c r="H78" s="83">
        <v>84.861124009999997</v>
      </c>
      <c r="J78" s="27"/>
      <c r="M78" s="295"/>
    </row>
    <row r="79" spans="2:13" x14ac:dyDescent="0.25">
      <c r="B79" s="369"/>
      <c r="C79" s="370"/>
      <c r="D79" s="371"/>
      <c r="E79" s="81" t="s">
        <v>91</v>
      </c>
      <c r="F79" s="82"/>
      <c r="G79" s="47"/>
      <c r="H79" s="83">
        <v>84.861124009999997</v>
      </c>
      <c r="J79" s="27"/>
      <c r="M79" s="295"/>
    </row>
    <row r="80" spans="2:13" x14ac:dyDescent="0.25">
      <c r="B80" s="369"/>
      <c r="C80" s="370"/>
      <c r="D80" s="371"/>
      <c r="E80" s="81" t="s">
        <v>91</v>
      </c>
      <c r="F80" s="82"/>
      <c r="G80" s="47"/>
      <c r="H80" s="83">
        <v>84.861124009999997</v>
      </c>
      <c r="J80" s="27"/>
      <c r="M80" s="295"/>
    </row>
    <row r="81" spans="2:13" x14ac:dyDescent="0.25">
      <c r="B81" s="369"/>
      <c r="C81" s="370"/>
      <c r="D81" s="371"/>
      <c r="E81" s="81" t="s">
        <v>91</v>
      </c>
      <c r="F81" s="82"/>
      <c r="G81" s="47"/>
      <c r="H81" s="83">
        <v>84.861124009999997</v>
      </c>
      <c r="J81" s="27"/>
      <c r="M81" s="295"/>
    </row>
    <row r="82" spans="2:13" x14ac:dyDescent="0.25">
      <c r="B82" s="369"/>
      <c r="C82" s="370"/>
      <c r="D82" s="371"/>
      <c r="E82" s="81" t="s">
        <v>91</v>
      </c>
      <c r="F82" s="82"/>
      <c r="G82" s="47"/>
      <c r="H82" s="83">
        <v>84.861124009999997</v>
      </c>
      <c r="J82" s="27"/>
      <c r="M82" s="295"/>
    </row>
    <row r="83" spans="2:13" x14ac:dyDescent="0.25">
      <c r="B83" s="369"/>
      <c r="C83" s="370"/>
      <c r="D83" s="371"/>
      <c r="E83" s="81" t="s">
        <v>91</v>
      </c>
      <c r="F83" s="82"/>
      <c r="G83" s="47"/>
      <c r="H83" s="83">
        <v>83.502554650000008</v>
      </c>
      <c r="J83" s="27"/>
      <c r="M83" s="295"/>
    </row>
    <row r="84" spans="2:13" x14ac:dyDescent="0.25">
      <c r="B84" s="369"/>
      <c r="C84" s="370"/>
      <c r="D84" s="371"/>
      <c r="E84" s="81" t="s">
        <v>91</v>
      </c>
      <c r="F84" s="82"/>
      <c r="G84" s="47"/>
      <c r="H84" s="83">
        <v>84.861124009999997</v>
      </c>
      <c r="J84" s="27"/>
      <c r="M84" s="295"/>
    </row>
    <row r="85" spans="2:13" x14ac:dyDescent="0.25">
      <c r="B85" s="369"/>
      <c r="C85" s="370"/>
      <c r="D85" s="371"/>
      <c r="E85" s="81" t="s">
        <v>91</v>
      </c>
      <c r="F85" s="82"/>
      <c r="G85" s="47"/>
      <c r="H85" s="83">
        <v>84.861124009999997</v>
      </c>
      <c r="J85" s="27"/>
      <c r="M85" s="295"/>
    </row>
    <row r="86" spans="2:13" x14ac:dyDescent="0.25">
      <c r="B86" s="372"/>
      <c r="C86" s="373"/>
      <c r="D86" s="374"/>
      <c r="E86" s="84" t="s">
        <v>91</v>
      </c>
      <c r="F86" s="85"/>
      <c r="G86" s="49"/>
      <c r="H86" s="86">
        <v>84.861124009999997</v>
      </c>
      <c r="J86" s="27"/>
      <c r="M86" s="295"/>
    </row>
    <row r="87" spans="2:13" x14ac:dyDescent="0.25">
      <c r="B87" s="369"/>
      <c r="C87" s="370"/>
      <c r="D87" s="371"/>
      <c r="E87" s="81"/>
      <c r="F87" s="82"/>
      <c r="G87" s="87" t="s">
        <v>34</v>
      </c>
      <c r="H87" s="203">
        <f>AVERAGE(H44:H86)</f>
        <v>84.185802904186005</v>
      </c>
      <c r="J87" s="27"/>
      <c r="M87" s="295"/>
    </row>
    <row r="88" spans="2:13" x14ac:dyDescent="0.25">
      <c r="B88" s="369"/>
      <c r="C88" s="370"/>
      <c r="D88" s="371"/>
      <c r="E88" s="81"/>
      <c r="F88" s="82"/>
      <c r="G88" s="47"/>
      <c r="H88" s="83"/>
      <c r="J88" s="27"/>
      <c r="M88" s="295"/>
    </row>
    <row r="89" spans="2:13" x14ac:dyDescent="0.25">
      <c r="B89" s="369"/>
      <c r="C89" s="370"/>
      <c r="D89" s="371"/>
      <c r="E89" s="81" t="s">
        <v>92</v>
      </c>
      <c r="F89" s="82"/>
      <c r="G89" s="47"/>
      <c r="H89" s="83">
        <v>91.376039859999992</v>
      </c>
      <c r="J89" s="27"/>
      <c r="M89" s="295"/>
    </row>
    <row r="90" spans="2:13" x14ac:dyDescent="0.25">
      <c r="B90" s="369"/>
      <c r="C90" s="370"/>
      <c r="D90" s="371"/>
      <c r="E90" s="81" t="s">
        <v>92</v>
      </c>
      <c r="F90" s="82"/>
      <c r="G90" s="47"/>
      <c r="H90" s="83">
        <v>94.508314009999992</v>
      </c>
      <c r="J90" s="27"/>
      <c r="M90" s="295"/>
    </row>
    <row r="91" spans="2:13" x14ac:dyDescent="0.25">
      <c r="B91" s="369"/>
      <c r="C91" s="370"/>
      <c r="D91" s="371"/>
      <c r="E91" s="81" t="s">
        <v>92</v>
      </c>
      <c r="F91" s="82"/>
      <c r="G91" s="47"/>
      <c r="H91" s="83">
        <v>94.508314009999992</v>
      </c>
      <c r="J91" s="27"/>
      <c r="M91" s="295"/>
    </row>
    <row r="92" spans="2:13" x14ac:dyDescent="0.25">
      <c r="B92" s="369"/>
      <c r="C92" s="370"/>
      <c r="D92" s="371"/>
      <c r="E92" s="81" t="s">
        <v>92</v>
      </c>
      <c r="F92" s="82"/>
      <c r="G92" s="47"/>
      <c r="H92" s="83">
        <v>93.149744650000002</v>
      </c>
      <c r="J92" s="27"/>
      <c r="M92" s="295"/>
    </row>
    <row r="93" spans="2:13" x14ac:dyDescent="0.25">
      <c r="B93" s="369"/>
      <c r="C93" s="370"/>
      <c r="D93" s="371"/>
      <c r="E93" s="81" t="s">
        <v>92</v>
      </c>
      <c r="F93" s="82"/>
      <c r="G93" s="47"/>
      <c r="H93" s="83">
        <v>94.508314009999992</v>
      </c>
      <c r="J93" s="27"/>
      <c r="M93" s="295"/>
    </row>
    <row r="94" spans="2:13" x14ac:dyDescent="0.25">
      <c r="B94" s="369"/>
      <c r="C94" s="370"/>
      <c r="D94" s="371"/>
      <c r="E94" s="81" t="s">
        <v>92</v>
      </c>
      <c r="F94" s="82"/>
      <c r="G94" s="47"/>
      <c r="H94" s="83">
        <v>103.61112686</v>
      </c>
      <c r="J94" s="27"/>
      <c r="M94" s="295"/>
    </row>
    <row r="95" spans="2:13" x14ac:dyDescent="0.25">
      <c r="B95" s="369"/>
      <c r="C95" s="370"/>
      <c r="D95" s="371"/>
      <c r="E95" s="81" t="s">
        <v>92</v>
      </c>
      <c r="F95" s="82"/>
      <c r="G95" s="47"/>
      <c r="H95" s="83">
        <v>103.61112686</v>
      </c>
      <c r="J95" s="27"/>
      <c r="M95" s="295"/>
    </row>
    <row r="96" spans="2:13" x14ac:dyDescent="0.25">
      <c r="B96" s="369"/>
      <c r="C96" s="370"/>
      <c r="D96" s="371"/>
      <c r="E96" s="81" t="s">
        <v>92</v>
      </c>
      <c r="F96" s="82"/>
      <c r="G96" s="47"/>
      <c r="H96" s="83">
        <v>103.61112686</v>
      </c>
      <c r="J96" s="27"/>
      <c r="M96" s="295"/>
    </row>
    <row r="97" spans="2:13" x14ac:dyDescent="0.25">
      <c r="B97" s="369"/>
      <c r="C97" s="370"/>
      <c r="D97" s="371"/>
      <c r="E97" s="81" t="s">
        <v>92</v>
      </c>
      <c r="F97" s="82"/>
      <c r="G97" s="47"/>
      <c r="H97" s="83">
        <v>103.61112686</v>
      </c>
      <c r="J97" s="27"/>
      <c r="M97" s="295"/>
    </row>
    <row r="98" spans="2:13" x14ac:dyDescent="0.25">
      <c r="B98" s="369"/>
      <c r="C98" s="370"/>
      <c r="D98" s="371"/>
      <c r="E98" s="81" t="s">
        <v>92</v>
      </c>
      <c r="F98" s="82"/>
      <c r="G98" s="47"/>
      <c r="H98" s="83">
        <v>103.61112686</v>
      </c>
      <c r="J98" s="27"/>
      <c r="M98" s="295"/>
    </row>
    <row r="99" spans="2:13" x14ac:dyDescent="0.25">
      <c r="B99" s="369"/>
      <c r="C99" s="370"/>
      <c r="D99" s="371"/>
      <c r="E99" s="81" t="s">
        <v>92</v>
      </c>
      <c r="F99" s="82"/>
      <c r="G99" s="47"/>
      <c r="H99" s="83">
        <v>103.61112686</v>
      </c>
      <c r="J99" s="27"/>
      <c r="M99" s="295"/>
    </row>
    <row r="100" spans="2:13" x14ac:dyDescent="0.25">
      <c r="B100" s="369"/>
      <c r="C100" s="370"/>
      <c r="D100" s="371"/>
      <c r="E100" s="81" t="s">
        <v>92</v>
      </c>
      <c r="F100" s="82"/>
      <c r="G100" s="47"/>
      <c r="H100" s="83">
        <v>103.61112686</v>
      </c>
      <c r="J100" s="27"/>
      <c r="M100" s="295"/>
    </row>
    <row r="101" spans="2:13" x14ac:dyDescent="0.25">
      <c r="B101" s="369"/>
      <c r="C101" s="370"/>
      <c r="D101" s="371"/>
      <c r="E101" s="81" t="s">
        <v>92</v>
      </c>
      <c r="F101" s="82"/>
      <c r="G101" s="47"/>
      <c r="H101" s="83">
        <v>103.61112686</v>
      </c>
      <c r="J101" s="27"/>
      <c r="M101" s="295"/>
    </row>
    <row r="102" spans="2:13" x14ac:dyDescent="0.25">
      <c r="B102" s="369"/>
      <c r="C102" s="370"/>
      <c r="D102" s="371"/>
      <c r="E102" s="81" t="s">
        <v>92</v>
      </c>
      <c r="F102" s="82"/>
      <c r="G102" s="47"/>
      <c r="H102" s="83">
        <v>103.61112686</v>
      </c>
      <c r="J102" s="27"/>
      <c r="M102" s="295"/>
    </row>
    <row r="103" spans="2:13" x14ac:dyDescent="0.25">
      <c r="B103" s="369"/>
      <c r="C103" s="370"/>
      <c r="D103" s="371"/>
      <c r="E103" s="81" t="s">
        <v>92</v>
      </c>
      <c r="F103" s="82"/>
      <c r="G103" s="47"/>
      <c r="H103" s="83">
        <v>103.61112686</v>
      </c>
      <c r="J103" s="27"/>
      <c r="M103" s="295"/>
    </row>
    <row r="104" spans="2:13" x14ac:dyDescent="0.25">
      <c r="B104" s="369"/>
      <c r="C104" s="370"/>
      <c r="D104" s="371"/>
      <c r="E104" s="81" t="s">
        <v>92</v>
      </c>
      <c r="F104" s="82"/>
      <c r="G104" s="47"/>
      <c r="H104" s="83">
        <v>103.61112686</v>
      </c>
      <c r="J104" s="27"/>
      <c r="M104" s="295"/>
    </row>
    <row r="105" spans="2:13" x14ac:dyDescent="0.25">
      <c r="B105" s="369"/>
      <c r="C105" s="370"/>
      <c r="D105" s="371"/>
      <c r="E105" s="81" t="s">
        <v>92</v>
      </c>
      <c r="F105" s="82"/>
      <c r="G105" s="47"/>
      <c r="H105" s="83">
        <v>102.25255750000001</v>
      </c>
      <c r="J105" s="27"/>
      <c r="M105" s="295"/>
    </row>
    <row r="106" spans="2:13" x14ac:dyDescent="0.25">
      <c r="B106" s="369"/>
      <c r="C106" s="370"/>
      <c r="D106" s="371"/>
      <c r="E106" s="81" t="s">
        <v>92</v>
      </c>
      <c r="F106" s="82"/>
      <c r="G106" s="47"/>
      <c r="H106" s="83">
        <v>103.61112686</v>
      </c>
      <c r="J106" s="27"/>
      <c r="M106" s="295"/>
    </row>
    <row r="107" spans="2:13" x14ac:dyDescent="0.25">
      <c r="B107" s="369"/>
      <c r="C107" s="370"/>
      <c r="D107" s="371"/>
      <c r="E107" s="81" t="s">
        <v>92</v>
      </c>
      <c r="F107" s="82"/>
      <c r="G107" s="47"/>
      <c r="H107" s="83">
        <v>103.61112686</v>
      </c>
      <c r="J107" s="27"/>
      <c r="M107" s="295"/>
    </row>
    <row r="108" spans="2:13" x14ac:dyDescent="0.25">
      <c r="B108" s="369"/>
      <c r="C108" s="370"/>
      <c r="D108" s="371"/>
      <c r="E108" s="81" t="s">
        <v>92</v>
      </c>
      <c r="F108" s="82"/>
      <c r="G108" s="47"/>
      <c r="H108" s="83">
        <v>103.61112686</v>
      </c>
      <c r="J108" s="27"/>
      <c r="M108" s="295"/>
    </row>
    <row r="109" spans="2:13" x14ac:dyDescent="0.25">
      <c r="B109" s="369"/>
      <c r="C109" s="370"/>
      <c r="D109" s="371"/>
      <c r="E109" s="81" t="s">
        <v>92</v>
      </c>
      <c r="F109" s="82"/>
      <c r="G109" s="47"/>
      <c r="H109" s="83">
        <v>103.61112686</v>
      </c>
      <c r="J109" s="27"/>
      <c r="M109" s="295"/>
    </row>
    <row r="110" spans="2:13" x14ac:dyDescent="0.25">
      <c r="B110" s="369"/>
      <c r="C110" s="370"/>
      <c r="D110" s="371"/>
      <c r="E110" s="81" t="s">
        <v>92</v>
      </c>
      <c r="F110" s="82"/>
      <c r="G110" s="47"/>
      <c r="H110" s="83">
        <v>103.61112686</v>
      </c>
      <c r="J110" s="27"/>
      <c r="M110" s="295"/>
    </row>
    <row r="111" spans="2:13" x14ac:dyDescent="0.25">
      <c r="B111" s="369"/>
      <c r="C111" s="370"/>
      <c r="D111" s="371"/>
      <c r="E111" s="81" t="s">
        <v>92</v>
      </c>
      <c r="F111" s="82"/>
      <c r="G111" s="47"/>
      <c r="H111" s="83">
        <v>103.61112686</v>
      </c>
      <c r="J111" s="27"/>
      <c r="M111" s="295"/>
    </row>
    <row r="112" spans="2:13" x14ac:dyDescent="0.25">
      <c r="B112" s="369"/>
      <c r="C112" s="370"/>
      <c r="D112" s="371"/>
      <c r="E112" s="81" t="s">
        <v>92</v>
      </c>
      <c r="F112" s="82"/>
      <c r="G112" s="47"/>
      <c r="H112" s="83">
        <v>102.25255750000001</v>
      </c>
      <c r="J112" s="27"/>
      <c r="M112" s="295"/>
    </row>
    <row r="113" spans="2:15" x14ac:dyDescent="0.25">
      <c r="B113" s="369"/>
      <c r="C113" s="370"/>
      <c r="D113" s="371"/>
      <c r="E113" s="81" t="s">
        <v>92</v>
      </c>
      <c r="F113" s="82"/>
      <c r="G113" s="47"/>
      <c r="H113" s="83">
        <v>103.61112686</v>
      </c>
      <c r="J113" s="27"/>
      <c r="M113" s="295"/>
    </row>
    <row r="114" spans="2:15" x14ac:dyDescent="0.25">
      <c r="B114" s="372"/>
      <c r="C114" s="373"/>
      <c r="D114" s="374"/>
      <c r="E114" s="84" t="s">
        <v>92</v>
      </c>
      <c r="F114" s="85"/>
      <c r="G114" s="49"/>
      <c r="H114" s="86">
        <v>103.61112686</v>
      </c>
      <c r="J114" s="27"/>
      <c r="M114" s="295"/>
    </row>
    <row r="115" spans="2:15" ht="13.5" thickBot="1" x14ac:dyDescent="0.3">
      <c r="G115" s="87" t="s">
        <v>34</v>
      </c>
      <c r="H115" s="88">
        <f>AVERAGE(H89:H114)</f>
        <v>101.58335584153843</v>
      </c>
      <c r="I115" s="93"/>
      <c r="J115" s="27"/>
      <c r="M115" s="296"/>
    </row>
    <row r="116" spans="2:15" x14ac:dyDescent="0.25"/>
    <row r="117" spans="2:15" ht="15.75" x14ac:dyDescent="0.25">
      <c r="B117" s="33" t="s">
        <v>39</v>
      </c>
      <c r="C117" s="34"/>
      <c r="D117" s="34"/>
      <c r="E117" s="34"/>
      <c r="F117" s="34"/>
      <c r="G117" s="35"/>
      <c r="H117" s="35"/>
      <c r="I117" s="35"/>
      <c r="J117" s="35"/>
      <c r="K117" s="34"/>
      <c r="M117" s="36"/>
    </row>
    <row r="118" spans="2:15" x14ac:dyDescent="0.25"/>
    <row r="119" spans="2:15" x14ac:dyDescent="0.25">
      <c r="B119" s="225" t="s">
        <v>27</v>
      </c>
      <c r="C119" s="226"/>
      <c r="D119" s="226"/>
      <c r="E119" s="226"/>
      <c r="F119" s="37" t="s">
        <v>112</v>
      </c>
      <c r="G119" s="37" t="s">
        <v>10</v>
      </c>
      <c r="H119" s="38" t="s">
        <v>11</v>
      </c>
      <c r="I119" s="39" t="s">
        <v>12</v>
      </c>
      <c r="J119" s="38" t="s">
        <v>13</v>
      </c>
      <c r="K119" s="40" t="s">
        <v>14</v>
      </c>
      <c r="M119" s="41" t="s">
        <v>5</v>
      </c>
    </row>
    <row r="120" spans="2:15" ht="54" customHeight="1" x14ac:dyDescent="0.2">
      <c r="B120" s="221" t="s">
        <v>37</v>
      </c>
      <c r="C120" s="224"/>
      <c r="D120" s="222"/>
      <c r="E120" s="224"/>
      <c r="F120" s="227">
        <v>3.5000000000000003E-2</v>
      </c>
      <c r="G120" s="227">
        <v>3.5000000000000003E-2</v>
      </c>
      <c r="H120" s="227">
        <v>0.04</v>
      </c>
      <c r="I120" s="228">
        <v>0.04</v>
      </c>
      <c r="J120" s="227">
        <v>0</v>
      </c>
      <c r="K120" s="95"/>
      <c r="M120" s="53" t="s">
        <v>41</v>
      </c>
    </row>
    <row r="121" spans="2:15" x14ac:dyDescent="0.25"/>
    <row r="122" spans="2:15" ht="15.75" x14ac:dyDescent="0.25">
      <c r="B122" s="33" t="s">
        <v>99</v>
      </c>
      <c r="C122" s="34"/>
      <c r="D122" s="34"/>
      <c r="E122" s="34"/>
      <c r="F122" s="34"/>
      <c r="G122" s="35"/>
      <c r="H122" s="35"/>
      <c r="I122" s="35"/>
      <c r="J122" s="35"/>
      <c r="K122" s="34"/>
      <c r="M122" s="36"/>
    </row>
    <row r="123" spans="2:15" x14ac:dyDescent="0.25"/>
    <row r="124" spans="2:15" ht="15" customHeight="1" x14ac:dyDescent="0.25">
      <c r="E124" s="331" t="s">
        <v>96</v>
      </c>
      <c r="F124" s="332"/>
      <c r="G124" s="333"/>
      <c r="H124" s="59">
        <f>+I124/(1+H120)</f>
        <v>93.919522782487448</v>
      </c>
      <c r="I124" s="59">
        <f>+J124/(1+I120)</f>
        <v>97.676303693786949</v>
      </c>
      <c r="J124" s="59">
        <f>+H115</f>
        <v>101.58335584153843</v>
      </c>
    </row>
    <row r="125" spans="2:15" ht="15" customHeight="1" x14ac:dyDescent="0.25">
      <c r="E125" s="270" t="s">
        <v>97</v>
      </c>
      <c r="F125" s="271"/>
      <c r="G125" s="272"/>
      <c r="H125" s="59">
        <f>+I125/(1+H120)</f>
        <v>77.834507122953028</v>
      </c>
      <c r="I125" s="59">
        <f>+J125/(1+I120)</f>
        <v>80.94788740787115</v>
      </c>
      <c r="J125" s="59">
        <f>+H87</f>
        <v>84.185802904186005</v>
      </c>
    </row>
    <row r="126" spans="2:15" ht="38.25" x14ac:dyDescent="0.25">
      <c r="B126" s="276" t="s">
        <v>3</v>
      </c>
      <c r="C126" s="277"/>
      <c r="D126" s="60" t="s">
        <v>35</v>
      </c>
      <c r="E126" s="61" t="s">
        <v>116</v>
      </c>
      <c r="F126" s="61" t="s">
        <v>36</v>
      </c>
      <c r="G126" s="37" t="s">
        <v>10</v>
      </c>
      <c r="H126" s="38" t="s">
        <v>11</v>
      </c>
      <c r="I126" s="38" t="s">
        <v>12</v>
      </c>
      <c r="J126" s="38" t="s">
        <v>13</v>
      </c>
      <c r="K126" s="55" t="s">
        <v>14</v>
      </c>
      <c r="M126" s="41" t="s">
        <v>5</v>
      </c>
    </row>
    <row r="127" spans="2:15" ht="39.950000000000003" customHeight="1" x14ac:dyDescent="0.25">
      <c r="B127" s="274" t="s">
        <v>93</v>
      </c>
      <c r="C127" s="275"/>
      <c r="D127" s="24">
        <v>1</v>
      </c>
      <c r="E127" s="62">
        <v>1.75</v>
      </c>
      <c r="F127" s="63">
        <f>+H115</f>
        <v>101.58335584153843</v>
      </c>
      <c r="G127" s="98"/>
      <c r="H127" s="64">
        <f>+H124*$D$127*$E$127*H39</f>
        <v>108641.40797864235</v>
      </c>
      <c r="I127" s="64">
        <f>+I124*$D$127*$E$127*I39</f>
        <v>84783.031606207063</v>
      </c>
      <c r="J127" s="64">
        <f>+J124*$D$127*$E$127*J39</f>
        <v>100973.85570648921</v>
      </c>
      <c r="K127" s="98"/>
      <c r="M127" s="294" t="s">
        <v>98</v>
      </c>
      <c r="O127" s="29"/>
    </row>
    <row r="128" spans="2:15" ht="39.950000000000003" customHeight="1" x14ac:dyDescent="0.25">
      <c r="B128" s="274" t="s">
        <v>94</v>
      </c>
      <c r="C128" s="275"/>
      <c r="D128" s="24">
        <v>2</v>
      </c>
      <c r="E128" s="62">
        <v>2</v>
      </c>
      <c r="F128" s="63">
        <f>+H87</f>
        <v>84.185802904186005</v>
      </c>
      <c r="G128" s="98"/>
      <c r="H128" s="64">
        <f>+H125*$D$128*$E$128*H39</f>
        <v>205794.43683308779</v>
      </c>
      <c r="I128" s="64">
        <f>+I125*$D$128*$E$128*I39</f>
        <v>160600.60861721635</v>
      </c>
      <c r="J128" s="64">
        <f>+J125*$D$128*$E$128*J39</f>
        <v>191270.14419831059</v>
      </c>
      <c r="K128" s="98"/>
      <c r="M128" s="334"/>
      <c r="O128" s="29"/>
    </row>
    <row r="129" spans="2:17" ht="39.950000000000003" customHeight="1" x14ac:dyDescent="0.25">
      <c r="B129" s="274" t="s">
        <v>95</v>
      </c>
      <c r="C129" s="275"/>
      <c r="D129" s="24">
        <v>2</v>
      </c>
      <c r="E129" s="62">
        <v>2</v>
      </c>
      <c r="F129" s="63">
        <f>+H87</f>
        <v>84.185802904186005</v>
      </c>
      <c r="G129" s="98"/>
      <c r="H129" s="64">
        <f>+H125*$D$129*$E$129*H39</f>
        <v>205794.43683308779</v>
      </c>
      <c r="I129" s="64">
        <f>+I125*$D$129*$E$129*I39</f>
        <v>160600.60861721635</v>
      </c>
      <c r="J129" s="64">
        <f>+J125*$D$129*$E$129*J39</f>
        <v>191270.14419831059</v>
      </c>
      <c r="K129" s="98"/>
      <c r="M129" s="335"/>
      <c r="O129" s="29"/>
    </row>
    <row r="130" spans="2:17" ht="13.5" thickBot="1" x14ac:dyDescent="0.3">
      <c r="E130" s="65"/>
      <c r="H130" s="51">
        <f>SUM(H127:H129)</f>
        <v>520230.28164481791</v>
      </c>
      <c r="I130" s="51">
        <f>SUM(I127:I129)</f>
        <v>405984.24884063978</v>
      </c>
      <c r="J130" s="51">
        <f>SUM(J127:J129)</f>
        <v>483514.14410311042</v>
      </c>
      <c r="O130" s="28"/>
      <c r="P130" s="28"/>
      <c r="Q130" s="28"/>
    </row>
    <row r="131" spans="2:17" x14ac:dyDescent="0.25">
      <c r="E131" s="65"/>
    </row>
    <row r="132" spans="2:17" ht="15.75" x14ac:dyDescent="0.25">
      <c r="B132" s="33" t="s">
        <v>100</v>
      </c>
      <c r="C132" s="34"/>
      <c r="D132" s="34"/>
      <c r="E132" s="34"/>
      <c r="F132" s="34"/>
      <c r="G132" s="35"/>
      <c r="H132" s="35"/>
      <c r="I132" s="35"/>
      <c r="J132" s="35"/>
      <c r="K132" s="34"/>
      <c r="M132" s="36"/>
    </row>
    <row r="133" spans="2:17" x14ac:dyDescent="0.25">
      <c r="E133" s="65"/>
    </row>
    <row r="134" spans="2:17" x14ac:dyDescent="0.25">
      <c r="B134" s="291"/>
      <c r="C134" s="292"/>
      <c r="D134" s="292"/>
      <c r="E134" s="292"/>
      <c r="F134" s="292"/>
      <c r="G134" s="293"/>
      <c r="H134" s="206" t="s">
        <v>11</v>
      </c>
      <c r="I134" s="206" t="s">
        <v>12</v>
      </c>
      <c r="J134" s="206" t="s">
        <v>13</v>
      </c>
      <c r="K134" s="55" t="s">
        <v>14</v>
      </c>
      <c r="M134" s="41" t="s">
        <v>5</v>
      </c>
    </row>
    <row r="135" spans="2:17" x14ac:dyDescent="0.25">
      <c r="B135" s="287" t="s">
        <v>40</v>
      </c>
      <c r="C135" s="288"/>
      <c r="D135" s="288"/>
      <c r="E135" s="288"/>
      <c r="F135" s="288"/>
      <c r="G135" s="288"/>
      <c r="H135" s="43">
        <f>+H130+H27</f>
        <v>786920.29867595364</v>
      </c>
      <c r="I135" s="45">
        <f>+I130+I27</f>
        <v>726704.49271990918</v>
      </c>
      <c r="J135" s="210">
        <f>+J130+J27</f>
        <v>929310.11550890794</v>
      </c>
      <c r="K135" s="204"/>
      <c r="M135" s="294" t="s">
        <v>117</v>
      </c>
    </row>
    <row r="136" spans="2:17" x14ac:dyDescent="0.25">
      <c r="B136" s="289" t="s">
        <v>64</v>
      </c>
      <c r="C136" s="290"/>
      <c r="D136" s="290"/>
      <c r="E136" s="290"/>
      <c r="F136" s="290"/>
      <c r="G136" s="290"/>
      <c r="H136" s="48">
        <f>+H39</f>
        <v>661</v>
      </c>
      <c r="I136" s="49">
        <f>+I39</f>
        <v>496</v>
      </c>
      <c r="J136" s="211">
        <f>+J39</f>
        <v>568</v>
      </c>
      <c r="K136" s="205"/>
      <c r="M136" s="295"/>
    </row>
    <row r="137" spans="2:17" x14ac:dyDescent="0.25">
      <c r="B137" s="300" t="s">
        <v>141</v>
      </c>
      <c r="C137" s="301"/>
      <c r="D137" s="301"/>
      <c r="E137" s="301"/>
      <c r="F137" s="301"/>
      <c r="G137" s="302"/>
      <c r="H137" s="207">
        <f>+H135/H136</f>
        <v>1190.4996954250432</v>
      </c>
      <c r="I137" s="208">
        <f>+I135/I136</f>
        <v>1465.1300256449781</v>
      </c>
      <c r="J137" s="209">
        <f>+J135/J136</f>
        <v>1636.1093582903309</v>
      </c>
      <c r="K137" s="168"/>
      <c r="M137" s="295"/>
      <c r="N137" s="73"/>
    </row>
    <row r="138" spans="2:17" x14ac:dyDescent="0.25">
      <c r="B138" s="287" t="s">
        <v>62</v>
      </c>
      <c r="C138" s="288"/>
      <c r="D138" s="288"/>
      <c r="E138" s="288"/>
      <c r="F138" s="288"/>
      <c r="G138" s="303"/>
      <c r="H138" s="67">
        <f>+H120</f>
        <v>0.04</v>
      </c>
      <c r="I138" s="68">
        <f>+I120</f>
        <v>0.04</v>
      </c>
      <c r="J138" s="69">
        <f>+J120</f>
        <v>0</v>
      </c>
      <c r="K138" s="167"/>
      <c r="M138" s="295"/>
    </row>
    <row r="139" spans="2:17" x14ac:dyDescent="0.25">
      <c r="B139" s="304" t="s">
        <v>132</v>
      </c>
      <c r="C139" s="305"/>
      <c r="D139" s="305"/>
      <c r="E139" s="305"/>
      <c r="F139" s="305"/>
      <c r="G139" s="306"/>
      <c r="H139" s="70">
        <f>+H137*(1+H138)*(1+I138)</f>
        <v>1287.644470571727</v>
      </c>
      <c r="I139" s="71">
        <f>+I137*(1+I138)</f>
        <v>1523.7352266707774</v>
      </c>
      <c r="J139" s="72">
        <f>+J137</f>
        <v>1636.1093582903309</v>
      </c>
      <c r="K139" s="169"/>
      <c r="M139" s="295"/>
    </row>
    <row r="140" spans="2:17" x14ac:dyDescent="0.25">
      <c r="E140" s="65"/>
      <c r="H140" s="73"/>
      <c r="I140" s="73"/>
      <c r="J140" s="73"/>
      <c r="M140" s="295"/>
    </row>
    <row r="141" spans="2:17" x14ac:dyDescent="0.25">
      <c r="E141" s="65"/>
      <c r="G141" s="273" t="s">
        <v>139</v>
      </c>
      <c r="H141" s="273"/>
      <c r="I141" s="273"/>
      <c r="J141" s="176">
        <f>AVERAGE(H139:J139)</f>
        <v>1482.4963518442783</v>
      </c>
      <c r="K141" s="101"/>
      <c r="M141" s="295"/>
    </row>
    <row r="142" spans="2:17" x14ac:dyDescent="0.25">
      <c r="E142" s="65"/>
      <c r="H142" s="73"/>
      <c r="I142" s="73"/>
      <c r="J142" s="73"/>
      <c r="K142" s="101"/>
      <c r="M142" s="295"/>
    </row>
    <row r="143" spans="2:17" x14ac:dyDescent="0.25">
      <c r="E143" s="65"/>
      <c r="G143" s="273" t="s">
        <v>46</v>
      </c>
      <c r="H143" s="273"/>
      <c r="I143" s="273"/>
      <c r="J143" s="177">
        <f>+K163-1</f>
        <v>1.2648945446885498</v>
      </c>
      <c r="K143" s="101"/>
      <c r="M143" s="295"/>
    </row>
    <row r="144" spans="2:17" x14ac:dyDescent="0.25">
      <c r="E144" s="65"/>
      <c r="H144" s="73"/>
      <c r="I144" s="73"/>
      <c r="J144" s="73"/>
      <c r="K144" s="101"/>
      <c r="M144" s="295"/>
    </row>
    <row r="145" spans="2:13" x14ac:dyDescent="0.25">
      <c r="E145" s="65"/>
      <c r="G145" s="273" t="s">
        <v>140</v>
      </c>
      <c r="H145" s="273"/>
      <c r="I145" s="273"/>
      <c r="J145" s="176">
        <f>+J141+(J143*J141)</f>
        <v>3357.6978998127825</v>
      </c>
      <c r="K145" s="101"/>
      <c r="M145" s="296"/>
    </row>
    <row r="146" spans="2:13" x14ac:dyDescent="0.25">
      <c r="E146" s="65"/>
      <c r="H146" s="73"/>
      <c r="I146" s="73"/>
      <c r="J146" s="73"/>
    </row>
    <row r="147" spans="2:13" ht="15.75" x14ac:dyDescent="0.25">
      <c r="B147" s="33" t="s">
        <v>101</v>
      </c>
      <c r="C147" s="34"/>
      <c r="D147" s="34"/>
      <c r="E147" s="34"/>
      <c r="F147" s="34"/>
      <c r="G147" s="35"/>
      <c r="H147" s="35"/>
      <c r="I147" s="35"/>
      <c r="J147" s="35"/>
      <c r="K147" s="34"/>
      <c r="M147" s="36"/>
    </row>
    <row r="148" spans="2:13" x14ac:dyDescent="0.25">
      <c r="E148" s="65"/>
    </row>
    <row r="149" spans="2:13" x14ac:dyDescent="0.25">
      <c r="B149" s="170"/>
      <c r="C149" s="171"/>
      <c r="D149" s="171"/>
      <c r="E149" s="171"/>
      <c r="F149" s="38" t="s">
        <v>14</v>
      </c>
      <c r="G149" s="38" t="s">
        <v>15</v>
      </c>
      <c r="H149" s="38" t="s">
        <v>16</v>
      </c>
      <c r="I149" s="38" t="s">
        <v>17</v>
      </c>
      <c r="J149" s="38" t="s">
        <v>18</v>
      </c>
      <c r="K149" s="38" t="s">
        <v>19</v>
      </c>
      <c r="M149" s="41" t="s">
        <v>5</v>
      </c>
    </row>
    <row r="150" spans="2:13" x14ac:dyDescent="0.25">
      <c r="H150" s="73"/>
      <c r="I150" s="73"/>
      <c r="J150" s="73"/>
      <c r="M150" s="322" t="s">
        <v>127</v>
      </c>
    </row>
    <row r="151" spans="2:13" x14ac:dyDescent="0.25">
      <c r="B151" s="27" t="s">
        <v>102</v>
      </c>
      <c r="F151" s="74">
        <f>+G151/1.025</f>
        <v>1546.4614737738482</v>
      </c>
      <c r="G151" s="74">
        <f>$J141*G170</f>
        <v>1585.1230106181943</v>
      </c>
      <c r="H151" s="74">
        <f>$J141*H170</f>
        <v>1654.2814835765753</v>
      </c>
      <c r="I151" s="74">
        <f>$J141*I170</f>
        <v>1710.2916486895065</v>
      </c>
      <c r="J151" s="74">
        <f>$J141*J170</f>
        <v>1770.5420730403737</v>
      </c>
      <c r="K151" s="74">
        <f>$J141*K170</f>
        <v>1831.513077275436</v>
      </c>
      <c r="M151" s="323"/>
    </row>
    <row r="152" spans="2:13" x14ac:dyDescent="0.25">
      <c r="B152" s="27" t="s">
        <v>103</v>
      </c>
      <c r="F152" s="74">
        <f>+G152/1.025</f>
        <v>3502.5721555214036</v>
      </c>
      <c r="G152" s="74">
        <f>$J145*G170</f>
        <v>3590.1364594094384</v>
      </c>
      <c r="H152" s="74">
        <f>$J145*H170</f>
        <v>3746.7731075318661</v>
      </c>
      <c r="I152" s="74">
        <f>$J145*I170</f>
        <v>3873.6302249432488</v>
      </c>
      <c r="J152" s="74">
        <f>$J145*J170</f>
        <v>4010.0910823706977</v>
      </c>
      <c r="K152" s="74">
        <f>$J145*K170</f>
        <v>4148.1839772468729</v>
      </c>
      <c r="M152" s="323"/>
    </row>
    <row r="153" spans="2:13" x14ac:dyDescent="0.25">
      <c r="G153" s="74"/>
      <c r="H153" s="74"/>
      <c r="I153" s="74"/>
      <c r="J153" s="74"/>
      <c r="K153" s="74"/>
      <c r="M153" s="323"/>
    </row>
    <row r="154" spans="2:13" x14ac:dyDescent="0.25">
      <c r="B154" s="172" t="s">
        <v>63</v>
      </c>
      <c r="C154" s="172"/>
      <c r="D154" s="172"/>
      <c r="E154" s="172"/>
      <c r="F154" s="172"/>
      <c r="G154" s="173"/>
      <c r="H154" s="173">
        <f t="shared" ref="H154:K154" si="3">(H152-G152)/G152</f>
        <v>4.3629719898778924E-2</v>
      </c>
      <c r="I154" s="173">
        <f t="shared" si="3"/>
        <v>3.3857699351041833E-2</v>
      </c>
      <c r="J154" s="173">
        <f t="shared" si="3"/>
        <v>3.5228157956003182E-2</v>
      </c>
      <c r="K154" s="174">
        <f t="shared" si="3"/>
        <v>3.4436348711196128E-2</v>
      </c>
      <c r="M154" s="324"/>
    </row>
    <row r="155" spans="2:13" x14ac:dyDescent="0.25">
      <c r="E155" s="65"/>
      <c r="H155" s="73"/>
      <c r="I155" s="73"/>
      <c r="J155" s="73"/>
    </row>
    <row r="156" spans="2:13" ht="15.75" x14ac:dyDescent="0.25">
      <c r="B156" s="33" t="s">
        <v>45</v>
      </c>
      <c r="C156" s="34"/>
      <c r="D156" s="34"/>
      <c r="E156" s="34"/>
      <c r="F156" s="34"/>
      <c r="G156" s="35"/>
      <c r="H156" s="35"/>
      <c r="I156" s="35"/>
      <c r="J156" s="35"/>
      <c r="K156" s="34"/>
      <c r="M156" s="36"/>
    </row>
    <row r="157" spans="2:13" x14ac:dyDescent="0.25"/>
    <row r="158" spans="2:13" x14ac:dyDescent="0.25">
      <c r="B158" s="313" t="s">
        <v>21</v>
      </c>
      <c r="C158" s="314"/>
      <c r="D158" s="314"/>
      <c r="E158" s="315"/>
      <c r="F158" s="213" t="s">
        <v>14</v>
      </c>
      <c r="G158" s="213" t="s">
        <v>15</v>
      </c>
      <c r="H158" s="213" t="s">
        <v>16</v>
      </c>
      <c r="I158" s="213" t="s">
        <v>17</v>
      </c>
      <c r="J158" s="213" t="s">
        <v>18</v>
      </c>
      <c r="K158" s="60" t="s">
        <v>19</v>
      </c>
      <c r="M158" s="41" t="s">
        <v>5</v>
      </c>
    </row>
    <row r="159" spans="2:13" ht="12.75" customHeight="1" x14ac:dyDescent="0.25">
      <c r="B159" s="316" t="s">
        <v>129</v>
      </c>
      <c r="C159" s="317"/>
      <c r="D159" s="317"/>
      <c r="E159" s="318"/>
      <c r="F159" s="46"/>
      <c r="G159" s="66">
        <v>18449161.14072692</v>
      </c>
      <c r="H159" s="66">
        <v>19652616.51053571</v>
      </c>
      <c r="I159" s="66">
        <v>20750302.453561164</v>
      </c>
      <c r="J159" s="66">
        <v>21950966.582370307</v>
      </c>
      <c r="K159" s="46">
        <v>23217206.584968176</v>
      </c>
      <c r="M159" s="294" t="s">
        <v>128</v>
      </c>
    </row>
    <row r="160" spans="2:13" x14ac:dyDescent="0.25">
      <c r="B160" s="319" t="s">
        <v>130</v>
      </c>
      <c r="C160" s="320"/>
      <c r="D160" s="320"/>
      <c r="E160" s="321"/>
      <c r="F160" s="46"/>
      <c r="G160" s="66">
        <v>40098372.700329572</v>
      </c>
      <c r="H160" s="66">
        <v>44414981.708611391</v>
      </c>
      <c r="I160" s="66">
        <v>47124811.758132517</v>
      </c>
      <c r="J160" s="66">
        <v>50429626.415997855</v>
      </c>
      <c r="K160" s="46">
        <v>53924251.70079805</v>
      </c>
      <c r="M160" s="295"/>
    </row>
    <row r="161" spans="2:13" x14ac:dyDescent="0.25">
      <c r="B161" s="307" t="s">
        <v>21</v>
      </c>
      <c r="C161" s="308"/>
      <c r="D161" s="308"/>
      <c r="E161" s="309"/>
      <c r="F161" s="89"/>
      <c r="G161" s="89">
        <f t="shared" ref="G161:K161" si="4">+G160/G159</f>
        <v>2.1734523534412387</v>
      </c>
      <c r="H161" s="89">
        <f t="shared" si="4"/>
        <v>2.2600034801880273</v>
      </c>
      <c r="I161" s="89">
        <f t="shared" si="4"/>
        <v>2.2710421625707418</v>
      </c>
      <c r="J161" s="89">
        <f t="shared" si="4"/>
        <v>2.2973761190315822</v>
      </c>
      <c r="K161" s="217">
        <f t="shared" si="4"/>
        <v>2.3225986082111594</v>
      </c>
      <c r="M161" s="295"/>
    </row>
    <row r="162" spans="2:13" x14ac:dyDescent="0.25">
      <c r="F162" s="29"/>
      <c r="K162" s="29"/>
      <c r="M162" s="295"/>
    </row>
    <row r="163" spans="2:13" x14ac:dyDescent="0.25">
      <c r="F163" s="278" t="s">
        <v>22</v>
      </c>
      <c r="G163" s="279"/>
      <c r="H163" s="279"/>
      <c r="I163" s="279"/>
      <c r="J163" s="280"/>
      <c r="K163" s="218">
        <f>AVERAGE(G161:K161)</f>
        <v>2.2648945446885498</v>
      </c>
      <c r="M163" s="296"/>
    </row>
    <row r="164" spans="2:13" x14ac:dyDescent="0.25">
      <c r="G164" s="27"/>
      <c r="H164" s="27"/>
      <c r="I164" s="27"/>
      <c r="J164" s="27"/>
      <c r="K164" s="219"/>
    </row>
    <row r="165" spans="2:13" ht="15.75" x14ac:dyDescent="0.25">
      <c r="B165" s="33" t="s">
        <v>144</v>
      </c>
      <c r="C165" s="34"/>
      <c r="D165" s="34"/>
      <c r="E165" s="34"/>
      <c r="F165" s="34"/>
      <c r="G165" s="35"/>
      <c r="H165" s="35"/>
      <c r="I165" s="35"/>
      <c r="J165" s="35"/>
      <c r="K165" s="34"/>
      <c r="M165" s="36"/>
    </row>
    <row r="166" spans="2:13" x14ac:dyDescent="0.25"/>
    <row r="167" spans="2:13" x14ac:dyDescent="0.2">
      <c r="B167" s="310" t="s">
        <v>145</v>
      </c>
      <c r="C167" s="311"/>
      <c r="D167" s="311"/>
      <c r="E167" s="312"/>
      <c r="F167" s="268"/>
      <c r="G167" s="267" t="s">
        <v>15</v>
      </c>
      <c r="H167" s="267" t="s">
        <v>16</v>
      </c>
      <c r="I167" s="267" t="s">
        <v>17</v>
      </c>
      <c r="J167" s="267" t="s">
        <v>18</v>
      </c>
      <c r="K167" s="60" t="s">
        <v>19</v>
      </c>
      <c r="M167" s="41" t="s">
        <v>5</v>
      </c>
    </row>
    <row r="168" spans="2:13" ht="12.75" customHeight="1" x14ac:dyDescent="0.2">
      <c r="B168" s="297" t="s">
        <v>131</v>
      </c>
      <c r="C168" s="298"/>
      <c r="D168" s="298"/>
      <c r="E168" s="299"/>
      <c r="F168" s="25"/>
      <c r="G168" s="25">
        <v>17254695.000010207</v>
      </c>
      <c r="H168" s="25">
        <v>17611834.848126188</v>
      </c>
      <c r="I168" s="25">
        <v>17986550.838063825</v>
      </c>
      <c r="J168" s="25">
        <v>18379810.552560411</v>
      </c>
      <c r="K168" s="220">
        <v>18792890.146016706</v>
      </c>
      <c r="M168" s="322" t="s">
        <v>143</v>
      </c>
    </row>
    <row r="169" spans="2:13" x14ac:dyDescent="0.2">
      <c r="B169" s="281" t="s">
        <v>146</v>
      </c>
      <c r="C169" s="282"/>
      <c r="D169" s="282"/>
      <c r="E169" s="283"/>
      <c r="F169" s="25"/>
      <c r="G169" s="25">
        <v>18449161.14072692</v>
      </c>
      <c r="H169" s="25">
        <v>19652616.51053571</v>
      </c>
      <c r="I169" s="25">
        <v>20750302.453561164</v>
      </c>
      <c r="J169" s="25">
        <v>21950966.582370307</v>
      </c>
      <c r="K169" s="220">
        <v>23217206.584968176</v>
      </c>
      <c r="M169" s="323"/>
    </row>
    <row r="170" spans="2:13" x14ac:dyDescent="0.2">
      <c r="B170" s="284" t="s">
        <v>147</v>
      </c>
      <c r="C170" s="285"/>
      <c r="D170" s="285"/>
      <c r="E170" s="286"/>
      <c r="F170" s="89"/>
      <c r="G170" s="89">
        <f t="shared" ref="G170:K170" si="5">+G169/G168</f>
        <v>1.0692255725595849</v>
      </c>
      <c r="H170" s="89">
        <f t="shared" si="5"/>
        <v>1.1158755847989712</v>
      </c>
      <c r="I170" s="89">
        <f t="shared" si="5"/>
        <v>1.1536565648622628</v>
      </c>
      <c r="J170" s="89">
        <f t="shared" si="5"/>
        <v>1.1942977605562106</v>
      </c>
      <c r="K170" s="217">
        <f t="shared" si="5"/>
        <v>1.2354250147037249</v>
      </c>
      <c r="M170" s="323"/>
    </row>
    <row r="171" spans="2:13" x14ac:dyDescent="0.25">
      <c r="F171" s="29"/>
      <c r="K171" s="29"/>
      <c r="M171" s="323"/>
    </row>
    <row r="172" spans="2:13" x14ac:dyDescent="0.25">
      <c r="F172" s="278" t="s">
        <v>23</v>
      </c>
      <c r="G172" s="279"/>
      <c r="H172" s="279"/>
      <c r="I172" s="279"/>
      <c r="J172" s="280"/>
      <c r="K172" s="218">
        <f>AVERAGE(G170:K170)</f>
        <v>1.1536960994961507</v>
      </c>
      <c r="M172" s="324"/>
    </row>
    <row r="173" spans="2:13" ht="54.95" customHeight="1" x14ac:dyDescent="0.25">
      <c r="K173" s="175"/>
      <c r="M173" s="269"/>
    </row>
    <row r="174" spans="2:13" x14ac:dyDescent="0.25">
      <c r="M174" s="91"/>
    </row>
    <row r="175" spans="2:13" x14ac:dyDescent="0.25">
      <c r="M175" s="92"/>
    </row>
    <row r="176" spans="2:13" x14ac:dyDescent="0.25">
      <c r="M176" s="92"/>
    </row>
    <row r="177" spans="13:13" x14ac:dyDescent="0.25">
      <c r="M177" s="92"/>
    </row>
    <row r="178" spans="13:13" x14ac:dyDescent="0.25"/>
    <row r="179" spans="13:13" x14ac:dyDescent="0.25"/>
    <row r="180" spans="13:13" x14ac:dyDescent="0.25"/>
    <row r="181" spans="13:13" x14ac:dyDescent="0.25"/>
    <row r="182" spans="13:13" x14ac:dyDescent="0.25"/>
    <row r="183" spans="13:13" x14ac:dyDescent="0.25"/>
    <row r="184" spans="13:13" x14ac:dyDescent="0.25"/>
    <row r="185" spans="13:13" x14ac:dyDescent="0.25"/>
    <row r="186" spans="13:13" x14ac:dyDescent="0.25"/>
    <row r="187" spans="13:13" x14ac:dyDescent="0.25"/>
    <row r="188" spans="13:13" x14ac:dyDescent="0.25"/>
    <row r="189" spans="13:13" x14ac:dyDescent="0.25"/>
    <row r="190" spans="13:13" x14ac:dyDescent="0.25"/>
    <row r="191" spans="13:13" x14ac:dyDescent="0.25"/>
    <row r="192" spans="13:13"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sheetData>
  <mergeCells count="42">
    <mergeCell ref="M9:M15"/>
    <mergeCell ref="B8:G8"/>
    <mergeCell ref="H9:H15"/>
    <mergeCell ref="M150:M154"/>
    <mergeCell ref="M44:M115"/>
    <mergeCell ref="E124:G124"/>
    <mergeCell ref="M127:M129"/>
    <mergeCell ref="B19:F19"/>
    <mergeCell ref="B20:F20"/>
    <mergeCell ref="B31:F31"/>
    <mergeCell ref="M25:M26"/>
    <mergeCell ref="C24:F24"/>
    <mergeCell ref="C25:F25"/>
    <mergeCell ref="C26:F26"/>
    <mergeCell ref="G145:I145"/>
    <mergeCell ref="M32:M38"/>
    <mergeCell ref="M159:M163"/>
    <mergeCell ref="B168:E168"/>
    <mergeCell ref="B137:G137"/>
    <mergeCell ref="B138:G138"/>
    <mergeCell ref="B139:G139"/>
    <mergeCell ref="G143:I143"/>
    <mergeCell ref="B161:E161"/>
    <mergeCell ref="B167:E167"/>
    <mergeCell ref="F163:J163"/>
    <mergeCell ref="B158:E158"/>
    <mergeCell ref="B159:E159"/>
    <mergeCell ref="B160:E160"/>
    <mergeCell ref="M135:M145"/>
    <mergeCell ref="M168:M172"/>
    <mergeCell ref="E125:G125"/>
    <mergeCell ref="G141:I141"/>
    <mergeCell ref="B127:C127"/>
    <mergeCell ref="B126:C126"/>
    <mergeCell ref="F172:J172"/>
    <mergeCell ref="B169:E169"/>
    <mergeCell ref="B170:E170"/>
    <mergeCell ref="B135:G135"/>
    <mergeCell ref="B136:G136"/>
    <mergeCell ref="B134:G134"/>
    <mergeCell ref="B128:C128"/>
    <mergeCell ref="B129:C129"/>
  </mergeCells>
  <pageMargins left="0.39370078740157483" right="0.39370078740157483" top="0.39370078740157483" bottom="0.39370078740157483" header="0.19685039370078741" footer="0.19685039370078741"/>
  <pageSetup paperSize="8" scale="70" fitToHeight="2" orientation="portrait" r:id="rId1"/>
  <headerFooter>
    <oddFooter>&amp;C&amp;F&amp;R&amp;A</oddFooter>
  </headerFooter>
  <rowBreaks count="1" manualBreakCount="1">
    <brk id="11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44</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5"/>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42" t="s">
        <v>48</v>
      </c>
      <c r="C2" s="143"/>
      <c r="D2" s="143"/>
      <c r="E2" s="143"/>
      <c r="F2" s="143"/>
      <c r="G2" s="143"/>
      <c r="H2" s="143"/>
    </row>
    <row r="3" spans="2:8" x14ac:dyDescent="0.25">
      <c r="B3" s="11" t="s">
        <v>0</v>
      </c>
      <c r="C3" s="16" t="s">
        <v>79</v>
      </c>
      <c r="D3" s="17"/>
      <c r="E3" s="17"/>
      <c r="F3" s="17"/>
      <c r="G3" s="17"/>
      <c r="H3" s="17"/>
    </row>
    <row r="4" spans="2:8" x14ac:dyDescent="0.25">
      <c r="B4" s="11" t="s">
        <v>118</v>
      </c>
      <c r="C4" s="16" t="s">
        <v>119</v>
      </c>
      <c r="D4" s="17"/>
      <c r="E4" s="17"/>
      <c r="F4" s="17"/>
      <c r="G4" s="17"/>
      <c r="H4" s="17"/>
    </row>
    <row r="5" spans="2:8" x14ac:dyDescent="0.25">
      <c r="B5" s="11" t="s">
        <v>123</v>
      </c>
      <c r="C5" s="16" t="s">
        <v>120</v>
      </c>
      <c r="D5" s="17"/>
      <c r="E5" s="17"/>
      <c r="F5" s="17"/>
      <c r="G5" s="17"/>
      <c r="H5" s="17"/>
    </row>
    <row r="6" spans="2:8" ht="31.5" customHeight="1" x14ac:dyDescent="0.25">
      <c r="B6" s="148" t="s">
        <v>124</v>
      </c>
      <c r="C6" s="342" t="s">
        <v>133</v>
      </c>
      <c r="D6" s="342"/>
      <c r="E6" s="342"/>
      <c r="F6" s="342"/>
      <c r="G6" s="342"/>
      <c r="H6" s="342"/>
    </row>
    <row r="7" spans="2:8" x14ac:dyDescent="0.25">
      <c r="B7" s="148"/>
      <c r="C7" s="212"/>
      <c r="D7" s="214" t="s">
        <v>15</v>
      </c>
      <c r="E7" s="214" t="s">
        <v>16</v>
      </c>
      <c r="F7" s="214" t="s">
        <v>17</v>
      </c>
      <c r="G7" s="214" t="s">
        <v>18</v>
      </c>
      <c r="H7" s="214" t="s">
        <v>19</v>
      </c>
    </row>
    <row r="8" spans="2:8" x14ac:dyDescent="0.25">
      <c r="B8" s="148"/>
      <c r="C8" s="215"/>
      <c r="D8" s="216">
        <f>+'Input Sheet'!G152</f>
        <v>3590.1364594094384</v>
      </c>
      <c r="E8" s="216">
        <f>+'Input Sheet'!H152</f>
        <v>3746.7731075318661</v>
      </c>
      <c r="F8" s="216">
        <f>+'Input Sheet'!I152</f>
        <v>3873.6302249432488</v>
      </c>
      <c r="G8" s="216">
        <f>+'Input Sheet'!J152</f>
        <v>4010.0910823706977</v>
      </c>
      <c r="H8" s="216">
        <f>+'Input Sheet'!K152</f>
        <v>4148.1839772468729</v>
      </c>
    </row>
    <row r="10" spans="2:8" x14ac:dyDescent="0.25">
      <c r="B10" s="140" t="s">
        <v>55</v>
      </c>
      <c r="C10" s="137"/>
      <c r="D10" s="137"/>
      <c r="E10" s="137"/>
      <c r="F10" s="137"/>
      <c r="G10" s="137"/>
      <c r="H10" s="137"/>
    </row>
    <row r="11" spans="2:8" x14ac:dyDescent="0.25">
      <c r="B11" s="343" t="s">
        <v>106</v>
      </c>
      <c r="C11" s="343"/>
      <c r="D11" s="343"/>
      <c r="E11" s="343"/>
      <c r="F11" s="343"/>
      <c r="G11" s="343"/>
      <c r="H11" s="343"/>
    </row>
    <row r="13" spans="2:8" x14ac:dyDescent="0.25">
      <c r="B13" s="140" t="s">
        <v>121</v>
      </c>
      <c r="C13" s="137"/>
      <c r="D13" s="137"/>
      <c r="E13" s="137"/>
      <c r="F13" s="137"/>
      <c r="G13" s="137"/>
      <c r="H13" s="137"/>
    </row>
    <row r="14" spans="2:8" ht="15" customHeight="1" x14ac:dyDescent="0.25">
      <c r="B14" s="343" t="s">
        <v>68</v>
      </c>
      <c r="C14" s="343"/>
      <c r="D14" s="343"/>
      <c r="E14" s="343"/>
      <c r="F14" s="343"/>
      <c r="G14" s="343"/>
      <c r="H14" s="343"/>
    </row>
    <row r="15" spans="2:8" ht="47.25" customHeight="1" x14ac:dyDescent="0.25">
      <c r="B15" s="344" t="s">
        <v>69</v>
      </c>
      <c r="C15" s="344"/>
      <c r="D15" s="344"/>
      <c r="E15" s="344"/>
      <c r="F15" s="344"/>
      <c r="G15" s="344"/>
      <c r="H15" s="344"/>
    </row>
    <row r="16" spans="2:8" ht="33" customHeight="1" x14ac:dyDescent="0.25">
      <c r="B16" s="344" t="s">
        <v>122</v>
      </c>
      <c r="C16" s="344"/>
      <c r="D16" s="344"/>
      <c r="E16" s="344"/>
      <c r="F16" s="344"/>
      <c r="G16" s="344"/>
      <c r="H16" s="344"/>
    </row>
    <row r="17" spans="2:8" ht="47.25" customHeight="1" x14ac:dyDescent="0.25">
      <c r="B17" s="344" t="s">
        <v>134</v>
      </c>
      <c r="C17" s="344"/>
      <c r="D17" s="344"/>
      <c r="E17" s="344"/>
      <c r="F17" s="344"/>
      <c r="G17" s="344"/>
      <c r="H17" s="344"/>
    </row>
    <row r="18" spans="2:8" ht="47.25" customHeight="1" x14ac:dyDescent="0.25">
      <c r="B18" s="344" t="s">
        <v>135</v>
      </c>
      <c r="C18" s="344"/>
      <c r="D18" s="344"/>
      <c r="E18" s="344"/>
      <c r="F18" s="344"/>
      <c r="G18" s="344"/>
      <c r="H18" s="344"/>
    </row>
    <row r="19" spans="2:8" ht="47.25" customHeight="1" x14ac:dyDescent="0.25">
      <c r="B19" s="344" t="s">
        <v>136</v>
      </c>
      <c r="C19" s="344"/>
      <c r="D19" s="344"/>
      <c r="E19" s="344"/>
      <c r="F19" s="344"/>
      <c r="G19" s="344"/>
      <c r="H19" s="344"/>
    </row>
    <row r="21" spans="2:8" x14ac:dyDescent="0.25">
      <c r="B21" s="140" t="s">
        <v>70</v>
      </c>
      <c r="C21" s="137"/>
      <c r="D21" s="137"/>
      <c r="E21" s="137"/>
      <c r="F21" s="137"/>
      <c r="G21" s="137"/>
      <c r="H21" s="137"/>
    </row>
    <row r="22" spans="2:8" ht="77.25" customHeight="1" x14ac:dyDescent="0.25">
      <c r="B22" s="343" t="s">
        <v>107</v>
      </c>
      <c r="C22" s="343"/>
      <c r="D22" s="343"/>
      <c r="E22" s="343"/>
      <c r="F22" s="343"/>
      <c r="G22" s="343"/>
      <c r="H22" s="343"/>
    </row>
    <row r="24" spans="2:8" x14ac:dyDescent="0.25">
      <c r="B24" s="14" t="s">
        <v>73</v>
      </c>
      <c r="C24" s="345" t="s">
        <v>5</v>
      </c>
      <c r="D24" s="346"/>
      <c r="E24" s="13" t="s">
        <v>11</v>
      </c>
      <c r="F24" s="13" t="s">
        <v>12</v>
      </c>
      <c r="G24" s="13" t="s">
        <v>13</v>
      </c>
      <c r="H24" s="189" t="s">
        <v>1</v>
      </c>
    </row>
    <row r="25" spans="2:8" x14ac:dyDescent="0.25">
      <c r="B25" s="15" t="s">
        <v>71</v>
      </c>
      <c r="C25" s="341" t="s">
        <v>74</v>
      </c>
      <c r="D25" s="341"/>
      <c r="E25" s="9">
        <f>'Input Sheet'!H20</f>
        <v>779988.71000000206</v>
      </c>
      <c r="F25" s="9">
        <f>'Input Sheet'!I20</f>
        <v>585194.05999999703</v>
      </c>
      <c r="G25" s="9">
        <f>'Input Sheet'!J20</f>
        <v>674054.11999999615</v>
      </c>
      <c r="H25" s="18">
        <f>SUM(D25:G25)</f>
        <v>2039236.8899999952</v>
      </c>
    </row>
    <row r="26" spans="2:8" x14ac:dyDescent="0.25">
      <c r="B26" s="15" t="s">
        <v>24</v>
      </c>
      <c r="C26" s="341" t="s">
        <v>75</v>
      </c>
      <c r="D26" s="341"/>
      <c r="E26" s="9">
        <f>'Input Sheet'!H135</f>
        <v>786920.29867595364</v>
      </c>
      <c r="F26" s="9">
        <f>'Input Sheet'!I135</f>
        <v>726704.49271990918</v>
      </c>
      <c r="G26" s="9">
        <f>'Input Sheet'!J135</f>
        <v>929310.11550890794</v>
      </c>
      <c r="H26" s="18">
        <f>SUM(D26:G26)</f>
        <v>2442934.906904771</v>
      </c>
    </row>
    <row r="27" spans="2:8" x14ac:dyDescent="0.25">
      <c r="B27" t="s">
        <v>4</v>
      </c>
      <c r="C27" s="341" t="s">
        <v>76</v>
      </c>
      <c r="D27" s="341"/>
      <c r="E27" s="134">
        <f>'Input Sheet'!H39</f>
        <v>661</v>
      </c>
      <c r="F27" s="134">
        <f>'Input Sheet'!I39</f>
        <v>496</v>
      </c>
      <c r="G27" s="134">
        <f>'Input Sheet'!J39</f>
        <v>568</v>
      </c>
      <c r="H27" s="136">
        <f>SUM(D27:G27)</f>
        <v>1725</v>
      </c>
    </row>
    <row r="29" spans="2:8" x14ac:dyDescent="0.25">
      <c r="B29" s="140" t="s">
        <v>72</v>
      </c>
      <c r="C29" s="137"/>
      <c r="D29" s="137"/>
      <c r="E29" s="137"/>
      <c r="F29" s="137"/>
      <c r="G29" s="137"/>
      <c r="H29" s="137"/>
    </row>
    <row r="30" spans="2:8" ht="77.25" customHeight="1" x14ac:dyDescent="0.25">
      <c r="B30" s="343" t="s">
        <v>142</v>
      </c>
      <c r="C30" s="343"/>
      <c r="D30" s="343"/>
      <c r="E30" s="343"/>
      <c r="F30" s="343"/>
      <c r="G30" s="343"/>
      <c r="H30" s="343"/>
    </row>
    <row r="32" spans="2:8" x14ac:dyDescent="0.25">
      <c r="B32" s="12" t="s">
        <v>73</v>
      </c>
      <c r="C32" s="13" t="s">
        <v>15</v>
      </c>
      <c r="D32" s="13" t="s">
        <v>16</v>
      </c>
      <c r="E32" s="13" t="s">
        <v>17</v>
      </c>
      <c r="F32" s="13" t="s">
        <v>18</v>
      </c>
      <c r="G32" s="13" t="s">
        <v>19</v>
      </c>
      <c r="H32" s="189" t="s">
        <v>1</v>
      </c>
    </row>
    <row r="33" spans="2:8" x14ac:dyDescent="0.25">
      <c r="B33" s="15" t="s">
        <v>71</v>
      </c>
      <c r="C33" s="9">
        <f>'Fee Breakdown'!AB16</f>
        <v>2125360.7839703877</v>
      </c>
      <c r="D33" s="9">
        <f>'Fee Breakdown'!AC16</f>
        <v>2218089.6796588651</v>
      </c>
      <c r="E33" s="9">
        <f>'Fee Breakdown'!AD16</f>
        <v>2293189.0931664035</v>
      </c>
      <c r="F33" s="9">
        <f>'Fee Breakdown'!AE16</f>
        <v>2373973.9207634535</v>
      </c>
      <c r="G33" s="9">
        <f>'Fee Breakdown'!AF16</f>
        <v>2455724.9145301487</v>
      </c>
      <c r="H33" s="18">
        <f>SUM(C33:G33)</f>
        <v>11466338.392089259</v>
      </c>
    </row>
    <row r="34" spans="2:8" x14ac:dyDescent="0.25">
      <c r="B34" s="15"/>
      <c r="C34" s="9"/>
      <c r="D34" s="9"/>
      <c r="E34" s="9"/>
      <c r="F34" s="9"/>
      <c r="G34" s="9"/>
      <c r="H34" s="18"/>
    </row>
    <row r="35" spans="2:8" x14ac:dyDescent="0.25">
      <c r="B35" s="15" t="s">
        <v>24</v>
      </c>
      <c r="C35" s="9">
        <f>'Fee Breakdown'!P29</f>
        <v>938392.82228597091</v>
      </c>
      <c r="D35" s="9">
        <f>'Fee Breakdown'!Q29</f>
        <v>979334.63827733253</v>
      </c>
      <c r="E35" s="9">
        <f>'Fee Breakdown'!R29</f>
        <v>1012492.6560241879</v>
      </c>
      <c r="F35" s="9">
        <f>'Fee Breakdown'!S29</f>
        <v>1048160.9072399011</v>
      </c>
      <c r="G35" s="9">
        <f>'Fee Breakdown'!T29</f>
        <v>1084255.7417470582</v>
      </c>
      <c r="H35" s="18">
        <f>SUM(C35:G35)</f>
        <v>5062636.7655744506</v>
      </c>
    </row>
    <row r="36" spans="2:8" x14ac:dyDescent="0.25">
      <c r="B36" s="15" t="s">
        <v>26</v>
      </c>
      <c r="C36" s="9">
        <f>'Fee Breakdown'!V29</f>
        <v>1101159.2657638385</v>
      </c>
      <c r="D36" s="9">
        <f>'Fee Breakdown'!W29</f>
        <v>1233965.052498122</v>
      </c>
      <c r="E36" s="9">
        <f>'Fee Breakdown'!X29</f>
        <v>1286920.8550999779</v>
      </c>
      <c r="F36" s="9">
        <f>'Fee Breakdown'!Y29</f>
        <v>1359858.9299555253</v>
      </c>
      <c r="G36" s="9">
        <f>'Fee Breakdown'!Z29</f>
        <v>1434035.1349796173</v>
      </c>
      <c r="H36" s="18">
        <f>SUM(C36:G36)</f>
        <v>6415939.2382970806</v>
      </c>
    </row>
    <row r="37" spans="2:8" ht="15.75" thickBot="1" x14ac:dyDescent="0.3">
      <c r="B37" s="138" t="s">
        <v>59</v>
      </c>
      <c r="C37" s="139">
        <f>SUM(C35:C36)</f>
        <v>2039552.0880498094</v>
      </c>
      <c r="D37" s="139">
        <f t="shared" ref="D37:H37" si="0">SUM(D35:D36)</f>
        <v>2213299.6907754545</v>
      </c>
      <c r="E37" s="139">
        <f t="shared" si="0"/>
        <v>2299413.5111241657</v>
      </c>
      <c r="F37" s="139">
        <f t="shared" si="0"/>
        <v>2408019.8371954262</v>
      </c>
      <c r="G37" s="139">
        <f t="shared" si="0"/>
        <v>2518290.8767266758</v>
      </c>
      <c r="H37" s="139">
        <f t="shared" si="0"/>
        <v>11478576.00387153</v>
      </c>
    </row>
    <row r="38" spans="2:8" x14ac:dyDescent="0.25">
      <c r="B38" s="15"/>
      <c r="C38" s="9"/>
      <c r="D38" s="9"/>
      <c r="E38" s="9"/>
      <c r="F38" s="9"/>
      <c r="G38" s="9"/>
      <c r="H38" s="18"/>
    </row>
    <row r="39" spans="2:8" x14ac:dyDescent="0.25">
      <c r="B39" t="s">
        <v>4</v>
      </c>
      <c r="C39" s="187">
        <f>'Fee Breakdown'!H29</f>
        <v>592</v>
      </c>
      <c r="D39" s="187">
        <f>'Fee Breakdown'!I29</f>
        <v>592</v>
      </c>
      <c r="E39" s="187">
        <f>'Fee Breakdown'!J29</f>
        <v>592</v>
      </c>
      <c r="F39" s="187">
        <f>'Fee Breakdown'!K29</f>
        <v>592</v>
      </c>
      <c r="G39" s="187">
        <f>'Fee Breakdown'!L29</f>
        <v>592</v>
      </c>
      <c r="H39" s="188">
        <f>SUM(C39:G39)</f>
        <v>2960</v>
      </c>
    </row>
    <row r="40" spans="2:8" x14ac:dyDescent="0.25">
      <c r="C40" s="3"/>
      <c r="D40" s="4"/>
      <c r="E40" s="3"/>
      <c r="F40" s="3"/>
      <c r="G40" s="3"/>
    </row>
    <row r="41" spans="2:8" x14ac:dyDescent="0.25">
      <c r="B41" s="140" t="s">
        <v>56</v>
      </c>
      <c r="C41" s="137"/>
      <c r="D41" s="137"/>
      <c r="E41" s="137"/>
      <c r="F41" s="137"/>
      <c r="G41" s="137"/>
      <c r="H41" s="137"/>
    </row>
    <row r="42" spans="2:8" ht="61.5" customHeight="1" x14ac:dyDescent="0.25">
      <c r="B42" s="343" t="s">
        <v>137</v>
      </c>
      <c r="C42" s="343"/>
      <c r="D42" s="343"/>
      <c r="E42" s="343"/>
      <c r="F42" s="343"/>
      <c r="G42" s="343"/>
      <c r="H42" s="343"/>
    </row>
    <row r="44" spans="2:8" x14ac:dyDescent="0.25">
      <c r="B44" s="12" t="s">
        <v>73</v>
      </c>
      <c r="C44" s="13" t="s">
        <v>15</v>
      </c>
      <c r="D44" s="13" t="s">
        <v>16</v>
      </c>
      <c r="E44" s="13" t="s">
        <v>17</v>
      </c>
      <c r="F44" s="13" t="s">
        <v>18</v>
      </c>
      <c r="G44" s="13" t="s">
        <v>19</v>
      </c>
      <c r="H44" s="189" t="s">
        <v>58</v>
      </c>
    </row>
    <row r="45" spans="2:8" x14ac:dyDescent="0.25">
      <c r="B45" t="s">
        <v>57</v>
      </c>
      <c r="C45" s="8">
        <f>+'Input Sheet'!G161</f>
        <v>2.1734523534412387</v>
      </c>
      <c r="D45" s="8">
        <f>+'Input Sheet'!H161</f>
        <v>2.2600034801880273</v>
      </c>
      <c r="E45" s="8">
        <f>+'Input Sheet'!I161</f>
        <v>2.2710421625707418</v>
      </c>
      <c r="F45" s="8">
        <f>+'Input Sheet'!J161</f>
        <v>2.2973761190315822</v>
      </c>
      <c r="G45" s="8">
        <f>+'Input Sheet'!K161</f>
        <v>2.3225986082111594</v>
      </c>
      <c r="H45" s="135">
        <f>AVERAGE(C45:G45)</f>
        <v>2.2648945446885498</v>
      </c>
    </row>
  </sheetData>
  <mergeCells count="15">
    <mergeCell ref="C26:D26"/>
    <mergeCell ref="C27:D27"/>
    <mergeCell ref="C6:H6"/>
    <mergeCell ref="B42:H42"/>
    <mergeCell ref="B14:H14"/>
    <mergeCell ref="B11:H11"/>
    <mergeCell ref="B15:H15"/>
    <mergeCell ref="B16:H16"/>
    <mergeCell ref="B17:H17"/>
    <mergeCell ref="B22:H22"/>
    <mergeCell ref="B18:H18"/>
    <mergeCell ref="B30:H30"/>
    <mergeCell ref="C24:D24"/>
    <mergeCell ref="C25:D25"/>
    <mergeCell ref="B19:H19"/>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42" t="s">
        <v>47</v>
      </c>
      <c r="C2" s="142"/>
      <c r="D2" s="141"/>
      <c r="E2" s="141"/>
      <c r="F2" s="141"/>
      <c r="G2" s="141"/>
      <c r="H2" s="141"/>
      <c r="I2" s="141"/>
      <c r="J2" s="141"/>
      <c r="K2" s="141"/>
    </row>
    <row r="3" spans="2:13" x14ac:dyDescent="0.25">
      <c r="B3" s="14" t="s">
        <v>0</v>
      </c>
      <c r="C3" s="12"/>
      <c r="D3" s="347" t="str">
        <f>'AER Summary'!C3</f>
        <v>Access Permits</v>
      </c>
      <c r="E3" s="348"/>
      <c r="F3" s="348"/>
      <c r="G3" s="348"/>
      <c r="H3" s="348"/>
      <c r="I3" s="348"/>
      <c r="J3" s="348"/>
      <c r="K3" s="348"/>
      <c r="M3" s="6"/>
    </row>
    <row r="4" spans="2:13" x14ac:dyDescent="0.25">
      <c r="M4" s="6"/>
    </row>
    <row r="5" spans="2:13" x14ac:dyDescent="0.25">
      <c r="B5" s="140" t="s">
        <v>77</v>
      </c>
      <c r="C5" s="140"/>
      <c r="D5" s="140"/>
      <c r="E5" s="140"/>
      <c r="F5" s="140"/>
      <c r="G5" s="140"/>
      <c r="H5" s="140"/>
      <c r="I5" s="140"/>
      <c r="J5" s="140"/>
      <c r="K5" s="140"/>
      <c r="M5" s="7"/>
    </row>
    <row r="6" spans="2:13" ht="182.25" customHeight="1" x14ac:dyDescent="0.25">
      <c r="B6" s="343" t="s">
        <v>125</v>
      </c>
      <c r="C6" s="343"/>
      <c r="D6" s="343"/>
      <c r="E6" s="343"/>
      <c r="F6" s="343"/>
      <c r="G6" s="343"/>
      <c r="H6" s="343"/>
      <c r="I6" s="343"/>
      <c r="J6" s="343"/>
      <c r="K6" s="343"/>
      <c r="M6" s="7"/>
    </row>
    <row r="8" spans="2:13" x14ac:dyDescent="0.25">
      <c r="B8" s="140" t="s">
        <v>7</v>
      </c>
      <c r="C8" s="140"/>
      <c r="D8" s="140"/>
      <c r="E8" s="140"/>
      <c r="F8" s="140"/>
      <c r="G8" s="140"/>
      <c r="H8" s="140"/>
      <c r="I8" s="140"/>
      <c r="J8" s="140"/>
      <c r="K8" s="140"/>
    </row>
    <row r="9" spans="2:13" ht="30" customHeight="1" x14ac:dyDescent="0.25">
      <c r="B9" s="349" t="s">
        <v>106</v>
      </c>
      <c r="C9" s="349"/>
      <c r="D9" s="349"/>
      <c r="E9" s="349"/>
      <c r="F9" s="349"/>
      <c r="G9" s="349"/>
      <c r="H9" s="349"/>
      <c r="I9" s="349"/>
      <c r="J9" s="349"/>
      <c r="K9" s="349"/>
    </row>
    <row r="11" spans="2:13" x14ac:dyDescent="0.25">
      <c r="B11" s="140" t="s">
        <v>78</v>
      </c>
      <c r="C11" s="140"/>
      <c r="D11" s="140"/>
      <c r="E11" s="140"/>
      <c r="F11" s="140"/>
      <c r="G11" s="140"/>
      <c r="H11" s="140"/>
      <c r="I11" s="140"/>
      <c r="J11" s="140"/>
      <c r="K11" s="140"/>
    </row>
    <row r="12" spans="2:13" ht="286.5" customHeight="1" x14ac:dyDescent="0.25">
      <c r="B12" s="343" t="s">
        <v>126</v>
      </c>
      <c r="C12" s="343"/>
      <c r="D12" s="343"/>
      <c r="E12" s="343"/>
      <c r="F12" s="343"/>
      <c r="G12" s="343"/>
      <c r="H12" s="343"/>
      <c r="I12" s="343"/>
      <c r="J12" s="343"/>
      <c r="K12" s="343"/>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31"/>
  <sheetViews>
    <sheetView showGridLines="0" zoomScaleNormal="100" workbookViewId="0"/>
  </sheetViews>
  <sheetFormatPr defaultColWidth="9.140625" defaultRowHeight="12.75" x14ac:dyDescent="0.25"/>
  <cols>
    <col min="1" max="1" width="2.5703125" style="27" customWidth="1"/>
    <col min="2" max="2" width="57.28515625" style="27" bestFit="1" customWidth="1"/>
    <col min="3" max="6" width="10" style="27" customWidth="1"/>
    <col min="7" max="7" width="2.85546875" style="27" customWidth="1"/>
    <col min="8" max="9" width="10" style="27" customWidth="1"/>
    <col min="10" max="12" width="10" style="73" customWidth="1"/>
    <col min="13" max="13" width="2.85546875" style="73" customWidth="1"/>
    <col min="14" max="14" width="12" style="73" customWidth="1"/>
    <col min="15" max="15" width="2.85546875" style="73" customWidth="1"/>
    <col min="16" max="20" width="10" style="73" customWidth="1"/>
    <col min="21" max="21" width="3.7109375" style="101" customWidth="1"/>
    <col min="22" max="26" width="10" style="102" customWidth="1"/>
    <col min="27" max="27" width="3.7109375" style="27" customWidth="1"/>
    <col min="28" max="32" width="10" style="27" customWidth="1"/>
    <col min="33" max="33" width="2.85546875" style="27" customWidth="1"/>
    <col min="34" max="63" width="9.140625" style="27" customWidth="1"/>
    <col min="64" max="16384" width="9.140625" style="27"/>
  </cols>
  <sheetData>
    <row r="2" spans="2:33" ht="21" x14ac:dyDescent="0.25">
      <c r="B2" s="164" t="s">
        <v>49</v>
      </c>
      <c r="C2" s="165"/>
      <c r="D2" s="165"/>
      <c r="E2" s="165"/>
      <c r="F2" s="165"/>
      <c r="G2" s="165"/>
      <c r="H2" s="165"/>
      <c r="I2" s="165"/>
      <c r="J2" s="166"/>
      <c r="K2" s="166"/>
      <c r="L2" s="166"/>
      <c r="M2" s="166"/>
      <c r="N2" s="166"/>
      <c r="O2" s="166"/>
      <c r="P2" s="166"/>
      <c r="Q2" s="166"/>
      <c r="R2" s="166"/>
      <c r="S2" s="166"/>
      <c r="T2" s="166"/>
      <c r="U2" s="166"/>
      <c r="V2" s="166"/>
      <c r="W2" s="166"/>
      <c r="X2" s="166"/>
      <c r="Y2" s="166"/>
      <c r="Z2" s="166"/>
      <c r="AA2" s="166"/>
      <c r="AB2" s="166"/>
      <c r="AC2" s="166"/>
      <c r="AD2" s="166"/>
      <c r="AE2" s="166"/>
      <c r="AF2" s="166"/>
    </row>
    <row r="3" spans="2:33" ht="15" x14ac:dyDescent="0.25">
      <c r="B3" s="99" t="s">
        <v>0</v>
      </c>
      <c r="C3" s="100" t="str">
        <f>+'AER Summary'!C3</f>
        <v>Access Permits</v>
      </c>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row>
    <row r="5" spans="2:33" ht="15" x14ac:dyDescent="0.25">
      <c r="B5" s="140" t="str">
        <f>"Proposed "&amp;'AER Summary'!C3&amp;" Fees &amp; Revenue"</f>
        <v>Proposed Access Permits Fees &amp; Revenue</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row>
    <row r="6" spans="2:33" x14ac:dyDescent="0.25">
      <c r="M6" s="125"/>
      <c r="N6" s="125"/>
      <c r="O6" s="125"/>
      <c r="V6" s="90"/>
      <c r="W6" s="90"/>
      <c r="X6" s="90"/>
      <c r="Y6" s="90"/>
      <c r="Z6" s="90"/>
    </row>
    <row r="7" spans="2:33" x14ac:dyDescent="0.25">
      <c r="C7" s="356" t="s">
        <v>6</v>
      </c>
      <c r="D7" s="357"/>
      <c r="E7" s="357"/>
      <c r="F7" s="358"/>
      <c r="H7" s="359" t="s">
        <v>105</v>
      </c>
      <c r="I7" s="360"/>
      <c r="J7" s="360"/>
      <c r="K7" s="360"/>
      <c r="L7" s="361"/>
      <c r="M7" s="103"/>
      <c r="N7" s="103"/>
      <c r="O7" s="103"/>
      <c r="P7" s="359" t="s">
        <v>65</v>
      </c>
      <c r="Q7" s="360"/>
      <c r="R7" s="360"/>
      <c r="S7" s="360"/>
      <c r="T7" s="361"/>
      <c r="V7" s="362"/>
      <c r="W7" s="362"/>
      <c r="X7" s="362"/>
      <c r="Y7" s="362"/>
      <c r="Z7" s="362"/>
      <c r="AA7" s="156"/>
      <c r="AB7" s="359" t="s">
        <v>111</v>
      </c>
      <c r="AC7" s="360"/>
      <c r="AD7" s="360"/>
      <c r="AE7" s="360"/>
      <c r="AF7" s="361"/>
      <c r="AG7" s="156"/>
    </row>
    <row r="8" spans="2:33" ht="51" x14ac:dyDescent="0.25">
      <c r="B8" s="104" t="s">
        <v>8</v>
      </c>
      <c r="C8" s="126" t="s">
        <v>51</v>
      </c>
      <c r="D8" s="127" t="s">
        <v>104</v>
      </c>
      <c r="E8" s="127" t="s">
        <v>60</v>
      </c>
      <c r="F8" s="128" t="s">
        <v>50</v>
      </c>
      <c r="H8" s="152" t="s">
        <v>15</v>
      </c>
      <c r="I8" s="153" t="s">
        <v>16</v>
      </c>
      <c r="J8" s="153" t="s">
        <v>17</v>
      </c>
      <c r="K8" s="153" t="s">
        <v>18</v>
      </c>
      <c r="L8" s="154" t="s">
        <v>19</v>
      </c>
      <c r="M8" s="105"/>
      <c r="N8" s="149" t="s">
        <v>104</v>
      </c>
      <c r="O8" s="105"/>
      <c r="P8" s="106" t="s">
        <v>15</v>
      </c>
      <c r="Q8" s="107" t="s">
        <v>16</v>
      </c>
      <c r="R8" s="107" t="s">
        <v>17</v>
      </c>
      <c r="S8" s="107" t="s">
        <v>18</v>
      </c>
      <c r="T8" s="108" t="s">
        <v>19</v>
      </c>
      <c r="V8" s="157"/>
      <c r="W8" s="157"/>
      <c r="X8" s="157"/>
      <c r="Y8" s="157"/>
      <c r="Z8" s="157"/>
      <c r="AA8" s="156"/>
      <c r="AB8" s="106" t="s">
        <v>15</v>
      </c>
      <c r="AC8" s="107" t="s">
        <v>16</v>
      </c>
      <c r="AD8" s="107" t="s">
        <v>17</v>
      </c>
      <c r="AE8" s="107" t="s">
        <v>18</v>
      </c>
      <c r="AF8" s="108" t="s">
        <v>19</v>
      </c>
      <c r="AG8" s="156"/>
    </row>
    <row r="9" spans="2:33" x14ac:dyDescent="0.25">
      <c r="B9" s="111" t="s">
        <v>85</v>
      </c>
      <c r="C9" s="115"/>
      <c r="D9" s="116">
        <f>'Input Sheet'!I9</f>
        <v>43.300000000000004</v>
      </c>
      <c r="E9" s="131">
        <f>'Input Sheet'!J9</f>
        <v>30</v>
      </c>
      <c r="F9" s="130">
        <f>'Input Sheet'!K9</f>
        <v>27.27272727272727</v>
      </c>
      <c r="G9" s="117"/>
      <c r="H9" s="150">
        <f>+'Input Sheet'!G$152</f>
        <v>3590.1364594094384</v>
      </c>
      <c r="I9" s="144">
        <f>+'Input Sheet'!H$152</f>
        <v>3746.7731075318661</v>
      </c>
      <c r="J9" s="144">
        <f>+'Input Sheet'!I$152</f>
        <v>3873.6302249432488</v>
      </c>
      <c r="K9" s="144">
        <f>+'Input Sheet'!J$152</f>
        <v>4010.0910823706977</v>
      </c>
      <c r="L9" s="145">
        <f>+'Input Sheet'!K$152</f>
        <v>4148.1839772468729</v>
      </c>
      <c r="M9" s="112"/>
      <c r="N9" s="114">
        <f>+D9</f>
        <v>43.300000000000004</v>
      </c>
      <c r="O9" s="112"/>
      <c r="P9" s="178">
        <f>+H9/$N$9</f>
        <v>82.913082203451225</v>
      </c>
      <c r="Q9" s="179">
        <f t="shared" ref="Q9:T9" si="0">+I9/$N$9</f>
        <v>86.530556755932238</v>
      </c>
      <c r="R9" s="179">
        <f t="shared" si="0"/>
        <v>89.460282331252856</v>
      </c>
      <c r="S9" s="179">
        <f t="shared" si="0"/>
        <v>92.611803288006868</v>
      </c>
      <c r="T9" s="180">
        <f t="shared" si="0"/>
        <v>95.801015640805375</v>
      </c>
      <c r="U9" s="113"/>
      <c r="V9" s="158"/>
      <c r="W9" s="158"/>
      <c r="X9" s="158"/>
      <c r="Y9" s="158"/>
      <c r="Z9" s="158"/>
      <c r="AA9" s="156"/>
      <c r="AB9" s="235">
        <f>+$N$9*H22</f>
        <v>0</v>
      </c>
      <c r="AC9" s="236">
        <f t="shared" ref="AC9:AF9" si="1">+$N$9*I22</f>
        <v>0</v>
      </c>
      <c r="AD9" s="236">
        <f t="shared" si="1"/>
        <v>0</v>
      </c>
      <c r="AE9" s="236">
        <f t="shared" si="1"/>
        <v>0</v>
      </c>
      <c r="AF9" s="237">
        <f t="shared" si="1"/>
        <v>0</v>
      </c>
      <c r="AG9" s="156"/>
    </row>
    <row r="10" spans="2:33" x14ac:dyDescent="0.25">
      <c r="B10" s="93" t="s">
        <v>86</v>
      </c>
      <c r="C10" s="115"/>
      <c r="D10" s="116"/>
      <c r="E10" s="131">
        <f>'Input Sheet'!J10</f>
        <v>1299</v>
      </c>
      <c r="F10" s="130">
        <f>'Input Sheet'!K10</f>
        <v>1180.909090909091</v>
      </c>
      <c r="G10" s="117"/>
      <c r="H10" s="150">
        <f>+'Input Sheet'!G$152</f>
        <v>3590.1364594094384</v>
      </c>
      <c r="I10" s="144">
        <f>+'Input Sheet'!H$152</f>
        <v>3746.7731075318661</v>
      </c>
      <c r="J10" s="144">
        <f>+'Input Sheet'!I$152</f>
        <v>3873.6302249432488</v>
      </c>
      <c r="K10" s="144">
        <f>+'Input Sheet'!J$152</f>
        <v>4010.0910823706977</v>
      </c>
      <c r="L10" s="145">
        <f>+'Input Sheet'!K$152</f>
        <v>4148.1839772468729</v>
      </c>
      <c r="M10" s="112"/>
      <c r="N10" s="120"/>
      <c r="O10" s="112"/>
      <c r="P10" s="181">
        <f>+H10</f>
        <v>3590.1364594094384</v>
      </c>
      <c r="Q10" s="182">
        <f t="shared" ref="Q10:Q14" si="2">+I10</f>
        <v>3746.7731075318661</v>
      </c>
      <c r="R10" s="182">
        <f t="shared" ref="R10:R14" si="3">+J10</f>
        <v>3873.6302249432488</v>
      </c>
      <c r="S10" s="182">
        <f t="shared" ref="S10:S14" si="4">+K10</f>
        <v>4010.0910823706977</v>
      </c>
      <c r="T10" s="183">
        <f t="shared" ref="T10:T14" si="5">+L10</f>
        <v>4148.1839772468729</v>
      </c>
      <c r="U10" s="113"/>
      <c r="V10" s="158"/>
      <c r="W10" s="158"/>
      <c r="X10" s="158"/>
      <c r="Y10" s="158"/>
      <c r="Z10" s="158"/>
      <c r="AA10" s="156"/>
      <c r="AB10" s="238">
        <f>+P10*H23</f>
        <v>843682.06796121807</v>
      </c>
      <c r="AC10" s="239">
        <f t="shared" ref="AC10:AF10" si="6">+Q10*I23</f>
        <v>880491.68026998849</v>
      </c>
      <c r="AD10" s="239">
        <f t="shared" si="6"/>
        <v>910303.10286166344</v>
      </c>
      <c r="AE10" s="239">
        <f t="shared" si="6"/>
        <v>942371.40435711399</v>
      </c>
      <c r="AF10" s="240">
        <f t="shared" si="6"/>
        <v>974823.23465301516</v>
      </c>
      <c r="AG10" s="156"/>
    </row>
    <row r="11" spans="2:33" x14ac:dyDescent="0.25">
      <c r="B11" s="93" t="s">
        <v>87</v>
      </c>
      <c r="C11" s="115"/>
      <c r="D11" s="116"/>
      <c r="E11" s="131">
        <f>'Input Sheet'!J11</f>
        <v>1299</v>
      </c>
      <c r="F11" s="130">
        <f>'Input Sheet'!K11</f>
        <v>1180.909090909091</v>
      </c>
      <c r="G11" s="117"/>
      <c r="H11" s="150">
        <f>+'Input Sheet'!G$152</f>
        <v>3590.1364594094384</v>
      </c>
      <c r="I11" s="144">
        <f>+'Input Sheet'!H$152</f>
        <v>3746.7731075318661</v>
      </c>
      <c r="J11" s="144">
        <f>+'Input Sheet'!I$152</f>
        <v>3873.6302249432488</v>
      </c>
      <c r="K11" s="144">
        <f>+'Input Sheet'!J$152</f>
        <v>4010.0910823706977</v>
      </c>
      <c r="L11" s="145">
        <f>+'Input Sheet'!K$152</f>
        <v>4148.1839772468729</v>
      </c>
      <c r="M11" s="112"/>
      <c r="N11" s="120"/>
      <c r="O11" s="112"/>
      <c r="P11" s="181">
        <f t="shared" ref="P11:P14" si="7">+H11</f>
        <v>3590.1364594094384</v>
      </c>
      <c r="Q11" s="182">
        <f t="shared" si="2"/>
        <v>3746.7731075318661</v>
      </c>
      <c r="R11" s="182">
        <f t="shared" si="3"/>
        <v>3873.6302249432488</v>
      </c>
      <c r="S11" s="182">
        <f t="shared" si="4"/>
        <v>4010.0910823706977</v>
      </c>
      <c r="T11" s="183">
        <f t="shared" si="5"/>
        <v>4148.1839772468729</v>
      </c>
      <c r="U11" s="113"/>
      <c r="V11" s="158"/>
      <c r="W11" s="158"/>
      <c r="X11" s="158"/>
      <c r="Y11" s="158"/>
      <c r="Z11" s="158"/>
      <c r="AA11" s="156"/>
      <c r="AB11" s="238">
        <f t="shared" ref="AB11:AF11" si="8">+P11*H24</f>
        <v>402095.28345385712</v>
      </c>
      <c r="AC11" s="239">
        <f t="shared" si="8"/>
        <v>419638.58804356901</v>
      </c>
      <c r="AD11" s="239">
        <f t="shared" si="8"/>
        <v>433846.58519364387</v>
      </c>
      <c r="AE11" s="239">
        <f t="shared" si="8"/>
        <v>449130.20122551813</v>
      </c>
      <c r="AF11" s="240">
        <f t="shared" si="8"/>
        <v>464596.60545164975</v>
      </c>
      <c r="AG11" s="156"/>
    </row>
    <row r="12" spans="2:33" x14ac:dyDescent="0.25">
      <c r="B12" s="93" t="s">
        <v>88</v>
      </c>
      <c r="C12" s="115"/>
      <c r="D12" s="116"/>
      <c r="E12" s="131">
        <f>'Input Sheet'!J12</f>
        <v>1299</v>
      </c>
      <c r="F12" s="130">
        <f>'Input Sheet'!K12</f>
        <v>1180.909090909091</v>
      </c>
      <c r="G12" s="117"/>
      <c r="H12" s="150">
        <f>+'Input Sheet'!G$152</f>
        <v>3590.1364594094384</v>
      </c>
      <c r="I12" s="144">
        <f>+'Input Sheet'!H$152</f>
        <v>3746.7731075318661</v>
      </c>
      <c r="J12" s="144">
        <f>+'Input Sheet'!I$152</f>
        <v>3873.6302249432488</v>
      </c>
      <c r="K12" s="144">
        <f>+'Input Sheet'!J$152</f>
        <v>4010.0910823706977</v>
      </c>
      <c r="L12" s="145">
        <f>+'Input Sheet'!K$152</f>
        <v>4148.1839772468729</v>
      </c>
      <c r="M12" s="112"/>
      <c r="N12" s="120"/>
      <c r="O12" s="112"/>
      <c r="P12" s="181">
        <f t="shared" si="7"/>
        <v>3590.1364594094384</v>
      </c>
      <c r="Q12" s="182">
        <f t="shared" si="2"/>
        <v>3746.7731075318661</v>
      </c>
      <c r="R12" s="182">
        <f t="shared" si="3"/>
        <v>3873.6302249432488</v>
      </c>
      <c r="S12" s="182">
        <f t="shared" si="4"/>
        <v>4010.0910823706977</v>
      </c>
      <c r="T12" s="183">
        <f t="shared" si="5"/>
        <v>4148.1839772468729</v>
      </c>
      <c r="U12" s="113"/>
      <c r="V12" s="158"/>
      <c r="W12" s="158"/>
      <c r="X12" s="158"/>
      <c r="Y12" s="158"/>
      <c r="Z12" s="158"/>
      <c r="AA12" s="156"/>
      <c r="AB12" s="238">
        <f t="shared" ref="AB12:AF12" si="9">+P12*H25</f>
        <v>272850.37091511732</v>
      </c>
      <c r="AC12" s="239">
        <f t="shared" si="9"/>
        <v>284754.75617242185</v>
      </c>
      <c r="AD12" s="239">
        <f t="shared" si="9"/>
        <v>294395.89709568693</v>
      </c>
      <c r="AE12" s="239">
        <f t="shared" si="9"/>
        <v>304766.92226017301</v>
      </c>
      <c r="AF12" s="240">
        <f t="shared" si="9"/>
        <v>315261.98227076232</v>
      </c>
      <c r="AG12" s="156"/>
    </row>
    <row r="13" spans="2:33" x14ac:dyDescent="0.25">
      <c r="B13" s="93" t="s">
        <v>89</v>
      </c>
      <c r="C13" s="115"/>
      <c r="D13" s="116"/>
      <c r="E13" s="131">
        <f>'Input Sheet'!J13</f>
        <v>1299</v>
      </c>
      <c r="F13" s="130">
        <f>'Input Sheet'!K13</f>
        <v>1180.909090909091</v>
      </c>
      <c r="G13" s="117"/>
      <c r="H13" s="150">
        <f>+'Input Sheet'!G$152</f>
        <v>3590.1364594094384</v>
      </c>
      <c r="I13" s="144">
        <f>+'Input Sheet'!H$152</f>
        <v>3746.7731075318661</v>
      </c>
      <c r="J13" s="144">
        <f>+'Input Sheet'!I$152</f>
        <v>3873.6302249432488</v>
      </c>
      <c r="K13" s="144">
        <f>+'Input Sheet'!J$152</f>
        <v>4010.0910823706977</v>
      </c>
      <c r="L13" s="145">
        <f>+'Input Sheet'!K$152</f>
        <v>4148.1839772468729</v>
      </c>
      <c r="M13" s="112"/>
      <c r="N13" s="120"/>
      <c r="O13" s="112"/>
      <c r="P13" s="181">
        <f t="shared" si="7"/>
        <v>3590.1364594094384</v>
      </c>
      <c r="Q13" s="182">
        <f t="shared" si="2"/>
        <v>3746.7731075318661</v>
      </c>
      <c r="R13" s="182">
        <f t="shared" si="3"/>
        <v>3873.6302249432488</v>
      </c>
      <c r="S13" s="182">
        <f t="shared" si="4"/>
        <v>4010.0910823706977</v>
      </c>
      <c r="T13" s="183">
        <f t="shared" si="5"/>
        <v>4148.1839772468729</v>
      </c>
      <c r="U13" s="113"/>
      <c r="V13" s="158"/>
      <c r="W13" s="158"/>
      <c r="X13" s="158"/>
      <c r="Y13" s="158"/>
      <c r="Z13" s="158"/>
      <c r="AA13" s="156"/>
      <c r="AB13" s="238">
        <f t="shared" ref="AB13:AF13" si="10">+P13*H26</f>
        <v>534930.33245200629</v>
      </c>
      <c r="AC13" s="239">
        <f t="shared" si="10"/>
        <v>558269.1930222481</v>
      </c>
      <c r="AD13" s="239">
        <f t="shared" si="10"/>
        <v>577170.90351654403</v>
      </c>
      <c r="AE13" s="239">
        <f t="shared" si="10"/>
        <v>597503.57127323397</v>
      </c>
      <c r="AF13" s="240">
        <f t="shared" si="10"/>
        <v>618079.41260978405</v>
      </c>
      <c r="AG13" s="156"/>
    </row>
    <row r="14" spans="2:33" x14ac:dyDescent="0.25">
      <c r="B14" s="93" t="s">
        <v>90</v>
      </c>
      <c r="C14" s="115"/>
      <c r="D14" s="116"/>
      <c r="E14" s="131">
        <f>'Input Sheet'!J14</f>
        <v>1299</v>
      </c>
      <c r="F14" s="130">
        <f>'Input Sheet'!K14</f>
        <v>1180.909090909091</v>
      </c>
      <c r="G14" s="117"/>
      <c r="H14" s="150">
        <f>+'Input Sheet'!G$152</f>
        <v>3590.1364594094384</v>
      </c>
      <c r="I14" s="144">
        <f>+'Input Sheet'!H$152</f>
        <v>3746.7731075318661</v>
      </c>
      <c r="J14" s="144">
        <f>+'Input Sheet'!I$152</f>
        <v>3873.6302249432488</v>
      </c>
      <c r="K14" s="144">
        <f>+'Input Sheet'!J$152</f>
        <v>4010.0910823706977</v>
      </c>
      <c r="L14" s="145">
        <f>+'Input Sheet'!K$152</f>
        <v>4148.1839772468729</v>
      </c>
      <c r="M14" s="112"/>
      <c r="N14" s="120"/>
      <c r="O14" s="112"/>
      <c r="P14" s="181">
        <f t="shared" si="7"/>
        <v>3590.1364594094384</v>
      </c>
      <c r="Q14" s="182">
        <f t="shared" si="2"/>
        <v>3746.7731075318661</v>
      </c>
      <c r="R14" s="182">
        <f t="shared" si="3"/>
        <v>3873.6302249432488</v>
      </c>
      <c r="S14" s="182">
        <f t="shared" si="4"/>
        <v>4010.0910823706977</v>
      </c>
      <c r="T14" s="183">
        <f t="shared" si="5"/>
        <v>4148.1839772468729</v>
      </c>
      <c r="U14" s="113"/>
      <c r="V14" s="158"/>
      <c r="W14" s="158"/>
      <c r="X14" s="158"/>
      <c r="Y14" s="158"/>
      <c r="Z14" s="158"/>
      <c r="AA14" s="156"/>
      <c r="AB14" s="238">
        <f t="shared" ref="AB14:AF14" si="11">+P14*H27</f>
        <v>71802.729188188765</v>
      </c>
      <c r="AC14" s="239">
        <f t="shared" si="11"/>
        <v>74935.462150637322</v>
      </c>
      <c r="AD14" s="239">
        <f t="shared" si="11"/>
        <v>77472.604498864981</v>
      </c>
      <c r="AE14" s="239">
        <f t="shared" si="11"/>
        <v>80201.821647413948</v>
      </c>
      <c r="AF14" s="240">
        <f t="shared" si="11"/>
        <v>82963.679544937462</v>
      </c>
      <c r="AG14" s="156"/>
    </row>
    <row r="15" spans="2:33" x14ac:dyDescent="0.25">
      <c r="B15" s="132"/>
      <c r="C15" s="133"/>
      <c r="D15" s="85"/>
      <c r="E15" s="85"/>
      <c r="F15" s="122"/>
      <c r="G15" s="118"/>
      <c r="H15" s="151"/>
      <c r="I15" s="146"/>
      <c r="J15" s="146"/>
      <c r="K15" s="146"/>
      <c r="L15" s="147"/>
      <c r="M15" s="119"/>
      <c r="N15" s="123"/>
      <c r="O15" s="119"/>
      <c r="P15" s="184"/>
      <c r="Q15" s="185"/>
      <c r="R15" s="185"/>
      <c r="S15" s="185"/>
      <c r="T15" s="186"/>
      <c r="U15" s="113"/>
      <c r="V15" s="158"/>
      <c r="W15" s="158"/>
      <c r="X15" s="158"/>
      <c r="Y15" s="158"/>
      <c r="Z15" s="158"/>
      <c r="AA15" s="156"/>
      <c r="AB15" s="241"/>
      <c r="AC15" s="242"/>
      <c r="AD15" s="242"/>
      <c r="AE15" s="242"/>
      <c r="AF15" s="243"/>
      <c r="AG15" s="156"/>
    </row>
    <row r="16" spans="2:33" x14ac:dyDescent="0.25">
      <c r="B16" s="82"/>
      <c r="C16" s="131"/>
      <c r="D16" s="82"/>
      <c r="E16" s="82"/>
      <c r="F16" s="131"/>
      <c r="G16" s="118"/>
      <c r="H16" s="144"/>
      <c r="I16" s="144"/>
      <c r="J16" s="144"/>
      <c r="K16" s="144"/>
      <c r="L16" s="144"/>
      <c r="M16" s="119"/>
      <c r="N16" s="116"/>
      <c r="O16" s="119"/>
      <c r="P16" s="182"/>
      <c r="Q16" s="182"/>
      <c r="R16" s="182"/>
      <c r="S16" s="182"/>
      <c r="T16" s="182"/>
      <c r="U16" s="113"/>
      <c r="V16" s="158"/>
      <c r="W16" s="158"/>
      <c r="X16" s="158"/>
      <c r="Y16" s="158"/>
      <c r="Z16" s="158"/>
      <c r="AA16" s="156"/>
      <c r="AB16" s="244">
        <f>SUM(AB9:AB15)</f>
        <v>2125360.7839703877</v>
      </c>
      <c r="AC16" s="245">
        <f>SUM(AC9:AC15)</f>
        <v>2218089.6796588651</v>
      </c>
      <c r="AD16" s="245">
        <f>SUM(AD9:AD15)</f>
        <v>2293189.0931664035</v>
      </c>
      <c r="AE16" s="245">
        <f>SUM(AE9:AE15)</f>
        <v>2373973.9207634535</v>
      </c>
      <c r="AF16" s="246">
        <f>SUM(AF9:AF15)</f>
        <v>2455724.9145301487</v>
      </c>
      <c r="AG16" s="156"/>
    </row>
    <row r="17" spans="2:33" x14ac:dyDescent="0.25">
      <c r="C17" s="119"/>
      <c r="D17" s="82"/>
      <c r="E17" s="82"/>
      <c r="F17" s="82"/>
      <c r="G17" s="118"/>
      <c r="H17" s="118"/>
      <c r="I17" s="118"/>
      <c r="J17" s="124"/>
      <c r="K17" s="124"/>
      <c r="L17" s="124"/>
      <c r="M17" s="124"/>
      <c r="N17" s="124"/>
      <c r="O17" s="124"/>
      <c r="P17" s="124"/>
      <c r="Q17" s="124"/>
      <c r="R17" s="124"/>
      <c r="S17" s="124"/>
      <c r="T17" s="124"/>
      <c r="V17" s="159"/>
      <c r="W17" s="159"/>
      <c r="X17" s="159"/>
      <c r="Y17" s="159"/>
      <c r="Z17" s="159"/>
      <c r="AA17" s="156"/>
      <c r="AB17" s="159"/>
      <c r="AC17" s="159"/>
      <c r="AD17" s="159"/>
      <c r="AE17" s="159"/>
      <c r="AF17" s="159"/>
      <c r="AG17" s="156"/>
    </row>
    <row r="18" spans="2:33" ht="15" x14ac:dyDescent="0.25">
      <c r="B18" s="140" t="s">
        <v>67</v>
      </c>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row>
    <row r="19" spans="2:33" x14ac:dyDescent="0.25">
      <c r="M19" s="125"/>
      <c r="N19" s="125"/>
      <c r="O19" s="125"/>
      <c r="V19" s="190"/>
      <c r="W19" s="190"/>
      <c r="X19" s="190"/>
      <c r="Y19" s="190"/>
      <c r="Z19" s="190"/>
    </row>
    <row r="20" spans="2:33" s="101" customFormat="1" x14ac:dyDescent="0.2">
      <c r="C20" s="350" t="s">
        <v>52</v>
      </c>
      <c r="D20" s="351"/>
      <c r="E20" s="351"/>
      <c r="F20" s="352"/>
      <c r="G20" s="27"/>
      <c r="H20" s="353" t="s">
        <v>66</v>
      </c>
      <c r="I20" s="354"/>
      <c r="J20" s="354"/>
      <c r="K20" s="354"/>
      <c r="L20" s="355"/>
      <c r="P20" s="363" t="s">
        <v>54</v>
      </c>
      <c r="Q20" s="364"/>
      <c r="R20" s="364"/>
      <c r="S20" s="364"/>
      <c r="T20" s="365"/>
      <c r="V20" s="350" t="s">
        <v>53</v>
      </c>
      <c r="W20" s="351"/>
      <c r="X20" s="351"/>
      <c r="Y20" s="351"/>
      <c r="Z20" s="352"/>
      <c r="AB20" s="350" t="s">
        <v>40</v>
      </c>
      <c r="AC20" s="351"/>
      <c r="AD20" s="351"/>
      <c r="AE20" s="351"/>
      <c r="AF20" s="352"/>
    </row>
    <row r="21" spans="2:33" s="101" customFormat="1" ht="25.5" x14ac:dyDescent="0.25">
      <c r="B21" s="104" t="s">
        <v>8</v>
      </c>
      <c r="C21" s="106" t="s">
        <v>10</v>
      </c>
      <c r="D21" s="107" t="s">
        <v>11</v>
      </c>
      <c r="E21" s="107" t="s">
        <v>12</v>
      </c>
      <c r="F21" s="108" t="s">
        <v>13</v>
      </c>
      <c r="G21" s="27"/>
      <c r="H21" s="152" t="s">
        <v>15</v>
      </c>
      <c r="I21" s="153" t="s">
        <v>16</v>
      </c>
      <c r="J21" s="153" t="s">
        <v>17</v>
      </c>
      <c r="K21" s="153" t="s">
        <v>18</v>
      </c>
      <c r="L21" s="154" t="s">
        <v>19</v>
      </c>
      <c r="N21" s="129" t="s">
        <v>20</v>
      </c>
      <c r="P21" s="160" t="s">
        <v>15</v>
      </c>
      <c r="Q21" s="109" t="s">
        <v>16</v>
      </c>
      <c r="R21" s="109" t="s">
        <v>17</v>
      </c>
      <c r="S21" s="109" t="s">
        <v>18</v>
      </c>
      <c r="T21" s="110" t="s">
        <v>19</v>
      </c>
      <c r="V21" s="160" t="s">
        <v>15</v>
      </c>
      <c r="W21" s="109" t="s">
        <v>16</v>
      </c>
      <c r="X21" s="109" t="s">
        <v>17</v>
      </c>
      <c r="Y21" s="109" t="s">
        <v>18</v>
      </c>
      <c r="Z21" s="110" t="s">
        <v>19</v>
      </c>
      <c r="AB21" s="161" t="s">
        <v>15</v>
      </c>
      <c r="AC21" s="162" t="s">
        <v>16</v>
      </c>
      <c r="AD21" s="162" t="s">
        <v>17</v>
      </c>
      <c r="AE21" s="162" t="s">
        <v>18</v>
      </c>
      <c r="AF21" s="163" t="s">
        <v>19</v>
      </c>
    </row>
    <row r="22" spans="2:33" s="101" customFormat="1" x14ac:dyDescent="0.25">
      <c r="B22" s="111" t="s">
        <v>85</v>
      </c>
      <c r="C22" s="251">
        <f>+'Input Sheet'!G32</f>
        <v>0</v>
      </c>
      <c r="D22" s="252">
        <f>+'Input Sheet'!H32</f>
        <v>0</v>
      </c>
      <c r="E22" s="252">
        <f>+'Input Sheet'!I32</f>
        <v>0</v>
      </c>
      <c r="F22" s="253">
        <f>+'Input Sheet'!K32</f>
        <v>0</v>
      </c>
      <c r="G22" s="223"/>
      <c r="H22" s="254">
        <f>ROUND(AVERAGE($C22:$F22),0)</f>
        <v>0</v>
      </c>
      <c r="I22" s="255">
        <f t="shared" ref="I22:L27" si="12">ROUND(AVERAGE($C22:$F22),0)</f>
        <v>0</v>
      </c>
      <c r="J22" s="255">
        <f t="shared" si="12"/>
        <v>0</v>
      </c>
      <c r="K22" s="255">
        <f t="shared" si="12"/>
        <v>0</v>
      </c>
      <c r="L22" s="256">
        <f t="shared" si="12"/>
        <v>0</v>
      </c>
      <c r="N22" s="114">
        <f>+D9</f>
        <v>43.300000000000004</v>
      </c>
      <c r="P22" s="235">
        <f>+H22*'Input Sheet'!$G151*'Fee Breakdown'!$N22</f>
        <v>0</v>
      </c>
      <c r="Q22" s="236">
        <f>+I22*'Input Sheet'!$G151*'Fee Breakdown'!$N22</f>
        <v>0</v>
      </c>
      <c r="R22" s="236">
        <f>+J22*'Input Sheet'!$G151*'Fee Breakdown'!$N22</f>
        <v>0</v>
      </c>
      <c r="S22" s="236">
        <f>+K22*'Input Sheet'!$G151*'Fee Breakdown'!$N22</f>
        <v>0</v>
      </c>
      <c r="T22" s="237">
        <f>+L22*'Input Sheet'!$G151*'Fee Breakdown'!$N22</f>
        <v>0</v>
      </c>
      <c r="U22" s="247"/>
      <c r="V22" s="235">
        <f>+P22*('Input Sheet'!G$161-1)</f>
        <v>0</v>
      </c>
      <c r="W22" s="236">
        <f>+Q22*('Input Sheet'!H$161-1)</f>
        <v>0</v>
      </c>
      <c r="X22" s="236">
        <f>+R22*('Input Sheet'!I$161-1)</f>
        <v>0</v>
      </c>
      <c r="Y22" s="236">
        <f>+S22*('Input Sheet'!J$161-1)</f>
        <v>0</v>
      </c>
      <c r="Z22" s="237">
        <f>+T22*('Input Sheet'!K$161-1)</f>
        <v>0</v>
      </c>
      <c r="AA22" s="247"/>
      <c r="AB22" s="235">
        <f>+P22+V22</f>
        <v>0</v>
      </c>
      <c r="AC22" s="236">
        <f t="shared" ref="AC22:AC27" si="13">+Q22+W22</f>
        <v>0</v>
      </c>
      <c r="AD22" s="236">
        <f t="shared" ref="AD22:AD27" si="14">+R22+X22</f>
        <v>0</v>
      </c>
      <c r="AE22" s="236">
        <f t="shared" ref="AE22:AE27" si="15">+S22+Y22</f>
        <v>0</v>
      </c>
      <c r="AF22" s="237">
        <f t="shared" ref="AF22:AF27" si="16">+T22+Z22</f>
        <v>0</v>
      </c>
    </row>
    <row r="23" spans="2:33" s="101" customFormat="1" x14ac:dyDescent="0.25">
      <c r="B23" s="93" t="s">
        <v>86</v>
      </c>
      <c r="C23" s="254">
        <f>+'Input Sheet'!G33</f>
        <v>295.00021016166374</v>
      </c>
      <c r="D23" s="255">
        <f>+'Input Sheet'!H33</f>
        <v>287</v>
      </c>
      <c r="E23" s="255">
        <f>+'Input Sheet'!I33</f>
        <v>193</v>
      </c>
      <c r="F23" s="256">
        <f>+'Input Sheet'!K33</f>
        <v>165</v>
      </c>
      <c r="G23" s="223"/>
      <c r="H23" s="254">
        <f t="shared" ref="H23:H27" si="17">ROUND(AVERAGE($C23:$F23),0)</f>
        <v>235</v>
      </c>
      <c r="I23" s="255">
        <f t="shared" si="12"/>
        <v>235</v>
      </c>
      <c r="J23" s="255">
        <f t="shared" si="12"/>
        <v>235</v>
      </c>
      <c r="K23" s="255">
        <f t="shared" si="12"/>
        <v>235</v>
      </c>
      <c r="L23" s="256">
        <f t="shared" si="12"/>
        <v>235</v>
      </c>
      <c r="N23" s="120"/>
      <c r="P23" s="238">
        <f>H23*'Input Sheet'!G$151</f>
        <v>372503.90749527566</v>
      </c>
      <c r="Q23" s="239">
        <f>I23*'Input Sheet'!H$151</f>
        <v>388756.1486404952</v>
      </c>
      <c r="R23" s="239">
        <f>J23*'Input Sheet'!I$151</f>
        <v>401918.53744203399</v>
      </c>
      <c r="S23" s="239">
        <f>K23*'Input Sheet'!J$151</f>
        <v>416077.38716448779</v>
      </c>
      <c r="T23" s="240">
        <f>L23*'Input Sheet'!K$151</f>
        <v>430405.57315972744</v>
      </c>
      <c r="U23" s="247"/>
      <c r="V23" s="238">
        <f>+P23*('Input Sheet'!G$161-1)</f>
        <v>437115.58691638871</v>
      </c>
      <c r="W23" s="239">
        <f>+Q23*('Input Sheet'!H$161-1)</f>
        <v>489834.10023151798</v>
      </c>
      <c r="X23" s="239">
        <f>+R23*('Input Sheet'!I$161-1)</f>
        <v>510855.40700759256</v>
      </c>
      <c r="Y23" s="239">
        <f>+S23*('Input Sheet'!J$161-1)</f>
        <v>539808.86577626423</v>
      </c>
      <c r="Z23" s="240">
        <f>+T23*('Input Sheet'!K$161-1)</f>
        <v>569253.81202738185</v>
      </c>
      <c r="AA23" s="247"/>
      <c r="AB23" s="238">
        <f t="shared" ref="AB23:AB27" si="18">+P23+V23</f>
        <v>809619.49441166432</v>
      </c>
      <c r="AC23" s="239">
        <f t="shared" si="13"/>
        <v>878590.24887201318</v>
      </c>
      <c r="AD23" s="239">
        <f t="shared" si="14"/>
        <v>912773.94444962661</v>
      </c>
      <c r="AE23" s="239">
        <f t="shared" si="15"/>
        <v>955886.25294075208</v>
      </c>
      <c r="AF23" s="240">
        <f t="shared" si="16"/>
        <v>999659.38518710923</v>
      </c>
    </row>
    <row r="24" spans="2:33" s="101" customFormat="1" x14ac:dyDescent="0.25">
      <c r="B24" s="93" t="s">
        <v>87</v>
      </c>
      <c r="C24" s="254">
        <f>+'Input Sheet'!G34</f>
        <v>111.00007544264815</v>
      </c>
      <c r="D24" s="255">
        <f>+'Input Sheet'!H34</f>
        <v>119</v>
      </c>
      <c r="E24" s="255">
        <f>+'Input Sheet'!I34</f>
        <v>110</v>
      </c>
      <c r="F24" s="256">
        <f>+'Input Sheet'!K34</f>
        <v>109</v>
      </c>
      <c r="G24" s="223"/>
      <c r="H24" s="254">
        <f t="shared" si="17"/>
        <v>112</v>
      </c>
      <c r="I24" s="255">
        <f t="shared" si="12"/>
        <v>112</v>
      </c>
      <c r="J24" s="255">
        <f t="shared" si="12"/>
        <v>112</v>
      </c>
      <c r="K24" s="255">
        <f t="shared" si="12"/>
        <v>112</v>
      </c>
      <c r="L24" s="256">
        <f t="shared" si="12"/>
        <v>112</v>
      </c>
      <c r="N24" s="120"/>
      <c r="P24" s="238">
        <f>H24*'Input Sheet'!G$151</f>
        <v>177533.77718923776</v>
      </c>
      <c r="Q24" s="239">
        <f>I24*'Input Sheet'!H$151</f>
        <v>185279.52616057644</v>
      </c>
      <c r="R24" s="239">
        <f>J24*'Input Sheet'!I$151</f>
        <v>191552.66465322473</v>
      </c>
      <c r="S24" s="239">
        <f>K24*'Input Sheet'!J$151</f>
        <v>198300.71218052186</v>
      </c>
      <c r="T24" s="240">
        <f>L24*'Input Sheet'!K$151</f>
        <v>205129.46465484882</v>
      </c>
      <c r="U24" s="247"/>
      <c r="V24" s="238">
        <f>+P24*('Input Sheet'!G$161-1)</f>
        <v>208327.42865802353</v>
      </c>
      <c r="W24" s="239">
        <f>+Q24*('Input Sheet'!H$161-1)</f>
        <v>233452.84776991495</v>
      </c>
      <c r="X24" s="239">
        <f>+R24*('Input Sheet'!I$161-1)</f>
        <v>243471.51312702283</v>
      </c>
      <c r="Y24" s="239">
        <f>+S24*('Input Sheet'!J$161-1)</f>
        <v>257270.60836996426</v>
      </c>
      <c r="Z24" s="240">
        <f>+T24*('Input Sheet'!K$161-1)</f>
        <v>271303.94445560325</v>
      </c>
      <c r="AA24" s="247"/>
      <c r="AB24" s="238">
        <f t="shared" si="18"/>
        <v>385861.2058472613</v>
      </c>
      <c r="AC24" s="239">
        <f t="shared" si="13"/>
        <v>418732.37393049139</v>
      </c>
      <c r="AD24" s="239">
        <f t="shared" si="14"/>
        <v>435024.17778024753</v>
      </c>
      <c r="AE24" s="239">
        <f t="shared" si="15"/>
        <v>455571.3205504861</v>
      </c>
      <c r="AF24" s="240">
        <f t="shared" si="16"/>
        <v>476433.40911045205</v>
      </c>
    </row>
    <row r="25" spans="2:33" s="101" customFormat="1" x14ac:dyDescent="0.25">
      <c r="B25" s="93" t="s">
        <v>88</v>
      </c>
      <c r="C25" s="254">
        <f>+'Input Sheet'!G35</f>
        <v>74.000055427251738</v>
      </c>
      <c r="D25" s="255">
        <f>+'Input Sheet'!H35</f>
        <v>97</v>
      </c>
      <c r="E25" s="255">
        <f>+'Input Sheet'!I35</f>
        <v>53</v>
      </c>
      <c r="F25" s="256">
        <f>+'Input Sheet'!K35</f>
        <v>81</v>
      </c>
      <c r="G25" s="223"/>
      <c r="H25" s="254">
        <f t="shared" si="17"/>
        <v>76</v>
      </c>
      <c r="I25" s="255">
        <f t="shared" si="12"/>
        <v>76</v>
      </c>
      <c r="J25" s="255">
        <f t="shared" si="12"/>
        <v>76</v>
      </c>
      <c r="K25" s="255">
        <f t="shared" si="12"/>
        <v>76</v>
      </c>
      <c r="L25" s="256">
        <f t="shared" si="12"/>
        <v>76</v>
      </c>
      <c r="N25" s="120"/>
      <c r="P25" s="238">
        <f>H25*'Input Sheet'!G$151</f>
        <v>120469.34880698276</v>
      </c>
      <c r="Q25" s="239">
        <f>I25*'Input Sheet'!H$151</f>
        <v>125725.39275181972</v>
      </c>
      <c r="R25" s="239">
        <f>J25*'Input Sheet'!I$151</f>
        <v>129982.1653004025</v>
      </c>
      <c r="S25" s="239">
        <f>K25*'Input Sheet'!J$151</f>
        <v>134561.19755106841</v>
      </c>
      <c r="T25" s="240">
        <f>L25*'Input Sheet'!K$151</f>
        <v>139194.99387293315</v>
      </c>
      <c r="U25" s="247"/>
      <c r="V25" s="238">
        <f>+P25*('Input Sheet'!G$161-1)</f>
        <v>141365.0408750874</v>
      </c>
      <c r="W25" s="239">
        <f>+Q25*('Input Sheet'!H$161-1)</f>
        <v>158414.43241529944</v>
      </c>
      <c r="X25" s="239">
        <f>+R25*('Input Sheet'!I$161-1)</f>
        <v>165212.81247905121</v>
      </c>
      <c r="Y25" s="239">
        <f>+S25*('Input Sheet'!J$161-1)</f>
        <v>174576.48425104719</v>
      </c>
      <c r="Z25" s="240">
        <f>+T25*('Input Sheet'!K$161-1)</f>
        <v>184099.10516630224</v>
      </c>
      <c r="AA25" s="247"/>
      <c r="AB25" s="238">
        <f t="shared" si="18"/>
        <v>261834.38968207018</v>
      </c>
      <c r="AC25" s="239">
        <f t="shared" si="13"/>
        <v>284139.82516711915</v>
      </c>
      <c r="AD25" s="239">
        <f t="shared" si="14"/>
        <v>295194.97777945374</v>
      </c>
      <c r="AE25" s="239">
        <f t="shared" si="15"/>
        <v>309137.68180211564</v>
      </c>
      <c r="AF25" s="240">
        <f t="shared" si="16"/>
        <v>323294.09903923539</v>
      </c>
    </row>
    <row r="26" spans="2:33" s="101" customFormat="1" x14ac:dyDescent="0.25">
      <c r="B26" s="93" t="s">
        <v>89</v>
      </c>
      <c r="C26" s="254">
        <f>+'Input Sheet'!G36</f>
        <v>139.00005773672089</v>
      </c>
      <c r="D26" s="255">
        <f>+'Input Sheet'!H36</f>
        <v>132</v>
      </c>
      <c r="E26" s="255">
        <f>+'Input Sheet'!I36</f>
        <v>116</v>
      </c>
      <c r="F26" s="256">
        <f>+'Input Sheet'!K36</f>
        <v>208</v>
      </c>
      <c r="G26" s="223"/>
      <c r="H26" s="254">
        <f t="shared" si="17"/>
        <v>149</v>
      </c>
      <c r="I26" s="255">
        <f t="shared" si="12"/>
        <v>149</v>
      </c>
      <c r="J26" s="255">
        <f t="shared" si="12"/>
        <v>149</v>
      </c>
      <c r="K26" s="255">
        <f t="shared" si="12"/>
        <v>149</v>
      </c>
      <c r="L26" s="256">
        <f t="shared" si="12"/>
        <v>149</v>
      </c>
      <c r="N26" s="120"/>
      <c r="P26" s="238">
        <f>H26*'Input Sheet'!G$151</f>
        <v>236183.32858211093</v>
      </c>
      <c r="Q26" s="239">
        <f>I26*'Input Sheet'!H$151</f>
        <v>246487.94105290971</v>
      </c>
      <c r="R26" s="239">
        <f>J26*'Input Sheet'!I$151</f>
        <v>254833.45565473646</v>
      </c>
      <c r="S26" s="239">
        <f>K26*'Input Sheet'!J$151</f>
        <v>263810.76888301567</v>
      </c>
      <c r="T26" s="240">
        <f>L26*'Input Sheet'!K$151</f>
        <v>272895.44851403998</v>
      </c>
      <c r="U26" s="247"/>
      <c r="V26" s="238">
        <f>+P26*('Input Sheet'!G$161-1)</f>
        <v>277149.88276826346</v>
      </c>
      <c r="W26" s="239">
        <f>+Q26*('Input Sheet'!H$161-1)</f>
        <v>310575.66355104756</v>
      </c>
      <c r="X26" s="239">
        <f>+R26*('Input Sheet'!I$161-1)</f>
        <v>323904.06657077145</v>
      </c>
      <c r="Y26" s="239">
        <f>+S26*('Input Sheet'!J$161-1)</f>
        <v>342261.79149218457</v>
      </c>
      <c r="Z26" s="240">
        <f>+T26*('Input Sheet'!K$161-1)</f>
        <v>360931.14039182937</v>
      </c>
      <c r="AA26" s="247"/>
      <c r="AB26" s="238">
        <f t="shared" si="18"/>
        <v>513333.21135037439</v>
      </c>
      <c r="AC26" s="239">
        <f t="shared" si="13"/>
        <v>557063.60460395727</v>
      </c>
      <c r="AD26" s="239">
        <f t="shared" si="14"/>
        <v>578737.52222550788</v>
      </c>
      <c r="AE26" s="239">
        <f t="shared" si="15"/>
        <v>606072.56037520024</v>
      </c>
      <c r="AF26" s="240">
        <f t="shared" si="16"/>
        <v>633826.58890586928</v>
      </c>
    </row>
    <row r="27" spans="2:33" s="101" customFormat="1" x14ac:dyDescent="0.25">
      <c r="B27" s="93" t="s">
        <v>90</v>
      </c>
      <c r="C27" s="254">
        <f>+'Input Sheet'!G37</f>
        <v>17.000011547344116</v>
      </c>
      <c r="D27" s="255">
        <f>+'Input Sheet'!H37</f>
        <v>26</v>
      </c>
      <c r="E27" s="255">
        <f>+'Input Sheet'!I37</f>
        <v>24</v>
      </c>
      <c r="F27" s="256">
        <f>+'Input Sheet'!K37</f>
        <v>13</v>
      </c>
      <c r="G27" s="223"/>
      <c r="H27" s="254">
        <f t="shared" si="17"/>
        <v>20</v>
      </c>
      <c r="I27" s="255">
        <f t="shared" si="12"/>
        <v>20</v>
      </c>
      <c r="J27" s="255">
        <f t="shared" si="12"/>
        <v>20</v>
      </c>
      <c r="K27" s="255">
        <f t="shared" si="12"/>
        <v>20</v>
      </c>
      <c r="L27" s="256">
        <f t="shared" si="12"/>
        <v>20</v>
      </c>
      <c r="N27" s="120"/>
      <c r="P27" s="238">
        <f>H27*'Input Sheet'!G$151</f>
        <v>31702.460212363883</v>
      </c>
      <c r="Q27" s="239">
        <f>I27*'Input Sheet'!H$151</f>
        <v>33085.629671531504</v>
      </c>
      <c r="R27" s="239">
        <f>J27*'Input Sheet'!I$151</f>
        <v>34205.832973790129</v>
      </c>
      <c r="S27" s="239">
        <f>K27*'Input Sheet'!J$151</f>
        <v>35410.841460807475</v>
      </c>
      <c r="T27" s="240">
        <f>L27*'Input Sheet'!K$151</f>
        <v>36630.261545508722</v>
      </c>
      <c r="U27" s="247"/>
      <c r="V27" s="238">
        <f>+P27*('Input Sheet'!G$161-1)</f>
        <v>37201.32654607563</v>
      </c>
      <c r="W27" s="239">
        <f>+Q27*('Input Sheet'!H$161-1)</f>
        <v>41688.008530341955</v>
      </c>
      <c r="X27" s="239">
        <f>+R27*('Input Sheet'!I$161-1)</f>
        <v>43477.055915539793</v>
      </c>
      <c r="Y27" s="239">
        <f>+S27*('Input Sheet'!J$161-1)</f>
        <v>45941.180066065048</v>
      </c>
      <c r="Z27" s="240">
        <f>+T27*('Input Sheet'!K$161-1)</f>
        <v>48447.132938500588</v>
      </c>
      <c r="AA27" s="247"/>
      <c r="AB27" s="238">
        <f t="shared" si="18"/>
        <v>68903.786758439514</v>
      </c>
      <c r="AC27" s="239">
        <f t="shared" si="13"/>
        <v>74773.638201873458</v>
      </c>
      <c r="AD27" s="239">
        <f t="shared" si="14"/>
        <v>77682.888889329915</v>
      </c>
      <c r="AE27" s="239">
        <f t="shared" si="15"/>
        <v>81352.02152687253</v>
      </c>
      <c r="AF27" s="240">
        <f t="shared" si="16"/>
        <v>85077.394484009303</v>
      </c>
    </row>
    <row r="28" spans="2:33" s="101" customFormat="1" x14ac:dyDescent="0.25">
      <c r="B28" s="121"/>
      <c r="C28" s="257"/>
      <c r="D28" s="258"/>
      <c r="E28" s="258"/>
      <c r="F28" s="259"/>
      <c r="G28" s="223"/>
      <c r="H28" s="257"/>
      <c r="I28" s="258"/>
      <c r="J28" s="258"/>
      <c r="K28" s="258"/>
      <c r="L28" s="259"/>
      <c r="N28" s="123"/>
      <c r="P28" s="241"/>
      <c r="Q28" s="242"/>
      <c r="R28" s="242"/>
      <c r="S28" s="242"/>
      <c r="T28" s="243"/>
      <c r="U28" s="247"/>
      <c r="V28" s="241"/>
      <c r="W28" s="242"/>
      <c r="X28" s="242"/>
      <c r="Y28" s="242"/>
      <c r="Z28" s="243"/>
      <c r="AA28" s="247"/>
      <c r="AB28" s="241"/>
      <c r="AC28" s="242"/>
      <c r="AD28" s="242"/>
      <c r="AE28" s="242"/>
      <c r="AF28" s="243"/>
    </row>
    <row r="29" spans="2:33" s="101" customFormat="1" x14ac:dyDescent="0.25">
      <c r="C29" s="260">
        <f>SUM(C22:C28)</f>
        <v>636.00041031562864</v>
      </c>
      <c r="D29" s="261">
        <f>SUM(D22:D28)</f>
        <v>661</v>
      </c>
      <c r="E29" s="261">
        <f>SUM(E22:E28)</f>
        <v>496</v>
      </c>
      <c r="F29" s="262">
        <f>SUM(F22:F28)</f>
        <v>576</v>
      </c>
      <c r="G29" s="263"/>
      <c r="H29" s="264">
        <f>SUM(H22:H28)</f>
        <v>592</v>
      </c>
      <c r="I29" s="265">
        <f>SUM(I22:I28)</f>
        <v>592</v>
      </c>
      <c r="J29" s="265">
        <f>SUM(J22:J28)</f>
        <v>592</v>
      </c>
      <c r="K29" s="265">
        <f>SUM(K22:K28)</f>
        <v>592</v>
      </c>
      <c r="L29" s="266">
        <f>SUM(L22:L28)</f>
        <v>592</v>
      </c>
      <c r="P29" s="248">
        <f>SUM(P22:P28)</f>
        <v>938392.82228597091</v>
      </c>
      <c r="Q29" s="249">
        <f>SUM(Q22:Q28)</f>
        <v>979334.63827733253</v>
      </c>
      <c r="R29" s="249">
        <f>SUM(R22:R28)</f>
        <v>1012492.6560241879</v>
      </c>
      <c r="S29" s="249">
        <f>SUM(S22:S28)</f>
        <v>1048160.9072399011</v>
      </c>
      <c r="T29" s="250">
        <f>SUM(T22:T28)</f>
        <v>1084255.7417470582</v>
      </c>
      <c r="U29" s="247"/>
      <c r="V29" s="244">
        <f>SUM(V22:V28)</f>
        <v>1101159.2657638385</v>
      </c>
      <c r="W29" s="245">
        <f>SUM(W22:W28)</f>
        <v>1233965.052498122</v>
      </c>
      <c r="X29" s="245">
        <f>SUM(X22:X28)</f>
        <v>1286920.8550999779</v>
      </c>
      <c r="Y29" s="245">
        <f>SUM(Y22:Y28)</f>
        <v>1359858.9299555253</v>
      </c>
      <c r="Z29" s="246">
        <f>SUM(Z22:Z28)</f>
        <v>1434035.1349796173</v>
      </c>
      <c r="AA29" s="247"/>
      <c r="AB29" s="244">
        <f>SUM(AB22:AB28)</f>
        <v>2039552.0880498097</v>
      </c>
      <c r="AC29" s="245">
        <f>SUM(AC22:AC28)</f>
        <v>2213299.6907754545</v>
      </c>
      <c r="AD29" s="245">
        <f>SUM(AD22:AD28)</f>
        <v>2299413.5111241657</v>
      </c>
      <c r="AE29" s="245">
        <f>SUM(AE22:AE28)</f>
        <v>2408019.8371954267</v>
      </c>
      <c r="AF29" s="246">
        <f>SUM(AF22:AF28)</f>
        <v>2518290.8767266753</v>
      </c>
    </row>
    <row r="30" spans="2:33" s="101" customFormat="1" x14ac:dyDescent="0.25">
      <c r="AA30" s="29"/>
    </row>
    <row r="31" spans="2:33" s="101" customFormat="1" x14ac:dyDescent="0.25">
      <c r="V31" s="90"/>
      <c r="W31" s="90"/>
      <c r="X31" s="90"/>
      <c r="Y31" s="90"/>
      <c r="Z31" s="90"/>
    </row>
  </sheetData>
  <mergeCells count="10">
    <mergeCell ref="AB20:AF20"/>
    <mergeCell ref="C20:F20"/>
    <mergeCell ref="H20:L20"/>
    <mergeCell ref="C7:F7"/>
    <mergeCell ref="P7:T7"/>
    <mergeCell ref="H7:L7"/>
    <mergeCell ref="V7:Z7"/>
    <mergeCell ref="P20:T20"/>
    <mergeCell ref="V20:Z20"/>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2014-04-28T03:20:19Z</cp:lastPrinted>
  <dcterms:created xsi:type="dcterms:W3CDTF">2013-06-17T01:25:32Z</dcterms:created>
  <dcterms:modified xsi:type="dcterms:W3CDTF">2015-01-04T23:44:15Z</dcterms:modified>
</cp:coreProperties>
</file>