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826" activeTab="4"/>
  </bookViews>
  <sheets>
    <sheet name="Input Documents --&gt;" sheetId="16" r:id="rId1"/>
    <sheet name="Input Sheet" sheetId="13" r:id="rId2"/>
    <sheet name="Standard Hour Calcs" sheetId="12" r:id="rId3"/>
    <sheet name="Methodology Statements --&gt;" sheetId="15" r:id="rId4"/>
    <sheet name="AER Summary" sheetId="8" r:id="rId5"/>
    <sheet name="Service Description" sheetId="9" r:id="rId6"/>
    <sheet name="Fee Breakdown" sheetId="11" r:id="rId7"/>
  </sheets>
  <definedNames>
    <definedName name="_xlnm.Print_Area" localSheetId="4">'AER Summary'!$A:$I</definedName>
    <definedName name="_xlnm.Print_Area" localSheetId="6">'Fee Breakdown'!$A$1:$AG$82</definedName>
    <definedName name="_xlnm.Print_Titles" localSheetId="2">'Standard Hour Calcs'!$9:$9</definedName>
    <definedName name="TM1REBUILDOPTION">1</definedName>
  </definedNames>
  <calcPr calcId="145621" calcMode="manual" concurrentCalc="0"/>
</workbook>
</file>

<file path=xl/calcChain.xml><?xml version="1.0" encoding="utf-8"?>
<calcChain xmlns="http://schemas.openxmlformats.org/spreadsheetml/2006/main">
  <c r="K163" i="13" l="1"/>
  <c r="K144" i="13"/>
  <c r="T47" i="11"/>
  <c r="K154" i="13"/>
  <c r="Z47" i="11"/>
  <c r="AF47" i="11"/>
  <c r="T48" i="11"/>
  <c r="Z48" i="11"/>
  <c r="AF48" i="11"/>
  <c r="T49" i="11"/>
  <c r="Z49" i="11"/>
  <c r="AF49" i="11"/>
  <c r="T50" i="11"/>
  <c r="Z50" i="11"/>
  <c r="AF50" i="11"/>
  <c r="T51" i="11"/>
  <c r="Z51" i="11"/>
  <c r="AF51" i="11"/>
  <c r="T52" i="11"/>
  <c r="Z52" i="11"/>
  <c r="AF52" i="11"/>
  <c r="T54" i="11"/>
  <c r="Z54" i="11"/>
  <c r="AF54" i="11"/>
  <c r="T55" i="11"/>
  <c r="Z55" i="11"/>
  <c r="AF55" i="11"/>
  <c r="T56" i="11"/>
  <c r="Z56" i="11"/>
  <c r="AF56" i="11"/>
  <c r="T57" i="11"/>
  <c r="Z57" i="11"/>
  <c r="AF57" i="11"/>
  <c r="T58" i="11"/>
  <c r="Z58" i="11"/>
  <c r="AF58" i="11"/>
  <c r="T59" i="11"/>
  <c r="Z59" i="11"/>
  <c r="AF59" i="11"/>
  <c r="T60" i="11"/>
  <c r="Z60" i="11"/>
  <c r="AF60" i="11"/>
  <c r="T61" i="11"/>
  <c r="Z61" i="11"/>
  <c r="AF61" i="11"/>
  <c r="T62" i="11"/>
  <c r="Z62" i="11"/>
  <c r="AF62" i="11"/>
  <c r="T63" i="11"/>
  <c r="Z63" i="11"/>
  <c r="AF63" i="11"/>
  <c r="T64" i="11"/>
  <c r="Z64" i="11"/>
  <c r="AF64" i="11"/>
  <c r="T65" i="11"/>
  <c r="Z65" i="11"/>
  <c r="AF65" i="11"/>
  <c r="T66" i="11"/>
  <c r="Z66" i="11"/>
  <c r="AF66" i="11"/>
  <c r="T67" i="11"/>
  <c r="Z67" i="11"/>
  <c r="AF67" i="11"/>
  <c r="T68" i="11"/>
  <c r="Z68" i="11"/>
  <c r="AF68" i="11"/>
  <c r="T69" i="11"/>
  <c r="Z69" i="11"/>
  <c r="AF69" i="11"/>
  <c r="T70" i="11"/>
  <c r="Z70" i="11"/>
  <c r="AF70" i="11"/>
  <c r="T71" i="11"/>
  <c r="Z71" i="11"/>
  <c r="AF71" i="11"/>
  <c r="T72" i="11"/>
  <c r="Z72" i="11"/>
  <c r="AF72" i="11"/>
  <c r="T74" i="11"/>
  <c r="Z74" i="11"/>
  <c r="AF74" i="11"/>
  <c r="T75" i="11"/>
  <c r="Z75" i="11"/>
  <c r="AF75" i="11"/>
  <c r="T76" i="11"/>
  <c r="Z76" i="11"/>
  <c r="AF76" i="11"/>
  <c r="T77" i="11"/>
  <c r="Z77" i="11"/>
  <c r="AF77" i="11"/>
  <c r="AF79" i="11"/>
  <c r="J163" i="13"/>
  <c r="J144" i="13"/>
  <c r="S47" i="11"/>
  <c r="J154" i="13"/>
  <c r="Y47" i="11"/>
  <c r="AE47" i="11"/>
  <c r="S48" i="11"/>
  <c r="Y48" i="11"/>
  <c r="AE48" i="11"/>
  <c r="S49" i="11"/>
  <c r="Y49" i="11"/>
  <c r="AE49" i="11"/>
  <c r="S50" i="11"/>
  <c r="Y50" i="11"/>
  <c r="AE50" i="11"/>
  <c r="S51" i="11"/>
  <c r="Y51" i="11"/>
  <c r="AE51" i="11"/>
  <c r="S52" i="11"/>
  <c r="Y52" i="11"/>
  <c r="AE52" i="11"/>
  <c r="S54" i="11"/>
  <c r="Y54" i="11"/>
  <c r="AE54" i="11"/>
  <c r="S55" i="11"/>
  <c r="Y55" i="11"/>
  <c r="AE55" i="11"/>
  <c r="S56" i="11"/>
  <c r="Y56" i="11"/>
  <c r="AE56" i="11"/>
  <c r="S57" i="11"/>
  <c r="Y57" i="11"/>
  <c r="AE57" i="11"/>
  <c r="S58" i="11"/>
  <c r="Y58" i="11"/>
  <c r="AE58" i="11"/>
  <c r="S59" i="11"/>
  <c r="Y59" i="11"/>
  <c r="AE59" i="11"/>
  <c r="S60" i="11"/>
  <c r="Y60" i="11"/>
  <c r="AE60" i="11"/>
  <c r="S61" i="11"/>
  <c r="Y61" i="11"/>
  <c r="AE61" i="11"/>
  <c r="S62" i="11"/>
  <c r="Y62" i="11"/>
  <c r="AE62" i="11"/>
  <c r="S63" i="11"/>
  <c r="Y63" i="11"/>
  <c r="AE63" i="11"/>
  <c r="S64" i="11"/>
  <c r="Y64" i="11"/>
  <c r="AE64" i="11"/>
  <c r="S65" i="11"/>
  <c r="Y65" i="11"/>
  <c r="AE65" i="11"/>
  <c r="S66" i="11"/>
  <c r="Y66" i="11"/>
  <c r="AE66" i="11"/>
  <c r="S67" i="11"/>
  <c r="Y67" i="11"/>
  <c r="AE67" i="11"/>
  <c r="S68" i="11"/>
  <c r="Y68" i="11"/>
  <c r="AE68" i="11"/>
  <c r="S69" i="11"/>
  <c r="Y69" i="11"/>
  <c r="AE69" i="11"/>
  <c r="S70" i="11"/>
  <c r="Y70" i="11"/>
  <c r="AE70" i="11"/>
  <c r="S71" i="11"/>
  <c r="Y71" i="11"/>
  <c r="AE71" i="11"/>
  <c r="S72" i="11"/>
  <c r="Y72" i="11"/>
  <c r="AE72" i="11"/>
  <c r="S74" i="11"/>
  <c r="Y74" i="11"/>
  <c r="AE74" i="11"/>
  <c r="S75" i="11"/>
  <c r="Y75" i="11"/>
  <c r="AE75" i="11"/>
  <c r="S76" i="11"/>
  <c r="Y76" i="11"/>
  <c r="AE76" i="11"/>
  <c r="S77" i="11"/>
  <c r="Y77" i="11"/>
  <c r="AE77" i="11"/>
  <c r="AE79" i="11"/>
  <c r="I163" i="13"/>
  <c r="I144" i="13"/>
  <c r="R47" i="11"/>
  <c r="I154" i="13"/>
  <c r="X47" i="11"/>
  <c r="AD47" i="11"/>
  <c r="R48" i="11"/>
  <c r="X48" i="11"/>
  <c r="AD48" i="11"/>
  <c r="R49" i="11"/>
  <c r="X49" i="11"/>
  <c r="AD49" i="11"/>
  <c r="R50" i="11"/>
  <c r="X50" i="11"/>
  <c r="AD50" i="11"/>
  <c r="R51" i="11"/>
  <c r="X51" i="11"/>
  <c r="AD51" i="11"/>
  <c r="R52" i="11"/>
  <c r="X52" i="11"/>
  <c r="AD52" i="11"/>
  <c r="R54" i="11"/>
  <c r="X54" i="11"/>
  <c r="AD54" i="11"/>
  <c r="R55" i="11"/>
  <c r="X55" i="11"/>
  <c r="AD55" i="11"/>
  <c r="R56" i="11"/>
  <c r="X56" i="11"/>
  <c r="AD56" i="11"/>
  <c r="R57" i="11"/>
  <c r="X57" i="11"/>
  <c r="AD57" i="11"/>
  <c r="R58" i="11"/>
  <c r="X58" i="11"/>
  <c r="AD58" i="11"/>
  <c r="R59" i="11"/>
  <c r="X59" i="11"/>
  <c r="AD59" i="11"/>
  <c r="R60" i="11"/>
  <c r="X60" i="11"/>
  <c r="AD60" i="11"/>
  <c r="R61" i="11"/>
  <c r="X61" i="11"/>
  <c r="AD61" i="11"/>
  <c r="R62" i="11"/>
  <c r="X62" i="11"/>
  <c r="AD62" i="11"/>
  <c r="R63" i="11"/>
  <c r="X63" i="11"/>
  <c r="AD63" i="11"/>
  <c r="R64" i="11"/>
  <c r="X64" i="11"/>
  <c r="AD64" i="11"/>
  <c r="R65" i="11"/>
  <c r="X65" i="11"/>
  <c r="AD65" i="11"/>
  <c r="R66" i="11"/>
  <c r="X66" i="11"/>
  <c r="AD66" i="11"/>
  <c r="R67" i="11"/>
  <c r="X67" i="11"/>
  <c r="AD67" i="11"/>
  <c r="R68" i="11"/>
  <c r="X68" i="11"/>
  <c r="AD68" i="11"/>
  <c r="R69" i="11"/>
  <c r="X69" i="11"/>
  <c r="AD69" i="11"/>
  <c r="R70" i="11"/>
  <c r="X70" i="11"/>
  <c r="AD70" i="11"/>
  <c r="R71" i="11"/>
  <c r="X71" i="11"/>
  <c r="AD71" i="11"/>
  <c r="R72" i="11"/>
  <c r="X72" i="11"/>
  <c r="AD72" i="11"/>
  <c r="R74" i="11"/>
  <c r="X74" i="11"/>
  <c r="AD74" i="11"/>
  <c r="R75" i="11"/>
  <c r="X75" i="11"/>
  <c r="AD75" i="11"/>
  <c r="R76" i="11"/>
  <c r="X76" i="11"/>
  <c r="AD76" i="11"/>
  <c r="R77" i="11"/>
  <c r="X77" i="11"/>
  <c r="AD77" i="11"/>
  <c r="AD79" i="11"/>
  <c r="H163" i="13"/>
  <c r="H144" i="13"/>
  <c r="Q47" i="11"/>
  <c r="H154" i="13"/>
  <c r="W47" i="11"/>
  <c r="AC47" i="11"/>
  <c r="Q48" i="11"/>
  <c r="W48" i="11"/>
  <c r="AC48" i="11"/>
  <c r="Q49" i="11"/>
  <c r="W49" i="11"/>
  <c r="AC49" i="11"/>
  <c r="Q50" i="11"/>
  <c r="W50" i="11"/>
  <c r="AC50" i="11"/>
  <c r="Q51" i="11"/>
  <c r="W51" i="11"/>
  <c r="AC51" i="11"/>
  <c r="Q52" i="11"/>
  <c r="W52" i="11"/>
  <c r="AC52" i="11"/>
  <c r="Q54" i="11"/>
  <c r="W54" i="11"/>
  <c r="AC54" i="11"/>
  <c r="Q55" i="11"/>
  <c r="W55" i="11"/>
  <c r="AC55" i="11"/>
  <c r="Q56" i="11"/>
  <c r="W56" i="11"/>
  <c r="AC56" i="11"/>
  <c r="Q57" i="11"/>
  <c r="W57" i="11"/>
  <c r="AC57" i="11"/>
  <c r="Q58" i="11"/>
  <c r="W58" i="11"/>
  <c r="AC58" i="11"/>
  <c r="Q59" i="11"/>
  <c r="W59" i="11"/>
  <c r="AC59" i="11"/>
  <c r="Q60" i="11"/>
  <c r="W60" i="11"/>
  <c r="AC60" i="11"/>
  <c r="Q61" i="11"/>
  <c r="W61" i="11"/>
  <c r="AC61" i="11"/>
  <c r="Q62" i="11"/>
  <c r="W62" i="11"/>
  <c r="AC62" i="11"/>
  <c r="Q63" i="11"/>
  <c r="W63" i="11"/>
  <c r="AC63" i="11"/>
  <c r="Q64" i="11"/>
  <c r="W64" i="11"/>
  <c r="AC64" i="11"/>
  <c r="Q65" i="11"/>
  <c r="W65" i="11"/>
  <c r="AC65" i="11"/>
  <c r="Q66" i="11"/>
  <c r="W66" i="11"/>
  <c r="AC66" i="11"/>
  <c r="Q67" i="11"/>
  <c r="W67" i="11"/>
  <c r="AC67" i="11"/>
  <c r="Q68" i="11"/>
  <c r="W68" i="11"/>
  <c r="AC68" i="11"/>
  <c r="Q69" i="11"/>
  <c r="W69" i="11"/>
  <c r="AC69" i="11"/>
  <c r="Q70" i="11"/>
  <c r="W70" i="11"/>
  <c r="AC70" i="11"/>
  <c r="Q71" i="11"/>
  <c r="W71" i="11"/>
  <c r="AC71" i="11"/>
  <c r="Q72" i="11"/>
  <c r="W72" i="11"/>
  <c r="AC72" i="11"/>
  <c r="Q74" i="11"/>
  <c r="W74" i="11"/>
  <c r="AC74" i="11"/>
  <c r="Q75" i="11"/>
  <c r="W75" i="11"/>
  <c r="AC75" i="11"/>
  <c r="Q76" i="11"/>
  <c r="W76" i="11"/>
  <c r="AC76" i="11"/>
  <c r="Q77" i="11"/>
  <c r="W77" i="11"/>
  <c r="AC77" i="11"/>
  <c r="AC79" i="11"/>
  <c r="G163" i="13"/>
  <c r="G144" i="13"/>
  <c r="P47" i="11"/>
  <c r="G154" i="13"/>
  <c r="V47" i="11"/>
  <c r="AB47" i="11"/>
  <c r="P48" i="11"/>
  <c r="V48" i="11"/>
  <c r="AB48" i="11"/>
  <c r="P49" i="11"/>
  <c r="V49" i="11"/>
  <c r="AB49" i="11"/>
  <c r="P50" i="11"/>
  <c r="V50" i="11"/>
  <c r="AB50" i="11"/>
  <c r="P51" i="11"/>
  <c r="V51" i="11"/>
  <c r="AB51" i="11"/>
  <c r="P52" i="11"/>
  <c r="V52" i="11"/>
  <c r="AB52" i="11"/>
  <c r="P54" i="11"/>
  <c r="V54" i="11"/>
  <c r="AB54" i="11"/>
  <c r="P55" i="11"/>
  <c r="V55" i="11"/>
  <c r="AB55" i="11"/>
  <c r="P56" i="11"/>
  <c r="V56" i="11"/>
  <c r="AB56" i="11"/>
  <c r="P57" i="11"/>
  <c r="V57" i="11"/>
  <c r="AB57" i="11"/>
  <c r="P58" i="11"/>
  <c r="V58" i="11"/>
  <c r="AB58" i="11"/>
  <c r="P59" i="11"/>
  <c r="V59" i="11"/>
  <c r="AB59" i="11"/>
  <c r="P60" i="11"/>
  <c r="V60" i="11"/>
  <c r="AB60" i="11"/>
  <c r="P61" i="11"/>
  <c r="V61" i="11"/>
  <c r="AB61" i="11"/>
  <c r="P62" i="11"/>
  <c r="V62" i="11"/>
  <c r="AB62" i="11"/>
  <c r="P63" i="11"/>
  <c r="V63" i="11"/>
  <c r="AB63" i="11"/>
  <c r="P64" i="11"/>
  <c r="V64" i="11"/>
  <c r="AB64" i="11"/>
  <c r="P65" i="11"/>
  <c r="V65" i="11"/>
  <c r="AB65" i="11"/>
  <c r="P66" i="11"/>
  <c r="V66" i="11"/>
  <c r="AB66" i="11"/>
  <c r="P67" i="11"/>
  <c r="V67" i="11"/>
  <c r="AB67" i="11"/>
  <c r="P68" i="11"/>
  <c r="V68" i="11"/>
  <c r="AB68" i="11"/>
  <c r="P69" i="11"/>
  <c r="V69" i="11"/>
  <c r="AB69" i="11"/>
  <c r="P70" i="11"/>
  <c r="V70" i="11"/>
  <c r="AB70" i="11"/>
  <c r="P71" i="11"/>
  <c r="V71" i="11"/>
  <c r="AB71" i="11"/>
  <c r="P72" i="11"/>
  <c r="V72" i="11"/>
  <c r="AB72" i="11"/>
  <c r="P74" i="11"/>
  <c r="V74" i="11"/>
  <c r="AB74" i="11"/>
  <c r="P75" i="11"/>
  <c r="V75" i="11"/>
  <c r="AB75" i="11"/>
  <c r="P76" i="11"/>
  <c r="V76" i="11"/>
  <c r="AB76" i="11"/>
  <c r="P77" i="11"/>
  <c r="V77" i="11"/>
  <c r="AB77" i="11"/>
  <c r="AB79" i="11"/>
  <c r="Z79" i="11"/>
  <c r="Y79" i="11"/>
  <c r="X79" i="11"/>
  <c r="W79" i="11"/>
  <c r="V79" i="11"/>
  <c r="T79" i="11"/>
  <c r="S79" i="11"/>
  <c r="R79" i="11"/>
  <c r="Q79" i="11"/>
  <c r="P79" i="11"/>
  <c r="K156" i="13"/>
  <c r="K9" i="13"/>
  <c r="H9" i="13"/>
  <c r="D10" i="12"/>
  <c r="I10" i="12"/>
  <c r="N10" i="12"/>
  <c r="K10" i="13"/>
  <c r="H10" i="13"/>
  <c r="D11" i="12"/>
  <c r="I11" i="12"/>
  <c r="N11" i="12"/>
  <c r="K11" i="13"/>
  <c r="H11" i="13"/>
  <c r="D12" i="12"/>
  <c r="I12" i="12"/>
  <c r="N12" i="12"/>
  <c r="K12" i="13"/>
  <c r="H12" i="13"/>
  <c r="D13" i="12"/>
  <c r="I13" i="12"/>
  <c r="N13" i="12"/>
  <c r="D14" i="12"/>
  <c r="E14" i="12"/>
  <c r="I14" i="12"/>
  <c r="N14" i="12"/>
  <c r="D15" i="12"/>
  <c r="E15" i="12"/>
  <c r="I15" i="12"/>
  <c r="N15" i="12"/>
  <c r="D17" i="12"/>
  <c r="E17" i="12"/>
  <c r="I17" i="12"/>
  <c r="N17" i="12"/>
  <c r="D18" i="12"/>
  <c r="E18" i="12"/>
  <c r="I18" i="12"/>
  <c r="N18" i="12"/>
  <c r="D19" i="12"/>
  <c r="E19" i="12"/>
  <c r="I19" i="12"/>
  <c r="N19" i="12"/>
  <c r="D20" i="12"/>
  <c r="E20" i="12"/>
  <c r="I20" i="12"/>
  <c r="N20" i="12"/>
  <c r="D21" i="12"/>
  <c r="E21" i="12"/>
  <c r="I21" i="12"/>
  <c r="N21" i="12"/>
  <c r="D22" i="12"/>
  <c r="E22" i="12"/>
  <c r="I22" i="12"/>
  <c r="N22" i="12"/>
  <c r="D23" i="12"/>
  <c r="E23" i="12"/>
  <c r="I23" i="12"/>
  <c r="N23" i="12"/>
  <c r="D24" i="12"/>
  <c r="E24" i="12"/>
  <c r="I24" i="12"/>
  <c r="N24" i="12"/>
  <c r="D25" i="12"/>
  <c r="E25" i="12"/>
  <c r="I25" i="12"/>
  <c r="N25" i="12"/>
  <c r="D26" i="12"/>
  <c r="E26" i="12"/>
  <c r="I26" i="12"/>
  <c r="N26" i="12"/>
  <c r="D27" i="12"/>
  <c r="E27" i="12"/>
  <c r="I27" i="12"/>
  <c r="N27" i="12"/>
  <c r="D28" i="12"/>
  <c r="E28" i="12"/>
  <c r="I28" i="12"/>
  <c r="N28" i="12"/>
  <c r="D29" i="12"/>
  <c r="E29" i="12"/>
  <c r="I29" i="12"/>
  <c r="N29" i="12"/>
  <c r="D30" i="12"/>
  <c r="E30" i="12"/>
  <c r="I30" i="12"/>
  <c r="N30" i="12"/>
  <c r="D31" i="12"/>
  <c r="E31" i="12"/>
  <c r="I31" i="12"/>
  <c r="N31" i="12"/>
  <c r="D32" i="12"/>
  <c r="E32" i="12"/>
  <c r="I32" i="12"/>
  <c r="N32" i="12"/>
  <c r="D33" i="12"/>
  <c r="E33" i="12"/>
  <c r="I33" i="12"/>
  <c r="N33" i="12"/>
  <c r="D34" i="12"/>
  <c r="E34" i="12"/>
  <c r="I34" i="12"/>
  <c r="N34" i="12"/>
  <c r="D35" i="12"/>
  <c r="E35" i="12"/>
  <c r="I35" i="12"/>
  <c r="N35" i="12"/>
  <c r="D37" i="12"/>
  <c r="E37" i="12"/>
  <c r="I37" i="12"/>
  <c r="N37" i="12"/>
  <c r="D38" i="12"/>
  <c r="E38" i="12"/>
  <c r="I38" i="12"/>
  <c r="N38" i="12"/>
  <c r="D39" i="12"/>
  <c r="E39" i="12"/>
  <c r="I39" i="12"/>
  <c r="N39" i="12"/>
  <c r="D40" i="12"/>
  <c r="E40" i="12"/>
  <c r="I40" i="12"/>
  <c r="N40" i="12"/>
  <c r="N42" i="12"/>
  <c r="H88" i="13"/>
  <c r="H122" i="13"/>
  <c r="H123" i="13"/>
  <c r="S10" i="12"/>
  <c r="J10" i="12"/>
  <c r="O10" i="12"/>
  <c r="J11" i="12"/>
  <c r="O11" i="12"/>
  <c r="J12" i="12"/>
  <c r="O12" i="12"/>
  <c r="J13" i="12"/>
  <c r="O13" i="12"/>
  <c r="J14" i="12"/>
  <c r="O14" i="12"/>
  <c r="J15" i="12"/>
  <c r="O15" i="12"/>
  <c r="J17" i="12"/>
  <c r="O17" i="12"/>
  <c r="J18" i="12"/>
  <c r="O18" i="12"/>
  <c r="J19" i="12"/>
  <c r="O19" i="12"/>
  <c r="J20" i="12"/>
  <c r="O20" i="12"/>
  <c r="J21" i="12"/>
  <c r="O21" i="12"/>
  <c r="J22" i="12"/>
  <c r="O22" i="12"/>
  <c r="J23" i="12"/>
  <c r="O23" i="12"/>
  <c r="J24" i="12"/>
  <c r="O24" i="12"/>
  <c r="J25" i="12"/>
  <c r="O25" i="12"/>
  <c r="J26" i="12"/>
  <c r="O26" i="12"/>
  <c r="J27" i="12"/>
  <c r="O27" i="12"/>
  <c r="J28" i="12"/>
  <c r="O28" i="12"/>
  <c r="J29" i="12"/>
  <c r="O29" i="12"/>
  <c r="J30" i="12"/>
  <c r="O30" i="12"/>
  <c r="J31" i="12"/>
  <c r="O31" i="12"/>
  <c r="J32" i="12"/>
  <c r="O32" i="12"/>
  <c r="J33" i="12"/>
  <c r="O33" i="12"/>
  <c r="J34" i="12"/>
  <c r="O34" i="12"/>
  <c r="J35" i="12"/>
  <c r="O35" i="12"/>
  <c r="J37" i="12"/>
  <c r="O37" i="12"/>
  <c r="J38" i="12"/>
  <c r="O38" i="12"/>
  <c r="J39" i="12"/>
  <c r="O39" i="12"/>
  <c r="J40" i="12"/>
  <c r="O40" i="12"/>
  <c r="O42" i="12"/>
  <c r="I88" i="13"/>
  <c r="I122" i="13"/>
  <c r="I123" i="13"/>
  <c r="T10" i="12"/>
  <c r="K10" i="12"/>
  <c r="P10" i="12"/>
  <c r="K11" i="12"/>
  <c r="P11" i="12"/>
  <c r="K12" i="12"/>
  <c r="P12" i="12"/>
  <c r="K13" i="12"/>
  <c r="P13" i="12"/>
  <c r="K14" i="12"/>
  <c r="P14" i="12"/>
  <c r="K15" i="12"/>
  <c r="P15" i="12"/>
  <c r="K17" i="12"/>
  <c r="P17" i="12"/>
  <c r="K18" i="12"/>
  <c r="P18" i="12"/>
  <c r="K19" i="12"/>
  <c r="P19" i="12"/>
  <c r="K20" i="12"/>
  <c r="P20" i="12"/>
  <c r="K21" i="12"/>
  <c r="P21" i="12"/>
  <c r="K22" i="12"/>
  <c r="P22" i="12"/>
  <c r="K23" i="12"/>
  <c r="P23" i="12"/>
  <c r="K24" i="12"/>
  <c r="P24" i="12"/>
  <c r="K25" i="12"/>
  <c r="P25" i="12"/>
  <c r="K26" i="12"/>
  <c r="P26" i="12"/>
  <c r="K27" i="12"/>
  <c r="P27" i="12"/>
  <c r="K28" i="12"/>
  <c r="P28" i="12"/>
  <c r="K29" i="12"/>
  <c r="P29" i="12"/>
  <c r="K30" i="12"/>
  <c r="P30" i="12"/>
  <c r="K31" i="12"/>
  <c r="P31" i="12"/>
  <c r="K32" i="12"/>
  <c r="P32" i="12"/>
  <c r="K33" i="12"/>
  <c r="P33" i="12"/>
  <c r="K34" i="12"/>
  <c r="P34" i="12"/>
  <c r="K35" i="12"/>
  <c r="P35" i="12"/>
  <c r="K37" i="12"/>
  <c r="P37" i="12"/>
  <c r="K38" i="12"/>
  <c r="P38" i="12"/>
  <c r="K39" i="12"/>
  <c r="P39" i="12"/>
  <c r="K40" i="12"/>
  <c r="P40" i="12"/>
  <c r="P42" i="12"/>
  <c r="J88" i="13"/>
  <c r="J122" i="13"/>
  <c r="J123" i="13"/>
  <c r="U10" i="12"/>
  <c r="V10" i="12"/>
  <c r="L10" i="12"/>
  <c r="X10" i="12"/>
  <c r="Y10" i="12"/>
  <c r="Z10" i="12"/>
  <c r="N9" i="11"/>
  <c r="Z19" i="12"/>
  <c r="N18" i="11"/>
  <c r="H102" i="13"/>
  <c r="J111" i="13"/>
  <c r="I111" i="13"/>
  <c r="H111" i="13"/>
  <c r="H113" i="13"/>
  <c r="H114" i="13"/>
  <c r="H52" i="13"/>
  <c r="H128" i="13"/>
  <c r="H129" i="13"/>
  <c r="H130" i="13"/>
  <c r="H131" i="13"/>
  <c r="I131" i="13"/>
  <c r="H132" i="13"/>
  <c r="I113" i="13"/>
  <c r="I114" i="13"/>
  <c r="I52" i="13"/>
  <c r="I128" i="13"/>
  <c r="I129" i="13"/>
  <c r="I130" i="13"/>
  <c r="I132" i="13"/>
  <c r="J113" i="13"/>
  <c r="J114" i="13"/>
  <c r="J52" i="13"/>
  <c r="J128" i="13"/>
  <c r="J129" i="13"/>
  <c r="J130" i="13"/>
  <c r="J132" i="13"/>
  <c r="J134" i="13"/>
  <c r="S19" i="12"/>
  <c r="T19" i="12"/>
  <c r="U19" i="12"/>
  <c r="V19" i="12"/>
  <c r="L19" i="12"/>
  <c r="X19" i="12"/>
  <c r="Y19" i="12"/>
  <c r="N56" i="11"/>
  <c r="D56" i="11"/>
  <c r="E56" i="11"/>
  <c r="F56" i="11"/>
  <c r="H56" i="11"/>
  <c r="K39" i="13"/>
  <c r="F39" i="11"/>
  <c r="E39" i="11"/>
  <c r="D39" i="11"/>
  <c r="C39" i="11"/>
  <c r="K38" i="13"/>
  <c r="F38" i="11"/>
  <c r="E38" i="11"/>
  <c r="D38" i="11"/>
  <c r="C38" i="11"/>
  <c r="K37" i="13"/>
  <c r="F37" i="11"/>
  <c r="E37" i="11"/>
  <c r="D37" i="11"/>
  <c r="C37" i="11"/>
  <c r="K36" i="13"/>
  <c r="F36" i="11"/>
  <c r="E36" i="11"/>
  <c r="D36" i="11"/>
  <c r="C36" i="11"/>
  <c r="K34" i="13"/>
  <c r="F34" i="11"/>
  <c r="E34" i="11"/>
  <c r="D34" i="11"/>
  <c r="C34" i="11"/>
  <c r="K33" i="13"/>
  <c r="F33" i="11"/>
  <c r="E33" i="11"/>
  <c r="D33" i="11"/>
  <c r="C33" i="11"/>
  <c r="K32" i="13"/>
  <c r="F32" i="11"/>
  <c r="E32" i="11"/>
  <c r="D32" i="11"/>
  <c r="C32" i="11"/>
  <c r="K31" i="13"/>
  <c r="F31" i="11"/>
  <c r="E31" i="11"/>
  <c r="D31" i="11"/>
  <c r="C31" i="11"/>
  <c r="K30" i="13"/>
  <c r="F30" i="11"/>
  <c r="E30" i="11"/>
  <c r="D30" i="11"/>
  <c r="C30" i="11"/>
  <c r="K29" i="13"/>
  <c r="F29" i="11"/>
  <c r="E29" i="11"/>
  <c r="D29" i="11"/>
  <c r="C29" i="11"/>
  <c r="K28" i="13"/>
  <c r="F28" i="11"/>
  <c r="E28" i="11"/>
  <c r="D28" i="11"/>
  <c r="C28" i="11"/>
  <c r="K27" i="13"/>
  <c r="F27" i="11"/>
  <c r="E27" i="11"/>
  <c r="D27" i="11"/>
  <c r="C27" i="11"/>
  <c r="K26" i="13"/>
  <c r="F26" i="11"/>
  <c r="E26" i="11"/>
  <c r="D26" i="11"/>
  <c r="C26" i="11"/>
  <c r="K25" i="13"/>
  <c r="F25" i="11"/>
  <c r="E25" i="11"/>
  <c r="D25" i="11"/>
  <c r="C25" i="11"/>
  <c r="K24" i="13"/>
  <c r="F24" i="11"/>
  <c r="E24" i="11"/>
  <c r="D24" i="11"/>
  <c r="C24" i="11"/>
  <c r="K23" i="13"/>
  <c r="F23" i="11"/>
  <c r="E23" i="11"/>
  <c r="D23" i="11"/>
  <c r="C23" i="11"/>
  <c r="K22" i="13"/>
  <c r="F22" i="11"/>
  <c r="E22" i="11"/>
  <c r="D22" i="11"/>
  <c r="C22" i="11"/>
  <c r="K21" i="13"/>
  <c r="F21" i="11"/>
  <c r="E21" i="11"/>
  <c r="D21" i="11"/>
  <c r="C21" i="11"/>
  <c r="K20" i="13"/>
  <c r="F20" i="11"/>
  <c r="E20" i="11"/>
  <c r="D20" i="11"/>
  <c r="C20" i="11"/>
  <c r="K19" i="13"/>
  <c r="F19" i="11"/>
  <c r="E19" i="11"/>
  <c r="D19" i="11"/>
  <c r="C19" i="11"/>
  <c r="K18" i="13"/>
  <c r="F18" i="11"/>
  <c r="E18" i="11"/>
  <c r="D18" i="11"/>
  <c r="C18" i="11"/>
  <c r="K17" i="13"/>
  <c r="F17" i="11"/>
  <c r="E17" i="11"/>
  <c r="D17" i="11"/>
  <c r="C17" i="11"/>
  <c r="K16" i="13"/>
  <c r="F16" i="11"/>
  <c r="E16" i="11"/>
  <c r="D16" i="11"/>
  <c r="C16" i="11"/>
  <c r="K14" i="13"/>
  <c r="F14" i="11"/>
  <c r="E14" i="11"/>
  <c r="D14" i="11"/>
  <c r="C14" i="11"/>
  <c r="K13" i="13"/>
  <c r="F13" i="11"/>
  <c r="E13" i="11"/>
  <c r="D13" i="11"/>
  <c r="C13" i="11"/>
  <c r="F12" i="11"/>
  <c r="E12" i="11"/>
  <c r="D12" i="11"/>
  <c r="C12" i="11"/>
  <c r="F11" i="11"/>
  <c r="E11" i="11"/>
  <c r="D11" i="11"/>
  <c r="C11" i="11"/>
  <c r="F10" i="11"/>
  <c r="E10" i="11"/>
  <c r="D10" i="11"/>
  <c r="C10" i="11"/>
  <c r="F9" i="11"/>
  <c r="E9" i="11"/>
  <c r="D9" i="11"/>
  <c r="C9" i="11"/>
  <c r="G40" i="12"/>
  <c r="F40" i="12"/>
  <c r="C40" i="12"/>
  <c r="G39" i="12"/>
  <c r="F39" i="12"/>
  <c r="C39" i="12"/>
  <c r="G38" i="12"/>
  <c r="F38" i="12"/>
  <c r="C38" i="12"/>
  <c r="G37" i="12"/>
  <c r="F37" i="12"/>
  <c r="C37" i="12"/>
  <c r="G35" i="12"/>
  <c r="F35" i="12"/>
  <c r="C35" i="12"/>
  <c r="G34" i="12"/>
  <c r="F34" i="12"/>
  <c r="C34" i="12"/>
  <c r="G33" i="12"/>
  <c r="F33" i="12"/>
  <c r="C33" i="12"/>
  <c r="G32" i="12"/>
  <c r="F32" i="12"/>
  <c r="C32" i="12"/>
  <c r="G31" i="12"/>
  <c r="F31" i="12"/>
  <c r="C31" i="12"/>
  <c r="G30" i="12"/>
  <c r="F30" i="12"/>
  <c r="C30" i="12"/>
  <c r="G29" i="12"/>
  <c r="F29" i="12"/>
  <c r="C29" i="12"/>
  <c r="G28" i="12"/>
  <c r="F28" i="12"/>
  <c r="C28" i="12"/>
  <c r="G27" i="12"/>
  <c r="F27" i="12"/>
  <c r="C27" i="12"/>
  <c r="G26" i="12"/>
  <c r="F26" i="12"/>
  <c r="C26" i="12"/>
  <c r="G25" i="12"/>
  <c r="F25" i="12"/>
  <c r="C25" i="12"/>
  <c r="G24" i="12"/>
  <c r="F24" i="12"/>
  <c r="C24" i="12"/>
  <c r="G23" i="12"/>
  <c r="F23" i="12"/>
  <c r="C23" i="12"/>
  <c r="G22" i="12"/>
  <c r="F22" i="12"/>
  <c r="C22" i="12"/>
  <c r="G21" i="12"/>
  <c r="F21" i="12"/>
  <c r="C21" i="12"/>
  <c r="G20" i="12"/>
  <c r="F20" i="12"/>
  <c r="C20" i="12"/>
  <c r="G19" i="12"/>
  <c r="F19" i="12"/>
  <c r="C19" i="12"/>
  <c r="G18" i="12"/>
  <c r="F18" i="12"/>
  <c r="C18" i="12"/>
  <c r="G17" i="12"/>
  <c r="F17" i="12"/>
  <c r="C17" i="12"/>
  <c r="G15" i="12"/>
  <c r="F15" i="12"/>
  <c r="C15" i="12"/>
  <c r="G14" i="12"/>
  <c r="F14" i="12"/>
  <c r="C14" i="12"/>
  <c r="G13" i="12"/>
  <c r="F13" i="12"/>
  <c r="C13" i="12"/>
  <c r="G12" i="12"/>
  <c r="F12" i="12"/>
  <c r="C12" i="12"/>
  <c r="G11" i="12"/>
  <c r="F11" i="12"/>
  <c r="C11" i="12"/>
  <c r="G10" i="12"/>
  <c r="F10" i="12"/>
  <c r="C10" i="12"/>
  <c r="S40" i="12"/>
  <c r="T40" i="12"/>
  <c r="U40" i="12"/>
  <c r="V40" i="12"/>
  <c r="L40" i="12"/>
  <c r="X40" i="12"/>
  <c r="Y40" i="12"/>
  <c r="N77" i="11"/>
  <c r="S39" i="12"/>
  <c r="T39" i="12"/>
  <c r="U39" i="12"/>
  <c r="V39" i="12"/>
  <c r="L39" i="12"/>
  <c r="X39" i="12"/>
  <c r="Y39" i="12"/>
  <c r="N76" i="11"/>
  <c r="S38" i="12"/>
  <c r="T38" i="12"/>
  <c r="U38" i="12"/>
  <c r="V38" i="12"/>
  <c r="L38" i="12"/>
  <c r="X38" i="12"/>
  <c r="Y38" i="12"/>
  <c r="N75" i="11"/>
  <c r="S37" i="12"/>
  <c r="T37" i="12"/>
  <c r="U37" i="12"/>
  <c r="V37" i="12"/>
  <c r="L37" i="12"/>
  <c r="X37" i="12"/>
  <c r="Y37" i="12"/>
  <c r="N74" i="11"/>
  <c r="S35" i="12"/>
  <c r="T35" i="12"/>
  <c r="U35" i="12"/>
  <c r="V35" i="12"/>
  <c r="L35" i="12"/>
  <c r="X35" i="12"/>
  <c r="Y35" i="12"/>
  <c r="N72" i="11"/>
  <c r="S34" i="12"/>
  <c r="T34" i="12"/>
  <c r="U34" i="12"/>
  <c r="V34" i="12"/>
  <c r="L34" i="12"/>
  <c r="X34" i="12"/>
  <c r="Y34" i="12"/>
  <c r="N71" i="11"/>
  <c r="S33" i="12"/>
  <c r="T33" i="12"/>
  <c r="U33" i="12"/>
  <c r="V33" i="12"/>
  <c r="L33" i="12"/>
  <c r="X33" i="12"/>
  <c r="Y33" i="12"/>
  <c r="N70" i="11"/>
  <c r="S32" i="12"/>
  <c r="T32" i="12"/>
  <c r="U32" i="12"/>
  <c r="V32" i="12"/>
  <c r="L32" i="12"/>
  <c r="X32" i="12"/>
  <c r="Y32" i="12"/>
  <c r="N69" i="11"/>
  <c r="S31" i="12"/>
  <c r="T31" i="12"/>
  <c r="U31" i="12"/>
  <c r="V31" i="12"/>
  <c r="L31" i="12"/>
  <c r="X31" i="12"/>
  <c r="Y31" i="12"/>
  <c r="N68" i="11"/>
  <c r="S30" i="12"/>
  <c r="T30" i="12"/>
  <c r="U30" i="12"/>
  <c r="V30" i="12"/>
  <c r="L30" i="12"/>
  <c r="X30" i="12"/>
  <c r="Y30" i="12"/>
  <c r="N67" i="11"/>
  <c r="S29" i="12"/>
  <c r="T29" i="12"/>
  <c r="U29" i="12"/>
  <c r="V29" i="12"/>
  <c r="L29" i="12"/>
  <c r="X29" i="12"/>
  <c r="Y29" i="12"/>
  <c r="N66" i="11"/>
  <c r="S28" i="12"/>
  <c r="T28" i="12"/>
  <c r="U28" i="12"/>
  <c r="V28" i="12"/>
  <c r="L28" i="12"/>
  <c r="X28" i="12"/>
  <c r="Y28" i="12"/>
  <c r="N65" i="11"/>
  <c r="S27" i="12"/>
  <c r="T27" i="12"/>
  <c r="U27" i="12"/>
  <c r="V27" i="12"/>
  <c r="L27" i="12"/>
  <c r="X27" i="12"/>
  <c r="Y27" i="12"/>
  <c r="N64" i="11"/>
  <c r="S26" i="12"/>
  <c r="T26" i="12"/>
  <c r="U26" i="12"/>
  <c r="V26" i="12"/>
  <c r="L26" i="12"/>
  <c r="X26" i="12"/>
  <c r="Y26" i="12"/>
  <c r="N63" i="11"/>
  <c r="S25" i="12"/>
  <c r="T25" i="12"/>
  <c r="U25" i="12"/>
  <c r="V25" i="12"/>
  <c r="L25" i="12"/>
  <c r="X25" i="12"/>
  <c r="Y25" i="12"/>
  <c r="N62" i="11"/>
  <c r="S24" i="12"/>
  <c r="T24" i="12"/>
  <c r="U24" i="12"/>
  <c r="V24" i="12"/>
  <c r="L24" i="12"/>
  <c r="X24" i="12"/>
  <c r="Y24" i="12"/>
  <c r="N61" i="11"/>
  <c r="S23" i="12"/>
  <c r="T23" i="12"/>
  <c r="U23" i="12"/>
  <c r="V23" i="12"/>
  <c r="L23" i="12"/>
  <c r="X23" i="12"/>
  <c r="Y23" i="12"/>
  <c r="N60" i="11"/>
  <c r="S22" i="12"/>
  <c r="T22" i="12"/>
  <c r="U22" i="12"/>
  <c r="V22" i="12"/>
  <c r="L22" i="12"/>
  <c r="X22" i="12"/>
  <c r="Y22" i="12"/>
  <c r="N59" i="11"/>
  <c r="S21" i="12"/>
  <c r="T21" i="12"/>
  <c r="U21" i="12"/>
  <c r="V21" i="12"/>
  <c r="L21" i="12"/>
  <c r="X21" i="12"/>
  <c r="Y21" i="12"/>
  <c r="N58" i="11"/>
  <c r="S20" i="12"/>
  <c r="T20" i="12"/>
  <c r="U20" i="12"/>
  <c r="V20" i="12"/>
  <c r="L20" i="12"/>
  <c r="X20" i="12"/>
  <c r="Y20" i="12"/>
  <c r="N57" i="11"/>
  <c r="S18" i="12"/>
  <c r="T18" i="12"/>
  <c r="U18" i="12"/>
  <c r="V18" i="12"/>
  <c r="L18" i="12"/>
  <c r="X18" i="12"/>
  <c r="Y18" i="12"/>
  <c r="N55" i="11"/>
  <c r="S17" i="12"/>
  <c r="T17" i="12"/>
  <c r="U17" i="12"/>
  <c r="V17" i="12"/>
  <c r="L17" i="12"/>
  <c r="X17" i="12"/>
  <c r="Y17" i="12"/>
  <c r="N54" i="11"/>
  <c r="S15" i="12"/>
  <c r="T15" i="12"/>
  <c r="U15" i="12"/>
  <c r="V15" i="12"/>
  <c r="L15" i="12"/>
  <c r="X15" i="12"/>
  <c r="Y15" i="12"/>
  <c r="N52" i="11"/>
  <c r="S14" i="12"/>
  <c r="T14" i="12"/>
  <c r="U14" i="12"/>
  <c r="V14" i="12"/>
  <c r="L14" i="12"/>
  <c r="X14" i="12"/>
  <c r="Y14" i="12"/>
  <c r="N51" i="11"/>
  <c r="Z40" i="12"/>
  <c r="N39" i="11"/>
  <c r="Z39" i="12"/>
  <c r="N38" i="11"/>
  <c r="Z38" i="12"/>
  <c r="N37" i="11"/>
  <c r="Z37" i="12"/>
  <c r="N36" i="11"/>
  <c r="Z35" i="12"/>
  <c r="N34" i="11"/>
  <c r="Z34" i="12"/>
  <c r="N33" i="11"/>
  <c r="Z33" i="12"/>
  <c r="N32" i="11"/>
  <c r="Z32" i="12"/>
  <c r="N31" i="11"/>
  <c r="Z31" i="12"/>
  <c r="N30" i="11"/>
  <c r="Z30" i="12"/>
  <c r="N29" i="11"/>
  <c r="Z29" i="12"/>
  <c r="N28" i="11"/>
  <c r="Z28" i="12"/>
  <c r="N27" i="11"/>
  <c r="Z27" i="12"/>
  <c r="N26" i="11"/>
  <c r="Z26" i="12"/>
  <c r="N25" i="11"/>
  <c r="Z25" i="12"/>
  <c r="N24" i="11"/>
  <c r="Z24" i="12"/>
  <c r="N23" i="11"/>
  <c r="Z23" i="12"/>
  <c r="N22" i="11"/>
  <c r="Z22" i="12"/>
  <c r="N21" i="11"/>
  <c r="Z21" i="12"/>
  <c r="N20" i="11"/>
  <c r="Z20" i="12"/>
  <c r="N19" i="11"/>
  <c r="Z18" i="12"/>
  <c r="N17" i="11"/>
  <c r="Z17" i="12"/>
  <c r="N16" i="11"/>
  <c r="S11" i="12"/>
  <c r="T11" i="12"/>
  <c r="U11" i="12"/>
  <c r="V11" i="12"/>
  <c r="L11" i="12"/>
  <c r="X11" i="12"/>
  <c r="Y11" i="12"/>
  <c r="Z11" i="12"/>
  <c r="N10" i="11"/>
  <c r="S12" i="12"/>
  <c r="T12" i="12"/>
  <c r="U12" i="12"/>
  <c r="V12" i="12"/>
  <c r="L12" i="12"/>
  <c r="X12" i="12"/>
  <c r="Y12" i="12"/>
  <c r="Z12" i="12"/>
  <c r="N11" i="11"/>
  <c r="S13" i="12"/>
  <c r="T13" i="12"/>
  <c r="U13" i="12"/>
  <c r="V13" i="12"/>
  <c r="L13" i="12"/>
  <c r="X13" i="12"/>
  <c r="Y13" i="12"/>
  <c r="Z13" i="12"/>
  <c r="N12" i="11"/>
  <c r="Z14" i="12"/>
  <c r="N13" i="11"/>
  <c r="Z15" i="12"/>
  <c r="N14" i="11"/>
  <c r="J136" i="13"/>
  <c r="J138" i="13"/>
  <c r="G145" i="13"/>
  <c r="H9" i="11"/>
  <c r="P9" i="11"/>
  <c r="D47" i="11"/>
  <c r="E47" i="11"/>
  <c r="F47" i="11"/>
  <c r="H47" i="11"/>
  <c r="AB9" i="11"/>
  <c r="H10" i="11"/>
  <c r="P10" i="11"/>
  <c r="D48" i="11"/>
  <c r="E48" i="11"/>
  <c r="F48" i="11"/>
  <c r="H48" i="11"/>
  <c r="AB10" i="11"/>
  <c r="H11" i="11"/>
  <c r="P11" i="11"/>
  <c r="D49" i="11"/>
  <c r="E49" i="11"/>
  <c r="F49" i="11"/>
  <c r="H49" i="11"/>
  <c r="AB11" i="11"/>
  <c r="H12" i="11"/>
  <c r="P12" i="11"/>
  <c r="D50" i="11"/>
  <c r="E50" i="11"/>
  <c r="F50" i="11"/>
  <c r="H50" i="11"/>
  <c r="AB12" i="11"/>
  <c r="H13" i="11"/>
  <c r="P13" i="11"/>
  <c r="D51" i="11"/>
  <c r="E51" i="11"/>
  <c r="F51" i="11"/>
  <c r="H51" i="11"/>
  <c r="AB13" i="11"/>
  <c r="H14" i="11"/>
  <c r="P14" i="11"/>
  <c r="D52" i="11"/>
  <c r="E52" i="11"/>
  <c r="F52" i="11"/>
  <c r="H52" i="11"/>
  <c r="AB14" i="11"/>
  <c r="H16" i="11"/>
  <c r="P16" i="11"/>
  <c r="D54" i="11"/>
  <c r="E54" i="11"/>
  <c r="F54" i="11"/>
  <c r="H54" i="11"/>
  <c r="AB16" i="11"/>
  <c r="H17" i="11"/>
  <c r="P17" i="11"/>
  <c r="D55" i="11"/>
  <c r="E55" i="11"/>
  <c r="F55" i="11"/>
  <c r="H55" i="11"/>
  <c r="AB17" i="11"/>
  <c r="H18" i="11"/>
  <c r="P18" i="11"/>
  <c r="AB18" i="11"/>
  <c r="H19" i="11"/>
  <c r="P19" i="11"/>
  <c r="D57" i="11"/>
  <c r="E57" i="11"/>
  <c r="F57" i="11"/>
  <c r="H57" i="11"/>
  <c r="AB19" i="11"/>
  <c r="H20" i="11"/>
  <c r="P20" i="11"/>
  <c r="D58" i="11"/>
  <c r="E58" i="11"/>
  <c r="F58" i="11"/>
  <c r="H58" i="11"/>
  <c r="AB20" i="11"/>
  <c r="H21" i="11"/>
  <c r="P21" i="11"/>
  <c r="D59" i="11"/>
  <c r="E59" i="11"/>
  <c r="F59" i="11"/>
  <c r="H59" i="11"/>
  <c r="AB21" i="11"/>
  <c r="H22" i="11"/>
  <c r="P22" i="11"/>
  <c r="D60" i="11"/>
  <c r="E60" i="11"/>
  <c r="F60" i="11"/>
  <c r="H60" i="11"/>
  <c r="AB22" i="11"/>
  <c r="H23" i="11"/>
  <c r="P23" i="11"/>
  <c r="D61" i="11"/>
  <c r="E61" i="11"/>
  <c r="F61" i="11"/>
  <c r="H61" i="11"/>
  <c r="AB23" i="11"/>
  <c r="H24" i="11"/>
  <c r="P24" i="11"/>
  <c r="D62" i="11"/>
  <c r="E62" i="11"/>
  <c r="F62" i="11"/>
  <c r="H62" i="11"/>
  <c r="AB24" i="11"/>
  <c r="H25" i="11"/>
  <c r="P25" i="11"/>
  <c r="D63" i="11"/>
  <c r="E63" i="11"/>
  <c r="F63" i="11"/>
  <c r="H63" i="11"/>
  <c r="AB25" i="11"/>
  <c r="H26" i="11"/>
  <c r="P26" i="11"/>
  <c r="D64" i="11"/>
  <c r="E64" i="11"/>
  <c r="F64" i="11"/>
  <c r="H64" i="11"/>
  <c r="AB26" i="11"/>
  <c r="H27" i="11"/>
  <c r="P27" i="11"/>
  <c r="D65" i="11"/>
  <c r="E65" i="11"/>
  <c r="F65" i="11"/>
  <c r="H65" i="11"/>
  <c r="AB27" i="11"/>
  <c r="H28" i="11"/>
  <c r="P28" i="11"/>
  <c r="D66" i="11"/>
  <c r="E66" i="11"/>
  <c r="F66" i="11"/>
  <c r="H66" i="11"/>
  <c r="AB28" i="11"/>
  <c r="H29" i="11"/>
  <c r="P29" i="11"/>
  <c r="D67" i="11"/>
  <c r="E67" i="11"/>
  <c r="F67" i="11"/>
  <c r="H67" i="11"/>
  <c r="AB29" i="11"/>
  <c r="H30" i="11"/>
  <c r="P30" i="11"/>
  <c r="D68" i="11"/>
  <c r="E68" i="11"/>
  <c r="F68" i="11"/>
  <c r="H68" i="11"/>
  <c r="AB30" i="11"/>
  <c r="H31" i="11"/>
  <c r="P31" i="11"/>
  <c r="D69" i="11"/>
  <c r="E69" i="11"/>
  <c r="F69" i="11"/>
  <c r="H69" i="11"/>
  <c r="AB31" i="11"/>
  <c r="H32" i="11"/>
  <c r="P32" i="11"/>
  <c r="D70" i="11"/>
  <c r="E70" i="11"/>
  <c r="F70" i="11"/>
  <c r="H70" i="11"/>
  <c r="AB32" i="11"/>
  <c r="H33" i="11"/>
  <c r="P33" i="11"/>
  <c r="D71" i="11"/>
  <c r="E71" i="11"/>
  <c r="F71" i="11"/>
  <c r="H71" i="11"/>
  <c r="AB33" i="11"/>
  <c r="H34" i="11"/>
  <c r="P34" i="11"/>
  <c r="D72" i="11"/>
  <c r="E72" i="11"/>
  <c r="F72" i="11"/>
  <c r="H72" i="11"/>
  <c r="AB34" i="11"/>
  <c r="H36" i="11"/>
  <c r="P36" i="11"/>
  <c r="D74" i="11"/>
  <c r="E74" i="11"/>
  <c r="F74" i="11"/>
  <c r="H74" i="11"/>
  <c r="AB36" i="11"/>
  <c r="H37" i="11"/>
  <c r="P37" i="11"/>
  <c r="D75" i="11"/>
  <c r="E75" i="11"/>
  <c r="F75" i="11"/>
  <c r="H75" i="11"/>
  <c r="AB37" i="11"/>
  <c r="H38" i="11"/>
  <c r="P38" i="11"/>
  <c r="D76" i="11"/>
  <c r="E76" i="11"/>
  <c r="F76" i="11"/>
  <c r="H76" i="11"/>
  <c r="AB38" i="11"/>
  <c r="H39" i="11"/>
  <c r="P39" i="11"/>
  <c r="D77" i="11"/>
  <c r="E77" i="11"/>
  <c r="F77" i="11"/>
  <c r="H77" i="11"/>
  <c r="AB39" i="11"/>
  <c r="AB41" i="11"/>
  <c r="C35" i="8"/>
  <c r="H145" i="13"/>
  <c r="I9" i="11"/>
  <c r="Q9" i="11"/>
  <c r="I47" i="11"/>
  <c r="AC9" i="11"/>
  <c r="I10" i="11"/>
  <c r="Q10" i="11"/>
  <c r="I48" i="11"/>
  <c r="AC10" i="11"/>
  <c r="I11" i="11"/>
  <c r="Q11" i="11"/>
  <c r="I49" i="11"/>
  <c r="AC11" i="11"/>
  <c r="I12" i="11"/>
  <c r="Q12" i="11"/>
  <c r="I50" i="11"/>
  <c r="AC12" i="11"/>
  <c r="I13" i="11"/>
  <c r="Q13" i="11"/>
  <c r="I51" i="11"/>
  <c r="AC13" i="11"/>
  <c r="I14" i="11"/>
  <c r="Q14" i="11"/>
  <c r="I52" i="11"/>
  <c r="AC14" i="11"/>
  <c r="I16" i="11"/>
  <c r="Q16" i="11"/>
  <c r="I54" i="11"/>
  <c r="AC16" i="11"/>
  <c r="I17" i="11"/>
  <c r="Q17" i="11"/>
  <c r="I55" i="11"/>
  <c r="AC17" i="11"/>
  <c r="I18" i="11"/>
  <c r="Q18" i="11"/>
  <c r="I56" i="11"/>
  <c r="AC18" i="11"/>
  <c r="I19" i="11"/>
  <c r="Q19" i="11"/>
  <c r="I57" i="11"/>
  <c r="AC19" i="11"/>
  <c r="I20" i="11"/>
  <c r="Q20" i="11"/>
  <c r="I58" i="11"/>
  <c r="AC20" i="11"/>
  <c r="I21" i="11"/>
  <c r="Q21" i="11"/>
  <c r="I59" i="11"/>
  <c r="AC21" i="11"/>
  <c r="I22" i="11"/>
  <c r="Q22" i="11"/>
  <c r="I60" i="11"/>
  <c r="AC22" i="11"/>
  <c r="I23" i="11"/>
  <c r="Q23" i="11"/>
  <c r="I61" i="11"/>
  <c r="AC23" i="11"/>
  <c r="I24" i="11"/>
  <c r="Q24" i="11"/>
  <c r="I62" i="11"/>
  <c r="AC24" i="11"/>
  <c r="I25" i="11"/>
  <c r="Q25" i="11"/>
  <c r="I63" i="11"/>
  <c r="AC25" i="11"/>
  <c r="I26" i="11"/>
  <c r="Q26" i="11"/>
  <c r="I64" i="11"/>
  <c r="AC26" i="11"/>
  <c r="I27" i="11"/>
  <c r="Q27" i="11"/>
  <c r="I65" i="11"/>
  <c r="AC27" i="11"/>
  <c r="I28" i="11"/>
  <c r="Q28" i="11"/>
  <c r="I66" i="11"/>
  <c r="AC28" i="11"/>
  <c r="I29" i="11"/>
  <c r="Q29" i="11"/>
  <c r="I67" i="11"/>
  <c r="AC29" i="11"/>
  <c r="I30" i="11"/>
  <c r="Q30" i="11"/>
  <c r="I68" i="11"/>
  <c r="AC30" i="11"/>
  <c r="I31" i="11"/>
  <c r="Q31" i="11"/>
  <c r="I69" i="11"/>
  <c r="AC31" i="11"/>
  <c r="I32" i="11"/>
  <c r="Q32" i="11"/>
  <c r="I70" i="11"/>
  <c r="AC32" i="11"/>
  <c r="I33" i="11"/>
  <c r="Q33" i="11"/>
  <c r="I71" i="11"/>
  <c r="AC33" i="11"/>
  <c r="I34" i="11"/>
  <c r="Q34" i="11"/>
  <c r="I72" i="11"/>
  <c r="AC34" i="11"/>
  <c r="I36" i="11"/>
  <c r="Q36" i="11"/>
  <c r="I74" i="11"/>
  <c r="AC36" i="11"/>
  <c r="I37" i="11"/>
  <c r="Q37" i="11"/>
  <c r="I75" i="11"/>
  <c r="AC37" i="11"/>
  <c r="I38" i="11"/>
  <c r="Q38" i="11"/>
  <c r="I76" i="11"/>
  <c r="AC38" i="11"/>
  <c r="I39" i="11"/>
  <c r="Q39" i="11"/>
  <c r="I77" i="11"/>
  <c r="AC39" i="11"/>
  <c r="AC41" i="11"/>
  <c r="D35" i="8"/>
  <c r="I145" i="13"/>
  <c r="J9" i="11"/>
  <c r="R9" i="11"/>
  <c r="J47" i="11"/>
  <c r="AD9" i="11"/>
  <c r="J10" i="11"/>
  <c r="R10" i="11"/>
  <c r="J48" i="11"/>
  <c r="AD10" i="11"/>
  <c r="J11" i="11"/>
  <c r="R11" i="11"/>
  <c r="J49" i="11"/>
  <c r="AD11" i="11"/>
  <c r="J12" i="11"/>
  <c r="R12" i="11"/>
  <c r="J50" i="11"/>
  <c r="AD12" i="11"/>
  <c r="J13" i="11"/>
  <c r="R13" i="11"/>
  <c r="J51" i="11"/>
  <c r="AD13" i="11"/>
  <c r="J14" i="11"/>
  <c r="R14" i="11"/>
  <c r="J52" i="11"/>
  <c r="AD14" i="11"/>
  <c r="J16" i="11"/>
  <c r="R16" i="11"/>
  <c r="J54" i="11"/>
  <c r="AD16" i="11"/>
  <c r="J17" i="11"/>
  <c r="R17" i="11"/>
  <c r="J55" i="11"/>
  <c r="AD17" i="11"/>
  <c r="J18" i="11"/>
  <c r="R18" i="11"/>
  <c r="J56" i="11"/>
  <c r="AD18" i="11"/>
  <c r="J19" i="11"/>
  <c r="R19" i="11"/>
  <c r="J57" i="11"/>
  <c r="AD19" i="11"/>
  <c r="J20" i="11"/>
  <c r="R20" i="11"/>
  <c r="J58" i="11"/>
  <c r="AD20" i="11"/>
  <c r="J21" i="11"/>
  <c r="R21" i="11"/>
  <c r="J59" i="11"/>
  <c r="AD21" i="11"/>
  <c r="J22" i="11"/>
  <c r="R22" i="11"/>
  <c r="J60" i="11"/>
  <c r="AD22" i="11"/>
  <c r="J23" i="11"/>
  <c r="R23" i="11"/>
  <c r="J61" i="11"/>
  <c r="AD23" i="11"/>
  <c r="J24" i="11"/>
  <c r="R24" i="11"/>
  <c r="J62" i="11"/>
  <c r="AD24" i="11"/>
  <c r="J25" i="11"/>
  <c r="R25" i="11"/>
  <c r="J63" i="11"/>
  <c r="AD25" i="11"/>
  <c r="J26" i="11"/>
  <c r="R26" i="11"/>
  <c r="J64" i="11"/>
  <c r="AD26" i="11"/>
  <c r="J27" i="11"/>
  <c r="R27" i="11"/>
  <c r="J65" i="11"/>
  <c r="AD27" i="11"/>
  <c r="J28" i="11"/>
  <c r="R28" i="11"/>
  <c r="J66" i="11"/>
  <c r="AD28" i="11"/>
  <c r="J29" i="11"/>
  <c r="R29" i="11"/>
  <c r="J67" i="11"/>
  <c r="AD29" i="11"/>
  <c r="J30" i="11"/>
  <c r="R30" i="11"/>
  <c r="J68" i="11"/>
  <c r="AD30" i="11"/>
  <c r="J31" i="11"/>
  <c r="R31" i="11"/>
  <c r="J69" i="11"/>
  <c r="AD31" i="11"/>
  <c r="J32" i="11"/>
  <c r="R32" i="11"/>
  <c r="J70" i="11"/>
  <c r="AD32" i="11"/>
  <c r="J33" i="11"/>
  <c r="R33" i="11"/>
  <c r="J71" i="11"/>
  <c r="AD33" i="11"/>
  <c r="J34" i="11"/>
  <c r="R34" i="11"/>
  <c r="J72" i="11"/>
  <c r="AD34" i="11"/>
  <c r="J36" i="11"/>
  <c r="R36" i="11"/>
  <c r="J74" i="11"/>
  <c r="AD36" i="11"/>
  <c r="J37" i="11"/>
  <c r="R37" i="11"/>
  <c r="J75" i="11"/>
  <c r="AD37" i="11"/>
  <c r="J38" i="11"/>
  <c r="R38" i="11"/>
  <c r="J76" i="11"/>
  <c r="AD38" i="11"/>
  <c r="J39" i="11"/>
  <c r="R39" i="11"/>
  <c r="J77" i="11"/>
  <c r="AD39" i="11"/>
  <c r="AD41" i="11"/>
  <c r="E35" i="8"/>
  <c r="J145" i="13"/>
  <c r="K9" i="11"/>
  <c r="S9" i="11"/>
  <c r="K47" i="11"/>
  <c r="AE9" i="11"/>
  <c r="K10" i="11"/>
  <c r="S10" i="11"/>
  <c r="K48" i="11"/>
  <c r="AE10" i="11"/>
  <c r="K11" i="11"/>
  <c r="S11" i="11"/>
  <c r="K49" i="11"/>
  <c r="AE11" i="11"/>
  <c r="K12" i="11"/>
  <c r="S12" i="11"/>
  <c r="K50" i="11"/>
  <c r="AE12" i="11"/>
  <c r="K13" i="11"/>
  <c r="S13" i="11"/>
  <c r="K51" i="11"/>
  <c r="AE13" i="11"/>
  <c r="K14" i="11"/>
  <c r="S14" i="11"/>
  <c r="K52" i="11"/>
  <c r="AE14" i="11"/>
  <c r="K16" i="11"/>
  <c r="S16" i="11"/>
  <c r="K54" i="11"/>
  <c r="AE16" i="11"/>
  <c r="K17" i="11"/>
  <c r="S17" i="11"/>
  <c r="K55" i="11"/>
  <c r="AE17" i="11"/>
  <c r="K18" i="11"/>
  <c r="S18" i="11"/>
  <c r="K56" i="11"/>
  <c r="AE18" i="11"/>
  <c r="K19" i="11"/>
  <c r="S19" i="11"/>
  <c r="K57" i="11"/>
  <c r="AE19" i="11"/>
  <c r="K20" i="11"/>
  <c r="S20" i="11"/>
  <c r="K58" i="11"/>
  <c r="AE20" i="11"/>
  <c r="K21" i="11"/>
  <c r="S21" i="11"/>
  <c r="K59" i="11"/>
  <c r="AE21" i="11"/>
  <c r="K22" i="11"/>
  <c r="S22" i="11"/>
  <c r="K60" i="11"/>
  <c r="AE22" i="11"/>
  <c r="K23" i="11"/>
  <c r="S23" i="11"/>
  <c r="K61" i="11"/>
  <c r="AE23" i="11"/>
  <c r="K24" i="11"/>
  <c r="S24" i="11"/>
  <c r="K62" i="11"/>
  <c r="AE24" i="11"/>
  <c r="K25" i="11"/>
  <c r="S25" i="11"/>
  <c r="K63" i="11"/>
  <c r="AE25" i="11"/>
  <c r="K26" i="11"/>
  <c r="S26" i="11"/>
  <c r="K64" i="11"/>
  <c r="AE26" i="11"/>
  <c r="K27" i="11"/>
  <c r="S27" i="11"/>
  <c r="K65" i="11"/>
  <c r="AE27" i="11"/>
  <c r="K28" i="11"/>
  <c r="S28" i="11"/>
  <c r="K66" i="11"/>
  <c r="AE28" i="11"/>
  <c r="K29" i="11"/>
  <c r="S29" i="11"/>
  <c r="K67" i="11"/>
  <c r="AE29" i="11"/>
  <c r="K30" i="11"/>
  <c r="S30" i="11"/>
  <c r="K68" i="11"/>
  <c r="AE30" i="11"/>
  <c r="K31" i="11"/>
  <c r="S31" i="11"/>
  <c r="K69" i="11"/>
  <c r="AE31" i="11"/>
  <c r="K32" i="11"/>
  <c r="S32" i="11"/>
  <c r="K70" i="11"/>
  <c r="AE32" i="11"/>
  <c r="K33" i="11"/>
  <c r="S33" i="11"/>
  <c r="K71" i="11"/>
  <c r="AE33" i="11"/>
  <c r="K34" i="11"/>
  <c r="S34" i="11"/>
  <c r="K72" i="11"/>
  <c r="AE34" i="11"/>
  <c r="K36" i="11"/>
  <c r="S36" i="11"/>
  <c r="K74" i="11"/>
  <c r="AE36" i="11"/>
  <c r="K37" i="11"/>
  <c r="S37" i="11"/>
  <c r="K75" i="11"/>
  <c r="AE37" i="11"/>
  <c r="K38" i="11"/>
  <c r="S38" i="11"/>
  <c r="K76" i="11"/>
  <c r="AE38" i="11"/>
  <c r="K39" i="11"/>
  <c r="S39" i="11"/>
  <c r="K77" i="11"/>
  <c r="AE39" i="11"/>
  <c r="AE41" i="11"/>
  <c r="F35" i="8"/>
  <c r="K145" i="13"/>
  <c r="L9" i="11"/>
  <c r="T9" i="11"/>
  <c r="L47" i="11"/>
  <c r="AF9" i="11"/>
  <c r="L10" i="11"/>
  <c r="T10" i="11"/>
  <c r="L48" i="11"/>
  <c r="AF10" i="11"/>
  <c r="L11" i="11"/>
  <c r="T11" i="11"/>
  <c r="L49" i="11"/>
  <c r="AF11" i="11"/>
  <c r="L12" i="11"/>
  <c r="T12" i="11"/>
  <c r="L50" i="11"/>
  <c r="AF12" i="11"/>
  <c r="L13" i="11"/>
  <c r="T13" i="11"/>
  <c r="L51" i="11"/>
  <c r="AF13" i="11"/>
  <c r="L14" i="11"/>
  <c r="T14" i="11"/>
  <c r="L52" i="11"/>
  <c r="AF14" i="11"/>
  <c r="L16" i="11"/>
  <c r="T16" i="11"/>
  <c r="L54" i="11"/>
  <c r="AF16" i="11"/>
  <c r="L17" i="11"/>
  <c r="T17" i="11"/>
  <c r="L55" i="11"/>
  <c r="AF17" i="11"/>
  <c r="L18" i="11"/>
  <c r="T18" i="11"/>
  <c r="L56" i="11"/>
  <c r="AF18" i="11"/>
  <c r="L19" i="11"/>
  <c r="T19" i="11"/>
  <c r="L57" i="11"/>
  <c r="AF19" i="11"/>
  <c r="L20" i="11"/>
  <c r="T20" i="11"/>
  <c r="L58" i="11"/>
  <c r="AF20" i="11"/>
  <c r="L21" i="11"/>
  <c r="T21" i="11"/>
  <c r="L59" i="11"/>
  <c r="AF21" i="11"/>
  <c r="L22" i="11"/>
  <c r="T22" i="11"/>
  <c r="L60" i="11"/>
  <c r="AF22" i="11"/>
  <c r="L23" i="11"/>
  <c r="T23" i="11"/>
  <c r="L61" i="11"/>
  <c r="AF23" i="11"/>
  <c r="L24" i="11"/>
  <c r="T24" i="11"/>
  <c r="L62" i="11"/>
  <c r="AF24" i="11"/>
  <c r="L25" i="11"/>
  <c r="T25" i="11"/>
  <c r="L63" i="11"/>
  <c r="AF25" i="11"/>
  <c r="L26" i="11"/>
  <c r="T26" i="11"/>
  <c r="L64" i="11"/>
  <c r="AF26" i="11"/>
  <c r="L27" i="11"/>
  <c r="T27" i="11"/>
  <c r="L65" i="11"/>
  <c r="AF27" i="11"/>
  <c r="L28" i="11"/>
  <c r="T28" i="11"/>
  <c r="L66" i="11"/>
  <c r="AF28" i="11"/>
  <c r="L29" i="11"/>
  <c r="T29" i="11"/>
  <c r="L67" i="11"/>
  <c r="AF29" i="11"/>
  <c r="L30" i="11"/>
  <c r="T30" i="11"/>
  <c r="L68" i="11"/>
  <c r="AF30" i="11"/>
  <c r="L31" i="11"/>
  <c r="T31" i="11"/>
  <c r="L69" i="11"/>
  <c r="AF31" i="11"/>
  <c r="L32" i="11"/>
  <c r="T32" i="11"/>
  <c r="L70" i="11"/>
  <c r="AF32" i="11"/>
  <c r="L33" i="11"/>
  <c r="T33" i="11"/>
  <c r="L71" i="11"/>
  <c r="AF33" i="11"/>
  <c r="L34" i="11"/>
  <c r="T34" i="11"/>
  <c r="L72" i="11"/>
  <c r="AF34" i="11"/>
  <c r="L36" i="11"/>
  <c r="T36" i="11"/>
  <c r="L74" i="11"/>
  <c r="AF36" i="11"/>
  <c r="L37" i="11"/>
  <c r="T37" i="11"/>
  <c r="L75" i="11"/>
  <c r="AF37" i="11"/>
  <c r="L38" i="11"/>
  <c r="T38" i="11"/>
  <c r="L76" i="11"/>
  <c r="AF38" i="11"/>
  <c r="L39" i="11"/>
  <c r="T39" i="11"/>
  <c r="L77" i="11"/>
  <c r="AF39" i="11"/>
  <c r="AF41" i="11"/>
  <c r="G35" i="8"/>
  <c r="H35" i="8"/>
  <c r="F144" i="13"/>
  <c r="G28" i="8"/>
  <c r="F28" i="8"/>
  <c r="E28" i="8"/>
  <c r="K165" i="13"/>
  <c r="H8" i="8"/>
  <c r="G8" i="8"/>
  <c r="F8" i="8"/>
  <c r="E8" i="8"/>
  <c r="D8" i="8"/>
  <c r="B5" i="11"/>
  <c r="C77" i="11"/>
  <c r="C76" i="11"/>
  <c r="C75" i="11"/>
  <c r="C74" i="11"/>
  <c r="C72" i="11"/>
  <c r="C71" i="11"/>
  <c r="C70" i="11"/>
  <c r="C69" i="11"/>
  <c r="C68" i="11"/>
  <c r="C67" i="11"/>
  <c r="C66" i="11"/>
  <c r="C65" i="11"/>
  <c r="C64" i="11"/>
  <c r="C63" i="11"/>
  <c r="C62" i="11"/>
  <c r="C61" i="11"/>
  <c r="C60" i="11"/>
  <c r="C59" i="11"/>
  <c r="C58" i="11"/>
  <c r="C57" i="11"/>
  <c r="C56" i="11"/>
  <c r="C55" i="11"/>
  <c r="C54" i="11"/>
  <c r="C52" i="11"/>
  <c r="C51" i="11"/>
  <c r="C50" i="11"/>
  <c r="C49" i="11"/>
  <c r="C48" i="11"/>
  <c r="C47" i="11"/>
  <c r="U42" i="12"/>
  <c r="U43" i="12"/>
  <c r="T42" i="12"/>
  <c r="T43" i="12"/>
  <c r="S42" i="12"/>
  <c r="S43" i="12"/>
  <c r="Q40" i="12"/>
  <c r="Q39" i="12"/>
  <c r="Q38" i="12"/>
  <c r="Q37" i="12"/>
  <c r="Q35" i="12"/>
  <c r="Q34" i="12"/>
  <c r="Q33" i="12"/>
  <c r="Q32" i="12"/>
  <c r="Q31" i="12"/>
  <c r="Q30" i="12"/>
  <c r="Q29" i="12"/>
  <c r="Q28" i="12"/>
  <c r="Q27" i="12"/>
  <c r="Q26" i="12"/>
  <c r="Q25" i="12"/>
  <c r="Q24" i="12"/>
  <c r="Q23" i="12"/>
  <c r="Q22" i="12"/>
  <c r="Q21" i="12"/>
  <c r="Q20" i="12"/>
  <c r="Q19" i="12"/>
  <c r="Q18" i="12"/>
  <c r="Q17" i="12"/>
  <c r="Q15" i="12"/>
  <c r="Q14" i="12"/>
  <c r="Q13" i="12"/>
  <c r="Q12" i="12"/>
  <c r="Q11" i="12"/>
  <c r="AA39" i="12"/>
  <c r="AA38" i="12"/>
  <c r="AA21" i="12"/>
  <c r="AA31" i="12"/>
  <c r="AA30" i="12"/>
  <c r="AA29" i="12"/>
  <c r="AA28" i="12"/>
  <c r="AA27" i="12"/>
  <c r="AA26" i="12"/>
  <c r="AA25" i="12"/>
  <c r="AA24" i="12"/>
  <c r="AA23" i="12"/>
  <c r="AA22" i="12"/>
  <c r="AA20" i="12"/>
  <c r="AA19" i="12"/>
  <c r="B3" i="12"/>
  <c r="B3" i="13"/>
  <c r="I79" i="11"/>
  <c r="D41" i="8"/>
  <c r="J79" i="11"/>
  <c r="E41" i="8"/>
  <c r="K79" i="11"/>
  <c r="F41" i="8"/>
  <c r="L79" i="11"/>
  <c r="G41" i="8"/>
  <c r="H79" i="11"/>
  <c r="C41" i="8"/>
  <c r="D38" i="8"/>
  <c r="E38" i="8"/>
  <c r="F38" i="8"/>
  <c r="G38" i="8"/>
  <c r="C38" i="8"/>
  <c r="D37" i="8"/>
  <c r="E37" i="8"/>
  <c r="F37" i="8"/>
  <c r="G37" i="8"/>
  <c r="C37" i="8"/>
  <c r="F29" i="8"/>
  <c r="G29" i="8"/>
  <c r="E29" i="8"/>
  <c r="E27" i="8"/>
  <c r="F27" i="8"/>
  <c r="G27" i="8"/>
  <c r="H27" i="8"/>
  <c r="AA40" i="12"/>
  <c r="AA37" i="12"/>
  <c r="AA35" i="12"/>
  <c r="AA34" i="12"/>
  <c r="AA33" i="12"/>
  <c r="AA32" i="12"/>
  <c r="AA18" i="12"/>
  <c r="AA17" i="12"/>
  <c r="AA15" i="12"/>
  <c r="AA14" i="12"/>
  <c r="AA13" i="12"/>
  <c r="AA12" i="12"/>
  <c r="AA11" i="12"/>
  <c r="AA10" i="12"/>
  <c r="L42" i="12"/>
  <c r="C3" i="11"/>
  <c r="K88" i="13"/>
  <c r="F79" i="11"/>
  <c r="E79" i="11"/>
  <c r="D79" i="11"/>
  <c r="C79" i="11"/>
  <c r="K147" i="13"/>
  <c r="J147" i="13"/>
  <c r="I147" i="13"/>
  <c r="H147" i="13"/>
  <c r="H37" i="8"/>
  <c r="H38" i="8"/>
  <c r="H39" i="8"/>
  <c r="G39" i="8"/>
  <c r="F39" i="8"/>
  <c r="E39" i="8"/>
  <c r="D39" i="8"/>
  <c r="C39" i="8"/>
  <c r="C47" i="8"/>
  <c r="D47" i="8"/>
  <c r="E47" i="8"/>
  <c r="F47" i="8"/>
  <c r="G47" i="8"/>
  <c r="H47" i="8"/>
  <c r="G88" i="13"/>
  <c r="H29" i="8"/>
  <c r="H28" i="8"/>
  <c r="F113" i="13"/>
  <c r="H41" i="8"/>
  <c r="J131" i="13"/>
  <c r="G123" i="13"/>
  <c r="G52" i="13"/>
  <c r="AA42" i="12"/>
  <c r="V42" i="12"/>
  <c r="Q10" i="12"/>
  <c r="Q42" i="12"/>
  <c r="K42" i="12"/>
  <c r="J42" i="12"/>
  <c r="I42" i="12"/>
  <c r="D3" i="9"/>
</calcChain>
</file>

<file path=xl/comments1.xml><?xml version="1.0" encoding="utf-8"?>
<comments xmlns="http://schemas.openxmlformats.org/spreadsheetml/2006/main">
  <authors>
    <author>Jacob Muscat</author>
  </authors>
  <commentList>
    <comment ref="F46"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<sst xmlns="http://schemas.openxmlformats.org/spreadsheetml/2006/main" count="502" uniqueCount="194">
  <si>
    <t>Service:</t>
  </si>
  <si>
    <t>Total</t>
  </si>
  <si>
    <t>Historical Revenue</t>
  </si>
  <si>
    <t>Description</t>
  </si>
  <si>
    <t>Volumes</t>
  </si>
  <si>
    <t>Source</t>
  </si>
  <si>
    <t>Current Fee</t>
  </si>
  <si>
    <t>AER Framework and Approach paper March 2013</t>
  </si>
  <si>
    <t>Standard Hours</t>
  </si>
  <si>
    <t>Subdivision - URD - Underground - 1-5 lots</t>
  </si>
  <si>
    <t>Subdivision - URD - Underground - 6-10 lots</t>
  </si>
  <si>
    <t>Subdivision - URD - Underground - 11-40 lots</t>
  </si>
  <si>
    <t>Subdivision - Industrial &amp; Commercial - Per Hour</t>
  </si>
  <si>
    <t>Subdivision - URD - Underground - 41+ lots</t>
  </si>
  <si>
    <t>Hourly</t>
  </si>
  <si>
    <t>Fee Type</t>
  </si>
  <si>
    <t>Not available</t>
  </si>
  <si>
    <t>2009/10</t>
  </si>
  <si>
    <t>2010/11</t>
  </si>
  <si>
    <t>2011/12</t>
  </si>
  <si>
    <t>2012/13</t>
  </si>
  <si>
    <t>2013/14</t>
  </si>
  <si>
    <t>2014/15</t>
  </si>
  <si>
    <t>2015/16</t>
  </si>
  <si>
    <t>2016/17</t>
  </si>
  <si>
    <t>2017/18</t>
  </si>
  <si>
    <t>2018/19</t>
  </si>
  <si>
    <t>Average Hours per job</t>
  </si>
  <si>
    <t>Overhead Factor (Nominal)</t>
  </si>
  <si>
    <t>Average Conversion Factor From Real to Nominal</t>
  </si>
  <si>
    <t>Direct Costs (Nominal)</t>
  </si>
  <si>
    <t>Work Order</t>
  </si>
  <si>
    <t>Indirect Costs (Nominal)</t>
  </si>
  <si>
    <t>Hours</t>
  </si>
  <si>
    <t>Type</t>
  </si>
  <si>
    <t>2010/11 Volumes</t>
  </si>
  <si>
    <t>2011/12 Volumes</t>
  </si>
  <si>
    <t>2012/13 Volumes</t>
  </si>
  <si>
    <t>Standard Hours
2010/11</t>
  </si>
  <si>
    <t>Standard Hours
2011/12</t>
  </si>
  <si>
    <t>Standard Hours
2012/13</t>
  </si>
  <si>
    <t>Total Standard Hours</t>
  </si>
  <si>
    <t>Actual Hours 2010/11</t>
  </si>
  <si>
    <t>Actual Hours 2011/12</t>
  </si>
  <si>
    <t>Actual Hours 2012/13</t>
  </si>
  <si>
    <t>Actual Hours per job</t>
  </si>
  <si>
    <t>Revised Standard Hours per job (Rounded)</t>
  </si>
  <si>
    <t>Work Order Description</t>
  </si>
  <si>
    <t>Historical Work Order Costs</t>
  </si>
  <si>
    <t>EMPLOYEE_ID</t>
  </si>
  <si>
    <t>Name</t>
  </si>
  <si>
    <t>POS_TITLE</t>
  </si>
  <si>
    <t>Hourly Rate (Inc On-cost)</t>
  </si>
  <si>
    <t>AVERAGE</t>
  </si>
  <si>
    <t>No. of People</t>
  </si>
  <si>
    <t>Average hourly Rate
12/13$</t>
  </si>
  <si>
    <t>Average Hourly Rate (Nominal)</t>
  </si>
  <si>
    <t>Assumed annual labour growth</t>
  </si>
  <si>
    <t>Total Hours</t>
  </si>
  <si>
    <t>Estimate</t>
  </si>
  <si>
    <t>Historical Volumes</t>
  </si>
  <si>
    <t>Labour Growth</t>
  </si>
  <si>
    <t>Total Operating Expenditure</t>
  </si>
  <si>
    <t>Ancillary Network Services</t>
  </si>
  <si>
    <t>Data Input Work Sheet</t>
  </si>
  <si>
    <t>Hours were extracted from Ellipse work orders.</t>
  </si>
  <si>
    <t>This worksheet left blank intentionally</t>
  </si>
  <si>
    <t>Calculation of Overhead Factor</t>
  </si>
  <si>
    <t>Average Hourly Rate (Real 2012/13$)</t>
  </si>
  <si>
    <t>Overhead Factor</t>
  </si>
  <si>
    <t>Average Hourly Rate (2012/13$) - Incl OH</t>
  </si>
  <si>
    <t>Ancillary Network Services - Service Description</t>
  </si>
  <si>
    <t>Ancillary Network Services - Summary</t>
  </si>
  <si>
    <t>Ancillary Network Services - Fee Breakdown</t>
  </si>
  <si>
    <t>Fee
(Excluding GST)</t>
  </si>
  <si>
    <t>Hourly Rate
(Excluding GST)</t>
  </si>
  <si>
    <t>Historic Volumes</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</si>
  <si>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</si>
  <si>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</si>
  <si>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</si>
  <si>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</si>
  <si>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</si>
  <si>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</si>
  <si>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</si>
  <si>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</si>
  <si>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</si>
  <si>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Proposed Hourly Rates</t>
  </si>
  <si>
    <t>Fee
(Including GST)</t>
  </si>
  <si>
    <t>2012/13 YTD May Extrapolated</t>
  </si>
  <si>
    <t>Labour Growth Rates</t>
  </si>
  <si>
    <t>Average Hourly Rates - 2012/13 Dollars</t>
  </si>
  <si>
    <t>Average Hourly Rates - Forecast Nominal</t>
  </si>
  <si>
    <t>Growth</t>
  </si>
  <si>
    <t>Current Fees</t>
  </si>
  <si>
    <t>Average per Job (Hourly Only)</t>
  </si>
  <si>
    <t>Estimated Hours Based on Standard Hours</t>
  </si>
  <si>
    <t>Actual Hours Booked to Work Orders - Pro Rata Based on Standard Hours</t>
  </si>
  <si>
    <t>Total Actual Hours for 3 Years</t>
  </si>
  <si>
    <t>Total Volumes</t>
  </si>
  <si>
    <t>Revised Standard Hours</t>
  </si>
  <si>
    <t>Total Hours Based on Revised Standard</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</si>
  <si>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</si>
  <si>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</si>
  <si>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</si>
  <si>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</si>
  <si>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</si>
  <si>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</si>
  <si>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</si>
  <si>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</si>
  <si>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</si>
  <si>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</si>
  <si>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Work orders &amp; cost estimates</t>
  </si>
  <si>
    <t>CAM projects invoiced</t>
  </si>
  <si>
    <t>6) Historic volumes were extracted from business systems and used in conjunction with current approved standard hours and actual historic hours to calculate revised standard hours for each fee sub category.</t>
  </si>
  <si>
    <t>5) An overhead factor derived from Endeavour Energy's Cost Allocation Model ('CAM') was applied to the direct labour rate to calculate a labour rate inclusive of network and corporate overheads. In addition, a 2012/13 real to nominal conversion factor derived from the CAM was applied to the labour rate to calculate the forecast labour rates in nominal dollars over the 2015-19 regulatory period.</t>
  </si>
  <si>
    <t xml:space="preserve">Existing Service Description (2009-14) </t>
  </si>
  <si>
    <t>Updated Service Description (2015-19)</t>
  </si>
  <si>
    <t>Design Information Fee</t>
  </si>
  <si>
    <t>NCN10003</t>
  </si>
  <si>
    <t>DESIGN INFORMATION</t>
  </si>
  <si>
    <t>NCC10003</t>
  </si>
  <si>
    <t>NCC10001</t>
  </si>
  <si>
    <t>ADMINISTRATION OF CONTESTABLE WORKS (50% Only)</t>
  </si>
  <si>
    <t>Subdivision - Non Urban - Per Hour</t>
  </si>
  <si>
    <t>Connection of Load - Industrial &amp; Commercial - &lt;= 200A/Phase (LV)</t>
  </si>
  <si>
    <t>Connection of Load - Industrial &amp; Commercial - &lt;= 700A/Phase (LV)</t>
  </si>
  <si>
    <t>Connection of Load - Industrial &amp; Commercial - &gt; 700A/Phase (LV)</t>
  </si>
  <si>
    <t>Connection of Load - Industrial &amp; Commercial - HV Customer</t>
  </si>
  <si>
    <t>Connection of Load - Industrial &amp; Commercial - Transmission</t>
  </si>
  <si>
    <t>Connection of Load - Multi-Dwelling - &lt;= 5 units</t>
  </si>
  <si>
    <t>Connection of Load - Multi-Dwelling - &lt;= 20 units</t>
  </si>
  <si>
    <t>Connection of Load - Multi-Dwelling - &lt;= 40 units</t>
  </si>
  <si>
    <t>Connection of Load - Multi-Dwelling - &gt; 40 units</t>
  </si>
  <si>
    <t>Connection of Load - Non Urban - I&amp;C - &lt;= 200A/Phase (LV)</t>
  </si>
  <si>
    <t>Connection of Load - Non Urban - I&amp;C - &lt;= 700A/Phase (LV)</t>
  </si>
  <si>
    <t>Connection of Load - Non Urban - I&amp;C - &gt;  700A/Phase (LV)</t>
  </si>
  <si>
    <t>Connection of Load - Non Urban - I&amp;C - HV Customer</t>
  </si>
  <si>
    <t>Connection of Load - Non Urban - I&amp;C - Transmission</t>
  </si>
  <si>
    <t>Connection of Load - Non Urban - Multi-Dwelling - &lt;= 5 units</t>
  </si>
  <si>
    <t>Connection of Load - Non Urban - Multi-Dwelling - &lt;= 20 units</t>
  </si>
  <si>
    <t>Connection of Load - Non Urban - Multi-Dwelling - &lt;= 40 units</t>
  </si>
  <si>
    <t>Connection of Load - Non Urban - Multi-Dwelling - &gt; 40 units</t>
  </si>
  <si>
    <t>Connection of Load - Non Urban - Single Residential - Per Hour</t>
  </si>
  <si>
    <t>Asset Relocation - Engineer</t>
  </si>
  <si>
    <t>Asset Relocation - Designer</t>
  </si>
  <si>
    <t>Public Lighting - Engineer</t>
  </si>
  <si>
    <t>Public Lighting - Designer</t>
  </si>
  <si>
    <t xml:space="preserve">NETWORK PLANNER                         </t>
  </si>
  <si>
    <t>Average Hourly Rates (For estimated cost)</t>
  </si>
  <si>
    <t>Estimated Costs</t>
  </si>
  <si>
    <t>Network Planners involvement</t>
  </si>
  <si>
    <t>Network Planners</t>
  </si>
  <si>
    <t>These hours were estimated based on the average time involved in carrying out the task and the volumes in the relevant year.</t>
  </si>
  <si>
    <t>Design related services - Provision of design information, design certification and design rechecking services in relation to connection and relocation works provided contestably.</t>
  </si>
  <si>
    <t>Proposed Revenue (Nominal)</t>
  </si>
  <si>
    <t>Based on the following average labour rates per hour for the 2015-19 regulatory period - Refer to the Fee Breakdown schedule for specific fees</t>
  </si>
  <si>
    <t>2008/09</t>
  </si>
  <si>
    <t>The electronic provision of necessary technical information to enable an ASP to prepare a design drawing and submit it for certification.
This may include without limitation:
• Deriving the estimated loading on the system, technically known as the ADMD (After Diversity Maximum Demand). This estimate depends on such factors as the number of customers served and specific features of the customer’s demand;
• Provide drawings electronically that show existing low and high voltage circuits (geographically &amp; schematically) and adjacent projects;
• Provision and maintenance of systems necessary to facilitate ASP electronic access to data and information allowing electronic drawing transfer and retrieval of standards;
• Specify the preferred sizes for overhead conductors or underground cable;
• Specify switchgear configuration type, number of pillars, lights etc;
• Determine Network Planning requirements necessary to make electrical supply available to a development and cater for future works;
• Nominating network connection points; and
• Provision of any of the above information (GIS, STANDARDS, ADMD etc.) electronically as determined by the DNSP.</t>
  </si>
  <si>
    <t xml:space="preserve">The provision of information by a DNSP to enable an ASP accredited for level 3 work to prepare a design drawing and to submit it for certification.
This may include without limitation:
• Deriving the estimated loading on the system, technically known as the ADMD (After Diversity Maximum Demand). This estimate depends on such factors as the number of customers served and specific features of the customers demand;
• Copying drawings that show existing low and high voltage circuitry (geographically and schematically) and adjacent project drawings;
• Specifying the preferred sizes for overhead wires (conductors) or underground wires (cables);
• Specifying switchgear configuration type, number of pillars, lights etc;
• Determining the special requirements of the DNSP's planning departments necessary to make electrical supply available to a development and cater for future projects;
• Any necessary liaison with designers associated with assistance in sourcing design information and developing designs; and
• Nominating network connection points.
</t>
  </si>
  <si>
    <t>Based on average rate of $80 per hour - Refer to the Fee Breakdown schedule for specific fees</t>
  </si>
  <si>
    <t>Per Job or per hour - Refer to the Fee Breakdown schedule for specific fees</t>
  </si>
  <si>
    <t>2) Where available, the work orders used to capture the costs associated with the provision of this service were identified and extracted from the general ledger over a 3 year historic period (2010/11 to 2012/13). Adjustments were made to remove costs that were not relevant to the service.</t>
  </si>
  <si>
    <t>Payroll data was extracted as at 14/06/13 and provided by the Budgeting &amp; Forecasting Manager. These hourly labour rates represent 2012/13 labour costs and are used to calculate an average hourly labour rate for those individuals involved in this ancillary network service.</t>
  </si>
  <si>
    <t>Pricing Mechanism:</t>
  </si>
  <si>
    <t>Current Fee (Excl GST):</t>
  </si>
  <si>
    <t>Proposed Fee (Excl GST):</t>
  </si>
  <si>
    <t>2009-14 Current Fees</t>
  </si>
  <si>
    <t>Current Fees approved by the AER for the 2009-14 regulatory period.</t>
  </si>
  <si>
    <t>Revenue related to this service is billed through Endeavour Energy's Ellipse billing system and is extracted from the general ledger.</t>
  </si>
  <si>
    <t>Work orders relating to this service were identified and were extracted from the general ledger. These work orders capture the costs associated with performing this ancillary network service.</t>
  </si>
  <si>
    <t>All unit rates have been calculated in real 2012/13 dollars for comparison purposes. To estimate labour rates in real 2012/13 dollars for prior years, the actual salary increases for award staff in those years has been used.</t>
  </si>
  <si>
    <t>These calculations represent the costs related to Network Planners involvement in the provision of Design Information Services.  These calculations were based on information provided by the Capacity Planning Manager as individual work orders which captured the costs do not exist.
Network Planning branch identified which employee positions carried out this type of work and provided and an estimate for the number of hours required to complete each task.</t>
  </si>
  <si>
    <t>The calculation of individual fees relies on a hourly labour rate.  An hourly labour rate is calculated for the historic period by dividing historic costs by historic labour hours.  This is converted to 2012/13 real dollars and an average of the three years calculated.  This is inflated by the overhead factor derived from the CAM to calculate a fully loaded hourly labour rate for this service.</t>
  </si>
  <si>
    <t>The average hourly labour rate in 2012/13 real dollars is converted to nominal dollars for each year in the next regulatory period using the nominal conversion factor derived from the CAM.  These rates form the basis of the calculation of the individual service fees.</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</si>
  <si>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</si>
  <si>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</si>
  <si>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</si>
  <si>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</si>
  <si>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 xml:space="preserve">In order to calculate a fee for each service sub-category, revised standard hours are required to be calculated for the 2015-19 regulatory period.  Revised standard hours are calculated by pro-rataing the total actual hours captured within the work orders and/or estimated by relevant stakeholders for the historic period, based on the standard hours approved by the Regulator for the 2009-14 regulatory period.  Total hours for the historic period are then divided by total volumes at the fee sub-category level to calculate revised standard hours for each fee sub-category. </t>
  </si>
  <si>
    <t>3) Where historic work order data was not available, the individuals involved in the provision of the service provided resource requirement (labour hours) and cost estimates for each type of activity conducted in relation to the service. This information was used, in conjunction with average historic labour rates for the individuals involved, to calculate historic labour hours and costs related to the provision of the service.</t>
  </si>
  <si>
    <t xml:space="preserve">4) Historic work order data and estimates provided by internal stakeholders were combined and used to derive an average hourly rate for each year in the historic analysis period. These hourly rates were converted to real 2012/13 dollars using actual award wage increases for the period, and an average 2012/13 hourly rate derived based on the 3 years data.  </t>
  </si>
  <si>
    <t>7) Where the fee is charged on a fixed fee basis, the revised standard hours are multiplied by proposed fee labour rates to calculate a fixed fee for the fee sub category over the 2015-19 regulatory period.  Where the fee is charged on an hourly basis the fee for the 2015-19 regulatory period is equal to the proposed fee labour rates.</t>
  </si>
  <si>
    <t>2015-19 Pricing Methodology for Service (Summary)</t>
  </si>
  <si>
    <t xml:space="preserve">Historic revenue was extracted from Endeavour Energy's general ledger via an account code combination specifically set up to capture the revenue related to this service (as defined in the 2009-14 regulatory period). As outlined above, historic costs were obtained from a mixture of actual costs recorded to specific work orders and resource requirement (labour hours) and cost estimates provided by individuals involved in the provision of this service (where specific work orders were not available). Historic volumes were derived based on the number of invoices that were raised throughout the year for the provision of this service. </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</si>
  <si>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</si>
  <si>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Average Overhead Factor for Regulatory Period</t>
  </si>
  <si>
    <t>Volumes were derived based on the number of invoices that were raised throughout the year. CAMS (Endeavour Energy's contestable work system) was used to split the fees within the different categories for this ancillary network service.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</si>
  <si>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Average Hourly Rate (2012/13$) - Excl OH</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</si>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</sst>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3" formatCode="_-* #,##0_-;* \(#,##0\)_-;_-* &quot;-&quot;_-;_-@_-"/>
  </numFmts>
  <fonts count="3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10"/>
      <color rgb="FFFF0000"/>
      <name val="Calibri"/>
      <family val="2"/>
      <scheme val="minor"/>
    </font>
    <font>
      <b/>
      <sz val="10"/>
      <color rgb="FFFF0000"/>
      <name val="Calibri"/>
      <family val="2"/>
      <scheme val="minor"/>
    </font>
    <font>
      <sz val="9"/>
      <color indexed="81"/>
      <name val="Tahoma"/>
      <family val="2"/>
    </font>
    <font>
      <b/>
      <sz val="9"/>
      <color indexed="81"/>
      <name val="Tahoma"/>
      <family val="2"/>
    </font>
    <font>
      <sz val="8"/>
      <color theme="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456">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170" fontId="11" fillId="0" borderId="7" xfId="0" applyNumberFormat="1" applyFont="1" applyFill="1" applyBorder="1" applyAlignment="1">
      <alignment horizontal="right" vertical="center"/>
    </xf>
    <xf numFmtId="0" fontId="11" fillId="0" borderId="7" xfId="0" applyFont="1" applyBorder="1" applyAlignment="1">
      <alignment horizontal="center" vertical="center"/>
    </xf>
    <xf numFmtId="170" fontId="11" fillId="0" borderId="8" xfId="0" applyNumberFormat="1" applyFont="1" applyFill="1" applyBorder="1" applyAlignment="1">
      <alignment horizontal="right" vertical="center"/>
    </xf>
    <xf numFmtId="170" fontId="11" fillId="0" borderId="17" xfId="0" applyNumberFormat="1" applyFont="1" applyBorder="1" applyAlignment="1">
      <alignment horizontal="right" vertical="center" wrapText="1"/>
    </xf>
    <xf numFmtId="170" fontId="11" fillId="2" borderId="7" xfId="0" applyNumberFormat="1" applyFont="1" applyFill="1" applyBorder="1" applyAlignment="1">
      <alignment horizontal="center" vertical="center"/>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16"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9" xfId="0" applyNumberFormat="1" applyFont="1" applyBorder="1" applyAlignment="1">
      <alignment vertical="center"/>
    </xf>
    <xf numFmtId="170" fontId="19" fillId="5" borderId="26" xfId="0" applyNumberFormat="1" applyFont="1" applyFill="1" applyBorder="1" applyAlignment="1">
      <alignment vertical="center"/>
    </xf>
    <xf numFmtId="170" fontId="19" fillId="5" borderId="23" xfId="0" applyNumberFormat="1" applyFont="1" applyFill="1" applyBorder="1" applyAlignment="1">
      <alignment vertical="center"/>
    </xf>
    <xf numFmtId="170" fontId="19" fillId="5" borderId="24" xfId="0" applyNumberFormat="1" applyFont="1" applyFill="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9" fillId="0" borderId="23" xfId="0" applyNumberFormat="1" applyFont="1" applyBorder="1" applyAlignment="1">
      <alignment horizontal="right" vertical="center"/>
    </xf>
    <xf numFmtId="170" fontId="11" fillId="0" borderId="0" xfId="0" applyNumberFormat="1" applyFont="1" applyAlignment="1">
      <alignment horizontal="left" vertical="center"/>
    </xf>
    <xf numFmtId="167" fontId="19" fillId="0" borderId="7" xfId="0" applyNumberFormat="1" applyFont="1" applyBorder="1" applyAlignment="1">
      <alignment horizontal="center" vertical="center"/>
    </xf>
    <xf numFmtId="170" fontId="18" fillId="5" borderId="7" xfId="0" applyNumberFormat="1" applyFont="1" applyFill="1" applyBorder="1" applyAlignment="1">
      <alignment horizontal="center" vertical="center"/>
    </xf>
    <xf numFmtId="170" fontId="18" fillId="5" borderId="7" xfId="0" applyNumberFormat="1" applyFont="1" applyFill="1" applyBorder="1" applyAlignment="1">
      <alignment horizontal="center" vertical="center" wrapText="1"/>
    </xf>
    <xf numFmtId="169" fontId="11" fillId="0" borderId="7" xfId="0" applyNumberFormat="1" applyFont="1" applyBorder="1" applyAlignment="1">
      <alignment horizontal="center" vertical="center"/>
    </xf>
    <xf numFmtId="167" fontId="11" fillId="0" borderId="7" xfId="0" applyNumberFormat="1" applyFont="1" applyBorder="1" applyAlignment="1">
      <alignment vertical="center"/>
    </xf>
    <xf numFmtId="0" fontId="11" fillId="0" borderId="7" xfId="0" applyFont="1" applyBorder="1" applyAlignment="1">
      <alignment vertical="center"/>
    </xf>
    <xf numFmtId="170" fontId="11" fillId="0" borderId="7" xfId="0" applyNumberFormat="1" applyFont="1" applyBorder="1" applyAlignment="1">
      <alignment vertical="center"/>
    </xf>
    <xf numFmtId="0" fontId="11" fillId="0" borderId="0" xfId="0" applyFont="1" applyAlignment="1">
      <alignment horizontal="center" vertical="center"/>
    </xf>
    <xf numFmtId="170" fontId="19" fillId="5" borderId="23" xfId="0" applyNumberFormat="1" applyFont="1" applyFill="1" applyBorder="1" applyAlignment="1">
      <alignment horizontal="right" vertical="center"/>
    </xf>
    <xf numFmtId="170" fontId="11" fillId="0" borderId="17" xfId="0" applyNumberFormat="1" applyFont="1" applyBorder="1" applyAlignment="1">
      <alignment vertical="center"/>
    </xf>
    <xf numFmtId="167" fontId="11" fillId="0" borderId="11" xfId="0" applyNumberFormat="1" applyFont="1" applyBorder="1" applyAlignment="1">
      <alignment vertical="center"/>
    </xf>
    <xf numFmtId="167" fontId="11" fillId="0" borderId="12" xfId="0" applyNumberFormat="1" applyFont="1" applyBorder="1" applyAlignment="1">
      <alignment vertical="center"/>
    </xf>
    <xf numFmtId="167" fontId="11" fillId="0" borderId="13" xfId="0" applyNumberFormat="1" applyFont="1" applyBorder="1" applyAlignment="1">
      <alignment vertical="center"/>
    </xf>
    <xf numFmtId="9" fontId="11" fillId="0" borderId="16" xfId="1" applyFont="1" applyBorder="1" applyAlignment="1">
      <alignment vertical="center"/>
    </xf>
    <xf numFmtId="9" fontId="11" fillId="0" borderId="0" xfId="1" applyFont="1" applyBorder="1" applyAlignment="1">
      <alignment vertical="center"/>
    </xf>
    <xf numFmtId="9" fontId="11" fillId="0" borderId="17" xfId="1" applyFont="1" applyBorder="1" applyAlignment="1">
      <alignment vertical="center"/>
    </xf>
    <xf numFmtId="167" fontId="19" fillId="0" borderId="11" xfId="0" applyNumberFormat="1" applyFont="1" applyBorder="1" applyAlignment="1">
      <alignment vertical="center"/>
    </xf>
    <xf numFmtId="167" fontId="19" fillId="0" borderId="12" xfId="0" applyNumberFormat="1" applyFont="1" applyBorder="1" applyAlignment="1">
      <alignment vertical="center"/>
    </xf>
    <xf numFmtId="167" fontId="19" fillId="0" borderId="13"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70" fontId="21" fillId="7" borderId="0" xfId="0" applyNumberFormat="1" applyFont="1" applyFill="1" applyAlignment="1">
      <alignment vertical="center"/>
    </xf>
    <xf numFmtId="167" fontId="19" fillId="5" borderId="25" xfId="0" applyNumberFormat="1" applyFont="1" applyFill="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170" fontId="19" fillId="2" borderId="23" xfId="0" applyNumberFormat="1" applyFont="1" applyFill="1" applyBorder="1" applyAlignment="1">
      <alignment horizontal="right" vertical="center"/>
    </xf>
    <xf numFmtId="170" fontId="11" fillId="2" borderId="7" xfId="0" applyNumberFormat="1" applyFont="1" applyFill="1" applyBorder="1" applyAlignment="1">
      <alignment vertical="center"/>
    </xf>
    <xf numFmtId="0" fontId="11" fillId="2" borderId="7" xfId="0" applyFont="1" applyFill="1" applyBorder="1" applyAlignment="1">
      <alignment horizontal="left" vertical="center"/>
    </xf>
    <xf numFmtId="0" fontId="11" fillId="2" borderId="8" xfId="0" applyFont="1" applyFill="1" applyBorder="1" applyAlignment="1">
      <alignment horizontal="lef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right" vertical="center" wrapText="1"/>
    </xf>
    <xf numFmtId="170" fontId="19" fillId="4" borderId="21" xfId="0" quotePrefix="1" applyNumberFormat="1" applyFont="1" applyFill="1" applyBorder="1" applyAlignment="1">
      <alignment horizontal="right"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8" xfId="0" applyNumberFormat="1" applyFont="1" applyBorder="1" applyAlignment="1">
      <alignment horizontal="center" vertical="center"/>
    </xf>
    <xf numFmtId="168" fontId="11" fillId="0" borderId="16" xfId="0" applyNumberFormat="1" applyFont="1" applyBorder="1" applyAlignment="1">
      <alignment horizontal="center"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9"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9" fillId="4"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13" xfId="0" applyFont="1" applyFill="1" applyBorder="1" applyAlignment="1">
      <alignment horizontal="center" vertical="center" wrapText="1"/>
    </xf>
    <xf numFmtId="170" fontId="19" fillId="4" borderId="8" xfId="0" quotePrefix="1" applyNumberFormat="1"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17" xfId="0" applyNumberFormat="1" applyFont="1" applyBorder="1" applyAlignment="1">
      <alignment horizontal="center" vertical="center"/>
    </xf>
    <xf numFmtId="0" fontId="11" fillId="0" borderId="9" xfId="0" applyFont="1" applyBorder="1" applyAlignment="1">
      <alignment vertical="center"/>
    </xf>
    <xf numFmtId="168" fontId="11" fillId="0" borderId="0" xfId="0" applyNumberFormat="1" applyFont="1" applyBorder="1" applyAlignment="1">
      <alignment horizontal="center" vertical="center"/>
    </xf>
    <xf numFmtId="0" fontId="11" fillId="0" borderId="10" xfId="0" applyFont="1" applyBorder="1" applyAlignment="1">
      <alignment vertical="center"/>
    </xf>
    <xf numFmtId="168" fontId="11" fillId="0" borderId="19" xfId="0" applyNumberFormat="1" applyFont="1" applyBorder="1" applyAlignment="1">
      <alignment horizontal="center" vertical="center"/>
    </xf>
    <xf numFmtId="0" fontId="11" fillId="0" borderId="0" xfId="6" applyFont="1" applyAlignment="1">
      <alignment horizontal="center" vertical="top"/>
    </xf>
    <xf numFmtId="170" fontId="11" fillId="0" borderId="0" xfId="6" applyNumberFormat="1" applyFont="1" applyAlignment="1">
      <alignment horizontal="center" vertical="top"/>
    </xf>
    <xf numFmtId="168" fontId="11" fillId="0" borderId="0" xfId="6" applyNumberFormat="1" applyFont="1" applyFill="1" applyBorder="1" applyAlignment="1">
      <alignment horizontal="center" vertical="top"/>
    </xf>
    <xf numFmtId="169" fontId="11" fillId="0" borderId="0" xfId="6" applyNumberFormat="1" applyFont="1" applyFill="1" applyBorder="1" applyAlignment="1">
      <alignment horizontal="center" vertical="top"/>
    </xf>
    <xf numFmtId="0" fontId="11" fillId="0" borderId="0" xfId="6" applyFont="1" applyBorder="1" applyAlignment="1">
      <alignment horizontal="center" vertical="top"/>
    </xf>
    <xf numFmtId="170" fontId="11" fillId="0" borderId="9" xfId="6" applyNumberFormat="1" applyFont="1" applyFill="1" applyBorder="1" applyAlignment="1">
      <alignment horizontal="center" vertical="top"/>
    </xf>
    <xf numFmtId="170" fontId="11" fillId="0" borderId="0" xfId="6" applyNumberFormat="1" applyFont="1" applyFill="1" applyBorder="1" applyAlignment="1">
      <alignment horizontal="center" vertical="top"/>
    </xf>
    <xf numFmtId="170" fontId="11" fillId="0" borderId="0" xfId="6" applyNumberFormat="1" applyFont="1" applyBorder="1" applyAlignment="1">
      <alignment horizontal="center" vertical="top"/>
    </xf>
    <xf numFmtId="171" fontId="11" fillId="0" borderId="0" xfId="9" applyNumberFormat="1" applyFont="1" applyAlignment="1">
      <alignment horizontal="center" vertical="top"/>
    </xf>
    <xf numFmtId="0" fontId="19" fillId="0" borderId="0" xfId="0" applyFont="1" applyAlignment="1">
      <alignment horizontal="left" vertical="top"/>
    </xf>
    <xf numFmtId="169" fontId="11" fillId="0" borderId="0" xfId="6" applyNumberFormat="1" applyFont="1" applyAlignment="1">
      <alignment horizontal="center" vertical="top"/>
    </xf>
    <xf numFmtId="0" fontId="28" fillId="0" borderId="0" xfId="6" applyFont="1" applyAlignment="1">
      <alignment horizontal="center" vertical="top"/>
    </xf>
    <xf numFmtId="168" fontId="19" fillId="0" borderId="0" xfId="6" applyNumberFormat="1" applyFont="1" applyAlignment="1">
      <alignment horizontal="center" vertical="top"/>
    </xf>
    <xf numFmtId="0" fontId="19" fillId="0" borderId="0" xfId="6" applyFont="1" applyAlignment="1">
      <alignment horizontal="center" vertical="top"/>
    </xf>
    <xf numFmtId="9" fontId="11" fillId="0" borderId="0" xfId="9" applyFont="1" applyAlignment="1">
      <alignment horizontal="center" vertical="top"/>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0" fontId="19" fillId="4" borderId="7" xfId="0" applyFont="1" applyFill="1" applyBorder="1" applyAlignment="1">
      <alignment horizontal="center" vertical="center" wrapText="1"/>
    </xf>
    <xf numFmtId="167" fontId="11" fillId="0" borderId="16" xfId="0" applyNumberFormat="1" applyFont="1" applyFill="1" applyBorder="1" applyAlignment="1">
      <alignment vertical="center" wrapText="1"/>
    </xf>
    <xf numFmtId="167" fontId="11" fillId="0" borderId="18" xfId="0" applyNumberFormat="1" applyFont="1" applyFill="1" applyBorder="1" applyAlignment="1">
      <alignment vertical="center" wrapText="1"/>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0" fontId="19" fillId="0" borderId="0" xfId="0" quotePrefix="1" applyNumberFormat="1" applyFont="1" applyFill="1" applyBorder="1" applyAlignment="1">
      <alignment horizontal="center" vertical="center" wrapText="1"/>
    </xf>
    <xf numFmtId="170" fontId="11" fillId="0" borderId="0" xfId="0" applyNumberFormat="1"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9" fillId="4" borderId="14" xfId="0" quotePrefix="1" applyNumberFormat="1" applyFont="1" applyFill="1" applyBorder="1" applyAlignment="1">
      <alignment horizontal="right" vertical="center" wrapText="1"/>
    </xf>
    <xf numFmtId="170" fontId="19" fillId="4" borderId="11" xfId="0" quotePrefix="1" applyNumberFormat="1" applyFont="1" applyFill="1" applyBorder="1" applyAlignment="1">
      <alignment horizontal="right" vertical="center" wrapText="1"/>
    </xf>
    <xf numFmtId="170" fontId="19" fillId="4" borderId="12" xfId="0" quotePrefix="1" applyNumberFormat="1" applyFont="1" applyFill="1" applyBorder="1" applyAlignment="1">
      <alignment horizontal="right" vertical="center" wrapText="1"/>
    </xf>
    <xf numFmtId="170" fontId="19" fillId="4" borderId="13" xfId="0" quotePrefix="1" applyNumberFormat="1" applyFont="1" applyFill="1" applyBorder="1" applyAlignment="1">
      <alignment horizontal="right" vertical="center" wrapText="1"/>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0" fontId="11" fillId="0" borderId="0" xfId="0" applyFont="1" applyBorder="1" applyAlignment="1">
      <alignment horizontal="center" vertical="center"/>
    </xf>
    <xf numFmtId="0" fontId="11" fillId="2" borderId="8" xfId="0" applyFont="1" applyFill="1" applyBorder="1" applyAlignment="1">
      <alignment vertical="center"/>
    </xf>
    <xf numFmtId="0" fontId="11" fillId="2" borderId="9" xfId="0" applyFont="1" applyFill="1" applyBorder="1" applyAlignment="1">
      <alignment vertical="center"/>
    </xf>
    <xf numFmtId="167" fontId="11" fillId="2" borderId="9" xfId="0" applyNumberFormat="1"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0" fontId="19" fillId="0" borderId="13"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70" fontId="11" fillId="0" borderId="9" xfId="6" applyNumberFormat="1" applyFont="1" applyFill="1" applyBorder="1" applyAlignment="1">
      <alignment horizontal="right" vertical="top"/>
    </xf>
    <xf numFmtId="170" fontId="11" fillId="0" borderId="10" xfId="6" applyNumberFormat="1" applyFont="1" applyFill="1" applyBorder="1" applyAlignment="1">
      <alignment horizontal="right" vertical="top"/>
    </xf>
    <xf numFmtId="169" fontId="11" fillId="0" borderId="10" xfId="6" applyNumberFormat="1" applyFont="1" applyBorder="1" applyAlignment="1">
      <alignment horizontal="right" vertical="top"/>
    </xf>
    <xf numFmtId="170" fontId="19" fillId="3" borderId="23" xfId="6" applyNumberFormat="1" applyFont="1" applyFill="1" applyBorder="1" applyAlignment="1">
      <alignment horizontal="right" vertical="top"/>
    </xf>
    <xf numFmtId="170" fontId="11" fillId="0" borderId="10" xfId="6" applyNumberFormat="1" applyFont="1" applyBorder="1" applyAlignment="1">
      <alignment horizontal="right" vertical="top"/>
    </xf>
    <xf numFmtId="0" fontId="19" fillId="0" borderId="10" xfId="6" applyFont="1" applyBorder="1" applyAlignment="1">
      <alignment horizontal="left" vertical="top" wrapText="1"/>
    </xf>
    <xf numFmtId="0" fontId="19" fillId="0" borderId="18" xfId="6" applyFont="1" applyBorder="1" applyAlignment="1">
      <alignment horizontal="left" vertical="top" wrapText="1"/>
    </xf>
    <xf numFmtId="0" fontId="19" fillId="0" borderId="20" xfId="6" applyFont="1" applyBorder="1" applyAlignment="1">
      <alignment horizontal="left" vertical="top" wrapText="1"/>
    </xf>
    <xf numFmtId="0" fontId="17" fillId="0" borderId="0" xfId="0" applyFont="1" applyAlignment="1">
      <alignment vertical="top"/>
    </xf>
    <xf numFmtId="0" fontId="19" fillId="0" borderId="0" xfId="0" applyFont="1" applyAlignment="1">
      <alignment vertical="top"/>
    </xf>
    <xf numFmtId="0" fontId="24" fillId="0" borderId="0" xfId="0" applyFont="1" applyAlignment="1">
      <alignment vertical="top"/>
    </xf>
    <xf numFmtId="0" fontId="11" fillId="0" borderId="0" xfId="0" applyFont="1" applyAlignment="1">
      <alignment vertical="top"/>
    </xf>
    <xf numFmtId="0" fontId="11" fillId="0" borderId="14" xfId="0" applyFont="1" applyBorder="1" applyAlignment="1">
      <alignment vertical="top"/>
    </xf>
    <xf numFmtId="168" fontId="11" fillId="0" borderId="14" xfId="0" applyNumberFormat="1" applyFont="1" applyBorder="1" applyAlignment="1">
      <alignment horizontal="center" vertical="top"/>
    </xf>
    <xf numFmtId="0" fontId="11" fillId="0" borderId="16" xfId="0" applyFont="1" applyBorder="1" applyAlignment="1">
      <alignment vertical="top"/>
    </xf>
    <xf numFmtId="168" fontId="11" fillId="0" borderId="16" xfId="0" applyNumberFormat="1" applyFont="1" applyBorder="1" applyAlignment="1">
      <alignment horizontal="center" vertical="top"/>
    </xf>
    <xf numFmtId="0" fontId="11" fillId="0" borderId="0" xfId="6" applyFont="1" applyAlignment="1">
      <alignment horizontal="center" vertical="center" wrapText="1"/>
    </xf>
    <xf numFmtId="0" fontId="11" fillId="0" borderId="0" xfId="6" applyFont="1" applyAlignment="1">
      <alignment horizontal="center" vertical="center"/>
    </xf>
    <xf numFmtId="170" fontId="19" fillId="4" borderId="7" xfId="6" quotePrefix="1" applyNumberFormat="1" applyFont="1" applyFill="1" applyBorder="1" applyAlignment="1">
      <alignment horizontal="center" vertical="center" wrapText="1"/>
    </xf>
    <xf numFmtId="170" fontId="11" fillId="0" borderId="8" xfId="0" applyNumberFormat="1" applyFont="1" applyBorder="1" applyAlignment="1">
      <alignment horizontal="center" vertical="top"/>
    </xf>
    <xf numFmtId="170" fontId="11" fillId="0" borderId="9" xfId="0" applyNumberFormat="1" applyFont="1" applyBorder="1" applyAlignment="1">
      <alignment horizontal="center" vertical="top"/>
    </xf>
    <xf numFmtId="0" fontId="11" fillId="0" borderId="9" xfId="0" applyFont="1" applyBorder="1" applyAlignment="1">
      <alignment horizontal="center" vertical="top"/>
    </xf>
    <xf numFmtId="168" fontId="11" fillId="0" borderId="18" xfId="0" applyNumberFormat="1" applyFont="1" applyBorder="1" applyAlignment="1">
      <alignment horizontal="center" vertical="top"/>
    </xf>
    <xf numFmtId="0" fontId="11" fillId="0" borderId="10" xfId="0" applyFont="1" applyBorder="1" applyAlignment="1">
      <alignment horizontal="center" vertical="top"/>
    </xf>
    <xf numFmtId="169" fontId="19" fillId="4" borderId="7" xfId="7" applyNumberFormat="1" applyFont="1" applyFill="1" applyBorder="1" applyAlignment="1">
      <alignment horizontal="center" vertical="center" wrapText="1"/>
    </xf>
    <xf numFmtId="170" fontId="19" fillId="4" borderId="7" xfId="7" applyNumberFormat="1" applyFont="1" applyFill="1" applyBorder="1" applyAlignment="1">
      <alignment horizontal="center" vertical="center" wrapText="1"/>
    </xf>
    <xf numFmtId="170" fontId="19" fillId="0" borderId="9" xfId="6" applyNumberFormat="1" applyFont="1" applyFill="1" applyBorder="1" applyAlignment="1">
      <alignment horizontal="right" vertical="top"/>
    </xf>
    <xf numFmtId="170" fontId="19" fillId="4" borderId="10" xfId="6" quotePrefix="1" applyNumberFormat="1" applyFont="1" applyFill="1" applyBorder="1" applyAlignment="1">
      <alignment horizontal="center" vertical="center" wrapText="1"/>
    </xf>
    <xf numFmtId="0" fontId="11" fillId="0" borderId="0" xfId="6" applyFont="1" applyBorder="1" applyAlignment="1">
      <alignment horizontal="center" vertical="top" wrapText="1"/>
    </xf>
    <xf numFmtId="0" fontId="19" fillId="0" borderId="0" xfId="6" quotePrefix="1" applyFont="1" applyBorder="1" applyAlignment="1">
      <alignment horizontal="center" vertical="top"/>
    </xf>
    <xf numFmtId="9" fontId="11" fillId="0" borderId="0" xfId="8" applyNumberFormat="1" applyFont="1" applyBorder="1" applyAlignment="1">
      <alignment horizontal="center" vertical="top"/>
    </xf>
    <xf numFmtId="169" fontId="11" fillId="0" borderId="9" xfId="6" applyNumberFormat="1" applyFont="1" applyFill="1" applyBorder="1" applyAlignment="1">
      <alignment horizontal="right" vertical="top"/>
    </xf>
    <xf numFmtId="170" fontId="11" fillId="0" borderId="0" xfId="6" applyNumberFormat="1" applyFont="1" applyAlignment="1">
      <alignment horizontal="right" vertical="top"/>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0" fontId="11" fillId="0" borderId="16" xfId="0" applyFont="1" applyBorder="1" applyAlignment="1">
      <alignment horizontal="left"/>
    </xf>
    <xf numFmtId="0" fontId="11" fillId="0" borderId="0" xfId="0" applyFont="1" applyBorder="1" applyAlignment="1">
      <alignment horizontal="left"/>
    </xf>
    <xf numFmtId="0" fontId="11" fillId="0" borderId="17" xfId="0" applyFont="1" applyBorder="1" applyAlignment="1">
      <alignment horizontal="left"/>
    </xf>
    <xf numFmtId="0" fontId="11" fillId="0" borderId="7" xfId="0" applyFont="1" applyBorder="1" applyAlignment="1">
      <alignment horizontal="left" vertical="center" wrapText="1"/>
    </xf>
    <xf numFmtId="169" fontId="19" fillId="0" borderId="7"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168" fontId="11" fillId="0" borderId="8" xfId="0" applyNumberFormat="1" applyFont="1" applyBorder="1" applyAlignment="1">
      <alignment horizontal="center" vertical="center"/>
    </xf>
    <xf numFmtId="168" fontId="11" fillId="0" borderId="21" xfId="0" applyNumberFormat="1" applyFont="1" applyFill="1" applyBorder="1" applyAlignment="1">
      <alignment horizontal="center" vertical="center"/>
    </xf>
    <xf numFmtId="168" fontId="11" fillId="0" borderId="9" xfId="0" applyNumberFormat="1" applyFont="1" applyBorder="1" applyAlignment="1">
      <alignment horizontal="center" vertical="center"/>
    </xf>
    <xf numFmtId="168" fontId="11" fillId="0" borderId="10" xfId="0" applyNumberFormat="1" applyFont="1" applyBorder="1" applyAlignment="1">
      <alignment horizontal="center" vertical="center"/>
    </xf>
    <xf numFmtId="0" fontId="19" fillId="4" borderId="8" xfId="0" applyFont="1" applyFill="1" applyBorder="1" applyAlignment="1">
      <alignment horizontal="center" vertical="center" wrapText="1"/>
    </xf>
    <xf numFmtId="0" fontId="7" fillId="4" borderId="0" xfId="0" applyFont="1" applyFill="1" applyBorder="1" applyAlignment="1">
      <alignment horizontal="left" vertical="top" wrapText="1"/>
    </xf>
    <xf numFmtId="170" fontId="18" fillId="0" borderId="0" xfId="0" applyNumberFormat="1" applyFont="1" applyFill="1" applyBorder="1" applyAlignment="1">
      <alignment horizontal="center" vertical="center"/>
    </xf>
    <xf numFmtId="170" fontId="18" fillId="5" borderId="11" xfId="0" applyNumberFormat="1" applyFont="1" applyFill="1" applyBorder="1" applyAlignment="1">
      <alignment horizontal="center" vertical="center"/>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1" fillId="0" borderId="0" xfId="0" applyNumberFormat="1" applyFont="1" applyAlignment="1">
      <alignment horizontal="right" vertical="center"/>
    </xf>
    <xf numFmtId="0" fontId="14" fillId="3" borderId="4" xfId="0" applyFont="1" applyFill="1" applyBorder="1" applyAlignment="1">
      <alignment horizontal="left"/>
    </xf>
    <xf numFmtId="0" fontId="11" fillId="0" borderId="12"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69" fontId="11" fillId="0" borderId="0" xfId="6" applyNumberFormat="1" applyFont="1" applyAlignment="1">
      <alignment horizontal="right" vertical="top"/>
    </xf>
    <xf numFmtId="0" fontId="11" fillId="0" borderId="0" xfId="0" applyFont="1" applyBorder="1" applyAlignment="1">
      <alignment horizontal="right" vertical="center"/>
    </xf>
    <xf numFmtId="170" fontId="19" fillId="5" borderId="11" xfId="0" quotePrefix="1" applyNumberFormat="1" applyFont="1" applyFill="1" applyBorder="1" applyAlignment="1">
      <alignment horizontal="center" vertical="center" wrapText="1"/>
    </xf>
    <xf numFmtId="170" fontId="19" fillId="5" borderId="12" xfId="0" quotePrefix="1" applyNumberFormat="1" applyFont="1" applyFill="1" applyBorder="1" applyAlignment="1">
      <alignment horizontal="center" vertical="center" wrapText="1"/>
    </xf>
    <xf numFmtId="0" fontId="18" fillId="5" borderId="13" xfId="0" quotePrefix="1" applyFont="1" applyFill="1" applyBorder="1" applyAlignment="1">
      <alignment horizontal="center" vertical="center" wrapText="1"/>
    </xf>
    <xf numFmtId="168" fontId="11" fillId="0" borderId="20" xfId="0" applyNumberFormat="1" applyFont="1" applyFill="1" applyBorder="1" applyAlignment="1">
      <alignment horizontal="center" vertical="center"/>
    </xf>
    <xf numFmtId="0" fontId="11" fillId="0" borderId="0" xfId="6" applyFont="1" applyAlignment="1">
      <alignment horizontal="right" vertical="top"/>
    </xf>
    <xf numFmtId="0" fontId="27" fillId="0" borderId="0" xfId="6" applyFont="1" applyAlignment="1">
      <alignment horizontal="right" vertical="top"/>
    </xf>
    <xf numFmtId="173" fontId="11" fillId="0" borderId="16" xfId="0" applyNumberFormat="1" applyFont="1" applyBorder="1" applyAlignment="1">
      <alignment horizontal="right" vertical="center"/>
    </xf>
    <xf numFmtId="173" fontId="11" fillId="0" borderId="0" xfId="0" applyNumberFormat="1" applyFont="1" applyBorder="1" applyAlignment="1">
      <alignment horizontal="right" vertical="center"/>
    </xf>
    <xf numFmtId="173" fontId="11" fillId="0" borderId="17" xfId="0" applyNumberFormat="1" applyFont="1" applyBorder="1" applyAlignment="1">
      <alignment horizontal="right" vertical="center"/>
    </xf>
    <xf numFmtId="173" fontId="11" fillId="0" borderId="0" xfId="0" applyNumberFormat="1" applyFont="1" applyAlignment="1">
      <alignment vertical="center"/>
    </xf>
    <xf numFmtId="173" fontId="11" fillId="0" borderId="14" xfId="0" applyNumberFormat="1" applyFont="1" applyBorder="1" applyAlignment="1">
      <alignment horizontal="right" vertical="center"/>
    </xf>
    <xf numFmtId="173" fontId="11" fillId="0" borderId="15" xfId="0" applyNumberFormat="1" applyFont="1" applyBorder="1" applyAlignment="1">
      <alignment horizontal="right" vertical="center"/>
    </xf>
    <xf numFmtId="173" fontId="11" fillId="0" borderId="21" xfId="0" applyNumberFormat="1" applyFont="1" applyBorder="1" applyAlignment="1">
      <alignment horizontal="right" vertical="center"/>
    </xf>
    <xf numFmtId="173" fontId="11" fillId="0" borderId="18" xfId="0" applyNumberFormat="1" applyFont="1" applyBorder="1" applyAlignment="1">
      <alignment horizontal="right" vertical="center"/>
    </xf>
    <xf numFmtId="173" fontId="11" fillId="0" borderId="19" xfId="0" applyNumberFormat="1" applyFont="1" applyBorder="1" applyAlignment="1">
      <alignment horizontal="right" vertical="center"/>
    </xf>
    <xf numFmtId="173" fontId="11" fillId="0" borderId="20" xfId="0" applyNumberFormat="1" applyFont="1" applyBorder="1" applyAlignment="1">
      <alignment horizontal="right" vertical="center"/>
    </xf>
    <xf numFmtId="173" fontId="18" fillId="3" borderId="11" xfId="0" applyNumberFormat="1" applyFont="1" applyFill="1" applyBorder="1" applyAlignment="1">
      <alignment horizontal="right" vertical="center"/>
    </xf>
    <xf numFmtId="173" fontId="18" fillId="3" borderId="12" xfId="0" applyNumberFormat="1" applyFont="1" applyFill="1" applyBorder="1" applyAlignment="1">
      <alignment horizontal="right" vertical="center"/>
    </xf>
    <xf numFmtId="173" fontId="18" fillId="3" borderId="13" xfId="0" applyNumberFormat="1" applyFont="1" applyFill="1" applyBorder="1" applyAlignment="1">
      <alignment horizontal="right" vertical="center"/>
    </xf>
    <xf numFmtId="173" fontId="18" fillId="3" borderId="18" xfId="0" applyNumberFormat="1" applyFont="1" applyFill="1" applyBorder="1" applyAlignment="1">
      <alignment horizontal="right" vertical="center"/>
    </xf>
    <xf numFmtId="173" fontId="18" fillId="3" borderId="19" xfId="0" applyNumberFormat="1" applyFont="1" applyFill="1" applyBorder="1" applyAlignment="1">
      <alignment horizontal="right" vertical="center"/>
    </xf>
    <xf numFmtId="173" fontId="18" fillId="3" borderId="20" xfId="0" applyNumberFormat="1" applyFont="1" applyFill="1" applyBorder="1" applyAlignment="1">
      <alignment horizontal="right" vertical="center"/>
    </xf>
    <xf numFmtId="172" fontId="11" fillId="0" borderId="14" xfId="0" applyNumberFormat="1" applyFont="1" applyBorder="1" applyAlignment="1">
      <alignment horizontal="right" vertical="center"/>
    </xf>
    <xf numFmtId="172" fontId="11" fillId="0" borderId="15" xfId="0" applyNumberFormat="1" applyFont="1" applyBorder="1" applyAlignment="1">
      <alignment horizontal="right" vertical="center"/>
    </xf>
    <xf numFmtId="172" fontId="11" fillId="0" borderId="21" xfId="0" applyNumberFormat="1" applyFont="1" applyBorder="1" applyAlignment="1">
      <alignment horizontal="right" vertical="center"/>
    </xf>
    <xf numFmtId="172" fontId="11" fillId="0" borderId="16" xfId="0" applyNumberFormat="1" applyFont="1" applyBorder="1" applyAlignment="1">
      <alignment horizontal="right" vertical="center"/>
    </xf>
    <xf numFmtId="172" fontId="11" fillId="0" borderId="0" xfId="0" applyNumberFormat="1" applyFont="1" applyBorder="1" applyAlignment="1">
      <alignment horizontal="right" vertical="center"/>
    </xf>
    <xf numFmtId="172" fontId="11" fillId="0" borderId="17" xfId="0" applyNumberFormat="1" applyFont="1" applyBorder="1" applyAlignment="1">
      <alignment horizontal="right" vertical="center"/>
    </xf>
    <xf numFmtId="172" fontId="11" fillId="0" borderId="18" xfId="0" applyNumberFormat="1" applyFont="1" applyBorder="1" applyAlignment="1">
      <alignment horizontal="right" vertical="center"/>
    </xf>
    <xf numFmtId="172" fontId="11" fillId="0" borderId="19" xfId="0" applyNumberFormat="1" applyFont="1" applyBorder="1" applyAlignment="1">
      <alignment horizontal="right" vertical="center"/>
    </xf>
    <xf numFmtId="172" fontId="11" fillId="0" borderId="20" xfId="0" applyNumberFormat="1" applyFont="1" applyBorder="1" applyAlignment="1">
      <alignment horizontal="right" vertical="center"/>
    </xf>
    <xf numFmtId="172" fontId="18" fillId="3" borderId="18" xfId="0" applyNumberFormat="1" applyFont="1" applyFill="1" applyBorder="1" applyAlignment="1">
      <alignment horizontal="right" vertical="center"/>
    </xf>
    <xf numFmtId="172" fontId="18" fillId="3" borderId="19" xfId="0" applyNumberFormat="1" applyFont="1" applyFill="1" applyBorder="1" applyAlignment="1">
      <alignment horizontal="right" vertical="center"/>
    </xf>
    <xf numFmtId="172" fontId="18" fillId="3" borderId="20" xfId="0" applyNumberFormat="1" applyFont="1" applyFill="1" applyBorder="1" applyAlignment="1">
      <alignment horizontal="right" vertic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0" fontId="11" fillId="0" borderId="0" xfId="0" applyFont="1" applyAlignment="1">
      <alignment horizontal="right" vertical="center"/>
    </xf>
    <xf numFmtId="171" fontId="11" fillId="0" borderId="0" xfId="1" applyNumberFormat="1" applyFont="1" applyAlignment="1">
      <alignment horizontal="center" vertical="top"/>
    </xf>
    <xf numFmtId="170" fontId="11" fillId="2" borderId="14" xfId="0" applyNumberFormat="1" applyFont="1" applyFill="1" applyBorder="1" applyAlignment="1">
      <alignment vertical="center"/>
    </xf>
    <xf numFmtId="170" fontId="11" fillId="2" borderId="16" xfId="0" applyNumberFormat="1" applyFont="1" applyFill="1" applyBorder="1" applyAlignment="1">
      <alignment vertical="center"/>
    </xf>
    <xf numFmtId="170" fontId="19" fillId="2" borderId="26" xfId="0" applyNumberFormat="1" applyFont="1" applyFill="1" applyBorder="1" applyAlignment="1">
      <alignment vertical="center"/>
    </xf>
    <xf numFmtId="170" fontId="31" fillId="0" borderId="0" xfId="6" applyNumberFormat="1" applyFont="1" applyAlignment="1">
      <alignment horizontal="center" vertical="top"/>
    </xf>
    <xf numFmtId="170" fontId="18" fillId="5" borderId="11" xfId="0" applyNumberFormat="1" applyFont="1" applyFill="1" applyBorder="1" applyAlignment="1">
      <alignment horizontal="center" vertical="center"/>
    </xf>
    <xf numFmtId="170" fontId="18" fillId="5" borderId="13" xfId="0" applyNumberFormat="1" applyFont="1" applyFill="1" applyBorder="1" applyAlignment="1">
      <alignment horizontal="left"/>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16" xfId="0" applyFont="1" applyBorder="1" applyAlignment="1">
      <alignment horizontal="left"/>
    </xf>
    <xf numFmtId="0" fontId="11" fillId="0" borderId="0" xfId="0" applyFont="1" applyBorder="1" applyAlignment="1">
      <alignment horizontal="left"/>
    </xf>
    <xf numFmtId="0" fontId="11" fillId="0" borderId="17" xfId="0" applyFont="1" applyBorder="1" applyAlignment="1">
      <alignment horizontal="left"/>
    </xf>
    <xf numFmtId="170" fontId="11" fillId="2" borderId="8" xfId="0" applyNumberFormat="1" applyFont="1" applyFill="1" applyBorder="1" applyAlignment="1">
      <alignment horizontal="center" vertical="center"/>
    </xf>
    <xf numFmtId="170" fontId="11" fillId="2" borderId="9" xfId="0" applyNumberFormat="1" applyFont="1" applyFill="1" applyBorder="1" applyAlignment="1">
      <alignment horizontal="center" vertical="center"/>
    </xf>
    <xf numFmtId="170" fontId="11" fillId="2" borderId="10" xfId="0" applyNumberFormat="1" applyFont="1" applyFill="1" applyBorder="1" applyAlignment="1">
      <alignment horizontal="center"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0" borderId="18" xfId="0" applyFont="1" applyBorder="1" applyAlignment="1">
      <alignment horizontal="left"/>
    </xf>
    <xf numFmtId="0" fontId="11" fillId="0" borderId="19" xfId="0" applyFont="1" applyBorder="1" applyAlignment="1">
      <alignment horizontal="left"/>
    </xf>
    <xf numFmtId="0" fontId="11" fillId="0" borderId="20" xfId="0" applyFont="1" applyBorder="1" applyAlignment="1">
      <alignment horizontal="left"/>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4" xfId="0" applyFont="1" applyBorder="1" applyAlignment="1">
      <alignment horizontal="left"/>
    </xf>
    <xf numFmtId="0" fontId="11" fillId="0" borderId="15" xfId="0" applyFont="1" applyBorder="1" applyAlignment="1">
      <alignment horizontal="left"/>
    </xf>
    <xf numFmtId="0" fontId="11" fillId="0" borderId="21" xfId="0" applyFont="1" applyBorder="1" applyAlignment="1">
      <alignment horizontal="left"/>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21" fillId="7" borderId="11" xfId="0" applyFont="1" applyFill="1" applyBorder="1" applyAlignment="1">
      <alignment horizontal="center" vertical="center"/>
    </xf>
    <xf numFmtId="0" fontId="21" fillId="7" borderId="12" xfId="0" applyFont="1" applyFill="1" applyBorder="1" applyAlignment="1">
      <alignment horizontal="center" vertical="center"/>
    </xf>
    <xf numFmtId="0" fontId="21" fillId="7" borderId="13" xfId="0" applyFont="1" applyFill="1" applyBorder="1" applyAlignment="1">
      <alignment horizontal="center" vertical="center"/>
    </xf>
    <xf numFmtId="167" fontId="19" fillId="2" borderId="7" xfId="0" applyNumberFormat="1" applyFont="1" applyFill="1" applyBorder="1" applyAlignment="1">
      <alignment horizontal="left" vertical="center"/>
    </xf>
    <xf numFmtId="170" fontId="18" fillId="5" borderId="11" xfId="0" applyNumberFormat="1" applyFont="1" applyFill="1" applyBorder="1" applyAlignment="1">
      <alignment horizontal="center" vertical="center"/>
    </xf>
    <xf numFmtId="170" fontId="18" fillId="5" borderId="12" xfId="0" applyNumberFormat="1" applyFont="1" applyFill="1" applyBorder="1" applyAlignment="1">
      <alignment horizontal="center" vertical="center"/>
    </xf>
    <xf numFmtId="170" fontId="18" fillId="5" borderId="13" xfId="0" applyNumberFormat="1" applyFont="1" applyFill="1" applyBorder="1" applyAlignment="1">
      <alignment horizontal="center"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21" xfId="0" applyFont="1" applyBorder="1" applyAlignment="1">
      <alignment horizontal="left"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11" fillId="0" borderId="20"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19" fillId="0" borderId="20" xfId="0" applyFont="1" applyBorder="1" applyAlignment="1">
      <alignment horizontal="left" vertical="center"/>
    </xf>
    <xf numFmtId="0" fontId="11" fillId="0" borderId="11" xfId="6" applyFont="1" applyBorder="1" applyAlignment="1">
      <alignment horizontal="left" vertical="top" wrapText="1"/>
    </xf>
    <xf numFmtId="0" fontId="11" fillId="0" borderId="12" xfId="6" applyFont="1" applyBorder="1" applyAlignment="1">
      <alignment horizontal="left" vertical="top" wrapText="1"/>
    </xf>
    <xf numFmtId="0" fontId="11" fillId="0" borderId="13" xfId="6" applyFont="1" applyBorder="1" applyAlignment="1">
      <alignment horizontal="left" vertical="top" wrapText="1"/>
    </xf>
    <xf numFmtId="0" fontId="19" fillId="3" borderId="11" xfId="6" applyFont="1" applyFill="1" applyBorder="1" applyAlignment="1">
      <alignment horizontal="center" vertical="top"/>
    </xf>
    <xf numFmtId="0" fontId="19" fillId="3" borderId="12" xfId="6" applyFont="1" applyFill="1" applyBorder="1" applyAlignment="1">
      <alignment horizontal="center" vertical="top"/>
    </xf>
    <xf numFmtId="0" fontId="19" fillId="3" borderId="13" xfId="6" applyFont="1" applyFill="1" applyBorder="1" applyAlignment="1">
      <alignment horizontal="center" vertical="top"/>
    </xf>
    <xf numFmtId="170" fontId="19" fillId="3" borderId="11" xfId="6" applyNumberFormat="1" applyFont="1" applyFill="1" applyBorder="1" applyAlignment="1">
      <alignment horizontal="center" vertical="top"/>
    </xf>
    <xf numFmtId="170" fontId="19" fillId="3" borderId="12" xfId="6" applyNumberFormat="1" applyFont="1" applyFill="1" applyBorder="1" applyAlignment="1">
      <alignment horizontal="center" vertical="top"/>
    </xf>
    <xf numFmtId="170" fontId="19" fillId="3" borderId="13" xfId="6" applyNumberFormat="1" applyFont="1" applyFill="1" applyBorder="1" applyAlignment="1">
      <alignment horizontal="center" vertical="top"/>
    </xf>
    <xf numFmtId="168" fontId="19" fillId="3" borderId="11" xfId="6" applyNumberFormat="1" applyFont="1" applyFill="1" applyBorder="1" applyAlignment="1">
      <alignment horizontal="center" vertical="top"/>
    </xf>
    <xf numFmtId="168" fontId="19" fillId="3" borderId="12" xfId="6" applyNumberFormat="1" applyFont="1" applyFill="1" applyBorder="1" applyAlignment="1">
      <alignment horizontal="center" vertical="top"/>
    </xf>
    <xf numFmtId="168" fontId="19" fillId="3" borderId="13" xfId="6" applyNumberFormat="1" applyFont="1" applyFill="1" applyBorder="1" applyAlignment="1">
      <alignment horizontal="center" vertical="top"/>
    </xf>
    <xf numFmtId="170" fontId="18" fillId="3" borderId="11" xfId="6" applyNumberFormat="1" applyFont="1" applyFill="1" applyBorder="1" applyAlignment="1">
      <alignment horizontal="center" vertical="top" wrapText="1"/>
    </xf>
    <xf numFmtId="170" fontId="18" fillId="3" borderId="12" xfId="6" applyNumberFormat="1" applyFont="1" applyFill="1" applyBorder="1" applyAlignment="1">
      <alignment horizontal="center" vertical="top" wrapText="1"/>
    </xf>
    <xf numFmtId="170" fontId="18" fillId="3" borderId="13" xfId="6" applyNumberFormat="1" applyFont="1" applyFill="1" applyBorder="1" applyAlignment="1">
      <alignment horizontal="center" vertical="top" wrapText="1"/>
    </xf>
    <xf numFmtId="170" fontId="18" fillId="3" borderId="11" xfId="6" applyNumberFormat="1" applyFont="1" applyFill="1" applyBorder="1" applyAlignment="1">
      <alignment horizontal="center" vertical="top"/>
    </xf>
    <xf numFmtId="170" fontId="18" fillId="3" borderId="12" xfId="6" applyNumberFormat="1" applyFont="1" applyFill="1" applyBorder="1" applyAlignment="1">
      <alignment horizontal="center" vertical="top"/>
    </xf>
    <xf numFmtId="170" fontId="18" fillId="3" borderId="13" xfId="6" applyNumberFormat="1" applyFont="1" applyFill="1" applyBorder="1" applyAlignment="1">
      <alignment horizontal="center" vertical="top"/>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0" xfId="0" applyFill="1" applyBorder="1" applyAlignment="1">
      <alignment horizontal="left" vertical="top" wrapText="1"/>
    </xf>
    <xf numFmtId="0" fontId="0" fillId="4" borderId="1" xfId="0" applyFill="1" applyBorder="1" applyAlignment="1">
      <alignment horizontal="left" wrapText="1"/>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66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61"/>
  <sheetViews>
    <sheetView showGridLines="0" zoomScaleNormal="100" workbookViewId="0"/>
  </sheetViews>
  <sheetFormatPr defaultColWidth="9.140625" defaultRowHeight="12.75" zeroHeight="1" x14ac:dyDescent="0.25"/>
  <cols>
    <col min="1" max="1" width="2.85546875" style="28" customWidth="1"/>
    <col min="2" max="2" width="21.140625" style="28" bestFit="1" customWidth="1"/>
    <col min="3" max="3" width="16.85546875" style="28" customWidth="1"/>
    <col min="4" max="4" width="13.42578125" style="28" bestFit="1" customWidth="1"/>
    <col min="5" max="5" width="13.42578125" style="28" customWidth="1"/>
    <col min="6" max="6" width="12.7109375" style="28" customWidth="1"/>
    <col min="7" max="10" width="12.85546875" style="30" customWidth="1"/>
    <col min="11" max="11" width="12.85546875" style="28" customWidth="1"/>
    <col min="12" max="12" width="2.85546875" style="28" customWidth="1"/>
    <col min="13" max="13" width="49.85546875" style="31" customWidth="1"/>
    <col min="14" max="14" width="2.85546875" style="28" customWidth="1"/>
    <col min="15" max="17" width="9.140625" style="28" customWidth="1"/>
    <col min="18" max="16384" width="9.140625" style="28"/>
  </cols>
  <sheetData>
    <row r="1" spans="2:13" x14ac:dyDescent="0.25">
      <c r="B1" s="29"/>
    </row>
    <row r="2" spans="2:13" ht="21" x14ac:dyDescent="0.25">
      <c r="B2" s="32" t="s">
        <v>63</v>
      </c>
    </row>
    <row r="3" spans="2:13" ht="21" x14ac:dyDescent="0.25">
      <c r="B3" s="32" t="str">
        <f>+'AER Summary'!C3</f>
        <v>Design Information Fee</v>
      </c>
    </row>
    <row r="4" spans="2:13" ht="18.75" x14ac:dyDescent="0.25">
      <c r="B4" s="33" t="s">
        <v>64</v>
      </c>
    </row>
    <row r="5" spans="2:13" x14ac:dyDescent="0.25"/>
    <row r="6" spans="2:13" ht="15.75" x14ac:dyDescent="0.25">
      <c r="B6" s="34" t="s">
        <v>166</v>
      </c>
      <c r="C6" s="35"/>
      <c r="D6" s="35"/>
      <c r="E6" s="35"/>
      <c r="F6" s="35"/>
      <c r="G6" s="36"/>
      <c r="H6" s="36"/>
      <c r="I6" s="36"/>
      <c r="J6" s="36"/>
      <c r="K6" s="35"/>
      <c r="M6" s="37"/>
    </row>
    <row r="7" spans="2:13" x14ac:dyDescent="0.25"/>
    <row r="8" spans="2:13" ht="38.25" x14ac:dyDescent="0.25">
      <c r="B8" s="347" t="s">
        <v>15</v>
      </c>
      <c r="C8" s="348"/>
      <c r="D8" s="348"/>
      <c r="E8" s="348"/>
      <c r="F8" s="349"/>
      <c r="G8" s="276" t="s">
        <v>75</v>
      </c>
      <c r="H8" s="178" t="s">
        <v>8</v>
      </c>
      <c r="I8" s="277" t="s">
        <v>94</v>
      </c>
      <c r="J8" s="178" t="s">
        <v>87</v>
      </c>
      <c r="K8" s="278" t="s">
        <v>74</v>
      </c>
      <c r="M8" s="42" t="s">
        <v>5</v>
      </c>
    </row>
    <row r="9" spans="2:13" ht="12.75" customHeight="1" x14ac:dyDescent="0.2">
      <c r="B9" s="350" t="s">
        <v>9</v>
      </c>
      <c r="C9" s="351"/>
      <c r="D9" s="351"/>
      <c r="E9" s="351"/>
      <c r="F9" s="352"/>
      <c r="G9" s="216">
        <v>80</v>
      </c>
      <c r="H9" s="222">
        <f>+K9/G9</f>
        <v>1.9886363636363638</v>
      </c>
      <c r="I9" s="222"/>
      <c r="J9" s="255">
        <v>175</v>
      </c>
      <c r="K9" s="256">
        <f>+J9/11*10</f>
        <v>159.09090909090909</v>
      </c>
      <c r="M9" s="344" t="s">
        <v>167</v>
      </c>
    </row>
    <row r="10" spans="2:13" x14ac:dyDescent="0.2">
      <c r="B10" s="332" t="s">
        <v>10</v>
      </c>
      <c r="C10" s="333"/>
      <c r="D10" s="333"/>
      <c r="E10" s="333"/>
      <c r="F10" s="334"/>
      <c r="G10" s="218">
        <v>80</v>
      </c>
      <c r="H10" s="223">
        <f t="shared" ref="H10:H12" si="0">+K10/G10</f>
        <v>2.9886363636363638</v>
      </c>
      <c r="I10" s="223"/>
      <c r="J10" s="257">
        <v>263</v>
      </c>
      <c r="K10" s="136">
        <f t="shared" ref="K10:K14" si="1">+J10/11*10</f>
        <v>239.09090909090909</v>
      </c>
      <c r="M10" s="345"/>
    </row>
    <row r="11" spans="2:13" x14ac:dyDescent="0.2">
      <c r="B11" s="332" t="s">
        <v>11</v>
      </c>
      <c r="C11" s="333"/>
      <c r="D11" s="333"/>
      <c r="E11" s="333"/>
      <c r="F11" s="334"/>
      <c r="G11" s="218">
        <v>80</v>
      </c>
      <c r="H11" s="223">
        <f t="shared" si="0"/>
        <v>4.9772727272727275</v>
      </c>
      <c r="I11" s="223"/>
      <c r="J11" s="257">
        <v>438</v>
      </c>
      <c r="K11" s="136">
        <f t="shared" si="1"/>
        <v>398.18181818181819</v>
      </c>
      <c r="M11" s="345"/>
    </row>
    <row r="12" spans="2:13" x14ac:dyDescent="0.2">
      <c r="B12" s="332" t="s">
        <v>13</v>
      </c>
      <c r="C12" s="333"/>
      <c r="D12" s="333"/>
      <c r="E12" s="333"/>
      <c r="F12" s="334"/>
      <c r="G12" s="218">
        <v>80</v>
      </c>
      <c r="H12" s="223">
        <f t="shared" si="0"/>
        <v>5.9772727272727275</v>
      </c>
      <c r="I12" s="223"/>
      <c r="J12" s="257">
        <v>526</v>
      </c>
      <c r="K12" s="136">
        <f t="shared" si="1"/>
        <v>478.18181818181819</v>
      </c>
      <c r="M12" s="345"/>
    </row>
    <row r="13" spans="2:13" x14ac:dyDescent="0.2">
      <c r="B13" s="332" t="s">
        <v>123</v>
      </c>
      <c r="C13" s="333"/>
      <c r="D13" s="333"/>
      <c r="E13" s="333"/>
      <c r="F13" s="334"/>
      <c r="G13" s="218">
        <v>80</v>
      </c>
      <c r="H13" s="224" t="s">
        <v>14</v>
      </c>
      <c r="I13" s="223">
        <v>3</v>
      </c>
      <c r="J13" s="257">
        <v>88</v>
      </c>
      <c r="K13" s="136">
        <f t="shared" si="1"/>
        <v>80</v>
      </c>
      <c r="M13" s="345"/>
    </row>
    <row r="14" spans="2:13" x14ac:dyDescent="0.2">
      <c r="B14" s="332" t="s">
        <v>12</v>
      </c>
      <c r="C14" s="333"/>
      <c r="D14" s="333"/>
      <c r="E14" s="333"/>
      <c r="F14" s="334"/>
      <c r="G14" s="218">
        <v>80</v>
      </c>
      <c r="H14" s="224" t="s">
        <v>14</v>
      </c>
      <c r="I14" s="223">
        <v>5</v>
      </c>
      <c r="J14" s="257">
        <v>88</v>
      </c>
      <c r="K14" s="136">
        <f t="shared" si="1"/>
        <v>80</v>
      </c>
      <c r="M14" s="345"/>
    </row>
    <row r="15" spans="2:13" x14ac:dyDescent="0.2">
      <c r="B15" s="332"/>
      <c r="C15" s="333"/>
      <c r="D15" s="333"/>
      <c r="E15" s="333"/>
      <c r="F15" s="334"/>
      <c r="G15" s="218"/>
      <c r="H15" s="224"/>
      <c r="I15" s="223"/>
      <c r="J15" s="257"/>
      <c r="K15" s="136"/>
      <c r="M15" s="345"/>
    </row>
    <row r="16" spans="2:13" x14ac:dyDescent="0.2">
      <c r="B16" s="332" t="s">
        <v>124</v>
      </c>
      <c r="C16" s="333"/>
      <c r="D16" s="333"/>
      <c r="E16" s="333"/>
      <c r="F16" s="334"/>
      <c r="G16" s="218">
        <v>80</v>
      </c>
      <c r="H16" s="224" t="s">
        <v>14</v>
      </c>
      <c r="I16" s="223">
        <v>6</v>
      </c>
      <c r="J16" s="257">
        <v>88</v>
      </c>
      <c r="K16" s="136">
        <f t="shared" ref="K16:K34" si="2">+J16/11*10</f>
        <v>80</v>
      </c>
      <c r="M16" s="345"/>
    </row>
    <row r="17" spans="2:13" x14ac:dyDescent="0.2">
      <c r="B17" s="332" t="s">
        <v>125</v>
      </c>
      <c r="C17" s="333"/>
      <c r="D17" s="333"/>
      <c r="E17" s="333"/>
      <c r="F17" s="334"/>
      <c r="G17" s="218">
        <v>80</v>
      </c>
      <c r="H17" s="224" t="s">
        <v>14</v>
      </c>
      <c r="I17" s="224">
        <v>12</v>
      </c>
      <c r="J17" s="257">
        <v>88</v>
      </c>
      <c r="K17" s="136">
        <f t="shared" si="2"/>
        <v>80</v>
      </c>
      <c r="M17" s="345"/>
    </row>
    <row r="18" spans="2:13" x14ac:dyDescent="0.2">
      <c r="B18" s="332" t="s">
        <v>126</v>
      </c>
      <c r="C18" s="333"/>
      <c r="D18" s="333"/>
      <c r="E18" s="333"/>
      <c r="F18" s="334"/>
      <c r="G18" s="218">
        <v>80</v>
      </c>
      <c r="H18" s="224" t="s">
        <v>14</v>
      </c>
      <c r="I18" s="224">
        <v>20</v>
      </c>
      <c r="J18" s="257">
        <v>88</v>
      </c>
      <c r="K18" s="136">
        <f t="shared" si="2"/>
        <v>80</v>
      </c>
      <c r="M18" s="345"/>
    </row>
    <row r="19" spans="2:13" x14ac:dyDescent="0.2">
      <c r="B19" s="332" t="s">
        <v>127</v>
      </c>
      <c r="C19" s="333"/>
      <c r="D19" s="333"/>
      <c r="E19" s="333"/>
      <c r="F19" s="334"/>
      <c r="G19" s="218">
        <v>80</v>
      </c>
      <c r="H19" s="224" t="s">
        <v>14</v>
      </c>
      <c r="I19" s="224">
        <v>26</v>
      </c>
      <c r="J19" s="257">
        <v>88</v>
      </c>
      <c r="K19" s="136">
        <f t="shared" si="2"/>
        <v>80</v>
      </c>
      <c r="M19" s="345"/>
    </row>
    <row r="20" spans="2:13" x14ac:dyDescent="0.2">
      <c r="B20" s="332" t="s">
        <v>128</v>
      </c>
      <c r="C20" s="333"/>
      <c r="D20" s="333"/>
      <c r="E20" s="333"/>
      <c r="F20" s="334"/>
      <c r="G20" s="218">
        <v>80</v>
      </c>
      <c r="H20" s="224" t="s">
        <v>14</v>
      </c>
      <c r="I20" s="224">
        <v>154</v>
      </c>
      <c r="J20" s="257">
        <v>88</v>
      </c>
      <c r="K20" s="136">
        <f t="shared" si="2"/>
        <v>80</v>
      </c>
      <c r="M20" s="345"/>
    </row>
    <row r="21" spans="2:13" x14ac:dyDescent="0.2">
      <c r="B21" s="332" t="s">
        <v>129</v>
      </c>
      <c r="C21" s="333"/>
      <c r="D21" s="333"/>
      <c r="E21" s="333"/>
      <c r="F21" s="334"/>
      <c r="G21" s="218">
        <v>80</v>
      </c>
      <c r="H21" s="224" t="s">
        <v>14</v>
      </c>
      <c r="I21" s="224">
        <v>2</v>
      </c>
      <c r="J21" s="257">
        <v>88</v>
      </c>
      <c r="K21" s="136">
        <f t="shared" si="2"/>
        <v>80</v>
      </c>
      <c r="M21" s="345"/>
    </row>
    <row r="22" spans="2:13" x14ac:dyDescent="0.2">
      <c r="B22" s="332" t="s">
        <v>130</v>
      </c>
      <c r="C22" s="333"/>
      <c r="D22" s="333"/>
      <c r="E22" s="333"/>
      <c r="F22" s="334"/>
      <c r="G22" s="218">
        <v>80</v>
      </c>
      <c r="H22" s="224" t="s">
        <v>14</v>
      </c>
      <c r="I22" s="224">
        <v>5</v>
      </c>
      <c r="J22" s="257">
        <v>88</v>
      </c>
      <c r="K22" s="136">
        <f t="shared" si="2"/>
        <v>80</v>
      </c>
      <c r="M22" s="345"/>
    </row>
    <row r="23" spans="2:13" x14ac:dyDescent="0.2">
      <c r="B23" s="332" t="s">
        <v>131</v>
      </c>
      <c r="C23" s="333"/>
      <c r="D23" s="333"/>
      <c r="E23" s="333"/>
      <c r="F23" s="334"/>
      <c r="G23" s="218">
        <v>80</v>
      </c>
      <c r="H23" s="224" t="s">
        <v>14</v>
      </c>
      <c r="I23" s="224">
        <v>10</v>
      </c>
      <c r="J23" s="257">
        <v>88</v>
      </c>
      <c r="K23" s="136">
        <f t="shared" si="2"/>
        <v>80</v>
      </c>
      <c r="M23" s="345"/>
    </row>
    <row r="24" spans="2:13" x14ac:dyDescent="0.2">
      <c r="B24" s="332" t="s">
        <v>132</v>
      </c>
      <c r="C24" s="333"/>
      <c r="D24" s="333"/>
      <c r="E24" s="333"/>
      <c r="F24" s="334"/>
      <c r="G24" s="218">
        <v>80</v>
      </c>
      <c r="H24" s="224" t="s">
        <v>14</v>
      </c>
      <c r="I24" s="224">
        <v>20</v>
      </c>
      <c r="J24" s="257">
        <v>88</v>
      </c>
      <c r="K24" s="136">
        <f t="shared" si="2"/>
        <v>80</v>
      </c>
      <c r="M24" s="345"/>
    </row>
    <row r="25" spans="2:13" x14ac:dyDescent="0.2">
      <c r="B25" s="332" t="s">
        <v>133</v>
      </c>
      <c r="C25" s="333"/>
      <c r="D25" s="333"/>
      <c r="E25" s="333"/>
      <c r="F25" s="334"/>
      <c r="G25" s="218">
        <v>80</v>
      </c>
      <c r="H25" s="224" t="s">
        <v>14</v>
      </c>
      <c r="I25" s="224">
        <v>5</v>
      </c>
      <c r="J25" s="257">
        <v>88</v>
      </c>
      <c r="K25" s="136">
        <f t="shared" si="2"/>
        <v>80</v>
      </c>
      <c r="M25" s="345"/>
    </row>
    <row r="26" spans="2:13" x14ac:dyDescent="0.2">
      <c r="B26" s="332" t="s">
        <v>134</v>
      </c>
      <c r="C26" s="333"/>
      <c r="D26" s="333"/>
      <c r="E26" s="333"/>
      <c r="F26" s="334"/>
      <c r="G26" s="218">
        <v>80</v>
      </c>
      <c r="H26" s="224" t="s">
        <v>14</v>
      </c>
      <c r="I26" s="224">
        <v>13</v>
      </c>
      <c r="J26" s="257">
        <v>88</v>
      </c>
      <c r="K26" s="136">
        <f t="shared" si="2"/>
        <v>80</v>
      </c>
      <c r="M26" s="345"/>
    </row>
    <row r="27" spans="2:13" x14ac:dyDescent="0.2">
      <c r="B27" s="332" t="s">
        <v>135</v>
      </c>
      <c r="C27" s="333"/>
      <c r="D27" s="333"/>
      <c r="E27" s="333"/>
      <c r="F27" s="334"/>
      <c r="G27" s="218">
        <v>80</v>
      </c>
      <c r="H27" s="224" t="s">
        <v>14</v>
      </c>
      <c r="I27" s="224">
        <v>20</v>
      </c>
      <c r="J27" s="257">
        <v>88</v>
      </c>
      <c r="K27" s="136">
        <f t="shared" si="2"/>
        <v>80</v>
      </c>
      <c r="M27" s="345"/>
    </row>
    <row r="28" spans="2:13" x14ac:dyDescent="0.2">
      <c r="B28" s="332" t="s">
        <v>136</v>
      </c>
      <c r="C28" s="333"/>
      <c r="D28" s="333"/>
      <c r="E28" s="333"/>
      <c r="F28" s="334"/>
      <c r="G28" s="218">
        <v>80</v>
      </c>
      <c r="H28" s="224" t="s">
        <v>14</v>
      </c>
      <c r="I28" s="224">
        <v>25</v>
      </c>
      <c r="J28" s="257">
        <v>88</v>
      </c>
      <c r="K28" s="136">
        <f t="shared" si="2"/>
        <v>80</v>
      </c>
      <c r="M28" s="345"/>
    </row>
    <row r="29" spans="2:13" x14ac:dyDescent="0.2">
      <c r="B29" s="332" t="s">
        <v>137</v>
      </c>
      <c r="C29" s="333"/>
      <c r="D29" s="333"/>
      <c r="E29" s="333"/>
      <c r="F29" s="334"/>
      <c r="G29" s="218">
        <v>80</v>
      </c>
      <c r="H29" s="224" t="s">
        <v>14</v>
      </c>
      <c r="I29" s="224">
        <v>143</v>
      </c>
      <c r="J29" s="257">
        <v>88</v>
      </c>
      <c r="K29" s="136">
        <f t="shared" si="2"/>
        <v>80</v>
      </c>
      <c r="M29" s="345"/>
    </row>
    <row r="30" spans="2:13" x14ac:dyDescent="0.2">
      <c r="B30" s="332" t="s">
        <v>138</v>
      </c>
      <c r="C30" s="333"/>
      <c r="D30" s="333"/>
      <c r="E30" s="333"/>
      <c r="F30" s="334"/>
      <c r="G30" s="218">
        <v>80</v>
      </c>
      <c r="H30" s="224" t="s">
        <v>14</v>
      </c>
      <c r="I30" s="224">
        <v>0</v>
      </c>
      <c r="J30" s="257">
        <v>88</v>
      </c>
      <c r="K30" s="136">
        <f t="shared" si="2"/>
        <v>80</v>
      </c>
      <c r="M30" s="345"/>
    </row>
    <row r="31" spans="2:13" x14ac:dyDescent="0.2">
      <c r="B31" s="332" t="s">
        <v>139</v>
      </c>
      <c r="C31" s="333"/>
      <c r="D31" s="333"/>
      <c r="E31" s="333"/>
      <c r="F31" s="334"/>
      <c r="G31" s="218">
        <v>80</v>
      </c>
      <c r="H31" s="224" t="s">
        <v>14</v>
      </c>
      <c r="I31" s="224">
        <v>0</v>
      </c>
      <c r="J31" s="257">
        <v>88</v>
      </c>
      <c r="K31" s="136">
        <f t="shared" si="2"/>
        <v>80</v>
      </c>
      <c r="M31" s="345"/>
    </row>
    <row r="32" spans="2:13" x14ac:dyDescent="0.2">
      <c r="B32" s="332" t="s">
        <v>140</v>
      </c>
      <c r="C32" s="333"/>
      <c r="D32" s="333"/>
      <c r="E32" s="333"/>
      <c r="F32" s="334"/>
      <c r="G32" s="218">
        <v>80</v>
      </c>
      <c r="H32" s="224" t="s">
        <v>14</v>
      </c>
      <c r="I32" s="224">
        <v>0</v>
      </c>
      <c r="J32" s="257">
        <v>88</v>
      </c>
      <c r="K32" s="136">
        <f t="shared" si="2"/>
        <v>80</v>
      </c>
      <c r="M32" s="345"/>
    </row>
    <row r="33" spans="2:13" x14ac:dyDescent="0.2">
      <c r="B33" s="332" t="s">
        <v>141</v>
      </c>
      <c r="C33" s="333"/>
      <c r="D33" s="333"/>
      <c r="E33" s="333"/>
      <c r="F33" s="334"/>
      <c r="G33" s="218">
        <v>80</v>
      </c>
      <c r="H33" s="224" t="s">
        <v>14</v>
      </c>
      <c r="I33" s="224">
        <v>0</v>
      </c>
      <c r="J33" s="257">
        <v>88</v>
      </c>
      <c r="K33" s="136">
        <f t="shared" si="2"/>
        <v>80</v>
      </c>
      <c r="M33" s="345"/>
    </row>
    <row r="34" spans="2:13" x14ac:dyDescent="0.2">
      <c r="B34" s="332" t="s">
        <v>142</v>
      </c>
      <c r="C34" s="333"/>
      <c r="D34" s="333"/>
      <c r="E34" s="333"/>
      <c r="F34" s="334"/>
      <c r="G34" s="218">
        <v>80</v>
      </c>
      <c r="H34" s="224" t="s">
        <v>14</v>
      </c>
      <c r="I34" s="224">
        <v>5</v>
      </c>
      <c r="J34" s="257">
        <v>88</v>
      </c>
      <c r="K34" s="136">
        <f t="shared" si="2"/>
        <v>80</v>
      </c>
      <c r="M34" s="345"/>
    </row>
    <row r="35" spans="2:13" x14ac:dyDescent="0.2">
      <c r="B35" s="332"/>
      <c r="C35" s="333"/>
      <c r="D35" s="333"/>
      <c r="E35" s="333"/>
      <c r="F35" s="334"/>
      <c r="G35" s="218"/>
      <c r="H35" s="224"/>
      <c r="I35" s="224"/>
      <c r="J35" s="257"/>
      <c r="K35" s="136"/>
      <c r="M35" s="345"/>
    </row>
    <row r="36" spans="2:13" x14ac:dyDescent="0.2">
      <c r="B36" s="332" t="s">
        <v>143</v>
      </c>
      <c r="C36" s="333"/>
      <c r="D36" s="333"/>
      <c r="E36" s="333"/>
      <c r="F36" s="334"/>
      <c r="G36" s="218">
        <v>96.363636363636374</v>
      </c>
      <c r="H36" s="224" t="s">
        <v>14</v>
      </c>
      <c r="I36" s="224">
        <v>6</v>
      </c>
      <c r="J36" s="257">
        <v>106</v>
      </c>
      <c r="K36" s="136">
        <f t="shared" ref="K36:K39" si="3">+J36/11*10</f>
        <v>96.363636363636374</v>
      </c>
      <c r="M36" s="345"/>
    </row>
    <row r="37" spans="2:13" x14ac:dyDescent="0.2">
      <c r="B37" s="332" t="s">
        <v>144</v>
      </c>
      <c r="C37" s="333"/>
      <c r="D37" s="333"/>
      <c r="E37" s="333"/>
      <c r="F37" s="334"/>
      <c r="G37" s="218">
        <v>80</v>
      </c>
      <c r="H37" s="224" t="s">
        <v>14</v>
      </c>
      <c r="I37" s="224">
        <v>7</v>
      </c>
      <c r="J37" s="257">
        <v>88</v>
      </c>
      <c r="K37" s="136">
        <f t="shared" si="3"/>
        <v>80</v>
      </c>
      <c r="M37" s="345"/>
    </row>
    <row r="38" spans="2:13" x14ac:dyDescent="0.2">
      <c r="B38" s="332" t="s">
        <v>145</v>
      </c>
      <c r="C38" s="333"/>
      <c r="D38" s="333"/>
      <c r="E38" s="333"/>
      <c r="F38" s="334"/>
      <c r="G38" s="218">
        <v>96.363636363636374</v>
      </c>
      <c r="H38" s="224" t="s">
        <v>14</v>
      </c>
      <c r="I38" s="224">
        <v>4</v>
      </c>
      <c r="J38" s="257">
        <v>106</v>
      </c>
      <c r="K38" s="136">
        <f t="shared" si="3"/>
        <v>96.363636363636374</v>
      </c>
      <c r="M38" s="345"/>
    </row>
    <row r="39" spans="2:13" x14ac:dyDescent="0.2">
      <c r="B39" s="341" t="s">
        <v>146</v>
      </c>
      <c r="C39" s="342"/>
      <c r="D39" s="342"/>
      <c r="E39" s="342"/>
      <c r="F39" s="343"/>
      <c r="G39" s="225">
        <v>80</v>
      </c>
      <c r="H39" s="226" t="s">
        <v>14</v>
      </c>
      <c r="I39" s="226">
        <v>4</v>
      </c>
      <c r="J39" s="258">
        <v>88</v>
      </c>
      <c r="K39" s="279">
        <f t="shared" si="3"/>
        <v>80</v>
      </c>
      <c r="M39" s="346"/>
    </row>
    <row r="40" spans="2:13" x14ac:dyDescent="0.25"/>
    <row r="41" spans="2:13" ht="15.75" x14ac:dyDescent="0.25">
      <c r="B41" s="34" t="s">
        <v>2</v>
      </c>
      <c r="C41" s="35"/>
      <c r="D41" s="35"/>
      <c r="E41" s="35"/>
      <c r="F41" s="35"/>
      <c r="G41" s="36"/>
      <c r="H41" s="36"/>
      <c r="I41" s="36"/>
      <c r="J41" s="36"/>
      <c r="K41" s="35"/>
      <c r="M41" s="37"/>
    </row>
    <row r="42" spans="2:13" x14ac:dyDescent="0.25"/>
    <row r="43" spans="2:13" x14ac:dyDescent="0.25">
      <c r="B43" s="347" t="s">
        <v>34</v>
      </c>
      <c r="C43" s="348"/>
      <c r="D43" s="348"/>
      <c r="E43" s="348"/>
      <c r="F43" s="349"/>
      <c r="G43" s="38" t="s">
        <v>17</v>
      </c>
      <c r="H43" s="39" t="s">
        <v>18</v>
      </c>
      <c r="I43" s="40" t="s">
        <v>19</v>
      </c>
      <c r="J43" s="39" t="s">
        <v>20</v>
      </c>
      <c r="K43" s="41" t="s">
        <v>21</v>
      </c>
      <c r="M43" s="42" t="s">
        <v>5</v>
      </c>
    </row>
    <row r="44" spans="2:13" ht="42" customHeight="1" x14ac:dyDescent="0.25">
      <c r="B44" s="353" t="s">
        <v>2</v>
      </c>
      <c r="C44" s="354"/>
      <c r="D44" s="354"/>
      <c r="E44" s="354"/>
      <c r="F44" s="355"/>
      <c r="G44" s="19">
        <v>561055.32999999914</v>
      </c>
      <c r="H44" s="20">
        <v>524359.82999999996</v>
      </c>
      <c r="I44" s="21">
        <v>599235.97999999975</v>
      </c>
      <c r="J44" s="20">
        <v>622331.49000000092</v>
      </c>
      <c r="K44" s="99"/>
      <c r="M44" s="43" t="s">
        <v>168</v>
      </c>
    </row>
    <row r="45" spans="2:13" x14ac:dyDescent="0.25"/>
    <row r="46" spans="2:13" ht="15.75" x14ac:dyDescent="0.25">
      <c r="B46" s="34" t="s">
        <v>48</v>
      </c>
      <c r="C46" s="35"/>
      <c r="D46" s="35"/>
      <c r="E46" s="35"/>
      <c r="F46" s="35"/>
      <c r="G46" s="36"/>
      <c r="H46" s="36"/>
      <c r="I46" s="36"/>
      <c r="J46" s="36"/>
      <c r="K46" s="35"/>
      <c r="M46" s="37"/>
    </row>
    <row r="47" spans="2:13" x14ac:dyDescent="0.25"/>
    <row r="48" spans="2:13" x14ac:dyDescent="0.25">
      <c r="B48" s="54" t="s">
        <v>31</v>
      </c>
      <c r="C48" s="356" t="s">
        <v>47</v>
      </c>
      <c r="D48" s="356"/>
      <c r="E48" s="356"/>
      <c r="F48" s="356"/>
      <c r="G48" s="39" t="s">
        <v>17</v>
      </c>
      <c r="H48" s="39" t="s">
        <v>18</v>
      </c>
      <c r="I48" s="39" t="s">
        <v>19</v>
      </c>
      <c r="J48" s="39" t="s">
        <v>20</v>
      </c>
      <c r="K48" s="55" t="s">
        <v>21</v>
      </c>
      <c r="M48" s="42" t="s">
        <v>5</v>
      </c>
    </row>
    <row r="49" spans="2:13" ht="27.75" customHeight="1" x14ac:dyDescent="0.25">
      <c r="B49" s="22" t="s">
        <v>118</v>
      </c>
      <c r="C49" s="357" t="s">
        <v>119</v>
      </c>
      <c r="D49" s="358"/>
      <c r="E49" s="358"/>
      <c r="F49" s="359"/>
      <c r="G49" s="335" t="s">
        <v>16</v>
      </c>
      <c r="H49" s="23">
        <v>308433.21137616667</v>
      </c>
      <c r="I49" s="20">
        <v>428017.71429973497</v>
      </c>
      <c r="J49" s="20">
        <v>354374.59631663369</v>
      </c>
      <c r="K49" s="338"/>
      <c r="M49" s="344" t="s">
        <v>169</v>
      </c>
    </row>
    <row r="50" spans="2:13" ht="27.75" customHeight="1" x14ac:dyDescent="0.25">
      <c r="B50" s="22" t="s">
        <v>120</v>
      </c>
      <c r="C50" s="357" t="s">
        <v>119</v>
      </c>
      <c r="D50" s="358"/>
      <c r="E50" s="358"/>
      <c r="F50" s="359"/>
      <c r="G50" s="336"/>
      <c r="H50" s="23">
        <v>151312.02300176999</v>
      </c>
      <c r="I50" s="20">
        <v>256332.80435045614</v>
      </c>
      <c r="J50" s="20">
        <v>198600.88569704612</v>
      </c>
      <c r="K50" s="339"/>
      <c r="M50" s="345"/>
    </row>
    <row r="51" spans="2:13" ht="27.75" customHeight="1" x14ac:dyDescent="0.25">
      <c r="B51" s="22" t="s">
        <v>121</v>
      </c>
      <c r="C51" s="357" t="s">
        <v>122</v>
      </c>
      <c r="D51" s="358"/>
      <c r="E51" s="358"/>
      <c r="F51" s="359"/>
      <c r="G51" s="337"/>
      <c r="H51" s="23">
        <v>27583.391243384998</v>
      </c>
      <c r="I51" s="20">
        <v>85647.435870465546</v>
      </c>
      <c r="J51" s="20">
        <v>41658.374117288964</v>
      </c>
      <c r="K51" s="340"/>
      <c r="M51" s="346"/>
    </row>
    <row r="52" spans="2:13" ht="13.5" thickBot="1" x14ac:dyDescent="0.3">
      <c r="B52" s="56"/>
      <c r="C52" s="56"/>
      <c r="D52" s="56"/>
      <c r="E52" s="56"/>
      <c r="F52" s="56"/>
      <c r="G52" s="57">
        <f t="shared" ref="G52" si="4">SUM(G49:G51)</f>
        <v>0</v>
      </c>
      <c r="H52" s="50">
        <f>SUM(H49:H51)</f>
        <v>487328.62562132167</v>
      </c>
      <c r="I52" s="50">
        <f t="shared" ref="I52:J52" si="5">SUM(I49:I51)</f>
        <v>769997.95452065673</v>
      </c>
      <c r="J52" s="50">
        <f t="shared" si="5"/>
        <v>594633.85613096878</v>
      </c>
      <c r="K52" s="101"/>
    </row>
    <row r="53" spans="2:13" x14ac:dyDescent="0.25">
      <c r="B53" s="56"/>
      <c r="C53" s="56"/>
      <c r="D53" s="56"/>
      <c r="E53" s="56"/>
      <c r="F53" s="56"/>
      <c r="G53" s="58"/>
      <c r="H53" s="58"/>
      <c r="I53" s="58"/>
      <c r="J53" s="58"/>
      <c r="K53" s="31"/>
    </row>
    <row r="54" spans="2:13" ht="15.75" x14ac:dyDescent="0.25">
      <c r="B54" s="34" t="s">
        <v>60</v>
      </c>
      <c r="C54" s="35"/>
      <c r="D54" s="35"/>
      <c r="E54" s="35"/>
      <c r="F54" s="35"/>
      <c r="G54" s="36"/>
      <c r="H54" s="36"/>
      <c r="I54" s="36"/>
      <c r="J54" s="36"/>
      <c r="K54" s="35"/>
      <c r="M54" s="37"/>
    </row>
    <row r="55" spans="2:13" x14ac:dyDescent="0.25"/>
    <row r="56" spans="2:13" ht="38.25" x14ac:dyDescent="0.25">
      <c r="B56" s="347" t="s">
        <v>34</v>
      </c>
      <c r="C56" s="348"/>
      <c r="D56" s="348"/>
      <c r="E56" s="348"/>
      <c r="F56" s="349"/>
      <c r="G56" s="38" t="s">
        <v>17</v>
      </c>
      <c r="H56" s="39" t="s">
        <v>18</v>
      </c>
      <c r="I56" s="39" t="s">
        <v>19</v>
      </c>
      <c r="J56" s="39" t="s">
        <v>20</v>
      </c>
      <c r="K56" s="178" t="s">
        <v>88</v>
      </c>
      <c r="M56" s="42" t="s">
        <v>5</v>
      </c>
    </row>
    <row r="57" spans="2:13" x14ac:dyDescent="0.2">
      <c r="B57" s="350" t="s">
        <v>9</v>
      </c>
      <c r="C57" s="351"/>
      <c r="D57" s="351"/>
      <c r="E57" s="351"/>
      <c r="F57" s="352"/>
      <c r="G57" s="324"/>
      <c r="H57" s="44">
        <v>53</v>
      </c>
      <c r="I57" s="45">
        <v>59</v>
      </c>
      <c r="J57" s="44">
        <v>64</v>
      </c>
      <c r="K57" s="44">
        <v>64</v>
      </c>
      <c r="M57" s="344" t="s">
        <v>186</v>
      </c>
    </row>
    <row r="58" spans="2:13" x14ac:dyDescent="0.2">
      <c r="B58" s="332" t="s">
        <v>10</v>
      </c>
      <c r="C58" s="333"/>
      <c r="D58" s="333"/>
      <c r="E58" s="333"/>
      <c r="F58" s="334"/>
      <c r="G58" s="325"/>
      <c r="H58" s="47">
        <v>33</v>
      </c>
      <c r="I58" s="48">
        <v>55</v>
      </c>
      <c r="J58" s="47">
        <v>43</v>
      </c>
      <c r="K58" s="47">
        <v>43</v>
      </c>
      <c r="M58" s="345"/>
    </row>
    <row r="59" spans="2:13" x14ac:dyDescent="0.2">
      <c r="B59" s="332" t="s">
        <v>11</v>
      </c>
      <c r="C59" s="333"/>
      <c r="D59" s="333"/>
      <c r="E59" s="333"/>
      <c r="F59" s="334"/>
      <c r="G59" s="325"/>
      <c r="H59" s="47">
        <v>85</v>
      </c>
      <c r="I59" s="48">
        <v>108</v>
      </c>
      <c r="J59" s="47">
        <v>100</v>
      </c>
      <c r="K59" s="47">
        <v>95</v>
      </c>
      <c r="M59" s="345"/>
    </row>
    <row r="60" spans="2:13" x14ac:dyDescent="0.2">
      <c r="B60" s="332" t="s">
        <v>13</v>
      </c>
      <c r="C60" s="333"/>
      <c r="D60" s="333"/>
      <c r="E60" s="333"/>
      <c r="F60" s="334"/>
      <c r="G60" s="325"/>
      <c r="H60" s="47">
        <v>61</v>
      </c>
      <c r="I60" s="48">
        <v>81</v>
      </c>
      <c r="J60" s="47">
        <v>71</v>
      </c>
      <c r="K60" s="47">
        <v>67</v>
      </c>
      <c r="M60" s="345"/>
    </row>
    <row r="61" spans="2:13" x14ac:dyDescent="0.2">
      <c r="B61" s="332" t="s">
        <v>123</v>
      </c>
      <c r="C61" s="333"/>
      <c r="D61" s="333"/>
      <c r="E61" s="333"/>
      <c r="F61" s="334"/>
      <c r="G61" s="325"/>
      <c r="H61" s="47">
        <v>26</v>
      </c>
      <c r="I61" s="48">
        <v>38</v>
      </c>
      <c r="J61" s="47">
        <v>32</v>
      </c>
      <c r="K61" s="47">
        <v>33</v>
      </c>
      <c r="M61" s="345"/>
    </row>
    <row r="62" spans="2:13" x14ac:dyDescent="0.2">
      <c r="B62" s="332" t="s">
        <v>12</v>
      </c>
      <c r="C62" s="333"/>
      <c r="D62" s="333"/>
      <c r="E62" s="333"/>
      <c r="F62" s="334"/>
      <c r="G62" s="325"/>
      <c r="H62" s="47">
        <v>12</v>
      </c>
      <c r="I62" s="48">
        <v>11</v>
      </c>
      <c r="J62" s="47">
        <v>27</v>
      </c>
      <c r="K62" s="47">
        <v>28</v>
      </c>
      <c r="M62" s="345"/>
    </row>
    <row r="63" spans="2:13" x14ac:dyDescent="0.2">
      <c r="B63" s="332"/>
      <c r="C63" s="333"/>
      <c r="D63" s="333"/>
      <c r="E63" s="333"/>
      <c r="F63" s="334"/>
      <c r="G63" s="325"/>
      <c r="H63" s="47"/>
      <c r="I63" s="48"/>
      <c r="J63" s="47"/>
      <c r="K63" s="47"/>
      <c r="M63" s="345"/>
    </row>
    <row r="64" spans="2:13" x14ac:dyDescent="0.2">
      <c r="B64" s="332" t="s">
        <v>124</v>
      </c>
      <c r="C64" s="333"/>
      <c r="D64" s="333"/>
      <c r="E64" s="333"/>
      <c r="F64" s="334"/>
      <c r="G64" s="325"/>
      <c r="H64" s="47">
        <v>108</v>
      </c>
      <c r="I64" s="48">
        <v>92</v>
      </c>
      <c r="J64" s="47">
        <v>59</v>
      </c>
      <c r="K64" s="47">
        <v>56</v>
      </c>
      <c r="M64" s="345"/>
    </row>
    <row r="65" spans="2:13" x14ac:dyDescent="0.2">
      <c r="B65" s="332" t="s">
        <v>125</v>
      </c>
      <c r="C65" s="333"/>
      <c r="D65" s="333"/>
      <c r="E65" s="333"/>
      <c r="F65" s="334"/>
      <c r="G65" s="325"/>
      <c r="H65" s="47">
        <v>77</v>
      </c>
      <c r="I65" s="48">
        <v>61</v>
      </c>
      <c r="J65" s="47">
        <v>73</v>
      </c>
      <c r="K65" s="47">
        <v>73</v>
      </c>
      <c r="M65" s="345"/>
    </row>
    <row r="66" spans="2:13" x14ac:dyDescent="0.2">
      <c r="B66" s="332" t="s">
        <v>126</v>
      </c>
      <c r="C66" s="333"/>
      <c r="D66" s="333"/>
      <c r="E66" s="333"/>
      <c r="F66" s="334"/>
      <c r="G66" s="325"/>
      <c r="H66" s="47">
        <v>44</v>
      </c>
      <c r="I66" s="48">
        <v>48</v>
      </c>
      <c r="J66" s="47">
        <v>64</v>
      </c>
      <c r="K66" s="47">
        <v>62</v>
      </c>
      <c r="M66" s="345"/>
    </row>
    <row r="67" spans="2:13" x14ac:dyDescent="0.2">
      <c r="B67" s="332" t="s">
        <v>127</v>
      </c>
      <c r="C67" s="333"/>
      <c r="D67" s="333"/>
      <c r="E67" s="333"/>
      <c r="F67" s="334"/>
      <c r="G67" s="325"/>
      <c r="H67" s="47">
        <v>4</v>
      </c>
      <c r="I67" s="48">
        <v>4</v>
      </c>
      <c r="J67" s="47">
        <v>8</v>
      </c>
      <c r="K67" s="47">
        <v>9</v>
      </c>
      <c r="M67" s="345"/>
    </row>
    <row r="68" spans="2:13" x14ac:dyDescent="0.2">
      <c r="B68" s="332" t="s">
        <v>128</v>
      </c>
      <c r="C68" s="333"/>
      <c r="D68" s="333"/>
      <c r="E68" s="333"/>
      <c r="F68" s="334"/>
      <c r="G68" s="325"/>
      <c r="H68" s="47">
        <v>3</v>
      </c>
      <c r="I68" s="48">
        <v>6</v>
      </c>
      <c r="J68" s="47">
        <v>4</v>
      </c>
      <c r="K68" s="47">
        <v>4</v>
      </c>
      <c r="M68" s="345"/>
    </row>
    <row r="69" spans="2:13" x14ac:dyDescent="0.2">
      <c r="B69" s="332" t="s">
        <v>129</v>
      </c>
      <c r="C69" s="333"/>
      <c r="D69" s="333"/>
      <c r="E69" s="333"/>
      <c r="F69" s="334"/>
      <c r="G69" s="325"/>
      <c r="H69" s="47">
        <v>0</v>
      </c>
      <c r="I69" s="48">
        <v>11</v>
      </c>
      <c r="J69" s="47">
        <v>2</v>
      </c>
      <c r="K69" s="47">
        <v>2</v>
      </c>
      <c r="M69" s="345"/>
    </row>
    <row r="70" spans="2:13" x14ac:dyDescent="0.2">
      <c r="B70" s="332" t="s">
        <v>130</v>
      </c>
      <c r="C70" s="333"/>
      <c r="D70" s="333"/>
      <c r="E70" s="333"/>
      <c r="F70" s="334"/>
      <c r="G70" s="325"/>
      <c r="H70" s="47">
        <v>62</v>
      </c>
      <c r="I70" s="48">
        <v>45</v>
      </c>
      <c r="J70" s="47">
        <v>48</v>
      </c>
      <c r="K70" s="47">
        <v>49</v>
      </c>
      <c r="M70" s="345"/>
    </row>
    <row r="71" spans="2:13" x14ac:dyDescent="0.2">
      <c r="B71" s="332" t="s">
        <v>131</v>
      </c>
      <c r="C71" s="333"/>
      <c r="D71" s="333"/>
      <c r="E71" s="333"/>
      <c r="F71" s="334"/>
      <c r="G71" s="325"/>
      <c r="H71" s="47">
        <v>14</v>
      </c>
      <c r="I71" s="48">
        <v>22</v>
      </c>
      <c r="J71" s="47">
        <v>19</v>
      </c>
      <c r="K71" s="47">
        <v>19</v>
      </c>
      <c r="M71" s="345"/>
    </row>
    <row r="72" spans="2:13" x14ac:dyDescent="0.2">
      <c r="B72" s="332" t="s">
        <v>132</v>
      </c>
      <c r="C72" s="333"/>
      <c r="D72" s="333"/>
      <c r="E72" s="333"/>
      <c r="F72" s="334"/>
      <c r="G72" s="325"/>
      <c r="H72" s="47">
        <v>11</v>
      </c>
      <c r="I72" s="48">
        <v>11</v>
      </c>
      <c r="J72" s="47">
        <v>13</v>
      </c>
      <c r="K72" s="47">
        <v>14</v>
      </c>
      <c r="M72" s="345"/>
    </row>
    <row r="73" spans="2:13" x14ac:dyDescent="0.2">
      <c r="B73" s="332" t="s">
        <v>133</v>
      </c>
      <c r="C73" s="333"/>
      <c r="D73" s="333"/>
      <c r="E73" s="333"/>
      <c r="F73" s="334"/>
      <c r="G73" s="325"/>
      <c r="H73" s="47">
        <v>19</v>
      </c>
      <c r="I73" s="48">
        <v>27</v>
      </c>
      <c r="J73" s="47">
        <v>0</v>
      </c>
      <c r="K73" s="47">
        <v>0</v>
      </c>
      <c r="M73" s="345"/>
    </row>
    <row r="74" spans="2:13" x14ac:dyDescent="0.2">
      <c r="B74" s="332" t="s">
        <v>134</v>
      </c>
      <c r="C74" s="333"/>
      <c r="D74" s="333"/>
      <c r="E74" s="333"/>
      <c r="F74" s="334"/>
      <c r="G74" s="325"/>
      <c r="H74" s="47">
        <v>4</v>
      </c>
      <c r="I74" s="48">
        <v>5</v>
      </c>
      <c r="J74" s="47">
        <v>0</v>
      </c>
      <c r="K74" s="47">
        <v>0</v>
      </c>
      <c r="M74" s="345"/>
    </row>
    <row r="75" spans="2:13" x14ac:dyDescent="0.2">
      <c r="B75" s="332" t="s">
        <v>135</v>
      </c>
      <c r="C75" s="333"/>
      <c r="D75" s="333"/>
      <c r="E75" s="333"/>
      <c r="F75" s="334"/>
      <c r="G75" s="325"/>
      <c r="H75" s="47">
        <v>0</v>
      </c>
      <c r="I75" s="48">
        <v>3</v>
      </c>
      <c r="J75" s="47">
        <v>0</v>
      </c>
      <c r="K75" s="47">
        <v>0</v>
      </c>
      <c r="M75" s="345"/>
    </row>
    <row r="76" spans="2:13" x14ac:dyDescent="0.2">
      <c r="B76" s="332" t="s">
        <v>136</v>
      </c>
      <c r="C76" s="333"/>
      <c r="D76" s="333"/>
      <c r="E76" s="333"/>
      <c r="F76" s="334"/>
      <c r="G76" s="325"/>
      <c r="H76" s="47">
        <v>0</v>
      </c>
      <c r="I76" s="48">
        <v>1</v>
      </c>
      <c r="J76" s="47">
        <v>0</v>
      </c>
      <c r="K76" s="47">
        <v>0</v>
      </c>
      <c r="M76" s="345"/>
    </row>
    <row r="77" spans="2:13" x14ac:dyDescent="0.2">
      <c r="B77" s="332" t="s">
        <v>137</v>
      </c>
      <c r="C77" s="333"/>
      <c r="D77" s="333"/>
      <c r="E77" s="333"/>
      <c r="F77" s="334"/>
      <c r="G77" s="325"/>
      <c r="H77" s="47">
        <v>4</v>
      </c>
      <c r="I77" s="48">
        <v>1</v>
      </c>
      <c r="J77" s="47">
        <v>0</v>
      </c>
      <c r="K77" s="47">
        <v>0</v>
      </c>
      <c r="M77" s="345"/>
    </row>
    <row r="78" spans="2:13" x14ac:dyDescent="0.2">
      <c r="B78" s="332" t="s">
        <v>138</v>
      </c>
      <c r="C78" s="333"/>
      <c r="D78" s="333"/>
      <c r="E78" s="333"/>
      <c r="F78" s="334"/>
      <c r="G78" s="325"/>
      <c r="H78" s="47">
        <v>0</v>
      </c>
      <c r="I78" s="48">
        <v>0</v>
      </c>
      <c r="J78" s="47">
        <v>0</v>
      </c>
      <c r="K78" s="47">
        <v>0</v>
      </c>
      <c r="M78" s="345"/>
    </row>
    <row r="79" spans="2:13" x14ac:dyDescent="0.2">
      <c r="B79" s="332" t="s">
        <v>139</v>
      </c>
      <c r="C79" s="333"/>
      <c r="D79" s="333"/>
      <c r="E79" s="333"/>
      <c r="F79" s="334"/>
      <c r="G79" s="325"/>
      <c r="H79" s="47">
        <v>0</v>
      </c>
      <c r="I79" s="48">
        <v>0</v>
      </c>
      <c r="J79" s="47">
        <v>0</v>
      </c>
      <c r="K79" s="47">
        <v>0</v>
      </c>
      <c r="M79" s="345"/>
    </row>
    <row r="80" spans="2:13" x14ac:dyDescent="0.2">
      <c r="B80" s="332" t="s">
        <v>140</v>
      </c>
      <c r="C80" s="333"/>
      <c r="D80" s="333"/>
      <c r="E80" s="333"/>
      <c r="F80" s="334"/>
      <c r="G80" s="325"/>
      <c r="H80" s="47">
        <v>0</v>
      </c>
      <c r="I80" s="48">
        <v>0</v>
      </c>
      <c r="J80" s="47">
        <v>0</v>
      </c>
      <c r="K80" s="47">
        <v>0</v>
      </c>
      <c r="M80" s="345"/>
    </row>
    <row r="81" spans="2:13" x14ac:dyDescent="0.2">
      <c r="B81" s="332" t="s">
        <v>141</v>
      </c>
      <c r="C81" s="333"/>
      <c r="D81" s="333"/>
      <c r="E81" s="333"/>
      <c r="F81" s="334"/>
      <c r="G81" s="325"/>
      <c r="H81" s="47">
        <v>0</v>
      </c>
      <c r="I81" s="48">
        <v>0</v>
      </c>
      <c r="J81" s="47">
        <v>0</v>
      </c>
      <c r="K81" s="47">
        <v>0</v>
      </c>
      <c r="M81" s="345"/>
    </row>
    <row r="82" spans="2:13" x14ac:dyDescent="0.2">
      <c r="B82" s="332" t="s">
        <v>142</v>
      </c>
      <c r="C82" s="333"/>
      <c r="D82" s="333"/>
      <c r="E82" s="333"/>
      <c r="F82" s="334"/>
      <c r="G82" s="325"/>
      <c r="H82" s="47">
        <v>49</v>
      </c>
      <c r="I82" s="48">
        <v>66</v>
      </c>
      <c r="J82" s="47">
        <v>82</v>
      </c>
      <c r="K82" s="47">
        <v>77</v>
      </c>
      <c r="M82" s="345"/>
    </row>
    <row r="83" spans="2:13" x14ac:dyDescent="0.2">
      <c r="B83" s="248"/>
      <c r="C83" s="249"/>
      <c r="D83" s="249"/>
      <c r="E83" s="249"/>
      <c r="F83" s="250"/>
      <c r="G83" s="325"/>
      <c r="H83" s="47"/>
      <c r="I83" s="48"/>
      <c r="J83" s="47"/>
      <c r="K83" s="47"/>
      <c r="M83" s="345"/>
    </row>
    <row r="84" spans="2:13" x14ac:dyDescent="0.2">
      <c r="B84" s="332" t="s">
        <v>143</v>
      </c>
      <c r="C84" s="333"/>
      <c r="D84" s="333"/>
      <c r="E84" s="333"/>
      <c r="F84" s="334"/>
      <c r="G84" s="325"/>
      <c r="H84" s="47">
        <v>110</v>
      </c>
      <c r="I84" s="48">
        <v>122</v>
      </c>
      <c r="J84" s="47">
        <v>174</v>
      </c>
      <c r="K84" s="47">
        <v>175</v>
      </c>
      <c r="M84" s="345"/>
    </row>
    <row r="85" spans="2:13" x14ac:dyDescent="0.2">
      <c r="B85" s="332" t="s">
        <v>144</v>
      </c>
      <c r="C85" s="333"/>
      <c r="D85" s="333"/>
      <c r="E85" s="333"/>
      <c r="F85" s="334"/>
      <c r="G85" s="325"/>
      <c r="H85" s="47">
        <v>17</v>
      </c>
      <c r="I85" s="48">
        <v>15</v>
      </c>
      <c r="J85" s="47">
        <v>15</v>
      </c>
      <c r="K85" s="47">
        <v>15</v>
      </c>
      <c r="M85" s="345"/>
    </row>
    <row r="86" spans="2:13" x14ac:dyDescent="0.2">
      <c r="B86" s="332" t="s">
        <v>145</v>
      </c>
      <c r="C86" s="333"/>
      <c r="D86" s="333"/>
      <c r="E86" s="333"/>
      <c r="F86" s="334"/>
      <c r="G86" s="325"/>
      <c r="H86" s="47">
        <v>33</v>
      </c>
      <c r="I86" s="48">
        <v>55</v>
      </c>
      <c r="J86" s="47">
        <v>53</v>
      </c>
      <c r="K86" s="47">
        <v>48</v>
      </c>
      <c r="M86" s="345"/>
    </row>
    <row r="87" spans="2:13" x14ac:dyDescent="0.2">
      <c r="B87" s="341" t="s">
        <v>146</v>
      </c>
      <c r="C87" s="342"/>
      <c r="D87" s="342"/>
      <c r="E87" s="342"/>
      <c r="F87" s="343"/>
      <c r="G87" s="325"/>
      <c r="H87" s="47">
        <v>6</v>
      </c>
      <c r="I87" s="48">
        <v>14</v>
      </c>
      <c r="J87" s="47">
        <v>6</v>
      </c>
      <c r="K87" s="47">
        <v>7</v>
      </c>
      <c r="M87" s="346"/>
    </row>
    <row r="88" spans="2:13" ht="13.5" thickBot="1" x14ac:dyDescent="0.3">
      <c r="G88" s="326">
        <f>SUM(G57:G87)</f>
        <v>0</v>
      </c>
      <c r="H88" s="51">
        <f>SUM(H57:H87)</f>
        <v>835</v>
      </c>
      <c r="I88" s="52">
        <f>SUM(I57:I87)</f>
        <v>961</v>
      </c>
      <c r="J88" s="51">
        <f>SUM(J57:J87)</f>
        <v>957</v>
      </c>
      <c r="K88" s="51">
        <f>SUM(K57:K87)</f>
        <v>940</v>
      </c>
    </row>
    <row r="89" spans="2:13" x14ac:dyDescent="0.25"/>
    <row r="90" spans="2:13" ht="15.75" x14ac:dyDescent="0.25">
      <c r="B90" s="34" t="s">
        <v>148</v>
      </c>
      <c r="C90" s="35"/>
      <c r="D90" s="35"/>
      <c r="E90" s="35"/>
      <c r="F90" s="35"/>
      <c r="G90" s="36"/>
      <c r="H90" s="36"/>
      <c r="I90" s="36"/>
      <c r="J90" s="36"/>
      <c r="K90" s="35"/>
      <c r="M90" s="37"/>
    </row>
    <row r="91" spans="2:13" x14ac:dyDescent="0.25"/>
    <row r="92" spans="2:13" ht="25.5" x14ac:dyDescent="0.25">
      <c r="B92" s="80" t="s">
        <v>49</v>
      </c>
      <c r="C92" s="81" t="s">
        <v>50</v>
      </c>
      <c r="D92" s="82"/>
      <c r="E92" s="83" t="s">
        <v>51</v>
      </c>
      <c r="F92" s="84"/>
      <c r="G92" s="84"/>
      <c r="H92" s="85" t="s">
        <v>52</v>
      </c>
      <c r="J92" s="28"/>
      <c r="M92" s="42" t="s">
        <v>5</v>
      </c>
    </row>
    <row r="93" spans="2:13" x14ac:dyDescent="0.25">
      <c r="B93" s="450"/>
      <c r="C93" s="451"/>
      <c r="D93" s="452"/>
      <c r="E93" s="86" t="s">
        <v>147</v>
      </c>
      <c r="F93" s="87"/>
      <c r="G93" s="48"/>
      <c r="H93" s="88">
        <v>82.400825280000007</v>
      </c>
      <c r="J93" s="28"/>
      <c r="M93" s="344" t="s">
        <v>162</v>
      </c>
    </row>
    <row r="94" spans="2:13" x14ac:dyDescent="0.25">
      <c r="B94" s="450"/>
      <c r="C94" s="451"/>
      <c r="D94" s="452"/>
      <c r="E94" s="86" t="s">
        <v>147</v>
      </c>
      <c r="F94" s="87"/>
      <c r="G94" s="48"/>
      <c r="H94" s="88">
        <v>93.039223199999995</v>
      </c>
      <c r="J94" s="28"/>
      <c r="M94" s="345"/>
    </row>
    <row r="95" spans="2:13" x14ac:dyDescent="0.25">
      <c r="B95" s="450"/>
      <c r="C95" s="451"/>
      <c r="D95" s="452"/>
      <c r="E95" s="86" t="s">
        <v>147</v>
      </c>
      <c r="F95" s="87"/>
      <c r="G95" s="48"/>
      <c r="H95" s="88">
        <v>88.632781800000004</v>
      </c>
      <c r="J95" s="28"/>
      <c r="M95" s="345"/>
    </row>
    <row r="96" spans="2:13" x14ac:dyDescent="0.25">
      <c r="B96" s="450"/>
      <c r="C96" s="451"/>
      <c r="D96" s="452"/>
      <c r="E96" s="86" t="s">
        <v>147</v>
      </c>
      <c r="F96" s="87"/>
      <c r="G96" s="48"/>
      <c r="H96" s="88">
        <v>81.582475559999992</v>
      </c>
      <c r="J96" s="28"/>
      <c r="M96" s="345"/>
    </row>
    <row r="97" spans="2:13" x14ac:dyDescent="0.25">
      <c r="B97" s="450"/>
      <c r="C97" s="451"/>
      <c r="D97" s="452"/>
      <c r="E97" s="86" t="s">
        <v>147</v>
      </c>
      <c r="F97" s="87"/>
      <c r="G97" s="48"/>
      <c r="H97" s="88">
        <v>102.46219439999999</v>
      </c>
      <c r="J97" s="28"/>
      <c r="M97" s="345"/>
    </row>
    <row r="98" spans="2:13" x14ac:dyDescent="0.25">
      <c r="B98" s="450"/>
      <c r="C98" s="451"/>
      <c r="D98" s="452"/>
      <c r="E98" s="86" t="s">
        <v>147</v>
      </c>
      <c r="F98" s="87"/>
      <c r="G98" s="48"/>
      <c r="H98" s="88">
        <v>100.76478299999999</v>
      </c>
      <c r="J98" s="28"/>
      <c r="M98" s="345"/>
    </row>
    <row r="99" spans="2:13" x14ac:dyDescent="0.25">
      <c r="B99" s="450"/>
      <c r="C99" s="451"/>
      <c r="D99" s="452"/>
      <c r="E99" s="86" t="s">
        <v>147</v>
      </c>
      <c r="F99" s="87"/>
      <c r="G99" s="48"/>
      <c r="H99" s="88">
        <v>98.103995999999995</v>
      </c>
      <c r="J99" s="28"/>
      <c r="M99" s="345"/>
    </row>
    <row r="100" spans="2:13" x14ac:dyDescent="0.25">
      <c r="B100" s="450"/>
      <c r="C100" s="451"/>
      <c r="D100" s="452"/>
      <c r="E100" s="86" t="s">
        <v>147</v>
      </c>
      <c r="F100" s="87"/>
      <c r="G100" s="48"/>
      <c r="H100" s="88">
        <v>100.3988784</v>
      </c>
      <c r="J100" s="28"/>
      <c r="M100" s="345"/>
    </row>
    <row r="101" spans="2:13" x14ac:dyDescent="0.25">
      <c r="B101" s="453"/>
      <c r="C101" s="454"/>
      <c r="D101" s="455"/>
      <c r="E101" s="89" t="s">
        <v>147</v>
      </c>
      <c r="F101" s="90"/>
      <c r="G101" s="49"/>
      <c r="H101" s="91">
        <v>110.3814684</v>
      </c>
      <c r="J101" s="28"/>
      <c r="M101" s="345"/>
    </row>
    <row r="102" spans="2:13" ht="13.5" thickBot="1" x14ac:dyDescent="0.3">
      <c r="G102" s="92" t="s">
        <v>53</v>
      </c>
      <c r="H102" s="93">
        <f>AVERAGE(H93:H101)</f>
        <v>95.307402893333332</v>
      </c>
      <c r="I102" s="98"/>
      <c r="J102" s="28"/>
      <c r="M102" s="346"/>
    </row>
    <row r="103" spans="2:13" x14ac:dyDescent="0.25"/>
    <row r="104" spans="2:13" ht="15.75" x14ac:dyDescent="0.25">
      <c r="B104" s="34" t="s">
        <v>61</v>
      </c>
      <c r="C104" s="35"/>
      <c r="D104" s="35"/>
      <c r="E104" s="35"/>
      <c r="F104" s="35"/>
      <c r="G104" s="36"/>
      <c r="H104" s="36"/>
      <c r="I104" s="36"/>
      <c r="J104" s="36"/>
      <c r="K104" s="35"/>
      <c r="M104" s="37"/>
    </row>
    <row r="105" spans="2:13" x14ac:dyDescent="0.25"/>
    <row r="106" spans="2:13" x14ac:dyDescent="0.25">
      <c r="B106" s="270" t="s">
        <v>34</v>
      </c>
      <c r="C106" s="271"/>
      <c r="D106" s="271"/>
      <c r="E106" s="271"/>
      <c r="F106" s="38" t="s">
        <v>156</v>
      </c>
      <c r="G106" s="38" t="s">
        <v>17</v>
      </c>
      <c r="H106" s="39" t="s">
        <v>18</v>
      </c>
      <c r="I106" s="40" t="s">
        <v>19</v>
      </c>
      <c r="J106" s="39" t="s">
        <v>20</v>
      </c>
      <c r="K106" s="41" t="s">
        <v>21</v>
      </c>
      <c r="M106" s="42" t="s">
        <v>5</v>
      </c>
    </row>
    <row r="107" spans="2:13" ht="54" customHeight="1" x14ac:dyDescent="0.2">
      <c r="B107" s="265" t="s">
        <v>57</v>
      </c>
      <c r="C107" s="269"/>
      <c r="D107" s="266"/>
      <c r="E107" s="269"/>
      <c r="F107" s="272">
        <v>3.5000000000000003E-2</v>
      </c>
      <c r="G107" s="272">
        <v>3.5000000000000003E-2</v>
      </c>
      <c r="H107" s="272">
        <v>0.04</v>
      </c>
      <c r="I107" s="273">
        <v>0.04</v>
      </c>
      <c r="J107" s="272">
        <v>0</v>
      </c>
      <c r="K107" s="100"/>
      <c r="M107" s="53" t="s">
        <v>170</v>
      </c>
    </row>
    <row r="108" spans="2:13" x14ac:dyDescent="0.25"/>
    <row r="109" spans="2:13" ht="15.75" x14ac:dyDescent="0.25">
      <c r="B109" s="34" t="s">
        <v>149</v>
      </c>
      <c r="C109" s="35"/>
      <c r="D109" s="35"/>
      <c r="E109" s="35"/>
      <c r="F109" s="35"/>
      <c r="G109" s="36"/>
      <c r="H109" s="36"/>
      <c r="I109" s="36"/>
      <c r="J109" s="36"/>
      <c r="K109" s="35"/>
      <c r="M109" s="37"/>
    </row>
    <row r="110" spans="2:13" x14ac:dyDescent="0.25"/>
    <row r="111" spans="2:13" ht="15" customHeight="1" x14ac:dyDescent="0.25">
      <c r="E111" s="390" t="s">
        <v>56</v>
      </c>
      <c r="F111" s="391"/>
      <c r="G111" s="392"/>
      <c r="H111" s="59">
        <f>+I111/(1+H107)</f>
        <v>88.117051491617346</v>
      </c>
      <c r="I111" s="59">
        <f>+J111/(1+I107)</f>
        <v>91.641733551282044</v>
      </c>
      <c r="J111" s="59">
        <f>+$H$102</f>
        <v>95.307402893333332</v>
      </c>
    </row>
    <row r="112" spans="2:13" ht="38.25" x14ac:dyDescent="0.25">
      <c r="B112" s="347" t="s">
        <v>3</v>
      </c>
      <c r="C112" s="349"/>
      <c r="D112" s="60" t="s">
        <v>54</v>
      </c>
      <c r="E112" s="60" t="s">
        <v>33</v>
      </c>
      <c r="F112" s="61" t="s">
        <v>55</v>
      </c>
      <c r="G112" s="38" t="s">
        <v>17</v>
      </c>
      <c r="H112" s="39" t="s">
        <v>18</v>
      </c>
      <c r="I112" s="39" t="s">
        <v>19</v>
      </c>
      <c r="J112" s="39" t="s">
        <v>20</v>
      </c>
      <c r="K112" s="55" t="s">
        <v>21</v>
      </c>
      <c r="M112" s="42" t="s">
        <v>5</v>
      </c>
    </row>
    <row r="113" spans="2:17" ht="127.5" x14ac:dyDescent="0.25">
      <c r="B113" s="353" t="s">
        <v>150</v>
      </c>
      <c r="C113" s="355"/>
      <c r="D113" s="24">
        <v>1</v>
      </c>
      <c r="E113" s="62">
        <v>3</v>
      </c>
      <c r="F113" s="63">
        <f t="shared" ref="F113" si="6">+$H$102</f>
        <v>95.307402893333332</v>
      </c>
      <c r="G113" s="64"/>
      <c r="H113" s="65">
        <f>+H$111*$E113*H88</f>
        <v>220733.21398650145</v>
      </c>
      <c r="I113" s="65">
        <f>+I$111*$E113*I88</f>
        <v>264203.11782834609</v>
      </c>
      <c r="J113" s="65">
        <f>+J$111*$E113*J88</f>
        <v>273627.55370675999</v>
      </c>
      <c r="K113" s="102"/>
      <c r="M113" s="251" t="s">
        <v>171</v>
      </c>
      <c r="O113" s="30"/>
    </row>
    <row r="114" spans="2:17" ht="13.5" thickBot="1" x14ac:dyDescent="0.3">
      <c r="E114" s="66"/>
      <c r="H114" s="51">
        <f>SUM(H113:H113)</f>
        <v>220733.21398650145</v>
      </c>
      <c r="I114" s="51">
        <f>SUM(I113:I113)</f>
        <v>264203.11782834609</v>
      </c>
      <c r="J114" s="51">
        <f>SUM(J113:J113)</f>
        <v>273627.55370675999</v>
      </c>
      <c r="O114" s="29"/>
      <c r="P114" s="29"/>
      <c r="Q114" s="29"/>
    </row>
    <row r="115" spans="2:17" x14ac:dyDescent="0.25">
      <c r="E115" s="66"/>
    </row>
    <row r="116" spans="2:17" ht="15.75" x14ac:dyDescent="0.25">
      <c r="B116" s="34" t="s">
        <v>58</v>
      </c>
      <c r="C116" s="35"/>
      <c r="D116" s="35"/>
      <c r="E116" s="35"/>
      <c r="F116" s="35"/>
      <c r="G116" s="36"/>
      <c r="H116" s="36"/>
      <c r="I116" s="36"/>
      <c r="J116" s="36"/>
      <c r="K116" s="35"/>
      <c r="M116" s="37"/>
    </row>
    <row r="117" spans="2:17" x14ac:dyDescent="0.25"/>
    <row r="118" spans="2:17" x14ac:dyDescent="0.25">
      <c r="B118" s="54" t="s">
        <v>31</v>
      </c>
      <c r="C118" s="347" t="s">
        <v>3</v>
      </c>
      <c r="D118" s="348"/>
      <c r="E118" s="349"/>
      <c r="F118" s="54" t="s">
        <v>5</v>
      </c>
      <c r="G118" s="39" t="s">
        <v>17</v>
      </c>
      <c r="H118" s="39" t="s">
        <v>18</v>
      </c>
      <c r="I118" s="39" t="s">
        <v>19</v>
      </c>
      <c r="J118" s="39" t="s">
        <v>20</v>
      </c>
      <c r="K118" s="55" t="s">
        <v>21</v>
      </c>
      <c r="M118" s="42" t="s">
        <v>5</v>
      </c>
    </row>
    <row r="119" spans="2:17" x14ac:dyDescent="0.25">
      <c r="B119" s="22" t="s">
        <v>118</v>
      </c>
      <c r="C119" s="357" t="s">
        <v>119</v>
      </c>
      <c r="D119" s="358"/>
      <c r="E119" s="359"/>
      <c r="F119" s="22" t="s">
        <v>31</v>
      </c>
      <c r="G119" s="27" t="s">
        <v>16</v>
      </c>
      <c r="H119" s="23">
        <v>4064.6985009191321</v>
      </c>
      <c r="I119" s="23">
        <v>5413.3460476368527</v>
      </c>
      <c r="J119" s="23">
        <v>4232.1081713969734</v>
      </c>
      <c r="K119" s="103"/>
      <c r="M119" s="344" t="s">
        <v>65</v>
      </c>
    </row>
    <row r="120" spans="2:17" x14ac:dyDescent="0.25">
      <c r="B120" s="22" t="s">
        <v>120</v>
      </c>
      <c r="C120" s="357" t="s">
        <v>119</v>
      </c>
      <c r="D120" s="358"/>
      <c r="E120" s="359"/>
      <c r="F120" s="22" t="s">
        <v>31</v>
      </c>
      <c r="G120" s="27" t="s">
        <v>16</v>
      </c>
      <c r="H120" s="23">
        <v>1725.0233403177658</v>
      </c>
      <c r="I120" s="23">
        <v>2961.6241565724681</v>
      </c>
      <c r="J120" s="23">
        <v>2216.9938051946478</v>
      </c>
      <c r="K120" s="103"/>
      <c r="M120" s="345"/>
    </row>
    <row r="121" spans="2:17" ht="12.75" customHeight="1" x14ac:dyDescent="0.25">
      <c r="B121" s="22" t="s">
        <v>121</v>
      </c>
      <c r="C121" s="357" t="s">
        <v>122</v>
      </c>
      <c r="D121" s="358"/>
      <c r="E121" s="359"/>
      <c r="F121" s="22" t="s">
        <v>31</v>
      </c>
      <c r="G121" s="27" t="s">
        <v>16</v>
      </c>
      <c r="H121" s="23">
        <v>325.43025683582482</v>
      </c>
      <c r="I121" s="23">
        <v>1082.9154753542455</v>
      </c>
      <c r="J121" s="23">
        <v>550.91959795476339</v>
      </c>
      <c r="K121" s="104"/>
      <c r="M121" s="346"/>
    </row>
    <row r="122" spans="2:17" ht="38.25" x14ac:dyDescent="0.25">
      <c r="B122" s="22"/>
      <c r="C122" s="353" t="s">
        <v>151</v>
      </c>
      <c r="D122" s="354"/>
      <c r="E122" s="355"/>
      <c r="F122" s="22" t="s">
        <v>59</v>
      </c>
      <c r="G122" s="27" t="s">
        <v>16</v>
      </c>
      <c r="H122" s="25">
        <f>+$E$113*H88</f>
        <v>2505</v>
      </c>
      <c r="I122" s="25">
        <f>+$E$113*I88</f>
        <v>2883</v>
      </c>
      <c r="J122" s="25">
        <f>+$E$113*J88</f>
        <v>2871</v>
      </c>
      <c r="K122" s="104"/>
      <c r="M122" s="251" t="s">
        <v>152</v>
      </c>
    </row>
    <row r="123" spans="2:17" ht="13.5" thickBot="1" x14ac:dyDescent="0.3">
      <c r="B123" s="56"/>
      <c r="C123" s="56"/>
      <c r="D123" s="56"/>
      <c r="E123" s="56"/>
      <c r="F123" s="56"/>
      <c r="G123" s="67">
        <f>SUM(G119:G120)</f>
        <v>0</v>
      </c>
      <c r="H123" s="67">
        <f>SUM(H119:H122)</f>
        <v>8620.1520980727237</v>
      </c>
      <c r="I123" s="67">
        <f>SUM(I119:I122)</f>
        <v>12340.885679563567</v>
      </c>
      <c r="J123" s="67">
        <f>SUM(J119:J122)</f>
        <v>9871.0215745463829</v>
      </c>
      <c r="K123" s="101"/>
    </row>
    <row r="124" spans="2:17" x14ac:dyDescent="0.25">
      <c r="E124" s="66"/>
    </row>
    <row r="125" spans="2:17" ht="15.75" x14ac:dyDescent="0.25">
      <c r="B125" s="34" t="s">
        <v>90</v>
      </c>
      <c r="C125" s="35"/>
      <c r="D125" s="35"/>
      <c r="E125" s="35"/>
      <c r="F125" s="35"/>
      <c r="G125" s="36"/>
      <c r="H125" s="36"/>
      <c r="I125" s="36"/>
      <c r="J125" s="36"/>
      <c r="K125" s="35"/>
      <c r="M125" s="37"/>
    </row>
    <row r="126" spans="2:17" x14ac:dyDescent="0.25">
      <c r="E126" s="66"/>
    </row>
    <row r="127" spans="2:17" x14ac:dyDescent="0.25">
      <c r="B127" s="394"/>
      <c r="C127" s="395"/>
      <c r="D127" s="395"/>
      <c r="E127" s="395"/>
      <c r="F127" s="395"/>
      <c r="G127" s="396"/>
      <c r="H127" s="39" t="s">
        <v>18</v>
      </c>
      <c r="I127" s="39" t="s">
        <v>19</v>
      </c>
      <c r="J127" s="39" t="s">
        <v>20</v>
      </c>
      <c r="K127" s="55" t="s">
        <v>21</v>
      </c>
      <c r="M127" s="42" t="s">
        <v>5</v>
      </c>
    </row>
    <row r="128" spans="2:17" x14ac:dyDescent="0.25">
      <c r="B128" s="397" t="s">
        <v>62</v>
      </c>
      <c r="C128" s="398"/>
      <c r="D128" s="398"/>
      <c r="E128" s="398"/>
      <c r="F128" s="398"/>
      <c r="G128" s="399"/>
      <c r="H128" s="46">
        <f>+H114+H52</f>
        <v>708061.83960782317</v>
      </c>
      <c r="I128" s="48">
        <f>+I114+I52</f>
        <v>1034201.0723490028</v>
      </c>
      <c r="J128" s="68">
        <f>+J114+J52</f>
        <v>868261.40983772883</v>
      </c>
      <c r="K128" s="191"/>
      <c r="M128" s="344" t="s">
        <v>172</v>
      </c>
    </row>
    <row r="129" spans="2:14" x14ac:dyDescent="0.25">
      <c r="B129" s="400" t="s">
        <v>58</v>
      </c>
      <c r="C129" s="401"/>
      <c r="D129" s="401"/>
      <c r="E129" s="401"/>
      <c r="F129" s="401"/>
      <c r="G129" s="402"/>
      <c r="H129" s="46">
        <f>+H123</f>
        <v>8620.1520980727237</v>
      </c>
      <c r="I129" s="48">
        <f>+I123</f>
        <v>12340.885679563567</v>
      </c>
      <c r="J129" s="68">
        <f>+J123</f>
        <v>9871.0215745463829</v>
      </c>
      <c r="K129" s="192"/>
      <c r="M129" s="345"/>
    </row>
    <row r="130" spans="2:14" x14ac:dyDescent="0.25">
      <c r="B130" s="353" t="s">
        <v>56</v>
      </c>
      <c r="C130" s="354"/>
      <c r="D130" s="354"/>
      <c r="E130" s="354"/>
      <c r="F130" s="354"/>
      <c r="G130" s="355"/>
      <c r="H130" s="69">
        <f>+H128/H129</f>
        <v>82.140295385986306</v>
      </c>
      <c r="I130" s="70">
        <f>+I128/I129</f>
        <v>83.802824141028509</v>
      </c>
      <c r="J130" s="71">
        <f>+J128/J129</f>
        <v>87.960643514005213</v>
      </c>
      <c r="K130" s="193"/>
      <c r="M130" s="345"/>
      <c r="N130" s="78"/>
    </row>
    <row r="131" spans="2:14" x14ac:dyDescent="0.25">
      <c r="B131" s="397" t="s">
        <v>89</v>
      </c>
      <c r="C131" s="398"/>
      <c r="D131" s="398"/>
      <c r="E131" s="398"/>
      <c r="F131" s="398"/>
      <c r="G131" s="399"/>
      <c r="H131" s="72">
        <f>+H107</f>
        <v>0.04</v>
      </c>
      <c r="I131" s="73">
        <f>+I107</f>
        <v>0.04</v>
      </c>
      <c r="J131" s="74">
        <f>+J107</f>
        <v>0</v>
      </c>
      <c r="K131" s="192"/>
      <c r="M131" s="345"/>
    </row>
    <row r="132" spans="2:14" x14ac:dyDescent="0.25">
      <c r="B132" s="403" t="s">
        <v>68</v>
      </c>
      <c r="C132" s="404"/>
      <c r="D132" s="404"/>
      <c r="E132" s="404"/>
      <c r="F132" s="404"/>
      <c r="G132" s="405"/>
      <c r="H132" s="75">
        <f>+H130*(1+H131)*(1+I131)</f>
        <v>88.842943489482792</v>
      </c>
      <c r="I132" s="76">
        <f>+I130*(1+I131)</f>
        <v>87.154937106669649</v>
      </c>
      <c r="J132" s="77">
        <f>+J130</f>
        <v>87.960643514005213</v>
      </c>
      <c r="K132" s="194"/>
      <c r="M132" s="345"/>
    </row>
    <row r="133" spans="2:14" x14ac:dyDescent="0.25">
      <c r="E133" s="66"/>
      <c r="H133" s="78"/>
      <c r="I133" s="78"/>
      <c r="J133" s="78"/>
      <c r="M133" s="345"/>
    </row>
    <row r="134" spans="2:14" x14ac:dyDescent="0.25">
      <c r="E134" s="66"/>
      <c r="G134" s="393" t="s">
        <v>187</v>
      </c>
      <c r="H134" s="393"/>
      <c r="I134" s="393"/>
      <c r="J134" s="201">
        <f>AVERAGE(H132:J132)</f>
        <v>87.986174703385885</v>
      </c>
      <c r="K134" s="30"/>
      <c r="M134" s="345"/>
    </row>
    <row r="135" spans="2:14" x14ac:dyDescent="0.25">
      <c r="E135" s="66"/>
      <c r="H135" s="78"/>
      <c r="I135" s="78"/>
      <c r="J135" s="78"/>
      <c r="K135" s="30"/>
      <c r="M135" s="345"/>
    </row>
    <row r="136" spans="2:14" x14ac:dyDescent="0.25">
      <c r="E136" s="66"/>
      <c r="G136" s="393" t="s">
        <v>69</v>
      </c>
      <c r="H136" s="393"/>
      <c r="I136" s="393"/>
      <c r="J136" s="202">
        <f>+K156-1</f>
        <v>1.2648945446885498</v>
      </c>
      <c r="K136" s="30"/>
      <c r="M136" s="345"/>
    </row>
    <row r="137" spans="2:14" x14ac:dyDescent="0.25">
      <c r="E137" s="66"/>
      <c r="H137" s="78"/>
      <c r="I137" s="78"/>
      <c r="J137" s="78"/>
      <c r="K137" s="30"/>
      <c r="M137" s="345"/>
    </row>
    <row r="138" spans="2:14" x14ac:dyDescent="0.25">
      <c r="E138" s="66"/>
      <c r="G138" s="393" t="s">
        <v>70</v>
      </c>
      <c r="H138" s="393"/>
      <c r="I138" s="393"/>
      <c r="J138" s="201">
        <f>+J134+(J136*J134)</f>
        <v>199.27940709371236</v>
      </c>
      <c r="K138" s="30"/>
      <c r="M138" s="346"/>
    </row>
    <row r="139" spans="2:14" x14ac:dyDescent="0.25">
      <c r="E139" s="66"/>
      <c r="H139" s="78"/>
      <c r="I139" s="78"/>
      <c r="J139" s="78"/>
    </row>
    <row r="140" spans="2:14" ht="15.75" x14ac:dyDescent="0.25">
      <c r="B140" s="34" t="s">
        <v>91</v>
      </c>
      <c r="C140" s="35"/>
      <c r="D140" s="35"/>
      <c r="E140" s="35"/>
      <c r="F140" s="35"/>
      <c r="G140" s="36"/>
      <c r="H140" s="36"/>
      <c r="I140" s="36"/>
      <c r="J140" s="36"/>
      <c r="K140" s="35"/>
      <c r="M140" s="37"/>
    </row>
    <row r="141" spans="2:14" x14ac:dyDescent="0.25">
      <c r="E141" s="66"/>
    </row>
    <row r="142" spans="2:14" x14ac:dyDescent="0.25">
      <c r="B142" s="195"/>
      <c r="C142" s="196"/>
      <c r="D142" s="196"/>
      <c r="E142" s="196"/>
      <c r="F142" s="39" t="s">
        <v>21</v>
      </c>
      <c r="G142" s="39" t="s">
        <v>22</v>
      </c>
      <c r="H142" s="39" t="s">
        <v>23</v>
      </c>
      <c r="I142" s="39" t="s">
        <v>24</v>
      </c>
      <c r="J142" s="39" t="s">
        <v>25</v>
      </c>
      <c r="K142" s="39" t="s">
        <v>26</v>
      </c>
      <c r="M142" s="42" t="s">
        <v>5</v>
      </c>
    </row>
    <row r="143" spans="2:14" x14ac:dyDescent="0.25">
      <c r="H143" s="78"/>
      <c r="I143" s="78"/>
      <c r="J143" s="78"/>
      <c r="M143" s="387" t="s">
        <v>173</v>
      </c>
    </row>
    <row r="144" spans="2:14" x14ac:dyDescent="0.25">
      <c r="B144" s="28" t="s">
        <v>79</v>
      </c>
      <c r="F144" s="79">
        <f>+G144/1.025</f>
        <v>91.782505389810197</v>
      </c>
      <c r="G144" s="79">
        <f>$J134*G163</f>
        <v>94.077068024555444</v>
      </c>
      <c r="H144" s="79">
        <f>$J134*H163</f>
        <v>98.18162415136517</v>
      </c>
      <c r="I144" s="79">
        <f>$J134*I163</f>
        <v>101.50582806367908</v>
      </c>
      <c r="J144" s="79">
        <f>$J134*J163</f>
        <v>105.08169140816128</v>
      </c>
      <c r="K144" s="79">
        <f>$J134*K163</f>
        <v>108.70032117665501</v>
      </c>
      <c r="M144" s="388"/>
    </row>
    <row r="145" spans="2:13" x14ac:dyDescent="0.25">
      <c r="B145" s="28" t="s">
        <v>80</v>
      </c>
      <c r="G145" s="79">
        <f>$J138*G163</f>
        <v>213.07463814910921</v>
      </c>
      <c r="H145" s="79">
        <f>$J138*H163</f>
        <v>222.37102492908855</v>
      </c>
      <c r="I145" s="79">
        <f>$J138*I163</f>
        <v>229.89999623552063</v>
      </c>
      <c r="J145" s="79">
        <f>$J138*J163</f>
        <v>237.9989496169901</v>
      </c>
      <c r="K145" s="79">
        <f>$J138*K163</f>
        <v>246.19476443889917</v>
      </c>
      <c r="M145" s="388"/>
    </row>
    <row r="146" spans="2:13" x14ac:dyDescent="0.25">
      <c r="G146" s="79"/>
      <c r="H146" s="79"/>
      <c r="I146" s="79"/>
      <c r="J146" s="79"/>
      <c r="K146" s="79"/>
      <c r="M146" s="388"/>
    </row>
    <row r="147" spans="2:13" x14ac:dyDescent="0.25">
      <c r="B147" s="197" t="s">
        <v>92</v>
      </c>
      <c r="C147" s="197"/>
      <c r="D147" s="197"/>
      <c r="E147" s="197"/>
      <c r="F147" s="197"/>
      <c r="G147" s="198"/>
      <c r="H147" s="198">
        <f t="shared" ref="H147:K147" si="7">(H145-G145)/G145</f>
        <v>4.3629719898779083E-2</v>
      </c>
      <c r="I147" s="198">
        <f t="shared" si="7"/>
        <v>3.3857699351041722E-2</v>
      </c>
      <c r="J147" s="198">
        <f t="shared" si="7"/>
        <v>3.5228157956003238E-2</v>
      </c>
      <c r="K147" s="199">
        <f t="shared" si="7"/>
        <v>3.4436348711196121E-2</v>
      </c>
      <c r="M147" s="389"/>
    </row>
    <row r="148" spans="2:13" x14ac:dyDescent="0.25">
      <c r="E148" s="66"/>
      <c r="H148" s="78"/>
      <c r="I148" s="78"/>
      <c r="J148" s="78"/>
    </row>
    <row r="149" spans="2:13" ht="15.75" x14ac:dyDescent="0.25">
      <c r="B149" s="34" t="s">
        <v>67</v>
      </c>
      <c r="C149" s="35"/>
      <c r="D149" s="35"/>
      <c r="E149" s="35"/>
      <c r="F149" s="35"/>
      <c r="G149" s="36"/>
      <c r="H149" s="36"/>
      <c r="I149" s="36"/>
      <c r="J149" s="36"/>
      <c r="K149" s="35"/>
      <c r="M149" s="37"/>
    </row>
    <row r="150" spans="2:13" x14ac:dyDescent="0.25"/>
    <row r="151" spans="2:13" x14ac:dyDescent="0.25">
      <c r="B151" s="372" t="s">
        <v>28</v>
      </c>
      <c r="C151" s="373"/>
      <c r="D151" s="373"/>
      <c r="E151" s="374"/>
      <c r="F151" s="262" t="s">
        <v>21</v>
      </c>
      <c r="G151" s="262" t="s">
        <v>22</v>
      </c>
      <c r="H151" s="262" t="s">
        <v>23</v>
      </c>
      <c r="I151" s="262" t="s">
        <v>24</v>
      </c>
      <c r="J151" s="262" t="s">
        <v>25</v>
      </c>
      <c r="K151" s="60" t="s">
        <v>26</v>
      </c>
      <c r="M151" s="42" t="s">
        <v>5</v>
      </c>
    </row>
    <row r="152" spans="2:13" ht="12.75" customHeight="1" x14ac:dyDescent="0.25">
      <c r="B152" s="375" t="s">
        <v>175</v>
      </c>
      <c r="C152" s="376"/>
      <c r="D152" s="376"/>
      <c r="E152" s="377"/>
      <c r="F152" s="47"/>
      <c r="G152" s="68">
        <v>18449161.14072692</v>
      </c>
      <c r="H152" s="68">
        <v>19652616.51053571</v>
      </c>
      <c r="I152" s="68">
        <v>20750302.453561164</v>
      </c>
      <c r="J152" s="68">
        <v>21950966.582370307</v>
      </c>
      <c r="K152" s="47">
        <v>23217206.584968176</v>
      </c>
      <c r="M152" s="344" t="s">
        <v>174</v>
      </c>
    </row>
    <row r="153" spans="2:13" x14ac:dyDescent="0.25">
      <c r="B153" s="378" t="s">
        <v>176</v>
      </c>
      <c r="C153" s="379"/>
      <c r="D153" s="379"/>
      <c r="E153" s="380"/>
      <c r="F153" s="47"/>
      <c r="G153" s="68">
        <v>40098372.700329572</v>
      </c>
      <c r="H153" s="68">
        <v>44414981.708611391</v>
      </c>
      <c r="I153" s="68">
        <v>47124811.758132517</v>
      </c>
      <c r="J153" s="68">
        <v>50429626.415997855</v>
      </c>
      <c r="K153" s="47">
        <v>53924251.70079805</v>
      </c>
      <c r="M153" s="345"/>
    </row>
    <row r="154" spans="2:13" x14ac:dyDescent="0.25">
      <c r="B154" s="381" t="s">
        <v>28</v>
      </c>
      <c r="C154" s="382"/>
      <c r="D154" s="382"/>
      <c r="E154" s="383"/>
      <c r="F154" s="94"/>
      <c r="G154" s="94">
        <f t="shared" ref="G154:K154" si="8">+G153/G152</f>
        <v>2.1734523534412387</v>
      </c>
      <c r="H154" s="94">
        <f t="shared" si="8"/>
        <v>2.2600034801880273</v>
      </c>
      <c r="I154" s="94">
        <f t="shared" si="8"/>
        <v>2.2710421625707418</v>
      </c>
      <c r="J154" s="94">
        <f t="shared" si="8"/>
        <v>2.2973761190315822</v>
      </c>
      <c r="K154" s="252">
        <f t="shared" si="8"/>
        <v>2.3225986082111594</v>
      </c>
      <c r="M154" s="345"/>
    </row>
    <row r="155" spans="2:13" x14ac:dyDescent="0.25">
      <c r="F155" s="30"/>
      <c r="K155" s="30"/>
      <c r="M155" s="345"/>
    </row>
    <row r="156" spans="2:13" x14ac:dyDescent="0.25">
      <c r="F156" s="366" t="s">
        <v>185</v>
      </c>
      <c r="G156" s="367"/>
      <c r="H156" s="367"/>
      <c r="I156" s="367"/>
      <c r="J156" s="368"/>
      <c r="K156" s="253">
        <f>AVERAGE(G154:K154)</f>
        <v>2.2648945446885498</v>
      </c>
      <c r="M156" s="346"/>
    </row>
    <row r="157" spans="2:13" x14ac:dyDescent="0.25">
      <c r="G157" s="28"/>
      <c r="H157" s="28"/>
      <c r="I157" s="28"/>
      <c r="J157" s="28"/>
      <c r="K157" s="267"/>
    </row>
    <row r="158" spans="2:13" ht="15.75" x14ac:dyDescent="0.25">
      <c r="B158" s="34" t="s">
        <v>190</v>
      </c>
      <c r="C158" s="35"/>
      <c r="D158" s="35"/>
      <c r="E158" s="35"/>
      <c r="F158" s="35"/>
      <c r="G158" s="36"/>
      <c r="H158" s="36"/>
      <c r="I158" s="36"/>
      <c r="J158" s="36"/>
      <c r="K158" s="35"/>
      <c r="M158" s="37"/>
    </row>
    <row r="159" spans="2:13" x14ac:dyDescent="0.25"/>
    <row r="160" spans="2:13" x14ac:dyDescent="0.2">
      <c r="B160" s="384" t="s">
        <v>191</v>
      </c>
      <c r="C160" s="385"/>
      <c r="D160" s="385"/>
      <c r="E160" s="386"/>
      <c r="F160" s="329"/>
      <c r="G160" s="328" t="s">
        <v>22</v>
      </c>
      <c r="H160" s="328" t="s">
        <v>23</v>
      </c>
      <c r="I160" s="328" t="s">
        <v>24</v>
      </c>
      <c r="J160" s="328" t="s">
        <v>25</v>
      </c>
      <c r="K160" s="60" t="s">
        <v>26</v>
      </c>
      <c r="M160" s="330" t="s">
        <v>5</v>
      </c>
    </row>
    <row r="161" spans="2:13" ht="12.75" customHeight="1" x14ac:dyDescent="0.2">
      <c r="B161" s="369" t="s">
        <v>177</v>
      </c>
      <c r="C161" s="370"/>
      <c r="D161" s="370"/>
      <c r="E161" s="371"/>
      <c r="F161" s="26"/>
      <c r="G161" s="26">
        <v>17254695.000010207</v>
      </c>
      <c r="H161" s="26">
        <v>17611834.848126188</v>
      </c>
      <c r="I161" s="26">
        <v>17986550.838063825</v>
      </c>
      <c r="J161" s="26">
        <v>18379810.552560411</v>
      </c>
      <c r="K161" s="254">
        <v>18792890.146016706</v>
      </c>
      <c r="M161" s="387" t="s">
        <v>189</v>
      </c>
    </row>
    <row r="162" spans="2:13" x14ac:dyDescent="0.2">
      <c r="B162" s="360" t="s">
        <v>192</v>
      </c>
      <c r="C162" s="361"/>
      <c r="D162" s="361"/>
      <c r="E162" s="362"/>
      <c r="F162" s="26"/>
      <c r="G162" s="26">
        <v>18449161.14072692</v>
      </c>
      <c r="H162" s="26">
        <v>19652616.51053571</v>
      </c>
      <c r="I162" s="26">
        <v>20750302.453561164</v>
      </c>
      <c r="J162" s="26">
        <v>21950966.582370307</v>
      </c>
      <c r="K162" s="254">
        <v>23217206.584968176</v>
      </c>
      <c r="M162" s="388"/>
    </row>
    <row r="163" spans="2:13" x14ac:dyDescent="0.2">
      <c r="B163" s="363" t="s">
        <v>193</v>
      </c>
      <c r="C163" s="364"/>
      <c r="D163" s="364"/>
      <c r="E163" s="365"/>
      <c r="F163" s="94"/>
      <c r="G163" s="94">
        <f t="shared" ref="G163:K163" si="9">+G162/G161</f>
        <v>1.0692255725595849</v>
      </c>
      <c r="H163" s="94">
        <f t="shared" si="9"/>
        <v>1.1158755847989712</v>
      </c>
      <c r="I163" s="94">
        <f t="shared" si="9"/>
        <v>1.1536565648622628</v>
      </c>
      <c r="J163" s="94">
        <f t="shared" si="9"/>
        <v>1.1942977605562106</v>
      </c>
      <c r="K163" s="252">
        <f t="shared" si="9"/>
        <v>1.2354250147037249</v>
      </c>
      <c r="M163" s="388"/>
    </row>
    <row r="164" spans="2:13" x14ac:dyDescent="0.25">
      <c r="F164" s="30"/>
      <c r="K164" s="30"/>
      <c r="M164" s="388"/>
    </row>
    <row r="165" spans="2:13" x14ac:dyDescent="0.25">
      <c r="F165" s="366" t="s">
        <v>29</v>
      </c>
      <c r="G165" s="367"/>
      <c r="H165" s="367"/>
      <c r="I165" s="367"/>
      <c r="J165" s="368"/>
      <c r="K165" s="253">
        <f>AVERAGE(G163:K163)</f>
        <v>1.1536960994961507</v>
      </c>
      <c r="M165" s="389"/>
    </row>
    <row r="166" spans="2:13" x14ac:dyDescent="0.25">
      <c r="K166" s="200"/>
      <c r="M166" s="331"/>
    </row>
    <row r="167" spans="2:13" ht="12.75" customHeight="1" x14ac:dyDescent="0.25">
      <c r="M167" s="96"/>
    </row>
    <row r="168" spans="2:13" ht="12.75" customHeight="1" x14ac:dyDescent="0.25">
      <c r="M168" s="97"/>
    </row>
    <row r="169" spans="2:13" ht="12.75" customHeight="1" x14ac:dyDescent="0.25">
      <c r="M169" s="97"/>
    </row>
    <row r="170" spans="2:13" x14ac:dyDescent="0.25">
      <c r="M170" s="97"/>
    </row>
    <row r="171" spans="2:13" x14ac:dyDescent="0.25"/>
    <row r="172" spans="2:13" x14ac:dyDescent="0.25"/>
    <row r="173" spans="2:13" x14ac:dyDescent="0.25"/>
    <row r="174" spans="2:13" x14ac:dyDescent="0.25"/>
    <row r="175" spans="2:13" x14ac:dyDescent="0.25"/>
    <row r="176" spans="2:13"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sheetData>
  <mergeCells count="107">
    <mergeCell ref="M128:M138"/>
    <mergeCell ref="M143:M147"/>
    <mergeCell ref="M93:M102"/>
    <mergeCell ref="M57:M87"/>
    <mergeCell ref="E111:G111"/>
    <mergeCell ref="G134:I134"/>
    <mergeCell ref="G138:I138"/>
    <mergeCell ref="B127:G127"/>
    <mergeCell ref="B128:G128"/>
    <mergeCell ref="B129:G129"/>
    <mergeCell ref="B130:G130"/>
    <mergeCell ref="B131:G131"/>
    <mergeCell ref="B132:G132"/>
    <mergeCell ref="G136:I136"/>
    <mergeCell ref="B72:F72"/>
    <mergeCell ref="B73:F73"/>
    <mergeCell ref="B71:F71"/>
    <mergeCell ref="B82:F82"/>
    <mergeCell ref="B84:F84"/>
    <mergeCell ref="B85:F85"/>
    <mergeCell ref="B86:F86"/>
    <mergeCell ref="M49:M51"/>
    <mergeCell ref="C119:E119"/>
    <mergeCell ref="C120:E120"/>
    <mergeCell ref="C121:E121"/>
    <mergeCell ref="C122:E122"/>
    <mergeCell ref="B113:C113"/>
    <mergeCell ref="B112:C112"/>
    <mergeCell ref="C49:F49"/>
    <mergeCell ref="C51:F51"/>
    <mergeCell ref="B60:F60"/>
    <mergeCell ref="B63:F63"/>
    <mergeCell ref="B64:F64"/>
    <mergeCell ref="B65:F65"/>
    <mergeCell ref="B66:F66"/>
    <mergeCell ref="B74:F74"/>
    <mergeCell ref="B75:F75"/>
    <mergeCell ref="B87:F87"/>
    <mergeCell ref="M119:M121"/>
    <mergeCell ref="B77:F77"/>
    <mergeCell ref="B78:F78"/>
    <mergeCell ref="B79:F79"/>
    <mergeCell ref="B80:F80"/>
    <mergeCell ref="C118:E118"/>
    <mergeCell ref="B81:F81"/>
    <mergeCell ref="B162:E162"/>
    <mergeCell ref="B163:E163"/>
    <mergeCell ref="F156:J156"/>
    <mergeCell ref="F165:J165"/>
    <mergeCell ref="M152:M156"/>
    <mergeCell ref="B161:E161"/>
    <mergeCell ref="B151:E151"/>
    <mergeCell ref="B152:E152"/>
    <mergeCell ref="B153:E153"/>
    <mergeCell ref="B154:E154"/>
    <mergeCell ref="B160:E160"/>
    <mergeCell ref="M161:M165"/>
    <mergeCell ref="B43:F43"/>
    <mergeCell ref="B44:F44"/>
    <mergeCell ref="B76:F76"/>
    <mergeCell ref="B67:F67"/>
    <mergeCell ref="B68:F68"/>
    <mergeCell ref="B61:F61"/>
    <mergeCell ref="B62:F62"/>
    <mergeCell ref="B56:F56"/>
    <mergeCell ref="B57:F57"/>
    <mergeCell ref="B58:F58"/>
    <mergeCell ref="C48:F48"/>
    <mergeCell ref="B59:F59"/>
    <mergeCell ref="C50:F50"/>
    <mergeCell ref="B69:F69"/>
    <mergeCell ref="B70:F70"/>
    <mergeCell ref="B22:F22"/>
    <mergeCell ref="B13:F13"/>
    <mergeCell ref="B14:F14"/>
    <mergeCell ref="B15:F15"/>
    <mergeCell ref="B16:F16"/>
    <mergeCell ref="B17:F17"/>
    <mergeCell ref="B8:F8"/>
    <mergeCell ref="B9:F9"/>
    <mergeCell ref="B10:F10"/>
    <mergeCell ref="B11:F11"/>
    <mergeCell ref="B12:F12"/>
    <mergeCell ref="B35:F35"/>
    <mergeCell ref="G49:G51"/>
    <mergeCell ref="K49:K51"/>
    <mergeCell ref="B39:F39"/>
    <mergeCell ref="M9:M39"/>
    <mergeCell ref="B33:F33"/>
    <mergeCell ref="B34:F34"/>
    <mergeCell ref="B36:F36"/>
    <mergeCell ref="B37:F37"/>
    <mergeCell ref="B38:F38"/>
    <mergeCell ref="B28:F28"/>
    <mergeCell ref="B29:F29"/>
    <mergeCell ref="B30:F30"/>
    <mergeCell ref="B31:F31"/>
    <mergeCell ref="B32:F32"/>
    <mergeCell ref="B23:F23"/>
    <mergeCell ref="B24:F24"/>
    <mergeCell ref="B25:F25"/>
    <mergeCell ref="B26:F26"/>
    <mergeCell ref="B27:F27"/>
    <mergeCell ref="B18:F18"/>
    <mergeCell ref="B19:F19"/>
    <mergeCell ref="B20:F20"/>
    <mergeCell ref="B21:F21"/>
  </mergeCells>
  <pageMargins left="0.70866141732283472" right="0.70866141732283472" top="0.74803149606299213" bottom="0.74803149606299213" header="0.31496062992125984" footer="0.31496062992125984"/>
  <pageSetup paperSize="8" scale="44" orientation="portrait" r:id="rId1"/>
  <headerFooter>
    <oddFooter>&amp;C&amp;F&amp;R&amp;A</oddFooter>
  </headerFooter>
  <rowBreaks count="1" manualBreakCount="1">
    <brk id="12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63"/>
  <sheetViews>
    <sheetView showGridLines="0" zoomScaleNormal="100" workbookViewId="0"/>
  </sheetViews>
  <sheetFormatPr defaultColWidth="9.140625" defaultRowHeight="12.75" x14ac:dyDescent="0.25"/>
  <cols>
    <col min="1" max="1" width="2.85546875" style="142" customWidth="1"/>
    <col min="2" max="2" width="55.140625" style="142" customWidth="1"/>
    <col min="3" max="7" width="10.28515625" style="142" customWidth="1"/>
    <col min="8" max="8" width="2.85546875" style="142" customWidth="1"/>
    <col min="9" max="12" width="11.5703125" style="143" customWidth="1"/>
    <col min="13" max="13" width="2.85546875" style="142" customWidth="1"/>
    <col min="14" max="17" width="11.5703125" style="142" customWidth="1"/>
    <col min="18" max="18" width="2.85546875" style="142" customWidth="1"/>
    <col min="19" max="19" width="11.5703125" style="152" customWidth="1"/>
    <col min="20" max="22" width="11.5703125" style="142" customWidth="1"/>
    <col min="23" max="23" width="2.85546875" style="142" customWidth="1"/>
    <col min="24" max="27" width="11.5703125" style="142" customWidth="1"/>
    <col min="28" max="28" width="2.85546875" style="142" customWidth="1"/>
    <col min="29" max="56" width="9.140625" style="142" customWidth="1"/>
    <col min="57" max="16384" width="9.140625" style="142"/>
  </cols>
  <sheetData>
    <row r="1" spans="2:29" ht="14.25" customHeight="1" x14ac:dyDescent="0.25"/>
    <row r="2" spans="2:29" ht="21" x14ac:dyDescent="0.25">
      <c r="B2" s="211" t="s">
        <v>63</v>
      </c>
      <c r="C2" s="212"/>
      <c r="D2" s="212"/>
      <c r="E2" s="212"/>
      <c r="F2" s="212"/>
      <c r="G2" s="212"/>
      <c r="H2" s="212"/>
    </row>
    <row r="3" spans="2:29" ht="21" x14ac:dyDescent="0.25">
      <c r="B3" s="211" t="str">
        <f>+'AER Summary'!C3</f>
        <v>Design Information Fee</v>
      </c>
      <c r="C3" s="212"/>
      <c r="D3" s="212"/>
      <c r="E3" s="212"/>
      <c r="F3" s="212"/>
      <c r="G3" s="212"/>
      <c r="H3" s="212"/>
    </row>
    <row r="4" spans="2:29" ht="18.75" x14ac:dyDescent="0.25">
      <c r="B4" s="213" t="s">
        <v>99</v>
      </c>
      <c r="C4" s="214"/>
      <c r="D4" s="214"/>
      <c r="E4" s="214"/>
      <c r="F4" s="214"/>
      <c r="G4" s="214"/>
      <c r="H4" s="214"/>
    </row>
    <row r="5" spans="2:29" ht="14.25" customHeight="1" x14ac:dyDescent="0.25"/>
    <row r="6" spans="2:29" ht="40.5" customHeight="1" x14ac:dyDescent="0.25">
      <c r="B6" s="406" t="s">
        <v>178</v>
      </c>
      <c r="C6" s="407"/>
      <c r="D6" s="407"/>
      <c r="E6" s="407"/>
      <c r="F6" s="407"/>
      <c r="G6" s="407"/>
      <c r="H6" s="407"/>
      <c r="I6" s="407"/>
      <c r="J6" s="407"/>
      <c r="K6" s="407"/>
      <c r="L6" s="407"/>
      <c r="M6" s="407"/>
      <c r="N6" s="407"/>
      <c r="O6" s="407"/>
      <c r="P6" s="407"/>
      <c r="Q6" s="408"/>
    </row>
    <row r="7" spans="2:29" ht="14.25" customHeight="1" x14ac:dyDescent="0.25">
      <c r="B7" s="151"/>
      <c r="C7" s="151"/>
      <c r="D7" s="151"/>
      <c r="E7" s="151"/>
      <c r="F7" s="151"/>
      <c r="G7" s="151"/>
      <c r="S7" s="145"/>
      <c r="T7" s="144"/>
      <c r="U7" s="144"/>
      <c r="V7" s="144"/>
      <c r="X7" s="144"/>
      <c r="Y7" s="144"/>
      <c r="Z7" s="144"/>
      <c r="AA7" s="144"/>
    </row>
    <row r="8" spans="2:29" ht="29.25" customHeight="1" x14ac:dyDescent="0.25">
      <c r="C8" s="409" t="s">
        <v>93</v>
      </c>
      <c r="D8" s="410"/>
      <c r="E8" s="410"/>
      <c r="F8" s="410"/>
      <c r="G8" s="411"/>
      <c r="I8" s="412" t="s">
        <v>76</v>
      </c>
      <c r="J8" s="413"/>
      <c r="K8" s="413"/>
      <c r="L8" s="414"/>
      <c r="N8" s="421" t="s">
        <v>95</v>
      </c>
      <c r="O8" s="422"/>
      <c r="P8" s="422"/>
      <c r="Q8" s="423"/>
      <c r="S8" s="418" t="s">
        <v>96</v>
      </c>
      <c r="T8" s="419"/>
      <c r="U8" s="419"/>
      <c r="V8" s="420"/>
      <c r="X8" s="415" t="s">
        <v>99</v>
      </c>
      <c r="Y8" s="416"/>
      <c r="Z8" s="416"/>
      <c r="AA8" s="417"/>
    </row>
    <row r="9" spans="2:29" s="219" customFormat="1" ht="51" x14ac:dyDescent="0.25">
      <c r="B9" s="110" t="s">
        <v>15</v>
      </c>
      <c r="C9" s="132" t="s">
        <v>75</v>
      </c>
      <c r="D9" s="172" t="s">
        <v>8</v>
      </c>
      <c r="E9" s="172" t="s">
        <v>94</v>
      </c>
      <c r="F9" s="172" t="s">
        <v>87</v>
      </c>
      <c r="G9" s="134" t="s">
        <v>74</v>
      </c>
      <c r="H9" s="220"/>
      <c r="I9" s="230" t="s">
        <v>35</v>
      </c>
      <c r="J9" s="230" t="s">
        <v>36</v>
      </c>
      <c r="K9" s="230" t="s">
        <v>37</v>
      </c>
      <c r="L9" s="221" t="s">
        <v>98</v>
      </c>
      <c r="N9" s="221" t="s">
        <v>38</v>
      </c>
      <c r="O9" s="221" t="s">
        <v>39</v>
      </c>
      <c r="P9" s="221" t="s">
        <v>40</v>
      </c>
      <c r="Q9" s="221" t="s">
        <v>41</v>
      </c>
      <c r="S9" s="227" t="s">
        <v>42</v>
      </c>
      <c r="T9" s="228" t="s">
        <v>43</v>
      </c>
      <c r="U9" s="228" t="s">
        <v>44</v>
      </c>
      <c r="V9" s="228" t="s">
        <v>97</v>
      </c>
      <c r="W9" s="220"/>
      <c r="X9" s="228" t="s">
        <v>45</v>
      </c>
      <c r="Y9" s="228" t="s">
        <v>46</v>
      </c>
      <c r="Z9" s="228" t="s">
        <v>99</v>
      </c>
      <c r="AA9" s="228" t="s">
        <v>100</v>
      </c>
    </row>
    <row r="10" spans="2:29" ht="14.25" customHeight="1" x14ac:dyDescent="0.25">
      <c r="B10" s="215" t="s">
        <v>9</v>
      </c>
      <c r="C10" s="216">
        <f>'Input Sheet'!G9</f>
        <v>80</v>
      </c>
      <c r="D10" s="222">
        <f>'Input Sheet'!H9</f>
        <v>1.9886363636363638</v>
      </c>
      <c r="E10" s="222"/>
      <c r="F10" s="255">
        <f>'Input Sheet'!J9</f>
        <v>175</v>
      </c>
      <c r="G10" s="256">
        <f>'Input Sheet'!K9</f>
        <v>159.09090909090909</v>
      </c>
      <c r="I10" s="203">
        <f>'Input Sheet'!H57</f>
        <v>53</v>
      </c>
      <c r="J10" s="203">
        <f>'Input Sheet'!I57</f>
        <v>59</v>
      </c>
      <c r="K10" s="203">
        <f>'Input Sheet'!J57</f>
        <v>64</v>
      </c>
      <c r="L10" s="229">
        <f>SUM(I10:K10)</f>
        <v>176</v>
      </c>
      <c r="M10" s="280"/>
      <c r="N10" s="203">
        <f>IF($D10="Hourly",$E10*I10,$D10*I10)</f>
        <v>105.39772727272728</v>
      </c>
      <c r="O10" s="203">
        <f t="shared" ref="O10:O15" si="0">IF($D10="Hourly",$E10*J10,$D10*J10)</f>
        <v>117.32954545454547</v>
      </c>
      <c r="P10" s="203">
        <f t="shared" ref="P10:P15" si="1">IF($D10="Hourly",$E10*K10,$D10*K10)</f>
        <v>127.27272727272728</v>
      </c>
      <c r="Q10" s="229">
        <f>SUM(N10:P10)</f>
        <v>350</v>
      </c>
      <c r="R10" s="235"/>
      <c r="S10" s="203">
        <f>+N10/N$42*'Input Sheet'!H$123</f>
        <v>135.26639942752044</v>
      </c>
      <c r="T10" s="203">
        <f>+O10/O$42*'Input Sheet'!I$123</f>
        <v>198.2839483879757</v>
      </c>
      <c r="U10" s="203">
        <f>+P10/P$42*'Input Sheet'!J$123</f>
        <v>173.71814206147874</v>
      </c>
      <c r="V10" s="229">
        <f>SUM(S10:U10)</f>
        <v>507.26848987697485</v>
      </c>
      <c r="X10" s="234">
        <f t="shared" ref="X10:X40" si="2">IF(ISERROR(V10/L10),0,V10/L10)</f>
        <v>2.882207328846448</v>
      </c>
      <c r="Y10" s="147">
        <f>ROUND(X10,0)</f>
        <v>3</v>
      </c>
      <c r="Z10" s="147">
        <f>IF(D10="Hourly","Hourly",Y10)</f>
        <v>3</v>
      </c>
      <c r="AA10" s="203">
        <f>+Y10*L10</f>
        <v>528</v>
      </c>
      <c r="AB10" s="152"/>
      <c r="AC10" s="143"/>
    </row>
    <row r="11" spans="2:29" ht="14.25" customHeight="1" x14ac:dyDescent="0.25">
      <c r="B11" s="217" t="s">
        <v>10</v>
      </c>
      <c r="C11" s="218">
        <f>'Input Sheet'!G10</f>
        <v>80</v>
      </c>
      <c r="D11" s="223">
        <f>'Input Sheet'!H10</f>
        <v>2.9886363636363638</v>
      </c>
      <c r="E11" s="223"/>
      <c r="F11" s="257">
        <f>'Input Sheet'!J10</f>
        <v>263</v>
      </c>
      <c r="G11" s="136">
        <f>'Input Sheet'!K10</f>
        <v>239.09090909090909</v>
      </c>
      <c r="I11" s="203">
        <f>'Input Sheet'!H58</f>
        <v>33</v>
      </c>
      <c r="J11" s="203">
        <f>'Input Sheet'!I58</f>
        <v>55</v>
      </c>
      <c r="K11" s="203">
        <f>'Input Sheet'!J58</f>
        <v>43</v>
      </c>
      <c r="L11" s="229">
        <f t="shared" ref="L11:L15" si="3">SUM(I11:K11)</f>
        <v>131</v>
      </c>
      <c r="M11" s="280"/>
      <c r="N11" s="203">
        <f t="shared" ref="N11:N15" si="4">IF($D11="Hourly",$E11*I11,$D11*I11)</f>
        <v>98.625</v>
      </c>
      <c r="O11" s="203">
        <f t="shared" si="0"/>
        <v>164.375</v>
      </c>
      <c r="P11" s="203">
        <f t="shared" si="1"/>
        <v>128.51136363636365</v>
      </c>
      <c r="Q11" s="229">
        <f t="shared" ref="Q11:Q15" si="5">SUM(N11:P11)</f>
        <v>391.51136363636363</v>
      </c>
      <c r="R11" s="235"/>
      <c r="S11" s="203">
        <f>+N11/N$42*'Input Sheet'!H$123</f>
        <v>126.5743483160593</v>
      </c>
      <c r="T11" s="203">
        <f>+O11/O$42*'Input Sheet'!I$123</f>
        <v>277.78957030819066</v>
      </c>
      <c r="U11" s="203">
        <f>+P11/P$42*'Input Sheet'!J$123</f>
        <v>175.40879183689847</v>
      </c>
      <c r="V11" s="229">
        <f t="shared" ref="V11:V15" si="6">SUM(S11:U11)</f>
        <v>579.77271046114845</v>
      </c>
      <c r="W11" s="144"/>
      <c r="X11" s="234">
        <f t="shared" si="2"/>
        <v>4.425745881382813</v>
      </c>
      <c r="Y11" s="147">
        <f t="shared" ref="Y11:Y15" si="7">ROUND(X11,0)</f>
        <v>4</v>
      </c>
      <c r="Z11" s="147">
        <f t="shared" ref="Z11:Z15" si="8">IF(D11="Hourly","Hourly",Y11)</f>
        <v>4</v>
      </c>
      <c r="AA11" s="203">
        <f t="shared" ref="AA11:AA15" si="9">+Y11*L11</f>
        <v>524</v>
      </c>
      <c r="AB11" s="152"/>
      <c r="AC11" s="143"/>
    </row>
    <row r="12" spans="2:29" ht="14.25" customHeight="1" x14ac:dyDescent="0.25">
      <c r="B12" s="217" t="s">
        <v>11</v>
      </c>
      <c r="C12" s="218">
        <f>'Input Sheet'!G11</f>
        <v>80</v>
      </c>
      <c r="D12" s="223">
        <f>'Input Sheet'!H11</f>
        <v>4.9772727272727275</v>
      </c>
      <c r="E12" s="223"/>
      <c r="F12" s="257">
        <f>'Input Sheet'!J11</f>
        <v>438</v>
      </c>
      <c r="G12" s="136">
        <f>'Input Sheet'!K11</f>
        <v>398.18181818181819</v>
      </c>
      <c r="I12" s="203">
        <f>'Input Sheet'!H59</f>
        <v>85</v>
      </c>
      <c r="J12" s="203">
        <f>'Input Sheet'!I59</f>
        <v>108</v>
      </c>
      <c r="K12" s="203">
        <f>'Input Sheet'!J59</f>
        <v>100</v>
      </c>
      <c r="L12" s="229">
        <f t="shared" si="3"/>
        <v>293</v>
      </c>
      <c r="M12" s="281"/>
      <c r="N12" s="203">
        <f t="shared" si="4"/>
        <v>423.06818181818181</v>
      </c>
      <c r="O12" s="203">
        <f t="shared" si="0"/>
        <v>537.54545454545462</v>
      </c>
      <c r="P12" s="203">
        <f t="shared" si="1"/>
        <v>497.72727272727275</v>
      </c>
      <c r="Q12" s="229">
        <f t="shared" si="5"/>
        <v>1458.3409090909092</v>
      </c>
      <c r="R12" s="235"/>
      <c r="S12" s="203">
        <f>+N12/N$42*'Input Sheet'!H$123</f>
        <v>542.96151489882334</v>
      </c>
      <c r="T12" s="203">
        <f>+O12/O$42*'Input Sheet'!I$123</f>
        <v>908.43814959271708</v>
      </c>
      <c r="U12" s="203">
        <f>+P12/P$42*'Input Sheet'!J$123</f>
        <v>679.3620198475686</v>
      </c>
      <c r="V12" s="229">
        <f t="shared" si="6"/>
        <v>2130.7616843391093</v>
      </c>
      <c r="W12" s="144"/>
      <c r="X12" s="234">
        <f t="shared" si="2"/>
        <v>7.2722241786317721</v>
      </c>
      <c r="Y12" s="147">
        <f t="shared" si="7"/>
        <v>7</v>
      </c>
      <c r="Z12" s="147">
        <f t="shared" si="8"/>
        <v>7</v>
      </c>
      <c r="AA12" s="203">
        <f t="shared" si="9"/>
        <v>2051</v>
      </c>
      <c r="AB12" s="152"/>
      <c r="AC12" s="143"/>
    </row>
    <row r="13" spans="2:29" ht="14.25" customHeight="1" x14ac:dyDescent="0.25">
      <c r="B13" s="217" t="s">
        <v>13</v>
      </c>
      <c r="C13" s="218">
        <f>'Input Sheet'!G12</f>
        <v>80</v>
      </c>
      <c r="D13" s="223">
        <f>'Input Sheet'!H12</f>
        <v>5.9772727272727275</v>
      </c>
      <c r="E13" s="223"/>
      <c r="F13" s="257">
        <f>'Input Sheet'!J12</f>
        <v>526</v>
      </c>
      <c r="G13" s="136">
        <f>'Input Sheet'!K12</f>
        <v>478.18181818181819</v>
      </c>
      <c r="I13" s="203">
        <f>'Input Sheet'!H60</f>
        <v>61</v>
      </c>
      <c r="J13" s="203">
        <f>'Input Sheet'!I60</f>
        <v>81</v>
      </c>
      <c r="K13" s="203">
        <f>'Input Sheet'!J60</f>
        <v>71</v>
      </c>
      <c r="L13" s="229">
        <f t="shared" si="3"/>
        <v>213</v>
      </c>
      <c r="M13" s="280"/>
      <c r="N13" s="203">
        <f t="shared" si="4"/>
        <v>364.61363636363637</v>
      </c>
      <c r="O13" s="203">
        <f t="shared" si="0"/>
        <v>484.15909090909093</v>
      </c>
      <c r="P13" s="203">
        <f t="shared" si="1"/>
        <v>424.38636363636363</v>
      </c>
      <c r="Q13" s="229">
        <f t="shared" si="5"/>
        <v>1273.159090909091</v>
      </c>
      <c r="R13" s="235"/>
      <c r="S13" s="203">
        <f>+N13/N$42*'Input Sheet'!H$123</f>
        <v>467.94153013815856</v>
      </c>
      <c r="T13" s="203">
        <f>+O13/O$42*'Input Sheet'!I$123</f>
        <v>818.21655254412519</v>
      </c>
      <c r="U13" s="203">
        <f>+P13/P$42*'Input Sheet'!J$123</f>
        <v>579.2569404846414</v>
      </c>
      <c r="V13" s="229">
        <f t="shared" si="6"/>
        <v>1865.415023166925</v>
      </c>
      <c r="W13" s="144"/>
      <c r="X13" s="234">
        <f t="shared" si="2"/>
        <v>8.7578170101733566</v>
      </c>
      <c r="Y13" s="147">
        <f t="shared" si="7"/>
        <v>9</v>
      </c>
      <c r="Z13" s="147">
        <f t="shared" si="8"/>
        <v>9</v>
      </c>
      <c r="AA13" s="203">
        <f t="shared" si="9"/>
        <v>1917</v>
      </c>
      <c r="AB13" s="152"/>
      <c r="AC13" s="143"/>
    </row>
    <row r="14" spans="2:29" ht="14.25" customHeight="1" x14ac:dyDescent="0.25">
      <c r="B14" s="217" t="s">
        <v>123</v>
      </c>
      <c r="C14" s="218">
        <f>'Input Sheet'!G13</f>
        <v>80</v>
      </c>
      <c r="D14" s="224" t="str">
        <f>'Input Sheet'!H13</f>
        <v>Hourly</v>
      </c>
      <c r="E14" s="223">
        <f>'Input Sheet'!I13</f>
        <v>3</v>
      </c>
      <c r="F14" s="257">
        <f>'Input Sheet'!J13</f>
        <v>88</v>
      </c>
      <c r="G14" s="136">
        <f>'Input Sheet'!K13</f>
        <v>80</v>
      </c>
      <c r="I14" s="203">
        <f>'Input Sheet'!H61</f>
        <v>26</v>
      </c>
      <c r="J14" s="203">
        <f>'Input Sheet'!I61</f>
        <v>38</v>
      </c>
      <c r="K14" s="203">
        <f>'Input Sheet'!J61</f>
        <v>32</v>
      </c>
      <c r="L14" s="229">
        <f t="shared" si="3"/>
        <v>96</v>
      </c>
      <c r="M14" s="280"/>
      <c r="N14" s="203">
        <f t="shared" si="4"/>
        <v>78</v>
      </c>
      <c r="O14" s="203">
        <f t="shared" si="0"/>
        <v>114</v>
      </c>
      <c r="P14" s="203">
        <f t="shared" si="1"/>
        <v>96</v>
      </c>
      <c r="Q14" s="229">
        <f t="shared" si="5"/>
        <v>288</v>
      </c>
      <c r="R14" s="235"/>
      <c r="S14" s="203">
        <f>+N14/N$42*'Input Sheet'!H$123</f>
        <v>100.1044275655526</v>
      </c>
      <c r="T14" s="203">
        <f>+O14/O$42*'Input Sheet'!I$123</f>
        <v>192.65710123275275</v>
      </c>
      <c r="U14" s="203">
        <f>+P14/P$42*'Input Sheet'!J$123</f>
        <v>131.03311286922965</v>
      </c>
      <c r="V14" s="229">
        <f t="shared" si="6"/>
        <v>423.79464166753496</v>
      </c>
      <c r="W14" s="144"/>
      <c r="X14" s="234">
        <f t="shared" si="2"/>
        <v>4.4145275173701561</v>
      </c>
      <c r="Y14" s="147">
        <f t="shared" si="7"/>
        <v>4</v>
      </c>
      <c r="Z14" s="147" t="str">
        <f t="shared" si="8"/>
        <v>Hourly</v>
      </c>
      <c r="AA14" s="203">
        <f t="shared" si="9"/>
        <v>384</v>
      </c>
      <c r="AB14" s="152"/>
      <c r="AC14" s="143"/>
    </row>
    <row r="15" spans="2:29" ht="14.25" customHeight="1" x14ac:dyDescent="0.25">
      <c r="B15" s="217" t="s">
        <v>12</v>
      </c>
      <c r="C15" s="218">
        <f>'Input Sheet'!G14</f>
        <v>80</v>
      </c>
      <c r="D15" s="224" t="str">
        <f>'Input Sheet'!H14</f>
        <v>Hourly</v>
      </c>
      <c r="E15" s="223">
        <f>'Input Sheet'!I14</f>
        <v>5</v>
      </c>
      <c r="F15" s="257">
        <f>'Input Sheet'!J14</f>
        <v>88</v>
      </c>
      <c r="G15" s="136">
        <f>'Input Sheet'!K14</f>
        <v>80</v>
      </c>
      <c r="I15" s="203">
        <f>'Input Sheet'!H62</f>
        <v>12</v>
      </c>
      <c r="J15" s="203">
        <f>'Input Sheet'!I62</f>
        <v>11</v>
      </c>
      <c r="K15" s="203">
        <f>'Input Sheet'!J62</f>
        <v>27</v>
      </c>
      <c r="L15" s="229">
        <f t="shared" si="3"/>
        <v>50</v>
      </c>
      <c r="M15" s="280"/>
      <c r="N15" s="203">
        <f t="shared" si="4"/>
        <v>60</v>
      </c>
      <c r="O15" s="203">
        <f t="shared" si="0"/>
        <v>55</v>
      </c>
      <c r="P15" s="203">
        <f t="shared" si="1"/>
        <v>135</v>
      </c>
      <c r="Q15" s="229">
        <f t="shared" si="5"/>
        <v>250</v>
      </c>
      <c r="R15" s="235"/>
      <c r="S15" s="203">
        <f>+N15/N$42*'Input Sheet'!H$123</f>
        <v>77.003405819655839</v>
      </c>
      <c r="T15" s="203">
        <f>+O15/O$42*'Input Sheet'!I$123</f>
        <v>92.948601471942112</v>
      </c>
      <c r="U15" s="203">
        <f>+P15/P$42*'Input Sheet'!J$123</f>
        <v>184.26531497235422</v>
      </c>
      <c r="V15" s="229">
        <f t="shared" si="6"/>
        <v>354.21732226395216</v>
      </c>
      <c r="W15" s="144"/>
      <c r="X15" s="234">
        <f t="shared" si="2"/>
        <v>7.084346445279043</v>
      </c>
      <c r="Y15" s="147">
        <f t="shared" si="7"/>
        <v>7</v>
      </c>
      <c r="Z15" s="147" t="str">
        <f t="shared" si="8"/>
        <v>Hourly</v>
      </c>
      <c r="AA15" s="203">
        <f t="shared" si="9"/>
        <v>350</v>
      </c>
      <c r="AB15" s="152"/>
      <c r="AC15" s="143"/>
    </row>
    <row r="16" spans="2:29" ht="14.25" customHeight="1" x14ac:dyDescent="0.25">
      <c r="B16" s="217"/>
      <c r="C16" s="218"/>
      <c r="D16" s="224"/>
      <c r="E16" s="223"/>
      <c r="F16" s="257"/>
      <c r="G16" s="136"/>
      <c r="I16" s="203"/>
      <c r="J16" s="203"/>
      <c r="K16" s="203"/>
      <c r="L16" s="229"/>
      <c r="M16" s="280"/>
      <c r="N16" s="203"/>
      <c r="O16" s="203"/>
      <c r="P16" s="203"/>
      <c r="Q16" s="229"/>
      <c r="R16" s="235"/>
      <c r="S16" s="203"/>
      <c r="T16" s="203"/>
      <c r="U16" s="203"/>
      <c r="V16" s="229"/>
      <c r="W16" s="144"/>
      <c r="X16" s="234"/>
      <c r="Y16" s="147"/>
      <c r="Z16" s="147"/>
      <c r="AA16" s="203"/>
      <c r="AB16" s="152"/>
      <c r="AC16" s="143"/>
    </row>
    <row r="17" spans="2:29" ht="14.25" customHeight="1" x14ac:dyDescent="0.25">
      <c r="B17" s="217" t="s">
        <v>124</v>
      </c>
      <c r="C17" s="218">
        <f>'Input Sheet'!G16</f>
        <v>80</v>
      </c>
      <c r="D17" s="224" t="str">
        <f>'Input Sheet'!H16</f>
        <v>Hourly</v>
      </c>
      <c r="E17" s="223">
        <f>'Input Sheet'!I16</f>
        <v>6</v>
      </c>
      <c r="F17" s="257">
        <f>'Input Sheet'!J16</f>
        <v>88</v>
      </c>
      <c r="G17" s="136">
        <f>'Input Sheet'!K16</f>
        <v>80</v>
      </c>
      <c r="I17" s="203">
        <f>'Input Sheet'!H64</f>
        <v>108</v>
      </c>
      <c r="J17" s="203">
        <f>'Input Sheet'!I64</f>
        <v>92</v>
      </c>
      <c r="K17" s="203">
        <f>'Input Sheet'!J64</f>
        <v>59</v>
      </c>
      <c r="L17" s="229">
        <f t="shared" ref="L17:L35" si="10">SUM(I17:K17)</f>
        <v>259</v>
      </c>
      <c r="M17" s="280"/>
      <c r="N17" s="203">
        <f t="shared" ref="N17:N35" si="11">IF($D17="Hourly",$E17*I17,$D17*I17)</f>
        <v>648</v>
      </c>
      <c r="O17" s="203">
        <f t="shared" ref="O17:O35" si="12">IF($D17="Hourly",$E17*J17,$D17*J17)</f>
        <v>552</v>
      </c>
      <c r="P17" s="203">
        <f t="shared" ref="P17:P35" si="13">IF($D17="Hourly",$E17*K17,$D17*K17)</f>
        <v>354</v>
      </c>
      <c r="Q17" s="229">
        <f t="shared" ref="Q17:Q35" si="14">SUM(N17:P17)</f>
        <v>1554</v>
      </c>
      <c r="R17" s="235"/>
      <c r="S17" s="203">
        <f>+N17/N$42*'Input Sheet'!H$123</f>
        <v>831.63678285228309</v>
      </c>
      <c r="T17" s="203">
        <f>+O17/O$42*'Input Sheet'!I$123</f>
        <v>932.86596386385543</v>
      </c>
      <c r="U17" s="203">
        <f>+P17/P$42*'Input Sheet'!J$123</f>
        <v>483.18460370528436</v>
      </c>
      <c r="V17" s="229">
        <f t="shared" ref="V17:V35" si="15">SUM(S17:U17)</f>
        <v>2247.6873504214227</v>
      </c>
      <c r="W17" s="144"/>
      <c r="X17" s="234">
        <f t="shared" si="2"/>
        <v>8.6783295383066505</v>
      </c>
      <c r="Y17" s="147">
        <f t="shared" ref="Y17:Y35" si="16">ROUND(X17,0)</f>
        <v>9</v>
      </c>
      <c r="Z17" s="147" t="str">
        <f t="shared" ref="Z17:Z35" si="17">IF(D17="Hourly","Hourly",Y17)</f>
        <v>Hourly</v>
      </c>
      <c r="AA17" s="203">
        <f t="shared" ref="AA17:AA35" si="18">+Y17*L17</f>
        <v>2331</v>
      </c>
      <c r="AB17" s="152"/>
      <c r="AC17" s="143"/>
    </row>
    <row r="18" spans="2:29" ht="14.25" customHeight="1" x14ac:dyDescent="0.25">
      <c r="B18" s="217" t="s">
        <v>125</v>
      </c>
      <c r="C18" s="218">
        <f>'Input Sheet'!G17</f>
        <v>80</v>
      </c>
      <c r="D18" s="224" t="str">
        <f>'Input Sheet'!H17</f>
        <v>Hourly</v>
      </c>
      <c r="E18" s="224">
        <f>'Input Sheet'!I17</f>
        <v>12</v>
      </c>
      <c r="F18" s="257">
        <f>'Input Sheet'!J17</f>
        <v>88</v>
      </c>
      <c r="G18" s="136">
        <f>'Input Sheet'!K17</f>
        <v>80</v>
      </c>
      <c r="I18" s="203">
        <f>'Input Sheet'!H65</f>
        <v>77</v>
      </c>
      <c r="J18" s="203">
        <f>'Input Sheet'!I65</f>
        <v>61</v>
      </c>
      <c r="K18" s="203">
        <f>'Input Sheet'!J65</f>
        <v>73</v>
      </c>
      <c r="L18" s="229">
        <f t="shared" si="10"/>
        <v>211</v>
      </c>
      <c r="M18" s="281"/>
      <c r="N18" s="203">
        <f t="shared" si="11"/>
        <v>924</v>
      </c>
      <c r="O18" s="203">
        <f t="shared" si="12"/>
        <v>732</v>
      </c>
      <c r="P18" s="203">
        <f t="shared" si="13"/>
        <v>876</v>
      </c>
      <c r="Q18" s="229">
        <f t="shared" si="14"/>
        <v>2532</v>
      </c>
      <c r="R18" s="235"/>
      <c r="S18" s="203">
        <f>+N18/N$42*'Input Sheet'!H$123</f>
        <v>1185.8524496227001</v>
      </c>
      <c r="T18" s="203">
        <f>+O18/O$42*'Input Sheet'!I$123</f>
        <v>1237.0613868629387</v>
      </c>
      <c r="U18" s="203">
        <f>+P18/P$42*'Input Sheet'!J$123</f>
        <v>1195.6771549317205</v>
      </c>
      <c r="V18" s="229">
        <f t="shared" si="15"/>
        <v>3618.5909914173594</v>
      </c>
      <c r="W18" s="144"/>
      <c r="X18" s="234">
        <f t="shared" si="2"/>
        <v>17.149720338470896</v>
      </c>
      <c r="Y18" s="147">
        <f t="shared" si="16"/>
        <v>17</v>
      </c>
      <c r="Z18" s="147" t="str">
        <f t="shared" si="17"/>
        <v>Hourly</v>
      </c>
      <c r="AA18" s="203">
        <f t="shared" si="18"/>
        <v>3587</v>
      </c>
      <c r="AB18" s="152"/>
      <c r="AC18" s="143"/>
    </row>
    <row r="19" spans="2:29" ht="14.25" customHeight="1" x14ac:dyDescent="0.25">
      <c r="B19" s="217" t="s">
        <v>126</v>
      </c>
      <c r="C19" s="218">
        <f>'Input Sheet'!G18</f>
        <v>80</v>
      </c>
      <c r="D19" s="224" t="str">
        <f>'Input Sheet'!H18</f>
        <v>Hourly</v>
      </c>
      <c r="E19" s="224">
        <f>'Input Sheet'!I18</f>
        <v>20</v>
      </c>
      <c r="F19" s="257">
        <f>'Input Sheet'!J18</f>
        <v>88</v>
      </c>
      <c r="G19" s="136">
        <f>'Input Sheet'!K18</f>
        <v>80</v>
      </c>
      <c r="I19" s="203">
        <f>'Input Sheet'!H66</f>
        <v>44</v>
      </c>
      <c r="J19" s="203">
        <f>'Input Sheet'!I66</f>
        <v>48</v>
      </c>
      <c r="K19" s="203">
        <f>'Input Sheet'!J66</f>
        <v>64</v>
      </c>
      <c r="L19" s="229">
        <f t="shared" si="10"/>
        <v>156</v>
      </c>
      <c r="M19" s="281"/>
      <c r="N19" s="203">
        <f t="shared" si="11"/>
        <v>880</v>
      </c>
      <c r="O19" s="203">
        <f t="shared" si="12"/>
        <v>960</v>
      </c>
      <c r="P19" s="203">
        <f t="shared" si="13"/>
        <v>1280</v>
      </c>
      <c r="Q19" s="229">
        <f t="shared" si="14"/>
        <v>3120</v>
      </c>
      <c r="R19" s="235"/>
      <c r="S19" s="203">
        <f>+N19/N$42*'Input Sheet'!H$123</f>
        <v>1129.3832853549522</v>
      </c>
      <c r="T19" s="203">
        <f>+O19/O$42*'Input Sheet'!I$123</f>
        <v>1622.3755893284442</v>
      </c>
      <c r="U19" s="203">
        <f>+P19/P$42*'Input Sheet'!J$123</f>
        <v>1747.1081715897287</v>
      </c>
      <c r="V19" s="229">
        <f t="shared" ref="V19:V31" si="19">SUM(S19:U19)</f>
        <v>4498.8670462731252</v>
      </c>
      <c r="W19" s="144"/>
      <c r="X19" s="234">
        <f t="shared" si="2"/>
        <v>28.838891322263624</v>
      </c>
      <c r="Y19" s="147">
        <f t="shared" ref="Y19:Y31" si="20">ROUND(X19,0)</f>
        <v>29</v>
      </c>
      <c r="Z19" s="147" t="str">
        <f t="shared" ref="Z19:Z31" si="21">IF(D19="Hourly","Hourly",Y19)</f>
        <v>Hourly</v>
      </c>
      <c r="AA19" s="203">
        <f t="shared" ref="AA19:AA31" si="22">+Y19*L19</f>
        <v>4524</v>
      </c>
      <c r="AB19" s="152"/>
      <c r="AC19" s="143"/>
    </row>
    <row r="20" spans="2:29" ht="14.25" customHeight="1" x14ac:dyDescent="0.25">
      <c r="B20" s="217" t="s">
        <v>127</v>
      </c>
      <c r="C20" s="218">
        <f>'Input Sheet'!G19</f>
        <v>80</v>
      </c>
      <c r="D20" s="224" t="str">
        <f>'Input Sheet'!H19</f>
        <v>Hourly</v>
      </c>
      <c r="E20" s="224">
        <f>'Input Sheet'!I19</f>
        <v>26</v>
      </c>
      <c r="F20" s="257">
        <f>'Input Sheet'!J19</f>
        <v>88</v>
      </c>
      <c r="G20" s="136">
        <f>'Input Sheet'!K19</f>
        <v>80</v>
      </c>
      <c r="I20" s="203">
        <f>'Input Sheet'!H67</f>
        <v>4</v>
      </c>
      <c r="J20" s="203">
        <f>'Input Sheet'!I67</f>
        <v>4</v>
      </c>
      <c r="K20" s="203">
        <f>'Input Sheet'!J67</f>
        <v>8</v>
      </c>
      <c r="L20" s="229">
        <f t="shared" si="10"/>
        <v>16</v>
      </c>
      <c r="M20" s="281"/>
      <c r="N20" s="203">
        <f t="shared" si="11"/>
        <v>104</v>
      </c>
      <c r="O20" s="203">
        <f t="shared" si="12"/>
        <v>104</v>
      </c>
      <c r="P20" s="203">
        <f t="shared" si="13"/>
        <v>208</v>
      </c>
      <c r="Q20" s="229">
        <f t="shared" si="14"/>
        <v>416</v>
      </c>
      <c r="R20" s="235"/>
      <c r="S20" s="203">
        <f>+N20/N$42*'Input Sheet'!H$123</f>
        <v>133.47257008740345</v>
      </c>
      <c r="T20" s="203">
        <f>+O20/O$42*'Input Sheet'!I$123</f>
        <v>175.75735551058145</v>
      </c>
      <c r="U20" s="203">
        <f>+P20/P$42*'Input Sheet'!J$123</f>
        <v>283.90507788333093</v>
      </c>
      <c r="V20" s="229">
        <f t="shared" si="19"/>
        <v>593.13500348131583</v>
      </c>
      <c r="W20" s="144"/>
      <c r="X20" s="234">
        <f t="shared" si="2"/>
        <v>37.07093771758224</v>
      </c>
      <c r="Y20" s="147">
        <f t="shared" si="20"/>
        <v>37</v>
      </c>
      <c r="Z20" s="147" t="str">
        <f t="shared" si="21"/>
        <v>Hourly</v>
      </c>
      <c r="AA20" s="203">
        <f t="shared" si="22"/>
        <v>592</v>
      </c>
      <c r="AB20" s="152"/>
      <c r="AC20" s="143"/>
    </row>
    <row r="21" spans="2:29" ht="14.25" customHeight="1" x14ac:dyDescent="0.25">
      <c r="B21" s="217" t="s">
        <v>128</v>
      </c>
      <c r="C21" s="218">
        <f>'Input Sheet'!G20</f>
        <v>80</v>
      </c>
      <c r="D21" s="224" t="str">
        <f>'Input Sheet'!H20</f>
        <v>Hourly</v>
      </c>
      <c r="E21" s="224">
        <f>'Input Sheet'!I20</f>
        <v>154</v>
      </c>
      <c r="F21" s="257">
        <f>'Input Sheet'!J20</f>
        <v>88</v>
      </c>
      <c r="G21" s="136">
        <f>'Input Sheet'!K20</f>
        <v>80</v>
      </c>
      <c r="I21" s="203">
        <f>'Input Sheet'!H68</f>
        <v>3</v>
      </c>
      <c r="J21" s="203">
        <f>'Input Sheet'!I68</f>
        <v>6</v>
      </c>
      <c r="K21" s="203">
        <f>'Input Sheet'!J68</f>
        <v>4</v>
      </c>
      <c r="L21" s="229">
        <f t="shared" si="10"/>
        <v>13</v>
      </c>
      <c r="M21" s="281"/>
      <c r="N21" s="203">
        <f t="shared" si="11"/>
        <v>462</v>
      </c>
      <c r="O21" s="203">
        <f t="shared" si="12"/>
        <v>924</v>
      </c>
      <c r="P21" s="203">
        <f t="shared" si="13"/>
        <v>616</v>
      </c>
      <c r="Q21" s="229">
        <f t="shared" si="14"/>
        <v>2002</v>
      </c>
      <c r="R21" s="235"/>
      <c r="S21" s="203">
        <f>+N21/N$42*'Input Sheet'!H$123</f>
        <v>592.92622481135004</v>
      </c>
      <c r="T21" s="203">
        <f>+O21/O$42*'Input Sheet'!I$123</f>
        <v>1561.5365047286275</v>
      </c>
      <c r="U21" s="203">
        <f>+P21/P$42*'Input Sheet'!J$123</f>
        <v>840.79580757755684</v>
      </c>
      <c r="V21" s="229">
        <f t="shared" ref="V21" si="23">SUM(S21:U21)</f>
        <v>2995.2585371175346</v>
      </c>
      <c r="W21" s="144"/>
      <c r="X21" s="234">
        <f t="shared" si="2"/>
        <v>230.40450285519498</v>
      </c>
      <c r="Y21" s="147">
        <f t="shared" ref="Y21" si="24">ROUND(X21,0)</f>
        <v>230</v>
      </c>
      <c r="Z21" s="147" t="str">
        <f t="shared" ref="Z21" si="25">IF(D21="Hourly","Hourly",Y21)</f>
        <v>Hourly</v>
      </c>
      <c r="AA21" s="203">
        <f t="shared" ref="AA21" si="26">+Y21*L21</f>
        <v>2990</v>
      </c>
      <c r="AB21" s="152"/>
      <c r="AC21" s="143"/>
    </row>
    <row r="22" spans="2:29" ht="14.25" customHeight="1" x14ac:dyDescent="0.25">
      <c r="B22" s="217" t="s">
        <v>129</v>
      </c>
      <c r="C22" s="218">
        <f>'Input Sheet'!G21</f>
        <v>80</v>
      </c>
      <c r="D22" s="224" t="str">
        <f>'Input Sheet'!H21</f>
        <v>Hourly</v>
      </c>
      <c r="E22" s="224">
        <f>'Input Sheet'!I21</f>
        <v>2</v>
      </c>
      <c r="F22" s="257">
        <f>'Input Sheet'!J21</f>
        <v>88</v>
      </c>
      <c r="G22" s="136">
        <f>'Input Sheet'!K21</f>
        <v>80</v>
      </c>
      <c r="I22" s="203">
        <f>'Input Sheet'!H69</f>
        <v>0</v>
      </c>
      <c r="J22" s="203">
        <f>'Input Sheet'!I69</f>
        <v>11</v>
      </c>
      <c r="K22" s="203">
        <f>'Input Sheet'!J69</f>
        <v>2</v>
      </c>
      <c r="L22" s="229">
        <f t="shared" si="10"/>
        <v>13</v>
      </c>
      <c r="M22" s="281"/>
      <c r="N22" s="203">
        <f t="shared" si="11"/>
        <v>0</v>
      </c>
      <c r="O22" s="203">
        <f t="shared" si="12"/>
        <v>22</v>
      </c>
      <c r="P22" s="203">
        <f t="shared" si="13"/>
        <v>4</v>
      </c>
      <c r="Q22" s="229">
        <f t="shared" si="14"/>
        <v>26</v>
      </c>
      <c r="R22" s="235"/>
      <c r="S22" s="203">
        <f>+N22/N$42*'Input Sheet'!H$123</f>
        <v>0</v>
      </c>
      <c r="T22" s="203">
        <f>+O22/O$42*'Input Sheet'!I$123</f>
        <v>37.179440588776842</v>
      </c>
      <c r="U22" s="203">
        <f>+P22/P$42*'Input Sheet'!J$123</f>
        <v>5.4597130362179014</v>
      </c>
      <c r="V22" s="229">
        <f t="shared" si="19"/>
        <v>42.639153624994741</v>
      </c>
      <c r="W22" s="144"/>
      <c r="X22" s="234">
        <f t="shared" si="2"/>
        <v>3.2799348942303648</v>
      </c>
      <c r="Y22" s="147">
        <f t="shared" si="20"/>
        <v>3</v>
      </c>
      <c r="Z22" s="147" t="str">
        <f t="shared" si="21"/>
        <v>Hourly</v>
      </c>
      <c r="AA22" s="203">
        <f t="shared" si="22"/>
        <v>39</v>
      </c>
      <c r="AB22" s="152"/>
      <c r="AC22" s="143"/>
    </row>
    <row r="23" spans="2:29" ht="14.25" customHeight="1" x14ac:dyDescent="0.25">
      <c r="B23" s="217" t="s">
        <v>130</v>
      </c>
      <c r="C23" s="218">
        <f>'Input Sheet'!G22</f>
        <v>80</v>
      </c>
      <c r="D23" s="224" t="str">
        <f>'Input Sheet'!H22</f>
        <v>Hourly</v>
      </c>
      <c r="E23" s="224">
        <f>'Input Sheet'!I22</f>
        <v>5</v>
      </c>
      <c r="F23" s="257">
        <f>'Input Sheet'!J22</f>
        <v>88</v>
      </c>
      <c r="G23" s="136">
        <f>'Input Sheet'!K22</f>
        <v>80</v>
      </c>
      <c r="I23" s="203">
        <f>'Input Sheet'!H70</f>
        <v>62</v>
      </c>
      <c r="J23" s="203">
        <f>'Input Sheet'!I70</f>
        <v>45</v>
      </c>
      <c r="K23" s="203">
        <f>'Input Sheet'!J70</f>
        <v>48</v>
      </c>
      <c r="L23" s="229">
        <f t="shared" si="10"/>
        <v>155</v>
      </c>
      <c r="M23" s="281"/>
      <c r="N23" s="203">
        <f t="shared" si="11"/>
        <v>310</v>
      </c>
      <c r="O23" s="203">
        <f t="shared" si="12"/>
        <v>225</v>
      </c>
      <c r="P23" s="203">
        <f t="shared" si="13"/>
        <v>240</v>
      </c>
      <c r="Q23" s="229">
        <f t="shared" si="14"/>
        <v>775</v>
      </c>
      <c r="R23" s="235"/>
      <c r="S23" s="203">
        <f>+N23/N$42*'Input Sheet'!H$123</f>
        <v>397.85093006822183</v>
      </c>
      <c r="T23" s="203">
        <f>+O23/O$42*'Input Sheet'!I$123</f>
        <v>380.24427874885407</v>
      </c>
      <c r="U23" s="203">
        <f>+P23/P$42*'Input Sheet'!J$123</f>
        <v>327.58278217307412</v>
      </c>
      <c r="V23" s="229">
        <f t="shared" si="19"/>
        <v>1105.67799099015</v>
      </c>
      <c r="W23" s="144"/>
      <c r="X23" s="234">
        <f t="shared" si="2"/>
        <v>7.1334063934848384</v>
      </c>
      <c r="Y23" s="147">
        <f t="shared" si="20"/>
        <v>7</v>
      </c>
      <c r="Z23" s="147" t="str">
        <f t="shared" si="21"/>
        <v>Hourly</v>
      </c>
      <c r="AA23" s="203">
        <f t="shared" si="22"/>
        <v>1085</v>
      </c>
      <c r="AB23" s="152"/>
      <c r="AC23" s="143"/>
    </row>
    <row r="24" spans="2:29" ht="14.25" customHeight="1" x14ac:dyDescent="0.25">
      <c r="B24" s="217" t="s">
        <v>131</v>
      </c>
      <c r="C24" s="218">
        <f>'Input Sheet'!G23</f>
        <v>80</v>
      </c>
      <c r="D24" s="224" t="str">
        <f>'Input Sheet'!H23</f>
        <v>Hourly</v>
      </c>
      <c r="E24" s="224">
        <f>'Input Sheet'!I23</f>
        <v>10</v>
      </c>
      <c r="F24" s="257">
        <f>'Input Sheet'!J23</f>
        <v>88</v>
      </c>
      <c r="G24" s="136">
        <f>'Input Sheet'!K23</f>
        <v>80</v>
      </c>
      <c r="I24" s="203">
        <f>'Input Sheet'!H71</f>
        <v>14</v>
      </c>
      <c r="J24" s="203">
        <f>'Input Sheet'!I71</f>
        <v>22</v>
      </c>
      <c r="K24" s="203">
        <f>'Input Sheet'!J71</f>
        <v>19</v>
      </c>
      <c r="L24" s="229">
        <f t="shared" si="10"/>
        <v>55</v>
      </c>
      <c r="M24" s="281"/>
      <c r="N24" s="203">
        <f t="shared" si="11"/>
        <v>140</v>
      </c>
      <c r="O24" s="203">
        <f t="shared" si="12"/>
        <v>220</v>
      </c>
      <c r="P24" s="203">
        <f t="shared" si="13"/>
        <v>190</v>
      </c>
      <c r="Q24" s="229">
        <f t="shared" si="14"/>
        <v>550</v>
      </c>
      <c r="R24" s="235"/>
      <c r="S24" s="203">
        <f>+N24/N$42*'Input Sheet'!H$123</f>
        <v>179.67461357919694</v>
      </c>
      <c r="T24" s="203">
        <f>+O24/O$42*'Input Sheet'!I$123</f>
        <v>371.79440588776845</v>
      </c>
      <c r="U24" s="203">
        <f>+P24/P$42*'Input Sheet'!J$123</f>
        <v>259.33636922035038</v>
      </c>
      <c r="V24" s="229">
        <f t="shared" si="19"/>
        <v>810.80538868731583</v>
      </c>
      <c r="W24" s="144"/>
      <c r="X24" s="234">
        <f t="shared" si="2"/>
        <v>14.741916157951197</v>
      </c>
      <c r="Y24" s="147">
        <f t="shared" si="20"/>
        <v>15</v>
      </c>
      <c r="Z24" s="147" t="str">
        <f t="shared" si="21"/>
        <v>Hourly</v>
      </c>
      <c r="AA24" s="203">
        <f t="shared" si="22"/>
        <v>825</v>
      </c>
      <c r="AB24" s="152"/>
      <c r="AC24" s="143"/>
    </row>
    <row r="25" spans="2:29" ht="14.25" customHeight="1" x14ac:dyDescent="0.25">
      <c r="B25" s="217" t="s">
        <v>132</v>
      </c>
      <c r="C25" s="218">
        <f>'Input Sheet'!G24</f>
        <v>80</v>
      </c>
      <c r="D25" s="224" t="str">
        <f>'Input Sheet'!H24</f>
        <v>Hourly</v>
      </c>
      <c r="E25" s="224">
        <f>'Input Sheet'!I24</f>
        <v>20</v>
      </c>
      <c r="F25" s="257">
        <f>'Input Sheet'!J24</f>
        <v>88</v>
      </c>
      <c r="G25" s="136">
        <f>'Input Sheet'!K24</f>
        <v>80</v>
      </c>
      <c r="I25" s="203">
        <f>'Input Sheet'!H72</f>
        <v>11</v>
      </c>
      <c r="J25" s="203">
        <f>'Input Sheet'!I72</f>
        <v>11</v>
      </c>
      <c r="K25" s="203">
        <f>'Input Sheet'!J72</f>
        <v>13</v>
      </c>
      <c r="L25" s="229">
        <f t="shared" si="10"/>
        <v>35</v>
      </c>
      <c r="M25" s="281"/>
      <c r="N25" s="203">
        <f t="shared" si="11"/>
        <v>220</v>
      </c>
      <c r="O25" s="203">
        <f t="shared" si="12"/>
        <v>220</v>
      </c>
      <c r="P25" s="203">
        <f t="shared" si="13"/>
        <v>260</v>
      </c>
      <c r="Q25" s="229">
        <f t="shared" si="14"/>
        <v>700</v>
      </c>
      <c r="R25" s="235"/>
      <c r="S25" s="203">
        <f>+N25/N$42*'Input Sheet'!H$123</f>
        <v>282.34582133873806</v>
      </c>
      <c r="T25" s="203">
        <f>+O25/O$42*'Input Sheet'!I$123</f>
        <v>371.79440588776845</v>
      </c>
      <c r="U25" s="203">
        <f>+P25/P$42*'Input Sheet'!J$123</f>
        <v>354.88134735416361</v>
      </c>
      <c r="V25" s="229">
        <f t="shared" si="19"/>
        <v>1009.0215745806702</v>
      </c>
      <c r="W25" s="144"/>
      <c r="X25" s="234">
        <f t="shared" si="2"/>
        <v>28.829187845162004</v>
      </c>
      <c r="Y25" s="147">
        <f t="shared" si="20"/>
        <v>29</v>
      </c>
      <c r="Z25" s="147" t="str">
        <f t="shared" si="21"/>
        <v>Hourly</v>
      </c>
      <c r="AA25" s="203">
        <f t="shared" si="22"/>
        <v>1015</v>
      </c>
      <c r="AB25" s="152"/>
      <c r="AC25" s="143"/>
    </row>
    <row r="26" spans="2:29" ht="14.25" customHeight="1" x14ac:dyDescent="0.25">
      <c r="B26" s="217" t="s">
        <v>133</v>
      </c>
      <c r="C26" s="218">
        <f>'Input Sheet'!G25</f>
        <v>80</v>
      </c>
      <c r="D26" s="224" t="str">
        <f>'Input Sheet'!H25</f>
        <v>Hourly</v>
      </c>
      <c r="E26" s="224">
        <f>'Input Sheet'!I25</f>
        <v>5</v>
      </c>
      <c r="F26" s="257">
        <f>'Input Sheet'!J25</f>
        <v>88</v>
      </c>
      <c r="G26" s="136">
        <f>'Input Sheet'!K25</f>
        <v>80</v>
      </c>
      <c r="I26" s="203">
        <f>'Input Sheet'!H73</f>
        <v>19</v>
      </c>
      <c r="J26" s="203">
        <f>'Input Sheet'!I73</f>
        <v>27</v>
      </c>
      <c r="K26" s="203">
        <f>'Input Sheet'!J73</f>
        <v>0</v>
      </c>
      <c r="L26" s="229">
        <f t="shared" si="10"/>
        <v>46</v>
      </c>
      <c r="M26" s="281"/>
      <c r="N26" s="203">
        <f t="shared" si="11"/>
        <v>95</v>
      </c>
      <c r="O26" s="203">
        <f t="shared" si="12"/>
        <v>135</v>
      </c>
      <c r="P26" s="203">
        <f t="shared" si="13"/>
        <v>0</v>
      </c>
      <c r="Q26" s="229">
        <f t="shared" si="14"/>
        <v>230</v>
      </c>
      <c r="R26" s="235"/>
      <c r="S26" s="203">
        <f>+N26/N$42*'Input Sheet'!H$123</f>
        <v>121.92205921445507</v>
      </c>
      <c r="T26" s="203">
        <f>+O26/O$42*'Input Sheet'!I$123</f>
        <v>228.14656724931245</v>
      </c>
      <c r="U26" s="203">
        <f>+P26/P$42*'Input Sheet'!J$123</f>
        <v>0</v>
      </c>
      <c r="V26" s="229">
        <f t="shared" si="19"/>
        <v>350.06862646376754</v>
      </c>
      <c r="W26" s="144"/>
      <c r="X26" s="234">
        <f t="shared" si="2"/>
        <v>7.6101875318210332</v>
      </c>
      <c r="Y26" s="147">
        <f t="shared" si="20"/>
        <v>8</v>
      </c>
      <c r="Z26" s="147" t="str">
        <f t="shared" si="21"/>
        <v>Hourly</v>
      </c>
      <c r="AA26" s="203">
        <f t="shared" si="22"/>
        <v>368</v>
      </c>
      <c r="AB26" s="152"/>
      <c r="AC26" s="143"/>
    </row>
    <row r="27" spans="2:29" ht="14.25" customHeight="1" x14ac:dyDescent="0.25">
      <c r="B27" s="217" t="s">
        <v>134</v>
      </c>
      <c r="C27" s="218">
        <f>'Input Sheet'!G26</f>
        <v>80</v>
      </c>
      <c r="D27" s="224" t="str">
        <f>'Input Sheet'!H26</f>
        <v>Hourly</v>
      </c>
      <c r="E27" s="224">
        <f>'Input Sheet'!I26</f>
        <v>13</v>
      </c>
      <c r="F27" s="257">
        <f>'Input Sheet'!J26</f>
        <v>88</v>
      </c>
      <c r="G27" s="136">
        <f>'Input Sheet'!K26</f>
        <v>80</v>
      </c>
      <c r="I27" s="203">
        <f>'Input Sheet'!H74</f>
        <v>4</v>
      </c>
      <c r="J27" s="203">
        <f>'Input Sheet'!I74</f>
        <v>5</v>
      </c>
      <c r="K27" s="203">
        <f>'Input Sheet'!J74</f>
        <v>0</v>
      </c>
      <c r="L27" s="229">
        <f t="shared" si="10"/>
        <v>9</v>
      </c>
      <c r="M27" s="281"/>
      <c r="N27" s="203">
        <f t="shared" si="11"/>
        <v>52</v>
      </c>
      <c r="O27" s="203">
        <f t="shared" si="12"/>
        <v>65</v>
      </c>
      <c r="P27" s="203">
        <f t="shared" si="13"/>
        <v>0</v>
      </c>
      <c r="Q27" s="229">
        <f t="shared" si="14"/>
        <v>117</v>
      </c>
      <c r="R27" s="235"/>
      <c r="S27" s="203">
        <f>+N27/N$42*'Input Sheet'!H$123</f>
        <v>66.736285043701727</v>
      </c>
      <c r="T27" s="203">
        <f>+O27/O$42*'Input Sheet'!I$123</f>
        <v>109.84834719411342</v>
      </c>
      <c r="U27" s="203">
        <f>+P27/P$42*'Input Sheet'!J$123</f>
        <v>0</v>
      </c>
      <c r="V27" s="229">
        <f t="shared" si="19"/>
        <v>176.58463223781513</v>
      </c>
      <c r="W27" s="144"/>
      <c r="X27" s="234">
        <f t="shared" si="2"/>
        <v>19.62051469309057</v>
      </c>
      <c r="Y27" s="147">
        <f t="shared" si="20"/>
        <v>20</v>
      </c>
      <c r="Z27" s="147" t="str">
        <f t="shared" si="21"/>
        <v>Hourly</v>
      </c>
      <c r="AA27" s="203">
        <f t="shared" si="22"/>
        <v>180</v>
      </c>
      <c r="AB27" s="152"/>
      <c r="AC27" s="143"/>
    </row>
    <row r="28" spans="2:29" ht="14.25" customHeight="1" x14ac:dyDescent="0.25">
      <c r="B28" s="217" t="s">
        <v>135</v>
      </c>
      <c r="C28" s="218">
        <f>'Input Sheet'!G27</f>
        <v>80</v>
      </c>
      <c r="D28" s="224" t="str">
        <f>'Input Sheet'!H27</f>
        <v>Hourly</v>
      </c>
      <c r="E28" s="224">
        <f>'Input Sheet'!I27</f>
        <v>20</v>
      </c>
      <c r="F28" s="257">
        <f>'Input Sheet'!J27</f>
        <v>88</v>
      </c>
      <c r="G28" s="136">
        <f>'Input Sheet'!K27</f>
        <v>80</v>
      </c>
      <c r="I28" s="203">
        <f>'Input Sheet'!H75</f>
        <v>0</v>
      </c>
      <c r="J28" s="203">
        <f>'Input Sheet'!I75</f>
        <v>3</v>
      </c>
      <c r="K28" s="203">
        <f>'Input Sheet'!J75</f>
        <v>0</v>
      </c>
      <c r="L28" s="229">
        <f t="shared" si="10"/>
        <v>3</v>
      </c>
      <c r="M28" s="281"/>
      <c r="N28" s="203">
        <f t="shared" si="11"/>
        <v>0</v>
      </c>
      <c r="O28" s="203">
        <f t="shared" si="12"/>
        <v>60</v>
      </c>
      <c r="P28" s="203">
        <f t="shared" si="13"/>
        <v>0</v>
      </c>
      <c r="Q28" s="229">
        <f t="shared" si="14"/>
        <v>60</v>
      </c>
      <c r="R28" s="235"/>
      <c r="S28" s="203">
        <f>+N28/N$42*'Input Sheet'!H$123</f>
        <v>0</v>
      </c>
      <c r="T28" s="203">
        <f>+O28/O$42*'Input Sheet'!I$123</f>
        <v>101.39847433302776</v>
      </c>
      <c r="U28" s="203">
        <f>+P28/P$42*'Input Sheet'!J$123</f>
        <v>0</v>
      </c>
      <c r="V28" s="229">
        <f t="shared" si="19"/>
        <v>101.39847433302776</v>
      </c>
      <c r="W28" s="144"/>
      <c r="X28" s="234">
        <f t="shared" si="2"/>
        <v>33.799491444342586</v>
      </c>
      <c r="Y28" s="147">
        <f t="shared" si="20"/>
        <v>34</v>
      </c>
      <c r="Z28" s="147" t="str">
        <f t="shared" si="21"/>
        <v>Hourly</v>
      </c>
      <c r="AA28" s="203">
        <f t="shared" si="22"/>
        <v>102</v>
      </c>
      <c r="AB28" s="152"/>
      <c r="AC28" s="143"/>
    </row>
    <row r="29" spans="2:29" ht="14.25" customHeight="1" x14ac:dyDescent="0.25">
      <c r="B29" s="217" t="s">
        <v>136</v>
      </c>
      <c r="C29" s="218">
        <f>'Input Sheet'!G28</f>
        <v>80</v>
      </c>
      <c r="D29" s="224" t="str">
        <f>'Input Sheet'!H28</f>
        <v>Hourly</v>
      </c>
      <c r="E29" s="224">
        <f>'Input Sheet'!I28</f>
        <v>25</v>
      </c>
      <c r="F29" s="257">
        <f>'Input Sheet'!J28</f>
        <v>88</v>
      </c>
      <c r="G29" s="136">
        <f>'Input Sheet'!K28</f>
        <v>80</v>
      </c>
      <c r="I29" s="203">
        <f>'Input Sheet'!H76</f>
        <v>0</v>
      </c>
      <c r="J29" s="203">
        <f>'Input Sheet'!I76</f>
        <v>1</v>
      </c>
      <c r="K29" s="203">
        <f>'Input Sheet'!J76</f>
        <v>0</v>
      </c>
      <c r="L29" s="229">
        <f t="shared" si="10"/>
        <v>1</v>
      </c>
      <c r="M29" s="281"/>
      <c r="N29" s="203">
        <f t="shared" si="11"/>
        <v>0</v>
      </c>
      <c r="O29" s="203">
        <f t="shared" si="12"/>
        <v>25</v>
      </c>
      <c r="P29" s="203">
        <f t="shared" si="13"/>
        <v>0</v>
      </c>
      <c r="Q29" s="229">
        <f t="shared" si="14"/>
        <v>25</v>
      </c>
      <c r="R29" s="235"/>
      <c r="S29" s="203">
        <f>+N29/N$42*'Input Sheet'!H$123</f>
        <v>0</v>
      </c>
      <c r="T29" s="203">
        <f>+O29/O$42*'Input Sheet'!I$123</f>
        <v>42.24936430542823</v>
      </c>
      <c r="U29" s="203">
        <f>+P29/P$42*'Input Sheet'!J$123</f>
        <v>0</v>
      </c>
      <c r="V29" s="229">
        <f t="shared" si="19"/>
        <v>42.24936430542823</v>
      </c>
      <c r="W29" s="144"/>
      <c r="X29" s="234">
        <f t="shared" si="2"/>
        <v>42.24936430542823</v>
      </c>
      <c r="Y29" s="147">
        <f t="shared" si="20"/>
        <v>42</v>
      </c>
      <c r="Z29" s="147" t="str">
        <f t="shared" si="21"/>
        <v>Hourly</v>
      </c>
      <c r="AA29" s="203">
        <f t="shared" si="22"/>
        <v>42</v>
      </c>
      <c r="AB29" s="152"/>
      <c r="AC29" s="143"/>
    </row>
    <row r="30" spans="2:29" ht="14.25" customHeight="1" x14ac:dyDescent="0.25">
      <c r="B30" s="217" t="s">
        <v>137</v>
      </c>
      <c r="C30" s="218">
        <f>'Input Sheet'!G29</f>
        <v>80</v>
      </c>
      <c r="D30" s="224" t="str">
        <f>'Input Sheet'!H29</f>
        <v>Hourly</v>
      </c>
      <c r="E30" s="224">
        <f>'Input Sheet'!I29</f>
        <v>143</v>
      </c>
      <c r="F30" s="257">
        <f>'Input Sheet'!J29</f>
        <v>88</v>
      </c>
      <c r="G30" s="136">
        <f>'Input Sheet'!K29</f>
        <v>80</v>
      </c>
      <c r="I30" s="203">
        <f>'Input Sheet'!H77</f>
        <v>4</v>
      </c>
      <c r="J30" s="203">
        <f>'Input Sheet'!I77</f>
        <v>1</v>
      </c>
      <c r="K30" s="203">
        <f>'Input Sheet'!J77</f>
        <v>0</v>
      </c>
      <c r="L30" s="229">
        <f t="shared" si="10"/>
        <v>5</v>
      </c>
      <c r="M30" s="281"/>
      <c r="N30" s="203">
        <f t="shared" si="11"/>
        <v>572</v>
      </c>
      <c r="O30" s="203">
        <f t="shared" si="12"/>
        <v>143</v>
      </c>
      <c r="P30" s="203">
        <f t="shared" si="13"/>
        <v>0</v>
      </c>
      <c r="Q30" s="229">
        <f t="shared" si="14"/>
        <v>715</v>
      </c>
      <c r="R30" s="235"/>
      <c r="S30" s="203">
        <f>+N30/N$42*'Input Sheet'!H$123</f>
        <v>734.09913548071893</v>
      </c>
      <c r="T30" s="203">
        <f>+O30/O$42*'Input Sheet'!I$123</f>
        <v>241.66636382704951</v>
      </c>
      <c r="U30" s="203">
        <f>+P30/P$42*'Input Sheet'!J$123</f>
        <v>0</v>
      </c>
      <c r="V30" s="229">
        <f t="shared" si="19"/>
        <v>975.76549930776844</v>
      </c>
      <c r="W30" s="144"/>
      <c r="X30" s="234">
        <f t="shared" si="2"/>
        <v>195.1530998615537</v>
      </c>
      <c r="Y30" s="147">
        <f t="shared" si="20"/>
        <v>195</v>
      </c>
      <c r="Z30" s="147" t="str">
        <f t="shared" si="21"/>
        <v>Hourly</v>
      </c>
      <c r="AA30" s="203">
        <f t="shared" si="22"/>
        <v>975</v>
      </c>
      <c r="AB30" s="152"/>
      <c r="AC30" s="143"/>
    </row>
    <row r="31" spans="2:29" ht="14.25" customHeight="1" x14ac:dyDescent="0.25">
      <c r="B31" s="217" t="s">
        <v>138</v>
      </c>
      <c r="C31" s="218">
        <f>'Input Sheet'!G30</f>
        <v>80</v>
      </c>
      <c r="D31" s="224" t="str">
        <f>'Input Sheet'!H30</f>
        <v>Hourly</v>
      </c>
      <c r="E31" s="224">
        <f>'Input Sheet'!I30</f>
        <v>0</v>
      </c>
      <c r="F31" s="257">
        <f>'Input Sheet'!J30</f>
        <v>88</v>
      </c>
      <c r="G31" s="136">
        <f>'Input Sheet'!K30</f>
        <v>80</v>
      </c>
      <c r="I31" s="203">
        <f>'Input Sheet'!H78</f>
        <v>0</v>
      </c>
      <c r="J31" s="203">
        <f>'Input Sheet'!I78</f>
        <v>0</v>
      </c>
      <c r="K31" s="203">
        <f>'Input Sheet'!J78</f>
        <v>0</v>
      </c>
      <c r="L31" s="229">
        <f t="shared" si="10"/>
        <v>0</v>
      </c>
      <c r="M31" s="281"/>
      <c r="N31" s="203">
        <f t="shared" si="11"/>
        <v>0</v>
      </c>
      <c r="O31" s="203">
        <f t="shared" si="12"/>
        <v>0</v>
      </c>
      <c r="P31" s="203">
        <f t="shared" si="13"/>
        <v>0</v>
      </c>
      <c r="Q31" s="229">
        <f t="shared" si="14"/>
        <v>0</v>
      </c>
      <c r="R31" s="235"/>
      <c r="S31" s="203">
        <f>+N31/N$42*'Input Sheet'!H$123</f>
        <v>0</v>
      </c>
      <c r="T31" s="203">
        <f>+O31/O$42*'Input Sheet'!I$123</f>
        <v>0</v>
      </c>
      <c r="U31" s="203">
        <f>+P31/P$42*'Input Sheet'!J$123</f>
        <v>0</v>
      </c>
      <c r="V31" s="229">
        <f t="shared" si="19"/>
        <v>0</v>
      </c>
      <c r="W31" s="144"/>
      <c r="X31" s="234">
        <f t="shared" si="2"/>
        <v>0</v>
      </c>
      <c r="Y31" s="147">
        <f t="shared" si="20"/>
        <v>0</v>
      </c>
      <c r="Z31" s="147" t="str">
        <f t="shared" si="21"/>
        <v>Hourly</v>
      </c>
      <c r="AA31" s="203">
        <f t="shared" si="22"/>
        <v>0</v>
      </c>
      <c r="AB31" s="152"/>
      <c r="AC31" s="143"/>
    </row>
    <row r="32" spans="2:29" ht="14.25" customHeight="1" x14ac:dyDescent="0.25">
      <c r="B32" s="217" t="s">
        <v>139</v>
      </c>
      <c r="C32" s="218">
        <f>'Input Sheet'!G31</f>
        <v>80</v>
      </c>
      <c r="D32" s="224" t="str">
        <f>'Input Sheet'!H31</f>
        <v>Hourly</v>
      </c>
      <c r="E32" s="224">
        <f>'Input Sheet'!I31</f>
        <v>0</v>
      </c>
      <c r="F32" s="257">
        <f>'Input Sheet'!J31</f>
        <v>88</v>
      </c>
      <c r="G32" s="136">
        <f>'Input Sheet'!K31</f>
        <v>80</v>
      </c>
      <c r="I32" s="203">
        <f>'Input Sheet'!H79</f>
        <v>0</v>
      </c>
      <c r="J32" s="203">
        <f>'Input Sheet'!I79</f>
        <v>0</v>
      </c>
      <c r="K32" s="203">
        <f>'Input Sheet'!J79</f>
        <v>0</v>
      </c>
      <c r="L32" s="229">
        <f t="shared" si="10"/>
        <v>0</v>
      </c>
      <c r="M32" s="280"/>
      <c r="N32" s="203">
        <f t="shared" si="11"/>
        <v>0</v>
      </c>
      <c r="O32" s="203">
        <f t="shared" si="12"/>
        <v>0</v>
      </c>
      <c r="P32" s="203">
        <f t="shared" si="13"/>
        <v>0</v>
      </c>
      <c r="Q32" s="229">
        <f t="shared" si="14"/>
        <v>0</v>
      </c>
      <c r="R32" s="235"/>
      <c r="S32" s="203">
        <f>+N32/N$42*'Input Sheet'!H$123</f>
        <v>0</v>
      </c>
      <c r="T32" s="203">
        <f>+O32/O$42*'Input Sheet'!I$123</f>
        <v>0</v>
      </c>
      <c r="U32" s="203">
        <f>+P32/P$42*'Input Sheet'!J$123</f>
        <v>0</v>
      </c>
      <c r="V32" s="229">
        <f t="shared" si="15"/>
        <v>0</v>
      </c>
      <c r="W32" s="144"/>
      <c r="X32" s="234">
        <f t="shared" si="2"/>
        <v>0</v>
      </c>
      <c r="Y32" s="147">
        <f t="shared" si="16"/>
        <v>0</v>
      </c>
      <c r="Z32" s="147" t="str">
        <f t="shared" si="17"/>
        <v>Hourly</v>
      </c>
      <c r="AA32" s="203">
        <f t="shared" si="18"/>
        <v>0</v>
      </c>
      <c r="AB32" s="152"/>
      <c r="AC32" s="143"/>
    </row>
    <row r="33" spans="2:29" ht="14.25" customHeight="1" x14ac:dyDescent="0.25">
      <c r="B33" s="217" t="s">
        <v>140</v>
      </c>
      <c r="C33" s="218">
        <f>'Input Sheet'!G32</f>
        <v>80</v>
      </c>
      <c r="D33" s="224" t="str">
        <f>'Input Sheet'!H32</f>
        <v>Hourly</v>
      </c>
      <c r="E33" s="224">
        <f>'Input Sheet'!I32</f>
        <v>0</v>
      </c>
      <c r="F33" s="257">
        <f>'Input Sheet'!J32</f>
        <v>88</v>
      </c>
      <c r="G33" s="136">
        <f>'Input Sheet'!K32</f>
        <v>80</v>
      </c>
      <c r="I33" s="203">
        <f>'Input Sheet'!H80</f>
        <v>0</v>
      </c>
      <c r="J33" s="203">
        <f>'Input Sheet'!I80</f>
        <v>0</v>
      </c>
      <c r="K33" s="203">
        <f>'Input Sheet'!J80</f>
        <v>0</v>
      </c>
      <c r="L33" s="229">
        <f t="shared" si="10"/>
        <v>0</v>
      </c>
      <c r="M33" s="280"/>
      <c r="N33" s="203">
        <f t="shared" si="11"/>
        <v>0</v>
      </c>
      <c r="O33" s="203">
        <f t="shared" si="12"/>
        <v>0</v>
      </c>
      <c r="P33" s="203">
        <f t="shared" si="13"/>
        <v>0</v>
      </c>
      <c r="Q33" s="229">
        <f t="shared" si="14"/>
        <v>0</v>
      </c>
      <c r="R33" s="235"/>
      <c r="S33" s="203">
        <f>+N33/N$42*'Input Sheet'!H$123</f>
        <v>0</v>
      </c>
      <c r="T33" s="203">
        <f>+O33/O$42*'Input Sheet'!I$123</f>
        <v>0</v>
      </c>
      <c r="U33" s="203">
        <f>+P33/P$42*'Input Sheet'!J$123</f>
        <v>0</v>
      </c>
      <c r="V33" s="229">
        <f t="shared" si="15"/>
        <v>0</v>
      </c>
      <c r="W33" s="144"/>
      <c r="X33" s="234">
        <f t="shared" si="2"/>
        <v>0</v>
      </c>
      <c r="Y33" s="147">
        <f t="shared" si="16"/>
        <v>0</v>
      </c>
      <c r="Z33" s="147" t="str">
        <f t="shared" si="17"/>
        <v>Hourly</v>
      </c>
      <c r="AA33" s="203">
        <f t="shared" si="18"/>
        <v>0</v>
      </c>
      <c r="AB33" s="152"/>
      <c r="AC33" s="143"/>
    </row>
    <row r="34" spans="2:29" ht="14.25" customHeight="1" x14ac:dyDescent="0.25">
      <c r="B34" s="217" t="s">
        <v>141</v>
      </c>
      <c r="C34" s="218">
        <f>'Input Sheet'!G33</f>
        <v>80</v>
      </c>
      <c r="D34" s="224" t="str">
        <f>'Input Sheet'!H33</f>
        <v>Hourly</v>
      </c>
      <c r="E34" s="224">
        <f>'Input Sheet'!I33</f>
        <v>0</v>
      </c>
      <c r="F34" s="257">
        <f>'Input Sheet'!J33</f>
        <v>88</v>
      </c>
      <c r="G34" s="136">
        <f>'Input Sheet'!K33</f>
        <v>80</v>
      </c>
      <c r="I34" s="203">
        <f>'Input Sheet'!H81</f>
        <v>0</v>
      </c>
      <c r="J34" s="203">
        <f>'Input Sheet'!I81</f>
        <v>0</v>
      </c>
      <c r="K34" s="203">
        <f>'Input Sheet'!J81</f>
        <v>0</v>
      </c>
      <c r="L34" s="229">
        <f t="shared" si="10"/>
        <v>0</v>
      </c>
      <c r="M34" s="280"/>
      <c r="N34" s="203">
        <f t="shared" si="11"/>
        <v>0</v>
      </c>
      <c r="O34" s="203">
        <f t="shared" si="12"/>
        <v>0</v>
      </c>
      <c r="P34" s="203">
        <f t="shared" si="13"/>
        <v>0</v>
      </c>
      <c r="Q34" s="229">
        <f t="shared" si="14"/>
        <v>0</v>
      </c>
      <c r="R34" s="235"/>
      <c r="S34" s="203">
        <f>+N34/N$42*'Input Sheet'!H$123</f>
        <v>0</v>
      </c>
      <c r="T34" s="203">
        <f>+O34/O$42*'Input Sheet'!I$123</f>
        <v>0</v>
      </c>
      <c r="U34" s="203">
        <f>+P34/P$42*'Input Sheet'!J$123</f>
        <v>0</v>
      </c>
      <c r="V34" s="229">
        <f t="shared" si="15"/>
        <v>0</v>
      </c>
      <c r="W34" s="144"/>
      <c r="X34" s="234">
        <f t="shared" si="2"/>
        <v>0</v>
      </c>
      <c r="Y34" s="147">
        <f t="shared" si="16"/>
        <v>0</v>
      </c>
      <c r="Z34" s="147" t="str">
        <f t="shared" si="17"/>
        <v>Hourly</v>
      </c>
      <c r="AA34" s="203">
        <f t="shared" si="18"/>
        <v>0</v>
      </c>
      <c r="AB34" s="152"/>
      <c r="AC34" s="143"/>
    </row>
    <row r="35" spans="2:29" ht="14.25" customHeight="1" x14ac:dyDescent="0.25">
      <c r="B35" s="217" t="s">
        <v>142</v>
      </c>
      <c r="C35" s="218">
        <f>'Input Sheet'!G34</f>
        <v>80</v>
      </c>
      <c r="D35" s="224" t="str">
        <f>'Input Sheet'!H34</f>
        <v>Hourly</v>
      </c>
      <c r="E35" s="224">
        <f>'Input Sheet'!I34</f>
        <v>5</v>
      </c>
      <c r="F35" s="257">
        <f>'Input Sheet'!J34</f>
        <v>88</v>
      </c>
      <c r="G35" s="136">
        <f>'Input Sheet'!K34</f>
        <v>80</v>
      </c>
      <c r="I35" s="203">
        <f>'Input Sheet'!H82</f>
        <v>49</v>
      </c>
      <c r="J35" s="203">
        <f>'Input Sheet'!I82</f>
        <v>66</v>
      </c>
      <c r="K35" s="203">
        <f>'Input Sheet'!J82</f>
        <v>82</v>
      </c>
      <c r="L35" s="229">
        <f t="shared" si="10"/>
        <v>197</v>
      </c>
      <c r="M35" s="280"/>
      <c r="N35" s="203">
        <f t="shared" si="11"/>
        <v>245</v>
      </c>
      <c r="O35" s="203">
        <f t="shared" si="12"/>
        <v>330</v>
      </c>
      <c r="P35" s="203">
        <f t="shared" si="13"/>
        <v>410</v>
      </c>
      <c r="Q35" s="229">
        <f t="shared" si="14"/>
        <v>985</v>
      </c>
      <c r="R35" s="235"/>
      <c r="S35" s="203">
        <f>+N35/N$42*'Input Sheet'!H$123</f>
        <v>314.43057376359468</v>
      </c>
      <c r="T35" s="203">
        <f>+O35/O$42*'Input Sheet'!I$123</f>
        <v>557.69160883165262</v>
      </c>
      <c r="U35" s="203">
        <f>+P35/P$42*'Input Sheet'!J$123</f>
        <v>559.62058621233496</v>
      </c>
      <c r="V35" s="229">
        <f t="shared" si="15"/>
        <v>1431.7427688075823</v>
      </c>
      <c r="W35" s="144"/>
      <c r="X35" s="234">
        <f t="shared" si="2"/>
        <v>7.2677297909014325</v>
      </c>
      <c r="Y35" s="147">
        <f t="shared" si="16"/>
        <v>7</v>
      </c>
      <c r="Z35" s="147" t="str">
        <f t="shared" si="17"/>
        <v>Hourly</v>
      </c>
      <c r="AA35" s="203">
        <f t="shared" si="18"/>
        <v>1379</v>
      </c>
      <c r="AB35" s="152"/>
      <c r="AC35" s="143"/>
    </row>
    <row r="36" spans="2:29" ht="14.25" customHeight="1" x14ac:dyDescent="0.25">
      <c r="B36" s="217"/>
      <c r="C36" s="218"/>
      <c r="D36" s="224"/>
      <c r="E36" s="224"/>
      <c r="F36" s="257"/>
      <c r="G36" s="136"/>
      <c r="I36" s="203"/>
      <c r="J36" s="203"/>
      <c r="K36" s="203"/>
      <c r="L36" s="229"/>
      <c r="M36" s="280"/>
      <c r="N36" s="203"/>
      <c r="O36" s="203"/>
      <c r="P36" s="203"/>
      <c r="Q36" s="229"/>
      <c r="R36" s="235"/>
      <c r="S36" s="203"/>
      <c r="T36" s="203"/>
      <c r="U36" s="203"/>
      <c r="V36" s="229"/>
      <c r="W36" s="144"/>
      <c r="X36" s="234"/>
      <c r="Y36" s="147"/>
      <c r="Z36" s="147"/>
      <c r="AA36" s="203"/>
      <c r="AB36" s="152"/>
      <c r="AC36" s="143"/>
    </row>
    <row r="37" spans="2:29" ht="14.25" customHeight="1" x14ac:dyDescent="0.25">
      <c r="B37" s="217" t="s">
        <v>143</v>
      </c>
      <c r="C37" s="218">
        <f>'Input Sheet'!G36</f>
        <v>96.363636363636374</v>
      </c>
      <c r="D37" s="224" t="str">
        <f>'Input Sheet'!H36</f>
        <v>Hourly</v>
      </c>
      <c r="E37" s="224">
        <f>'Input Sheet'!I36</f>
        <v>6</v>
      </c>
      <c r="F37" s="257">
        <f>'Input Sheet'!J36</f>
        <v>106</v>
      </c>
      <c r="G37" s="136">
        <f>'Input Sheet'!K36</f>
        <v>96.363636363636374</v>
      </c>
      <c r="I37" s="203">
        <f>'Input Sheet'!H84</f>
        <v>110</v>
      </c>
      <c r="J37" s="203">
        <f>'Input Sheet'!I84</f>
        <v>122</v>
      </c>
      <c r="K37" s="203">
        <f>'Input Sheet'!J84</f>
        <v>174</v>
      </c>
      <c r="L37" s="229">
        <f t="shared" ref="L37:L40" si="27">SUM(I37:K37)</f>
        <v>406</v>
      </c>
      <c r="M37" s="280"/>
      <c r="N37" s="203">
        <f t="shared" ref="N37:N40" si="28">IF($D37="Hourly",$E37*I37,$D37*I37)</f>
        <v>660</v>
      </c>
      <c r="O37" s="203">
        <f t="shared" ref="O37:O40" si="29">IF($D37="Hourly",$E37*J37,$D37*J37)</f>
        <v>732</v>
      </c>
      <c r="P37" s="203">
        <f t="shared" ref="P37:P40" si="30">IF($D37="Hourly",$E37*K37,$D37*K37)</f>
        <v>1044</v>
      </c>
      <c r="Q37" s="229">
        <f t="shared" ref="Q37:Q40" si="31">SUM(N37:P37)</f>
        <v>2436</v>
      </c>
      <c r="R37" s="235"/>
      <c r="S37" s="203">
        <f>+N37/N$42*'Input Sheet'!H$123</f>
        <v>847.03746401621424</v>
      </c>
      <c r="T37" s="203">
        <f>+O37/O$42*'Input Sheet'!I$123</f>
        <v>1237.0613868629387</v>
      </c>
      <c r="U37" s="203">
        <f>+P37/P$42*'Input Sheet'!J$123</f>
        <v>1424.9851024528725</v>
      </c>
      <c r="V37" s="229">
        <f t="shared" ref="V37:V40" si="32">SUM(S37:U37)</f>
        <v>3509.0839533320254</v>
      </c>
      <c r="W37" s="144"/>
      <c r="X37" s="234">
        <f t="shared" si="2"/>
        <v>8.6430639244631173</v>
      </c>
      <c r="Y37" s="147">
        <f t="shared" ref="Y37:Y40" si="33">ROUND(X37,0)</f>
        <v>9</v>
      </c>
      <c r="Z37" s="147" t="str">
        <f t="shared" ref="Z37:Z40" si="34">IF(D37="Hourly","Hourly",Y37)</f>
        <v>Hourly</v>
      </c>
      <c r="AA37" s="203">
        <f t="shared" ref="AA37:AA40" si="35">+Y37*L37</f>
        <v>3654</v>
      </c>
      <c r="AB37" s="152"/>
      <c r="AC37" s="143"/>
    </row>
    <row r="38" spans="2:29" ht="14.25" customHeight="1" x14ac:dyDescent="0.25">
      <c r="B38" s="217" t="s">
        <v>144</v>
      </c>
      <c r="C38" s="218">
        <f>'Input Sheet'!G37</f>
        <v>80</v>
      </c>
      <c r="D38" s="224" t="str">
        <f>'Input Sheet'!H37</f>
        <v>Hourly</v>
      </c>
      <c r="E38" s="224">
        <f>'Input Sheet'!I37</f>
        <v>7</v>
      </c>
      <c r="F38" s="257">
        <f>'Input Sheet'!J37</f>
        <v>88</v>
      </c>
      <c r="G38" s="136">
        <f>'Input Sheet'!K37</f>
        <v>80</v>
      </c>
      <c r="I38" s="203">
        <f>'Input Sheet'!H85</f>
        <v>17</v>
      </c>
      <c r="J38" s="203">
        <f>'Input Sheet'!I85</f>
        <v>15</v>
      </c>
      <c r="K38" s="203">
        <f>'Input Sheet'!J85</f>
        <v>15</v>
      </c>
      <c r="L38" s="229">
        <f t="shared" si="27"/>
        <v>47</v>
      </c>
      <c r="M38" s="280"/>
      <c r="N38" s="203">
        <f t="shared" si="28"/>
        <v>119</v>
      </c>
      <c r="O38" s="203">
        <f t="shared" si="29"/>
        <v>105</v>
      </c>
      <c r="P38" s="203">
        <f t="shared" si="30"/>
        <v>105</v>
      </c>
      <c r="Q38" s="229">
        <f t="shared" si="31"/>
        <v>329</v>
      </c>
      <c r="R38" s="235"/>
      <c r="S38" s="203">
        <f>+N38/N$42*'Input Sheet'!H$123</f>
        <v>152.7234215423174</v>
      </c>
      <c r="T38" s="203">
        <f>+O38/O$42*'Input Sheet'!I$123</f>
        <v>177.44733008279857</v>
      </c>
      <c r="U38" s="203">
        <f>+P38/P$42*'Input Sheet'!J$123</f>
        <v>143.31746720071993</v>
      </c>
      <c r="V38" s="229">
        <f t="shared" ref="V38:V39" si="36">SUM(S38:U38)</f>
        <v>473.48821882583587</v>
      </c>
      <c r="W38" s="144"/>
      <c r="X38" s="234">
        <f t="shared" si="2"/>
        <v>10.074217421826296</v>
      </c>
      <c r="Y38" s="147">
        <f t="shared" ref="Y38:Y39" si="37">ROUND(X38,0)</f>
        <v>10</v>
      </c>
      <c r="Z38" s="147" t="str">
        <f t="shared" ref="Z38:Z39" si="38">IF(D38="Hourly","Hourly",Y38)</f>
        <v>Hourly</v>
      </c>
      <c r="AA38" s="203">
        <f t="shared" ref="AA38:AA39" si="39">+Y38*L38</f>
        <v>470</v>
      </c>
      <c r="AB38" s="152"/>
      <c r="AC38" s="143"/>
    </row>
    <row r="39" spans="2:29" ht="14.25" customHeight="1" x14ac:dyDescent="0.25">
      <c r="B39" s="217" t="s">
        <v>145</v>
      </c>
      <c r="C39" s="218">
        <f>'Input Sheet'!G38</f>
        <v>96.363636363636374</v>
      </c>
      <c r="D39" s="224" t="str">
        <f>'Input Sheet'!H38</f>
        <v>Hourly</v>
      </c>
      <c r="E39" s="224">
        <f>'Input Sheet'!I38</f>
        <v>4</v>
      </c>
      <c r="F39" s="257">
        <f>'Input Sheet'!J38</f>
        <v>106</v>
      </c>
      <c r="G39" s="136">
        <f>'Input Sheet'!K38</f>
        <v>96.363636363636374</v>
      </c>
      <c r="I39" s="203">
        <f>'Input Sheet'!H86</f>
        <v>33</v>
      </c>
      <c r="J39" s="203">
        <f>'Input Sheet'!I86</f>
        <v>55</v>
      </c>
      <c r="K39" s="203">
        <f>'Input Sheet'!J86</f>
        <v>53</v>
      </c>
      <c r="L39" s="229">
        <f t="shared" si="27"/>
        <v>141</v>
      </c>
      <c r="M39" s="280"/>
      <c r="N39" s="203">
        <f t="shared" si="28"/>
        <v>132</v>
      </c>
      <c r="O39" s="203">
        <f t="shared" si="29"/>
        <v>220</v>
      </c>
      <c r="P39" s="203">
        <f t="shared" si="30"/>
        <v>212</v>
      </c>
      <c r="Q39" s="229">
        <f t="shared" si="31"/>
        <v>564</v>
      </c>
      <c r="R39" s="235"/>
      <c r="S39" s="203">
        <f>+N39/N$42*'Input Sheet'!H$123</f>
        <v>169.40749280324286</v>
      </c>
      <c r="T39" s="203">
        <f>+O39/O$42*'Input Sheet'!I$123</f>
        <v>371.79440588776845</v>
      </c>
      <c r="U39" s="203">
        <f>+P39/P$42*'Input Sheet'!J$123</f>
        <v>289.3647909195488</v>
      </c>
      <c r="V39" s="229">
        <f t="shared" si="36"/>
        <v>830.56668961056016</v>
      </c>
      <c r="W39" s="144"/>
      <c r="X39" s="234">
        <f t="shared" si="2"/>
        <v>5.8905438979472349</v>
      </c>
      <c r="Y39" s="147">
        <f t="shared" si="37"/>
        <v>6</v>
      </c>
      <c r="Z39" s="147" t="str">
        <f t="shared" si="38"/>
        <v>Hourly</v>
      </c>
      <c r="AA39" s="203">
        <f t="shared" si="39"/>
        <v>846</v>
      </c>
      <c r="AB39" s="152"/>
      <c r="AC39" s="143"/>
    </row>
    <row r="40" spans="2:29" ht="14.25" customHeight="1" x14ac:dyDescent="0.25">
      <c r="B40" s="217" t="s">
        <v>146</v>
      </c>
      <c r="C40" s="218">
        <f>'Input Sheet'!G39</f>
        <v>80</v>
      </c>
      <c r="D40" s="224" t="str">
        <f>'Input Sheet'!H39</f>
        <v>Hourly</v>
      </c>
      <c r="E40" s="224">
        <f>'Input Sheet'!I39</f>
        <v>4</v>
      </c>
      <c r="F40" s="257">
        <f>'Input Sheet'!J39</f>
        <v>88</v>
      </c>
      <c r="G40" s="136">
        <f>'Input Sheet'!K39</f>
        <v>80</v>
      </c>
      <c r="I40" s="203">
        <f>'Input Sheet'!H87</f>
        <v>6</v>
      </c>
      <c r="J40" s="203">
        <f>'Input Sheet'!I87</f>
        <v>14</v>
      </c>
      <c r="K40" s="203">
        <f>'Input Sheet'!J87</f>
        <v>6</v>
      </c>
      <c r="L40" s="229">
        <f t="shared" si="27"/>
        <v>26</v>
      </c>
      <c r="M40" s="280"/>
      <c r="N40" s="203">
        <f t="shared" si="28"/>
        <v>24</v>
      </c>
      <c r="O40" s="203">
        <f t="shared" si="29"/>
        <v>56</v>
      </c>
      <c r="P40" s="203">
        <f t="shared" si="30"/>
        <v>24</v>
      </c>
      <c r="Q40" s="229">
        <f t="shared" si="31"/>
        <v>104</v>
      </c>
      <c r="R40" s="235"/>
      <c r="S40" s="203">
        <f>+N40/N$42*'Input Sheet'!H$123</f>
        <v>30.801362327862339</v>
      </c>
      <c r="T40" s="203">
        <f>+O40/O$42*'Input Sheet'!I$123</f>
        <v>94.638576044159237</v>
      </c>
      <c r="U40" s="203">
        <f>+P40/P$42*'Input Sheet'!J$123</f>
        <v>32.758278217307414</v>
      </c>
      <c r="V40" s="229">
        <f t="shared" si="32"/>
        <v>158.19821658932898</v>
      </c>
      <c r="W40" s="144"/>
      <c r="X40" s="234">
        <f t="shared" si="2"/>
        <v>6.0845467918972682</v>
      </c>
      <c r="Y40" s="147">
        <f t="shared" si="33"/>
        <v>6</v>
      </c>
      <c r="Z40" s="147" t="str">
        <f t="shared" si="34"/>
        <v>Hourly</v>
      </c>
      <c r="AA40" s="203">
        <f t="shared" si="35"/>
        <v>156</v>
      </c>
      <c r="AB40" s="152"/>
      <c r="AC40" s="143"/>
    </row>
    <row r="41" spans="2:29" ht="14.25" customHeight="1" x14ac:dyDescent="0.25">
      <c r="B41" s="209"/>
      <c r="C41" s="209"/>
      <c r="D41" s="208"/>
      <c r="E41" s="208"/>
      <c r="F41" s="208"/>
      <c r="G41" s="210"/>
      <c r="I41" s="207"/>
      <c r="J41" s="207"/>
      <c r="K41" s="204"/>
      <c r="L41" s="207"/>
      <c r="M41" s="280"/>
      <c r="N41" s="207"/>
      <c r="O41" s="207"/>
      <c r="P41" s="207"/>
      <c r="Q41" s="207"/>
      <c r="R41" s="280"/>
      <c r="S41" s="205"/>
      <c r="T41" s="205"/>
      <c r="U41" s="205"/>
      <c r="V41" s="205"/>
      <c r="W41" s="149"/>
      <c r="X41" s="207"/>
      <c r="Y41" s="207"/>
      <c r="Z41" s="207"/>
      <c r="AA41" s="207"/>
    </row>
    <row r="42" spans="2:29" ht="14.25" customHeight="1" thickBot="1" x14ac:dyDescent="0.3">
      <c r="I42" s="206">
        <f t="shared" ref="I42:K42" si="40">SUM(I10:I41)</f>
        <v>835</v>
      </c>
      <c r="J42" s="206">
        <f t="shared" si="40"/>
        <v>961</v>
      </c>
      <c r="K42" s="206">
        <f t="shared" si="40"/>
        <v>957</v>
      </c>
      <c r="L42" s="206">
        <f>SUM(L10:L41)</f>
        <v>2753</v>
      </c>
      <c r="M42" s="280"/>
      <c r="N42" s="206">
        <f>SUM(N10:N41)</f>
        <v>6716.704545454546</v>
      </c>
      <c r="O42" s="206">
        <f>SUM(O10:O41)</f>
        <v>7302.409090909091</v>
      </c>
      <c r="P42" s="206">
        <f>SUM(P10:P41)</f>
        <v>7231.8977272727279</v>
      </c>
      <c r="Q42" s="206">
        <f>SUM(Q10:Q41)</f>
        <v>21251.011363636364</v>
      </c>
      <c r="R42" s="280"/>
      <c r="S42" s="206">
        <f>SUM(S10:S41)</f>
        <v>8620.1520980727237</v>
      </c>
      <c r="T42" s="206">
        <f>SUM(T10:T41)</f>
        <v>12340.885679563569</v>
      </c>
      <c r="U42" s="206">
        <f>SUM(U10:U41)</f>
        <v>9871.0215745463811</v>
      </c>
      <c r="V42" s="206">
        <f>SUM(V10:V41)</f>
        <v>30832.059352182667</v>
      </c>
      <c r="X42" s="235"/>
      <c r="Y42" s="235"/>
      <c r="Z42" s="235"/>
      <c r="AA42" s="206">
        <f>SUM(AA10:AA41)</f>
        <v>30914</v>
      </c>
    </row>
    <row r="43" spans="2:29" ht="14.25" customHeight="1" x14ac:dyDescent="0.25">
      <c r="I43" s="327"/>
      <c r="J43" s="327"/>
      <c r="K43" s="327"/>
      <c r="S43" s="274">
        <f>+S42-'Input Sheet'!H123</f>
        <v>0</v>
      </c>
      <c r="T43" s="274">
        <f>+T42-'Input Sheet'!I123</f>
        <v>0</v>
      </c>
      <c r="U43" s="274">
        <f>+U42-'Input Sheet'!J123</f>
        <v>0</v>
      </c>
      <c r="AA43" s="323"/>
    </row>
    <row r="44" spans="2:29" ht="14.25" hidden="1" customHeight="1" x14ac:dyDescent="0.25">
      <c r="M44" s="153"/>
      <c r="Y44" s="154"/>
      <c r="Z44" s="154"/>
      <c r="AA44" s="143"/>
    </row>
    <row r="45" spans="2:29" ht="14.25" hidden="1" customHeight="1" x14ac:dyDescent="0.25">
      <c r="Y45" s="155"/>
      <c r="Z45" s="155"/>
      <c r="AA45" s="143"/>
    </row>
    <row r="46" spans="2:29" ht="14.25" hidden="1" customHeight="1" x14ac:dyDescent="0.25">
      <c r="Y46" s="155"/>
      <c r="Z46" s="155"/>
      <c r="AA46" s="150"/>
    </row>
    <row r="47" spans="2:29" hidden="1" x14ac:dyDescent="0.25">
      <c r="V47" s="143"/>
    </row>
    <row r="48" spans="2:29" hidden="1" x14ac:dyDescent="0.25">
      <c r="K48" s="149"/>
      <c r="L48" s="149"/>
      <c r="M48" s="146"/>
      <c r="N48" s="146"/>
      <c r="O48" s="146"/>
      <c r="P48" s="146"/>
      <c r="Q48" s="146"/>
      <c r="V48" s="143"/>
    </row>
    <row r="49" spans="11:22" hidden="1" x14ac:dyDescent="0.25">
      <c r="K49" s="149"/>
      <c r="L49" s="149"/>
      <c r="M49" s="231"/>
      <c r="N49" s="232"/>
      <c r="O49" s="232"/>
      <c r="P49" s="232"/>
      <c r="Q49" s="232"/>
      <c r="V49" s="143"/>
    </row>
    <row r="50" spans="11:22" hidden="1" x14ac:dyDescent="0.25">
      <c r="K50" s="149"/>
      <c r="L50" s="149"/>
      <c r="M50" s="146"/>
      <c r="N50" s="149"/>
      <c r="O50" s="149"/>
      <c r="P50" s="148"/>
      <c r="Q50" s="148"/>
      <c r="R50" s="153"/>
    </row>
    <row r="51" spans="11:22" hidden="1" x14ac:dyDescent="0.25">
      <c r="K51" s="149"/>
      <c r="L51" s="149"/>
      <c r="M51" s="146"/>
      <c r="N51" s="149"/>
      <c r="O51" s="149"/>
      <c r="P51" s="149"/>
      <c r="Q51" s="148"/>
    </row>
    <row r="52" spans="11:22" hidden="1" x14ac:dyDescent="0.25">
      <c r="K52" s="149"/>
      <c r="L52" s="149"/>
      <c r="M52" s="146"/>
      <c r="N52" s="149"/>
      <c r="O52" s="149"/>
      <c r="P52" s="149"/>
      <c r="Q52" s="149"/>
    </row>
    <row r="53" spans="11:22" hidden="1" x14ac:dyDescent="0.25">
      <c r="K53" s="149"/>
      <c r="L53" s="149"/>
      <c r="M53" s="146"/>
      <c r="N53" s="233"/>
      <c r="O53" s="233"/>
      <c r="P53" s="233"/>
      <c r="Q53" s="233"/>
    </row>
    <row r="54" spans="11:22" hidden="1" x14ac:dyDescent="0.25">
      <c r="N54" s="156"/>
      <c r="O54" s="156"/>
      <c r="P54" s="156"/>
      <c r="Q54" s="156"/>
    </row>
    <row r="55" spans="11:22" hidden="1" x14ac:dyDescent="0.25"/>
    <row r="56" spans="11:22" hidden="1" x14ac:dyDescent="0.25"/>
    <row r="57" spans="11:22" hidden="1" x14ac:dyDescent="0.25"/>
    <row r="58" spans="11:22" hidden="1" x14ac:dyDescent="0.25"/>
    <row r="59" spans="11:22" hidden="1" x14ac:dyDescent="0.25"/>
    <row r="60" spans="11:22" hidden="1" x14ac:dyDescent="0.25"/>
    <row r="61" spans="11:22" hidden="1" x14ac:dyDescent="0.25"/>
    <row r="62" spans="11:22" hidden="1" x14ac:dyDescent="0.25"/>
    <row r="63" spans="11:22" hidden="1" x14ac:dyDescent="0.25"/>
  </sheetData>
  <mergeCells count="6">
    <mergeCell ref="B6:Q6"/>
    <mergeCell ref="C8:G8"/>
    <mergeCell ref="I8:L8"/>
    <mergeCell ref="X8:AA8"/>
    <mergeCell ref="S8:V8"/>
    <mergeCell ref="N8:Q8"/>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66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7"/>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65" t="s">
        <v>72</v>
      </c>
      <c r="C2" s="166"/>
      <c r="D2" s="166"/>
      <c r="E2" s="166"/>
      <c r="F2" s="166"/>
      <c r="G2" s="166"/>
      <c r="H2" s="166"/>
    </row>
    <row r="3" spans="2:8" x14ac:dyDescent="0.25">
      <c r="B3" s="11" t="s">
        <v>0</v>
      </c>
      <c r="C3" s="16" t="s">
        <v>117</v>
      </c>
      <c r="D3" s="17"/>
      <c r="E3" s="17"/>
      <c r="F3" s="17"/>
      <c r="G3" s="17"/>
      <c r="H3" s="17"/>
    </row>
    <row r="4" spans="2:8" x14ac:dyDescent="0.25">
      <c r="B4" s="11" t="s">
        <v>163</v>
      </c>
      <c r="C4" s="16" t="s">
        <v>160</v>
      </c>
      <c r="D4" s="17"/>
      <c r="E4" s="17"/>
      <c r="F4" s="17"/>
      <c r="G4" s="17"/>
      <c r="H4" s="17"/>
    </row>
    <row r="5" spans="2:8" x14ac:dyDescent="0.25">
      <c r="B5" s="11" t="s">
        <v>164</v>
      </c>
      <c r="C5" s="16" t="s">
        <v>159</v>
      </c>
      <c r="D5" s="17"/>
      <c r="E5" s="17"/>
      <c r="F5" s="17"/>
      <c r="G5" s="17"/>
      <c r="H5" s="17"/>
    </row>
    <row r="6" spans="2:8" ht="30.75" customHeight="1" x14ac:dyDescent="0.25">
      <c r="B6" s="171" t="s">
        <v>165</v>
      </c>
      <c r="C6" s="424" t="s">
        <v>155</v>
      </c>
      <c r="D6" s="424"/>
      <c r="E6" s="424"/>
      <c r="F6" s="424"/>
      <c r="G6" s="424"/>
      <c r="H6" s="424"/>
    </row>
    <row r="7" spans="2:8" x14ac:dyDescent="0.25">
      <c r="B7" s="171"/>
      <c r="C7" s="260"/>
      <c r="D7" s="263" t="s">
        <v>22</v>
      </c>
      <c r="E7" s="263" t="s">
        <v>23</v>
      </c>
      <c r="F7" s="263" t="s">
        <v>24</v>
      </c>
      <c r="G7" s="263" t="s">
        <v>25</v>
      </c>
      <c r="H7" s="263" t="s">
        <v>26</v>
      </c>
    </row>
    <row r="8" spans="2:8" x14ac:dyDescent="0.25">
      <c r="B8" s="171"/>
      <c r="C8" s="260"/>
      <c r="D8" s="264">
        <f>+'Input Sheet'!G145</f>
        <v>213.07463814910921</v>
      </c>
      <c r="E8" s="264">
        <f>+'Input Sheet'!H145</f>
        <v>222.37102492908855</v>
      </c>
      <c r="F8" s="264">
        <f>+'Input Sheet'!I145</f>
        <v>229.89999623552063</v>
      </c>
      <c r="G8" s="264">
        <f>+'Input Sheet'!J145</f>
        <v>237.9989496169901</v>
      </c>
      <c r="H8" s="264">
        <f>+'Input Sheet'!K145</f>
        <v>246.19476443889917</v>
      </c>
    </row>
    <row r="10" spans="2:8" x14ac:dyDescent="0.25">
      <c r="B10" s="163" t="s">
        <v>81</v>
      </c>
      <c r="C10" s="160"/>
      <c r="D10" s="160"/>
      <c r="E10" s="160"/>
      <c r="F10" s="160"/>
      <c r="G10" s="160"/>
      <c r="H10" s="160"/>
    </row>
    <row r="11" spans="2:8" ht="30" customHeight="1" x14ac:dyDescent="0.25">
      <c r="B11" s="425" t="s">
        <v>153</v>
      </c>
      <c r="C11" s="425"/>
      <c r="D11" s="425"/>
      <c r="E11" s="425"/>
      <c r="F11" s="425"/>
      <c r="G11" s="425"/>
      <c r="H11" s="425"/>
    </row>
    <row r="13" spans="2:8" x14ac:dyDescent="0.25">
      <c r="B13" s="163" t="s">
        <v>182</v>
      </c>
      <c r="C13" s="160"/>
      <c r="D13" s="160"/>
      <c r="E13" s="160"/>
      <c r="F13" s="160"/>
      <c r="G13" s="160"/>
      <c r="H13" s="160"/>
    </row>
    <row r="14" spans="2:8" ht="15" customHeight="1" x14ac:dyDescent="0.25">
      <c r="B14" s="425" t="s">
        <v>104</v>
      </c>
      <c r="C14" s="425"/>
      <c r="D14" s="425"/>
      <c r="E14" s="425"/>
      <c r="F14" s="425"/>
      <c r="G14" s="425"/>
      <c r="H14" s="425"/>
    </row>
    <row r="15" spans="2:8" ht="47.25" customHeight="1" x14ac:dyDescent="0.25">
      <c r="B15" s="426" t="s">
        <v>105</v>
      </c>
      <c r="C15" s="426"/>
      <c r="D15" s="426"/>
      <c r="E15" s="426"/>
      <c r="F15" s="426"/>
      <c r="G15" s="426"/>
      <c r="H15" s="426"/>
    </row>
    <row r="16" spans="2:8" ht="45.75" customHeight="1" x14ac:dyDescent="0.25">
      <c r="B16" s="426" t="s">
        <v>161</v>
      </c>
      <c r="C16" s="426"/>
      <c r="D16" s="426"/>
      <c r="E16" s="426"/>
      <c r="F16" s="426"/>
      <c r="G16" s="426"/>
      <c r="H16" s="426"/>
    </row>
    <row r="17" spans="2:8" ht="47.25" customHeight="1" x14ac:dyDescent="0.25">
      <c r="B17" s="426" t="s">
        <v>179</v>
      </c>
      <c r="C17" s="426"/>
      <c r="D17" s="426"/>
      <c r="E17" s="426"/>
      <c r="F17" s="426"/>
      <c r="G17" s="426"/>
      <c r="H17" s="426"/>
    </row>
    <row r="18" spans="2:8" ht="47.25" customHeight="1" x14ac:dyDescent="0.25">
      <c r="B18" s="426" t="s">
        <v>180</v>
      </c>
      <c r="C18" s="426"/>
      <c r="D18" s="426"/>
      <c r="E18" s="426"/>
      <c r="F18" s="426"/>
      <c r="G18" s="426"/>
      <c r="H18" s="426"/>
    </row>
    <row r="19" spans="2:8" ht="47.25" customHeight="1" x14ac:dyDescent="0.25">
      <c r="B19" s="426" t="s">
        <v>114</v>
      </c>
      <c r="C19" s="426"/>
      <c r="D19" s="426"/>
      <c r="E19" s="426"/>
      <c r="F19" s="426"/>
      <c r="G19" s="426"/>
      <c r="H19" s="426"/>
    </row>
    <row r="20" spans="2:8" ht="32.25" customHeight="1" x14ac:dyDescent="0.25">
      <c r="B20" s="426" t="s">
        <v>113</v>
      </c>
      <c r="C20" s="426"/>
      <c r="D20" s="426"/>
      <c r="E20" s="426"/>
      <c r="F20" s="426"/>
      <c r="G20" s="426"/>
      <c r="H20" s="426"/>
    </row>
    <row r="21" spans="2:8" ht="48" customHeight="1" x14ac:dyDescent="0.25">
      <c r="B21" s="426" t="s">
        <v>181</v>
      </c>
      <c r="C21" s="426"/>
      <c r="D21" s="426"/>
      <c r="E21" s="426"/>
      <c r="F21" s="426"/>
      <c r="G21" s="426"/>
      <c r="H21" s="426"/>
    </row>
    <row r="23" spans="2:8" x14ac:dyDescent="0.25">
      <c r="B23" s="163" t="s">
        <v>106</v>
      </c>
      <c r="C23" s="160"/>
      <c r="D23" s="160"/>
      <c r="E23" s="160"/>
      <c r="F23" s="160"/>
      <c r="G23" s="160"/>
      <c r="H23" s="160"/>
    </row>
    <row r="24" spans="2:8" ht="77.25" customHeight="1" x14ac:dyDescent="0.25">
      <c r="B24" s="425" t="s">
        <v>183</v>
      </c>
      <c r="C24" s="425"/>
      <c r="D24" s="425"/>
      <c r="E24" s="425"/>
      <c r="F24" s="425"/>
      <c r="G24" s="425"/>
      <c r="H24" s="425"/>
    </row>
    <row r="26" spans="2:8" x14ac:dyDescent="0.25">
      <c r="B26" s="14" t="s">
        <v>109</v>
      </c>
      <c r="C26" s="427" t="s">
        <v>5</v>
      </c>
      <c r="D26" s="428"/>
      <c r="E26" s="13" t="s">
        <v>18</v>
      </c>
      <c r="F26" s="13" t="s">
        <v>19</v>
      </c>
      <c r="G26" s="13" t="s">
        <v>20</v>
      </c>
      <c r="H26" s="247" t="s">
        <v>1</v>
      </c>
    </row>
    <row r="27" spans="2:8" x14ac:dyDescent="0.25">
      <c r="B27" s="15" t="s">
        <v>107</v>
      </c>
      <c r="C27" s="429" t="s">
        <v>110</v>
      </c>
      <c r="D27" s="429"/>
      <c r="E27" s="9">
        <f>'Input Sheet'!H44</f>
        <v>524359.82999999996</v>
      </c>
      <c r="F27" s="9">
        <f>'Input Sheet'!I44</f>
        <v>599235.97999999975</v>
      </c>
      <c r="G27" s="9">
        <f>'Input Sheet'!J44</f>
        <v>622331.49000000092</v>
      </c>
      <c r="H27" s="18">
        <f>SUM(D27:G27)</f>
        <v>1745927.3000000005</v>
      </c>
    </row>
    <row r="28" spans="2:8" x14ac:dyDescent="0.25">
      <c r="B28" s="15" t="s">
        <v>30</v>
      </c>
      <c r="C28" s="429" t="s">
        <v>111</v>
      </c>
      <c r="D28" s="429"/>
      <c r="E28" s="9">
        <f>'Input Sheet'!H128</f>
        <v>708061.83960782317</v>
      </c>
      <c r="F28" s="9">
        <f>'Input Sheet'!I128</f>
        <v>1034201.0723490028</v>
      </c>
      <c r="G28" s="9">
        <f>'Input Sheet'!J128</f>
        <v>868261.40983772883</v>
      </c>
      <c r="H28" s="18">
        <f>SUM(D28:G28)</f>
        <v>2610524.3217945546</v>
      </c>
    </row>
    <row r="29" spans="2:8" x14ac:dyDescent="0.25">
      <c r="B29" t="s">
        <v>4</v>
      </c>
      <c r="C29" s="429" t="s">
        <v>112</v>
      </c>
      <c r="D29" s="429"/>
      <c r="E29" s="157">
        <f>'Input Sheet'!H88</f>
        <v>835</v>
      </c>
      <c r="F29" s="157">
        <f>'Input Sheet'!I88</f>
        <v>961</v>
      </c>
      <c r="G29" s="157">
        <f>'Input Sheet'!J88</f>
        <v>957</v>
      </c>
      <c r="H29" s="159">
        <f>SUM(D29:G29)</f>
        <v>2753</v>
      </c>
    </row>
    <row r="31" spans="2:8" x14ac:dyDescent="0.25">
      <c r="B31" s="163" t="s">
        <v>108</v>
      </c>
      <c r="C31" s="160"/>
      <c r="D31" s="160"/>
      <c r="E31" s="160"/>
      <c r="F31" s="160"/>
      <c r="G31" s="160"/>
      <c r="H31" s="160"/>
    </row>
    <row r="32" spans="2:8" ht="79.5" customHeight="1" x14ac:dyDescent="0.25">
      <c r="B32" s="425" t="s">
        <v>188</v>
      </c>
      <c r="C32" s="425"/>
      <c r="D32" s="425"/>
      <c r="E32" s="425"/>
      <c r="F32" s="425"/>
      <c r="G32" s="425"/>
      <c r="H32" s="425"/>
    </row>
    <row r="34" spans="2:8" x14ac:dyDescent="0.25">
      <c r="B34" s="268" t="s">
        <v>109</v>
      </c>
      <c r="C34" s="13" t="s">
        <v>22</v>
      </c>
      <c r="D34" s="13" t="s">
        <v>23</v>
      </c>
      <c r="E34" s="13" t="s">
        <v>24</v>
      </c>
      <c r="F34" s="13" t="s">
        <v>25</v>
      </c>
      <c r="G34" s="13" t="s">
        <v>26</v>
      </c>
      <c r="H34" s="247" t="s">
        <v>1</v>
      </c>
    </row>
    <row r="35" spans="2:8" x14ac:dyDescent="0.25">
      <c r="B35" s="15" t="s">
        <v>107</v>
      </c>
      <c r="C35" s="9">
        <f>'Fee Breakdown'!AB41</f>
        <v>2180179.6975416853</v>
      </c>
      <c r="D35" s="9">
        <f>'Fee Breakdown'!AC41</f>
        <v>2275300.3270744341</v>
      </c>
      <c r="E35" s="9">
        <f>'Fee Breakdown'!AD41</f>
        <v>2352336.7614818471</v>
      </c>
      <c r="F35" s="9">
        <f>'Fee Breakdown'!AE41</f>
        <v>2435205.2524810429</v>
      </c>
      <c r="G35" s="9">
        <f>'Fee Breakdown'!AF41</f>
        <v>2519064.8297388162</v>
      </c>
      <c r="H35" s="18">
        <f>SUM(C35:G35)</f>
        <v>11762086.868317826</v>
      </c>
    </row>
    <row r="36" spans="2:8" x14ac:dyDescent="0.25">
      <c r="B36" s="15"/>
      <c r="C36" s="9"/>
      <c r="D36" s="9"/>
      <c r="E36" s="9"/>
      <c r="F36" s="9"/>
      <c r="G36" s="9"/>
      <c r="H36" s="18"/>
    </row>
    <row r="37" spans="2:8" x14ac:dyDescent="0.25">
      <c r="B37" s="15" t="s">
        <v>30</v>
      </c>
      <c r="C37" s="9">
        <f>'Fee Breakdown'!P79</f>
        <v>962596.56002725149</v>
      </c>
      <c r="D37" s="9">
        <f>'Fee Breakdown'!Q79</f>
        <v>1004594.3783167686</v>
      </c>
      <c r="E37" s="9">
        <f>'Fee Breakdown'!R79</f>
        <v>1038607.6327475641</v>
      </c>
      <c r="F37" s="9">
        <f>'Fee Breakdown'!S79</f>
        <v>1075195.8664883061</v>
      </c>
      <c r="G37" s="9">
        <f>'Fee Breakdown'!T79</f>
        <v>1112221.6862795341</v>
      </c>
      <c r="H37" s="18">
        <f>SUM(C37:G37)</f>
        <v>5193216.1238594241</v>
      </c>
    </row>
    <row r="38" spans="2:8" x14ac:dyDescent="0.25">
      <c r="B38" s="15" t="s">
        <v>32</v>
      </c>
      <c r="C38" s="9">
        <f>'Fee Breakdown'!V79</f>
        <v>1129561.1987784186</v>
      </c>
      <c r="D38" s="9">
        <f>'Fee Breakdown'!W79</f>
        <v>1265792.4128564564</v>
      </c>
      <c r="E38" s="9">
        <f>'Fee Breakdown'!X79</f>
        <v>1320114.091589943</v>
      </c>
      <c r="F38" s="9">
        <f>'Fee Breakdown'!Y79</f>
        <v>1394933.4404633979</v>
      </c>
      <c r="G38" s="9">
        <f>'Fee Breakdown'!Z79</f>
        <v>1471022.8542955806</v>
      </c>
      <c r="H38" s="18">
        <f>SUM(C38:G38)</f>
        <v>6581423.9979837965</v>
      </c>
    </row>
    <row r="39" spans="2:8" ht="15.75" thickBot="1" x14ac:dyDescent="0.3">
      <c r="B39" s="161" t="s">
        <v>85</v>
      </c>
      <c r="C39" s="162">
        <f>SUM(C37:C38)</f>
        <v>2092157.7588056701</v>
      </c>
      <c r="D39" s="162">
        <f t="shared" ref="D39:H39" si="0">SUM(D37:D38)</f>
        <v>2270386.7911732248</v>
      </c>
      <c r="E39" s="162">
        <f t="shared" si="0"/>
        <v>2358721.724337507</v>
      </c>
      <c r="F39" s="162">
        <f t="shared" si="0"/>
        <v>2470129.306951704</v>
      </c>
      <c r="G39" s="162">
        <f t="shared" si="0"/>
        <v>2583244.540575115</v>
      </c>
      <c r="H39" s="162">
        <f t="shared" si="0"/>
        <v>11774640.121843221</v>
      </c>
    </row>
    <row r="40" spans="2:8" x14ac:dyDescent="0.25">
      <c r="B40" s="15"/>
      <c r="C40" s="9"/>
      <c r="D40" s="9"/>
      <c r="E40" s="9"/>
      <c r="F40" s="9"/>
      <c r="G40" s="9"/>
      <c r="H40" s="18"/>
    </row>
    <row r="41" spans="2:8" x14ac:dyDescent="0.25">
      <c r="B41" t="s">
        <v>4</v>
      </c>
      <c r="C41" s="245">
        <f>'Fee Breakdown'!H79</f>
        <v>911</v>
      </c>
      <c r="D41" s="245">
        <f>'Fee Breakdown'!I79</f>
        <v>911</v>
      </c>
      <c r="E41" s="245">
        <f>'Fee Breakdown'!J79</f>
        <v>911</v>
      </c>
      <c r="F41" s="245">
        <f>'Fee Breakdown'!K79</f>
        <v>911</v>
      </c>
      <c r="G41" s="245">
        <f>'Fee Breakdown'!L79</f>
        <v>911</v>
      </c>
      <c r="H41" s="246">
        <f>SUM(C41:G41)</f>
        <v>4555</v>
      </c>
    </row>
    <row r="42" spans="2:8" x14ac:dyDescent="0.25">
      <c r="C42" s="3"/>
      <c r="D42" s="4"/>
      <c r="E42" s="3"/>
      <c r="F42" s="3"/>
      <c r="G42" s="3"/>
    </row>
    <row r="43" spans="2:8" x14ac:dyDescent="0.25">
      <c r="B43" s="163" t="s">
        <v>82</v>
      </c>
      <c r="C43" s="160"/>
      <c r="D43" s="160"/>
      <c r="E43" s="160"/>
      <c r="F43" s="160"/>
      <c r="G43" s="160"/>
      <c r="H43" s="160"/>
    </row>
    <row r="44" spans="2:8" ht="61.5" customHeight="1" x14ac:dyDescent="0.25">
      <c r="B44" s="425" t="s">
        <v>184</v>
      </c>
      <c r="C44" s="425"/>
      <c r="D44" s="425"/>
      <c r="E44" s="425"/>
      <c r="F44" s="425"/>
      <c r="G44" s="425"/>
      <c r="H44" s="425"/>
    </row>
    <row r="46" spans="2:8" x14ac:dyDescent="0.25">
      <c r="B46" s="12" t="s">
        <v>109</v>
      </c>
      <c r="C46" s="13" t="s">
        <v>22</v>
      </c>
      <c r="D46" s="13" t="s">
        <v>23</v>
      </c>
      <c r="E46" s="13" t="s">
        <v>24</v>
      </c>
      <c r="F46" s="13" t="s">
        <v>25</v>
      </c>
      <c r="G46" s="13" t="s">
        <v>26</v>
      </c>
      <c r="H46" s="247" t="s">
        <v>84</v>
      </c>
    </row>
    <row r="47" spans="2:8" x14ac:dyDescent="0.25">
      <c r="B47" t="s">
        <v>83</v>
      </c>
      <c r="C47" s="8">
        <f>+'Input Sheet'!G154</f>
        <v>2.1734523534412387</v>
      </c>
      <c r="D47" s="8">
        <f>+'Input Sheet'!H154</f>
        <v>2.2600034801880273</v>
      </c>
      <c r="E47" s="8">
        <f>+'Input Sheet'!I154</f>
        <v>2.2710421625707418</v>
      </c>
      <c r="F47" s="8">
        <f>+'Input Sheet'!J154</f>
        <v>2.2973761190315822</v>
      </c>
      <c r="G47" s="8">
        <f>+'Input Sheet'!K154</f>
        <v>2.3225986082111594</v>
      </c>
      <c r="H47" s="158">
        <f>AVERAGE(C47:G47)</f>
        <v>2.2648945446885498</v>
      </c>
    </row>
  </sheetData>
  <mergeCells count="17">
    <mergeCell ref="C29:D29"/>
    <mergeCell ref="C6:H6"/>
    <mergeCell ref="B44:H44"/>
    <mergeCell ref="B14:H14"/>
    <mergeCell ref="B11:H11"/>
    <mergeCell ref="B15:H15"/>
    <mergeCell ref="B16:H16"/>
    <mergeCell ref="B17:H17"/>
    <mergeCell ref="B24:H24"/>
    <mergeCell ref="B18:H18"/>
    <mergeCell ref="B20:H20"/>
    <mergeCell ref="B21:H21"/>
    <mergeCell ref="B19:H19"/>
    <mergeCell ref="B32:H32"/>
    <mergeCell ref="C26:D26"/>
    <mergeCell ref="C27:D27"/>
    <mergeCell ref="C28:D28"/>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0"/>
  <sheetViews>
    <sheetView showGridLines="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65" t="s">
        <v>71</v>
      </c>
      <c r="C2" s="165"/>
      <c r="D2" s="164"/>
      <c r="E2" s="164"/>
      <c r="F2" s="164"/>
      <c r="G2" s="164"/>
      <c r="H2" s="164"/>
      <c r="I2" s="164"/>
      <c r="J2" s="164"/>
      <c r="K2" s="164"/>
    </row>
    <row r="3" spans="2:13" x14ac:dyDescent="0.25">
      <c r="B3" s="14" t="s">
        <v>0</v>
      </c>
      <c r="C3" s="12"/>
      <c r="D3" s="430" t="str">
        <f>'AER Summary'!C3</f>
        <v>Design Information Fee</v>
      </c>
      <c r="E3" s="431"/>
      <c r="F3" s="431"/>
      <c r="G3" s="431"/>
      <c r="H3" s="431"/>
      <c r="I3" s="431"/>
      <c r="J3" s="431"/>
      <c r="K3" s="431"/>
      <c r="M3" s="6"/>
    </row>
    <row r="4" spans="2:13" x14ac:dyDescent="0.25">
      <c r="M4" s="6"/>
    </row>
    <row r="5" spans="2:13" x14ac:dyDescent="0.25">
      <c r="B5" s="163" t="s">
        <v>115</v>
      </c>
      <c r="C5" s="163"/>
      <c r="D5" s="163"/>
      <c r="E5" s="163"/>
      <c r="F5" s="163"/>
      <c r="G5" s="163"/>
      <c r="H5" s="163"/>
      <c r="I5" s="163"/>
      <c r="J5" s="163"/>
      <c r="K5" s="163"/>
      <c r="M5" s="7"/>
    </row>
    <row r="6" spans="2:13" ht="229.5" customHeight="1" x14ac:dyDescent="0.25">
      <c r="B6" s="425" t="s">
        <v>158</v>
      </c>
      <c r="C6" s="425"/>
      <c r="D6" s="425"/>
      <c r="E6" s="425"/>
      <c r="F6" s="425"/>
      <c r="G6" s="425"/>
      <c r="H6" s="425"/>
      <c r="I6" s="425"/>
      <c r="J6" s="425"/>
      <c r="K6" s="425"/>
      <c r="M6" s="7"/>
    </row>
    <row r="8" spans="2:13" x14ac:dyDescent="0.25">
      <c r="B8" s="163" t="s">
        <v>7</v>
      </c>
      <c r="C8" s="163"/>
      <c r="D8" s="163"/>
      <c r="E8" s="163"/>
      <c r="F8" s="163"/>
      <c r="G8" s="163"/>
      <c r="H8" s="163"/>
      <c r="I8" s="163"/>
      <c r="J8" s="163"/>
      <c r="K8" s="163"/>
    </row>
    <row r="9" spans="2:13" ht="30" customHeight="1" x14ac:dyDescent="0.25">
      <c r="B9" s="433" t="s">
        <v>153</v>
      </c>
      <c r="C9" s="433"/>
      <c r="D9" s="433"/>
      <c r="E9" s="433"/>
      <c r="F9" s="433"/>
      <c r="G9" s="433"/>
      <c r="H9" s="433"/>
      <c r="I9" s="433"/>
      <c r="J9" s="433"/>
      <c r="K9" s="433"/>
    </row>
    <row r="11" spans="2:13" x14ac:dyDescent="0.25">
      <c r="B11" s="163" t="s">
        <v>116</v>
      </c>
      <c r="C11" s="163"/>
      <c r="D11" s="163"/>
      <c r="E11" s="163"/>
      <c r="F11" s="163"/>
      <c r="G11" s="163"/>
      <c r="H11" s="163"/>
      <c r="I11" s="163"/>
      <c r="J11" s="163"/>
      <c r="K11" s="163"/>
    </row>
    <row r="12" spans="2:13" ht="30.75" customHeight="1" x14ac:dyDescent="0.25">
      <c r="B12" s="425" t="s">
        <v>157</v>
      </c>
      <c r="C12" s="425"/>
      <c r="D12" s="425"/>
      <c r="E12" s="425"/>
      <c r="F12" s="425"/>
      <c r="G12" s="425"/>
      <c r="H12" s="425"/>
      <c r="I12" s="425"/>
      <c r="J12" s="425"/>
      <c r="K12" s="425"/>
    </row>
    <row r="13" spans="2:13" ht="30.75" customHeight="1" x14ac:dyDescent="0.25">
      <c r="B13" s="432"/>
      <c r="C13" s="432"/>
      <c r="D13" s="432"/>
      <c r="E13" s="432"/>
      <c r="F13" s="432"/>
      <c r="G13" s="432"/>
      <c r="H13" s="432"/>
      <c r="I13" s="432"/>
      <c r="J13" s="432"/>
      <c r="K13" s="432"/>
    </row>
    <row r="14" spans="2:13" ht="30.75" customHeight="1" x14ac:dyDescent="0.25">
      <c r="B14" s="432"/>
      <c r="C14" s="432"/>
      <c r="D14" s="432"/>
      <c r="E14" s="432"/>
      <c r="F14" s="432"/>
      <c r="G14" s="432"/>
      <c r="H14" s="432"/>
      <c r="I14" s="432"/>
      <c r="J14" s="432"/>
      <c r="K14" s="432"/>
    </row>
    <row r="15" spans="2:13" ht="30.75" customHeight="1" x14ac:dyDescent="0.25">
      <c r="B15" s="432"/>
      <c r="C15" s="432"/>
      <c r="D15" s="432"/>
      <c r="E15" s="432"/>
      <c r="F15" s="432"/>
      <c r="G15" s="432"/>
      <c r="H15" s="432"/>
      <c r="I15" s="432"/>
      <c r="J15" s="432"/>
      <c r="K15" s="432"/>
    </row>
    <row r="16" spans="2:13" ht="30.75" customHeight="1" x14ac:dyDescent="0.25">
      <c r="B16" s="432"/>
      <c r="C16" s="432"/>
      <c r="D16" s="432"/>
      <c r="E16" s="432"/>
      <c r="F16" s="432"/>
      <c r="G16" s="432"/>
      <c r="H16" s="432"/>
      <c r="I16" s="432"/>
      <c r="J16" s="432"/>
      <c r="K16" s="432"/>
    </row>
    <row r="17" spans="2:11" ht="30.75" customHeight="1" x14ac:dyDescent="0.25">
      <c r="B17" s="432"/>
      <c r="C17" s="432"/>
      <c r="D17" s="432"/>
      <c r="E17" s="432"/>
      <c r="F17" s="432"/>
      <c r="G17" s="432"/>
      <c r="H17" s="432"/>
      <c r="I17" s="432"/>
      <c r="J17" s="432"/>
      <c r="K17" s="432"/>
    </row>
    <row r="18" spans="2:11" ht="30.75" customHeight="1" x14ac:dyDescent="0.25">
      <c r="B18" s="432"/>
      <c r="C18" s="432"/>
      <c r="D18" s="432"/>
      <c r="E18" s="432"/>
      <c r="F18" s="432"/>
      <c r="G18" s="432"/>
      <c r="H18" s="432"/>
      <c r="I18" s="432"/>
      <c r="J18" s="432"/>
      <c r="K18" s="432"/>
    </row>
    <row r="19" spans="2:11" ht="30.75" customHeight="1" x14ac:dyDescent="0.25">
      <c r="B19" s="432"/>
      <c r="C19" s="432"/>
      <c r="D19" s="432"/>
      <c r="E19" s="432"/>
      <c r="F19" s="432"/>
      <c r="G19" s="432"/>
      <c r="H19" s="432"/>
      <c r="I19" s="432"/>
      <c r="J19" s="432"/>
      <c r="K19" s="432"/>
    </row>
    <row r="20" spans="2:11" x14ac:dyDescent="0.25">
      <c r="B20" s="10"/>
    </row>
  </sheetData>
  <mergeCells count="4">
    <mergeCell ref="D3:K3"/>
    <mergeCell ref="B12:K19"/>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G81"/>
  <sheetViews>
    <sheetView showGridLines="0" workbookViewId="0"/>
  </sheetViews>
  <sheetFormatPr defaultColWidth="9.140625" defaultRowHeight="12.75" x14ac:dyDescent="0.25"/>
  <cols>
    <col min="1" max="1" width="2.5703125" style="28" customWidth="1"/>
    <col min="2" max="2" width="57.28515625" style="28" bestFit="1" customWidth="1"/>
    <col min="3" max="6" width="10" style="28" customWidth="1"/>
    <col min="7" max="7" width="2.85546875" style="28" customWidth="1"/>
    <col min="8" max="9" width="10" style="28" customWidth="1"/>
    <col min="10" max="12" width="10" style="78" customWidth="1"/>
    <col min="13" max="13" width="2.85546875" style="78" customWidth="1"/>
    <col min="14" max="14" width="12" style="78" customWidth="1"/>
    <col min="15" max="15" width="2.85546875" style="78" customWidth="1"/>
    <col min="16" max="20" width="10" style="78" customWidth="1"/>
    <col min="21" max="21" width="3.7109375" style="107" customWidth="1"/>
    <col min="22" max="26" width="10" style="108" customWidth="1"/>
    <col min="27" max="27" width="3.7109375" style="28" customWidth="1"/>
    <col min="28" max="32" width="10" style="28" customWidth="1"/>
    <col min="33" max="33" width="2.85546875" style="28" customWidth="1"/>
    <col min="34" max="63" width="9.140625" style="28" customWidth="1"/>
    <col min="64" max="16384" width="9.140625" style="28"/>
  </cols>
  <sheetData>
    <row r="2" spans="2:33" ht="21" x14ac:dyDescent="0.25">
      <c r="B2" s="187" t="s">
        <v>73</v>
      </c>
      <c r="C2" s="188"/>
      <c r="D2" s="188"/>
      <c r="E2" s="188"/>
      <c r="F2" s="188"/>
      <c r="G2" s="188"/>
      <c r="H2" s="188"/>
      <c r="I2" s="188"/>
      <c r="J2" s="189"/>
      <c r="K2" s="189"/>
      <c r="L2" s="189"/>
      <c r="M2" s="189"/>
      <c r="N2" s="189"/>
      <c r="O2" s="189"/>
      <c r="P2" s="189"/>
      <c r="Q2" s="189"/>
      <c r="R2" s="189"/>
      <c r="S2" s="189"/>
      <c r="T2" s="189"/>
      <c r="U2" s="189"/>
      <c r="V2" s="189"/>
      <c r="W2" s="189"/>
      <c r="X2" s="189"/>
      <c r="Y2" s="189"/>
      <c r="Z2" s="189"/>
      <c r="AA2" s="189"/>
      <c r="AB2" s="189"/>
      <c r="AC2" s="189"/>
      <c r="AD2" s="189"/>
      <c r="AE2" s="189"/>
      <c r="AF2" s="189"/>
    </row>
    <row r="3" spans="2:33" ht="15" x14ac:dyDescent="0.25">
      <c r="B3" s="105" t="s">
        <v>0</v>
      </c>
      <c r="C3" s="106" t="str">
        <f>+'AER Summary'!C3</f>
        <v>Design Information Fee</v>
      </c>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row>
    <row r="5" spans="2:33" ht="15" x14ac:dyDescent="0.25">
      <c r="B5" s="163" t="str">
        <f>"Proposed "&amp;'AER Summary'!C3&amp;" Fees &amp; Revenue"</f>
        <v>Proposed Design Information Fee Fees &amp; Revenue</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row>
    <row r="6" spans="2:33" x14ac:dyDescent="0.25">
      <c r="M6" s="131"/>
      <c r="N6" s="131"/>
      <c r="O6" s="131"/>
      <c r="V6" s="95"/>
      <c r="W6" s="95"/>
      <c r="X6" s="95"/>
      <c r="Y6" s="95"/>
      <c r="Z6" s="95"/>
    </row>
    <row r="7" spans="2:33" x14ac:dyDescent="0.25">
      <c r="C7" s="440" t="s">
        <v>6</v>
      </c>
      <c r="D7" s="441"/>
      <c r="E7" s="441"/>
      <c r="F7" s="442"/>
      <c r="H7" s="443" t="s">
        <v>86</v>
      </c>
      <c r="I7" s="444"/>
      <c r="J7" s="444"/>
      <c r="K7" s="444"/>
      <c r="L7" s="445"/>
      <c r="M7" s="109"/>
      <c r="N7" s="109"/>
      <c r="O7" s="109"/>
      <c r="P7" s="443" t="s">
        <v>101</v>
      </c>
      <c r="Q7" s="444"/>
      <c r="R7" s="444"/>
      <c r="S7" s="444"/>
      <c r="T7" s="445"/>
      <c r="V7" s="446"/>
      <c r="W7" s="446"/>
      <c r="X7" s="446"/>
      <c r="Y7" s="446"/>
      <c r="Z7" s="446"/>
      <c r="AA7" s="179"/>
      <c r="AB7" s="443" t="s">
        <v>154</v>
      </c>
      <c r="AC7" s="444"/>
      <c r="AD7" s="444"/>
      <c r="AE7" s="444"/>
      <c r="AF7" s="445"/>
      <c r="AG7" s="179"/>
    </row>
    <row r="8" spans="2:33" ht="51" x14ac:dyDescent="0.25">
      <c r="B8" s="110" t="s">
        <v>15</v>
      </c>
      <c r="C8" s="132" t="s">
        <v>75</v>
      </c>
      <c r="D8" s="133" t="s">
        <v>8</v>
      </c>
      <c r="E8" s="133" t="s">
        <v>87</v>
      </c>
      <c r="F8" s="134" t="s">
        <v>74</v>
      </c>
      <c r="H8" s="175" t="s">
        <v>22</v>
      </c>
      <c r="I8" s="176" t="s">
        <v>23</v>
      </c>
      <c r="J8" s="176" t="s">
        <v>24</v>
      </c>
      <c r="K8" s="176" t="s">
        <v>25</v>
      </c>
      <c r="L8" s="177" t="s">
        <v>26</v>
      </c>
      <c r="M8" s="111"/>
      <c r="N8" s="259" t="s">
        <v>99</v>
      </c>
      <c r="O8" s="111"/>
      <c r="P8" s="112" t="s">
        <v>22</v>
      </c>
      <c r="Q8" s="113" t="s">
        <v>23</v>
      </c>
      <c r="R8" s="113" t="s">
        <v>24</v>
      </c>
      <c r="S8" s="113" t="s">
        <v>25</v>
      </c>
      <c r="T8" s="114" t="s">
        <v>26</v>
      </c>
      <c r="V8" s="180"/>
      <c r="W8" s="180"/>
      <c r="X8" s="180"/>
      <c r="Y8" s="180"/>
      <c r="Z8" s="180"/>
      <c r="AA8" s="179"/>
      <c r="AB8" s="112" t="s">
        <v>22</v>
      </c>
      <c r="AC8" s="113" t="s">
        <v>23</v>
      </c>
      <c r="AD8" s="113" t="s">
        <v>24</v>
      </c>
      <c r="AE8" s="113" t="s">
        <v>25</v>
      </c>
      <c r="AF8" s="114" t="s">
        <v>26</v>
      </c>
      <c r="AG8" s="179"/>
    </row>
    <row r="9" spans="2:33" x14ac:dyDescent="0.25">
      <c r="B9" s="117" t="s">
        <v>9</v>
      </c>
      <c r="C9" s="121">
        <f>'Input Sheet'!G9</f>
        <v>80</v>
      </c>
      <c r="D9" s="122">
        <f>'Input Sheet'!H9</f>
        <v>1.9886363636363638</v>
      </c>
      <c r="E9" s="139">
        <f>'Input Sheet'!J9</f>
        <v>175</v>
      </c>
      <c r="F9" s="136">
        <f>'Input Sheet'!K9</f>
        <v>159.09090909090909</v>
      </c>
      <c r="G9" s="123"/>
      <c r="H9" s="173">
        <f>+'Input Sheet'!G$145</f>
        <v>213.07463814910921</v>
      </c>
      <c r="I9" s="167">
        <f>+'Input Sheet'!H$145</f>
        <v>222.37102492908855</v>
      </c>
      <c r="J9" s="167">
        <f>+'Input Sheet'!I$145</f>
        <v>229.89999623552063</v>
      </c>
      <c r="K9" s="167">
        <f>+'Input Sheet'!J$145</f>
        <v>237.9989496169901</v>
      </c>
      <c r="L9" s="168">
        <f>+'Input Sheet'!K$145</f>
        <v>246.19476443889917</v>
      </c>
      <c r="M9" s="118"/>
      <c r="N9" s="120">
        <f>+'Standard Hour Calcs'!Z10</f>
        <v>3</v>
      </c>
      <c r="O9" s="118"/>
      <c r="P9" s="236">
        <f>IF($N9="Hourly",H9,H9*$N9)</f>
        <v>639.22391444732762</v>
      </c>
      <c r="Q9" s="237">
        <f t="shared" ref="Q9" si="0">IF($N9="Hourly",I9,I9*$N9)</f>
        <v>667.11307478726565</v>
      </c>
      <c r="R9" s="237">
        <f t="shared" ref="R9" si="1">IF($N9="Hourly",J9,J9*$N9)</f>
        <v>689.69998870656195</v>
      </c>
      <c r="S9" s="237">
        <f t="shared" ref="S9" si="2">IF($N9="Hourly",K9,K9*$N9)</f>
        <v>713.99684885097031</v>
      </c>
      <c r="T9" s="238">
        <f t="shared" ref="T9" si="3">IF($N9="Hourly",L9,L9*$N9)</f>
        <v>738.58429331669754</v>
      </c>
      <c r="U9" s="119"/>
      <c r="V9" s="181"/>
      <c r="W9" s="181"/>
      <c r="X9" s="181"/>
      <c r="Y9" s="181"/>
      <c r="Z9" s="181"/>
      <c r="AA9" s="179"/>
      <c r="AB9" s="298">
        <f>IF($N9="Hourly",P9*$N47*H47,P9*H47)</f>
        <v>37714.210952392328</v>
      </c>
      <c r="AC9" s="299">
        <f t="shared" ref="AC9:AF9" si="4">IF($N9="Hourly",Q9*$N47*I47,Q9*I47)</f>
        <v>39359.671412448675</v>
      </c>
      <c r="AD9" s="299">
        <f t="shared" si="4"/>
        <v>40692.299333687159</v>
      </c>
      <c r="AE9" s="299">
        <f t="shared" si="4"/>
        <v>42125.814082207246</v>
      </c>
      <c r="AF9" s="300">
        <f t="shared" si="4"/>
        <v>43576.473305685155</v>
      </c>
      <c r="AG9" s="179"/>
    </row>
    <row r="10" spans="2:33" x14ac:dyDescent="0.25">
      <c r="B10" s="98" t="s">
        <v>10</v>
      </c>
      <c r="C10" s="121">
        <f>'Input Sheet'!G10</f>
        <v>80</v>
      </c>
      <c r="D10" s="122">
        <f>'Input Sheet'!H10</f>
        <v>2.9886363636363638</v>
      </c>
      <c r="E10" s="139">
        <f>'Input Sheet'!J10</f>
        <v>263</v>
      </c>
      <c r="F10" s="136">
        <f>'Input Sheet'!K10</f>
        <v>239.09090909090909</v>
      </c>
      <c r="G10" s="123"/>
      <c r="H10" s="173">
        <f>+'Input Sheet'!G$145</f>
        <v>213.07463814910921</v>
      </c>
      <c r="I10" s="167">
        <f>+'Input Sheet'!H$145</f>
        <v>222.37102492908855</v>
      </c>
      <c r="J10" s="167">
        <f>+'Input Sheet'!I$145</f>
        <v>229.89999623552063</v>
      </c>
      <c r="K10" s="167">
        <f>+'Input Sheet'!J$145</f>
        <v>237.9989496169901</v>
      </c>
      <c r="L10" s="168">
        <f>+'Input Sheet'!K$145</f>
        <v>246.19476443889917</v>
      </c>
      <c r="M10" s="118"/>
      <c r="N10" s="126">
        <f>+'Standard Hour Calcs'!Z11</f>
        <v>4</v>
      </c>
      <c r="O10" s="118"/>
      <c r="P10" s="239">
        <f t="shared" ref="P10:P39" si="5">IF($N10="Hourly",H10,H10*$N10)</f>
        <v>852.29855259643682</v>
      </c>
      <c r="Q10" s="240">
        <f t="shared" ref="Q10:Q39" si="6">IF($N10="Hourly",I10,I10*$N10)</f>
        <v>889.48409971635419</v>
      </c>
      <c r="R10" s="240">
        <f t="shared" ref="R10:R39" si="7">IF($N10="Hourly",J10,J10*$N10)</f>
        <v>919.59998494208253</v>
      </c>
      <c r="S10" s="240">
        <f t="shared" ref="S10:S39" si="8">IF($N10="Hourly",K10,K10*$N10)</f>
        <v>951.99579846796041</v>
      </c>
      <c r="T10" s="241">
        <f t="shared" ref="T10:T39" si="9">IF($N10="Hourly",L10,L10*$N10)</f>
        <v>984.77905775559668</v>
      </c>
      <c r="U10" s="119"/>
      <c r="V10" s="181"/>
      <c r="W10" s="181"/>
      <c r="X10" s="181"/>
      <c r="Y10" s="181"/>
      <c r="Z10" s="181"/>
      <c r="AA10" s="179"/>
      <c r="AB10" s="301">
        <f t="shared" ref="AB10:AF10" si="10">IF($N10="Hourly",P10*$N48*H48,P10*H48)</f>
        <v>37501.136314243224</v>
      </c>
      <c r="AC10" s="302">
        <f t="shared" si="10"/>
        <v>39137.300387519586</v>
      </c>
      <c r="AD10" s="302">
        <f t="shared" si="10"/>
        <v>40462.399337451629</v>
      </c>
      <c r="AE10" s="302">
        <f t="shared" si="10"/>
        <v>41887.815132590258</v>
      </c>
      <c r="AF10" s="303">
        <f t="shared" si="10"/>
        <v>43330.278541246254</v>
      </c>
      <c r="AG10" s="179"/>
    </row>
    <row r="11" spans="2:33" x14ac:dyDescent="0.25">
      <c r="B11" s="98" t="s">
        <v>11</v>
      </c>
      <c r="C11" s="121">
        <f>'Input Sheet'!G11</f>
        <v>80</v>
      </c>
      <c r="D11" s="122">
        <f>'Input Sheet'!H11</f>
        <v>4.9772727272727275</v>
      </c>
      <c r="E11" s="139">
        <f>'Input Sheet'!J11</f>
        <v>438</v>
      </c>
      <c r="F11" s="136">
        <f>'Input Sheet'!K11</f>
        <v>398.18181818181819</v>
      </c>
      <c r="G11" s="123"/>
      <c r="H11" s="173">
        <f>+'Input Sheet'!G$145</f>
        <v>213.07463814910921</v>
      </c>
      <c r="I11" s="167">
        <f>+'Input Sheet'!H$145</f>
        <v>222.37102492908855</v>
      </c>
      <c r="J11" s="167">
        <f>+'Input Sheet'!I$145</f>
        <v>229.89999623552063</v>
      </c>
      <c r="K11" s="167">
        <f>+'Input Sheet'!J$145</f>
        <v>237.9989496169901</v>
      </c>
      <c r="L11" s="168">
        <f>+'Input Sheet'!K$145</f>
        <v>246.19476443889917</v>
      </c>
      <c r="M11" s="118"/>
      <c r="N11" s="126">
        <f>+'Standard Hour Calcs'!Z12</f>
        <v>7</v>
      </c>
      <c r="O11" s="118"/>
      <c r="P11" s="239">
        <f t="shared" si="5"/>
        <v>1491.5224670437644</v>
      </c>
      <c r="Q11" s="240">
        <f t="shared" si="6"/>
        <v>1556.59717450362</v>
      </c>
      <c r="R11" s="240">
        <f t="shared" si="7"/>
        <v>1609.2999736486445</v>
      </c>
      <c r="S11" s="240">
        <f t="shared" si="8"/>
        <v>1665.9926473189307</v>
      </c>
      <c r="T11" s="241">
        <f t="shared" si="9"/>
        <v>1723.3633510722941</v>
      </c>
      <c r="U11" s="119"/>
      <c r="V11" s="181"/>
      <c r="W11" s="181"/>
      <c r="X11" s="181"/>
      <c r="Y11" s="181"/>
      <c r="Z11" s="181"/>
      <c r="AA11" s="179"/>
      <c r="AB11" s="301">
        <f t="shared" ref="AB11:AF11" si="11">IF($N11="Hourly",P11*$N49*H49,P11*H49)</f>
        <v>143186.15683620138</v>
      </c>
      <c r="AC11" s="302">
        <f t="shared" si="11"/>
        <v>149433.3287523475</v>
      </c>
      <c r="AD11" s="302">
        <f t="shared" si="11"/>
        <v>154492.79747026987</v>
      </c>
      <c r="AE11" s="302">
        <f t="shared" si="11"/>
        <v>159935.29414261735</v>
      </c>
      <c r="AF11" s="303">
        <f t="shared" si="11"/>
        <v>165442.88170294024</v>
      </c>
      <c r="AG11" s="179"/>
    </row>
    <row r="12" spans="2:33" x14ac:dyDescent="0.25">
      <c r="B12" s="98" t="s">
        <v>13</v>
      </c>
      <c r="C12" s="121">
        <f>'Input Sheet'!G12</f>
        <v>80</v>
      </c>
      <c r="D12" s="122">
        <f>'Input Sheet'!H12</f>
        <v>5.9772727272727275</v>
      </c>
      <c r="E12" s="139">
        <f>'Input Sheet'!J12</f>
        <v>526</v>
      </c>
      <c r="F12" s="136">
        <f>'Input Sheet'!K12</f>
        <v>478.18181818181819</v>
      </c>
      <c r="G12" s="123"/>
      <c r="H12" s="173">
        <f>+'Input Sheet'!G$145</f>
        <v>213.07463814910921</v>
      </c>
      <c r="I12" s="167">
        <f>+'Input Sheet'!H$145</f>
        <v>222.37102492908855</v>
      </c>
      <c r="J12" s="167">
        <f>+'Input Sheet'!I$145</f>
        <v>229.89999623552063</v>
      </c>
      <c r="K12" s="167">
        <f>+'Input Sheet'!J$145</f>
        <v>237.9989496169901</v>
      </c>
      <c r="L12" s="168">
        <f>+'Input Sheet'!K$145</f>
        <v>246.19476443889917</v>
      </c>
      <c r="M12" s="118"/>
      <c r="N12" s="126">
        <f>+'Standard Hour Calcs'!Z13</f>
        <v>9</v>
      </c>
      <c r="O12" s="118"/>
      <c r="P12" s="239">
        <f t="shared" si="5"/>
        <v>1917.6717433419828</v>
      </c>
      <c r="Q12" s="240">
        <f t="shared" si="6"/>
        <v>2001.3392243617968</v>
      </c>
      <c r="R12" s="240">
        <f t="shared" si="7"/>
        <v>2069.0999661196856</v>
      </c>
      <c r="S12" s="240">
        <f t="shared" si="8"/>
        <v>2141.9905465529109</v>
      </c>
      <c r="T12" s="241">
        <f t="shared" si="9"/>
        <v>2215.7528799500924</v>
      </c>
      <c r="U12" s="119"/>
      <c r="V12" s="181"/>
      <c r="W12" s="181"/>
      <c r="X12" s="181"/>
      <c r="Y12" s="181"/>
      <c r="Z12" s="181"/>
      <c r="AA12" s="179"/>
      <c r="AB12" s="301">
        <f t="shared" ref="AB12:AF12" si="12">IF($N12="Hourly",P12*$N50*H50,P12*H50)</f>
        <v>134237.02203393879</v>
      </c>
      <c r="AC12" s="302">
        <f t="shared" si="12"/>
        <v>140093.74570532577</v>
      </c>
      <c r="AD12" s="302">
        <f t="shared" si="12"/>
        <v>144836.99762837798</v>
      </c>
      <c r="AE12" s="302">
        <f t="shared" si="12"/>
        <v>149939.33825870376</v>
      </c>
      <c r="AF12" s="303">
        <f t="shared" si="12"/>
        <v>155102.70159650646</v>
      </c>
      <c r="AG12" s="179"/>
    </row>
    <row r="13" spans="2:33" x14ac:dyDescent="0.25">
      <c r="B13" s="98" t="s">
        <v>123</v>
      </c>
      <c r="C13" s="121">
        <f>'Input Sheet'!G13</f>
        <v>80</v>
      </c>
      <c r="D13" s="122" t="str">
        <f>'Input Sheet'!H13</f>
        <v>Hourly</v>
      </c>
      <c r="E13" s="139">
        <f>'Input Sheet'!J13</f>
        <v>88</v>
      </c>
      <c r="F13" s="136">
        <f>'Input Sheet'!K13</f>
        <v>80</v>
      </c>
      <c r="G13" s="123"/>
      <c r="H13" s="173">
        <f>+'Input Sheet'!G$145</f>
        <v>213.07463814910921</v>
      </c>
      <c r="I13" s="167">
        <f>+'Input Sheet'!H$145</f>
        <v>222.37102492908855</v>
      </c>
      <c r="J13" s="167">
        <f>+'Input Sheet'!I$145</f>
        <v>229.89999623552063</v>
      </c>
      <c r="K13" s="167">
        <f>+'Input Sheet'!J$145</f>
        <v>237.9989496169901</v>
      </c>
      <c r="L13" s="168">
        <f>+'Input Sheet'!K$145</f>
        <v>246.19476443889917</v>
      </c>
      <c r="M13" s="118"/>
      <c r="N13" s="126" t="str">
        <f>+'Standard Hour Calcs'!Z14</f>
        <v>Hourly</v>
      </c>
      <c r="O13" s="118"/>
      <c r="P13" s="239">
        <f t="shared" si="5"/>
        <v>213.07463814910921</v>
      </c>
      <c r="Q13" s="240">
        <f t="shared" si="6"/>
        <v>222.37102492908855</v>
      </c>
      <c r="R13" s="240">
        <f t="shared" si="7"/>
        <v>229.89999623552063</v>
      </c>
      <c r="S13" s="240">
        <f t="shared" si="8"/>
        <v>237.9989496169901</v>
      </c>
      <c r="T13" s="241">
        <f t="shared" si="9"/>
        <v>246.19476443889917</v>
      </c>
      <c r="U13" s="119"/>
      <c r="V13" s="181"/>
      <c r="W13" s="181"/>
      <c r="X13" s="181"/>
      <c r="Y13" s="181"/>
      <c r="Z13" s="181"/>
      <c r="AA13" s="179"/>
      <c r="AB13" s="301">
        <f t="shared" ref="AB13:AF13" si="13">IF($N13="Hourly",P13*$N51*H51,P13*H51)</f>
        <v>27273.553683085978</v>
      </c>
      <c r="AC13" s="302">
        <f t="shared" si="13"/>
        <v>28463.491190923334</v>
      </c>
      <c r="AD13" s="302">
        <f t="shared" si="13"/>
        <v>29427.199518146641</v>
      </c>
      <c r="AE13" s="302">
        <f t="shared" si="13"/>
        <v>30463.865550974733</v>
      </c>
      <c r="AF13" s="303">
        <f t="shared" si="13"/>
        <v>31512.929848179094</v>
      </c>
      <c r="AG13" s="179"/>
    </row>
    <row r="14" spans="2:33" x14ac:dyDescent="0.25">
      <c r="B14" s="98" t="s">
        <v>12</v>
      </c>
      <c r="C14" s="121">
        <f>'Input Sheet'!G14</f>
        <v>80</v>
      </c>
      <c r="D14" s="122" t="str">
        <f>'Input Sheet'!H14</f>
        <v>Hourly</v>
      </c>
      <c r="E14" s="139">
        <f>'Input Sheet'!J14</f>
        <v>88</v>
      </c>
      <c r="F14" s="136">
        <f>'Input Sheet'!K14</f>
        <v>80</v>
      </c>
      <c r="G14" s="123"/>
      <c r="H14" s="173">
        <f>+'Input Sheet'!G$145</f>
        <v>213.07463814910921</v>
      </c>
      <c r="I14" s="167">
        <f>+'Input Sheet'!H$145</f>
        <v>222.37102492908855</v>
      </c>
      <c r="J14" s="167">
        <f>+'Input Sheet'!I$145</f>
        <v>229.89999623552063</v>
      </c>
      <c r="K14" s="167">
        <f>+'Input Sheet'!J$145</f>
        <v>237.9989496169901</v>
      </c>
      <c r="L14" s="168">
        <f>+'Input Sheet'!K$145</f>
        <v>246.19476443889917</v>
      </c>
      <c r="M14" s="118"/>
      <c r="N14" s="126" t="str">
        <f>+'Standard Hour Calcs'!Z15</f>
        <v>Hourly</v>
      </c>
      <c r="O14" s="118"/>
      <c r="P14" s="239">
        <f t="shared" si="5"/>
        <v>213.07463814910921</v>
      </c>
      <c r="Q14" s="240">
        <f t="shared" si="6"/>
        <v>222.37102492908855</v>
      </c>
      <c r="R14" s="240">
        <f t="shared" si="7"/>
        <v>229.89999623552063</v>
      </c>
      <c r="S14" s="240">
        <f t="shared" si="8"/>
        <v>237.9989496169901</v>
      </c>
      <c r="T14" s="241">
        <f t="shared" si="9"/>
        <v>246.19476443889917</v>
      </c>
      <c r="U14" s="119"/>
      <c r="V14" s="181"/>
      <c r="W14" s="181"/>
      <c r="X14" s="181"/>
      <c r="Y14" s="181"/>
      <c r="Z14" s="181"/>
      <c r="AA14" s="179"/>
      <c r="AB14" s="301">
        <f t="shared" ref="AB14:AF14" si="14">IF($N14="Hourly",P14*$N52*H52,P14*H52)</f>
        <v>25355.881939743995</v>
      </c>
      <c r="AC14" s="302">
        <f t="shared" si="14"/>
        <v>26462.151966561538</v>
      </c>
      <c r="AD14" s="302">
        <f t="shared" si="14"/>
        <v>27358.099552026957</v>
      </c>
      <c r="AE14" s="302">
        <f t="shared" si="14"/>
        <v>28321.875004421821</v>
      </c>
      <c r="AF14" s="303">
        <f t="shared" si="14"/>
        <v>29297.176968229</v>
      </c>
      <c r="AG14" s="179"/>
    </row>
    <row r="15" spans="2:33" x14ac:dyDescent="0.25">
      <c r="B15" s="98"/>
      <c r="C15" s="121"/>
      <c r="D15" s="122"/>
      <c r="E15" s="139"/>
      <c r="F15" s="137"/>
      <c r="G15" s="123"/>
      <c r="H15" s="173"/>
      <c r="I15" s="167"/>
      <c r="J15" s="167"/>
      <c r="K15" s="167"/>
      <c r="L15" s="168"/>
      <c r="M15" s="118"/>
      <c r="N15" s="126"/>
      <c r="O15" s="118"/>
      <c r="P15" s="239"/>
      <c r="Q15" s="240"/>
      <c r="R15" s="240"/>
      <c r="S15" s="240"/>
      <c r="T15" s="241"/>
      <c r="U15" s="119"/>
      <c r="V15" s="181"/>
      <c r="W15" s="181"/>
      <c r="X15" s="181"/>
      <c r="Y15" s="181"/>
      <c r="Z15" s="181"/>
      <c r="AA15" s="179"/>
      <c r="AB15" s="301"/>
      <c r="AC15" s="302"/>
      <c r="AD15" s="302"/>
      <c r="AE15" s="302"/>
      <c r="AF15" s="303"/>
      <c r="AG15" s="179"/>
    </row>
    <row r="16" spans="2:33" x14ac:dyDescent="0.25">
      <c r="B16" s="98" t="s">
        <v>124</v>
      </c>
      <c r="C16" s="121">
        <f>'Input Sheet'!G16</f>
        <v>80</v>
      </c>
      <c r="D16" s="122" t="str">
        <f>'Input Sheet'!H16</f>
        <v>Hourly</v>
      </c>
      <c r="E16" s="139">
        <f>'Input Sheet'!J16</f>
        <v>88</v>
      </c>
      <c r="F16" s="136">
        <f>'Input Sheet'!K16</f>
        <v>80</v>
      </c>
      <c r="G16" s="123"/>
      <c r="H16" s="173">
        <f>+'Input Sheet'!G$145</f>
        <v>213.07463814910921</v>
      </c>
      <c r="I16" s="167">
        <f>+'Input Sheet'!H$145</f>
        <v>222.37102492908855</v>
      </c>
      <c r="J16" s="167">
        <f>+'Input Sheet'!I$145</f>
        <v>229.89999623552063</v>
      </c>
      <c r="K16" s="167">
        <f>+'Input Sheet'!J$145</f>
        <v>237.9989496169901</v>
      </c>
      <c r="L16" s="168">
        <f>+'Input Sheet'!K$145</f>
        <v>246.19476443889917</v>
      </c>
      <c r="M16" s="118"/>
      <c r="N16" s="126" t="str">
        <f>+'Standard Hour Calcs'!Z17</f>
        <v>Hourly</v>
      </c>
      <c r="O16" s="118"/>
      <c r="P16" s="239">
        <f t="shared" si="5"/>
        <v>213.07463814910921</v>
      </c>
      <c r="Q16" s="240">
        <f t="shared" si="6"/>
        <v>222.37102492908855</v>
      </c>
      <c r="R16" s="240">
        <f t="shared" si="7"/>
        <v>229.89999623552063</v>
      </c>
      <c r="S16" s="240">
        <f t="shared" si="8"/>
        <v>237.9989496169901</v>
      </c>
      <c r="T16" s="241">
        <f t="shared" si="9"/>
        <v>246.19476443889917</v>
      </c>
      <c r="U16" s="119"/>
      <c r="V16" s="181"/>
      <c r="W16" s="181"/>
      <c r="X16" s="181"/>
      <c r="Y16" s="181"/>
      <c r="Z16" s="181"/>
      <c r="AA16" s="179"/>
      <c r="AB16" s="301">
        <f t="shared" ref="AB16:AF16" si="15">IF($N16="Hourly",P16*$N54*H54,P16*H54)</f>
        <v>163002.09818406854</v>
      </c>
      <c r="AC16" s="302">
        <f t="shared" si="15"/>
        <v>170113.83407075272</v>
      </c>
      <c r="AD16" s="302">
        <f t="shared" si="15"/>
        <v>175873.49712017327</v>
      </c>
      <c r="AE16" s="302">
        <f t="shared" si="15"/>
        <v>182069.19645699742</v>
      </c>
      <c r="AF16" s="303">
        <f t="shared" si="15"/>
        <v>188338.99479575784</v>
      </c>
      <c r="AG16" s="179"/>
    </row>
    <row r="17" spans="2:33" x14ac:dyDescent="0.25">
      <c r="B17" s="98" t="s">
        <v>125</v>
      </c>
      <c r="C17" s="121">
        <f>'Input Sheet'!G17</f>
        <v>80</v>
      </c>
      <c r="D17" s="122" t="str">
        <f>'Input Sheet'!H17</f>
        <v>Hourly</v>
      </c>
      <c r="E17" s="139">
        <f>'Input Sheet'!J17</f>
        <v>88</v>
      </c>
      <c r="F17" s="136">
        <f>'Input Sheet'!K17</f>
        <v>80</v>
      </c>
      <c r="G17" s="123"/>
      <c r="H17" s="173">
        <f>+'Input Sheet'!G$145</f>
        <v>213.07463814910921</v>
      </c>
      <c r="I17" s="167">
        <f>+'Input Sheet'!H$145</f>
        <v>222.37102492908855</v>
      </c>
      <c r="J17" s="167">
        <f>+'Input Sheet'!I$145</f>
        <v>229.89999623552063</v>
      </c>
      <c r="K17" s="167">
        <f>+'Input Sheet'!J$145</f>
        <v>237.9989496169901</v>
      </c>
      <c r="L17" s="168">
        <f>+'Input Sheet'!K$145</f>
        <v>246.19476443889917</v>
      </c>
      <c r="M17" s="118"/>
      <c r="N17" s="126" t="str">
        <f>+'Standard Hour Calcs'!Z18</f>
        <v>Hourly</v>
      </c>
      <c r="O17" s="118"/>
      <c r="P17" s="239">
        <f t="shared" si="5"/>
        <v>213.07463814910921</v>
      </c>
      <c r="Q17" s="240">
        <f t="shared" si="6"/>
        <v>222.37102492908855</v>
      </c>
      <c r="R17" s="240">
        <f t="shared" si="7"/>
        <v>229.89999623552063</v>
      </c>
      <c r="S17" s="240">
        <f t="shared" si="8"/>
        <v>237.9989496169901</v>
      </c>
      <c r="T17" s="241">
        <f t="shared" si="9"/>
        <v>246.19476443889917</v>
      </c>
      <c r="U17" s="119"/>
      <c r="V17" s="181"/>
      <c r="W17" s="181"/>
      <c r="X17" s="181"/>
      <c r="Y17" s="181"/>
      <c r="Z17" s="181"/>
      <c r="AA17" s="179"/>
      <c r="AB17" s="301">
        <f t="shared" ref="AB17:AF17" si="16">IF($N17="Hourly",P17*$N55*H55,P17*H55)</f>
        <v>253558.81939743995</v>
      </c>
      <c r="AC17" s="302">
        <f t="shared" si="16"/>
        <v>264621.51966561534</v>
      </c>
      <c r="AD17" s="302">
        <f t="shared" si="16"/>
        <v>273580.99552026956</v>
      </c>
      <c r="AE17" s="302">
        <f t="shared" si="16"/>
        <v>283218.75004421821</v>
      </c>
      <c r="AF17" s="303">
        <f t="shared" si="16"/>
        <v>292971.76968228997</v>
      </c>
      <c r="AG17" s="179"/>
    </row>
    <row r="18" spans="2:33" x14ac:dyDescent="0.25">
      <c r="B18" s="98" t="s">
        <v>126</v>
      </c>
      <c r="C18" s="121">
        <f>'Input Sheet'!G18</f>
        <v>80</v>
      </c>
      <c r="D18" s="122" t="str">
        <f>'Input Sheet'!H18</f>
        <v>Hourly</v>
      </c>
      <c r="E18" s="139">
        <f>'Input Sheet'!J18</f>
        <v>88</v>
      </c>
      <c r="F18" s="136">
        <f>'Input Sheet'!K18</f>
        <v>80</v>
      </c>
      <c r="G18" s="123"/>
      <c r="H18" s="173">
        <f>+'Input Sheet'!G$145</f>
        <v>213.07463814910921</v>
      </c>
      <c r="I18" s="167">
        <f>+'Input Sheet'!H$145</f>
        <v>222.37102492908855</v>
      </c>
      <c r="J18" s="167">
        <f>+'Input Sheet'!I$145</f>
        <v>229.89999623552063</v>
      </c>
      <c r="K18" s="167">
        <f>+'Input Sheet'!J$145</f>
        <v>237.9989496169901</v>
      </c>
      <c r="L18" s="168">
        <f>+'Input Sheet'!K$145</f>
        <v>246.19476443889917</v>
      </c>
      <c r="M18" s="118"/>
      <c r="N18" s="126" t="str">
        <f>+'Standard Hour Calcs'!Z19</f>
        <v>Hourly</v>
      </c>
      <c r="O18" s="118"/>
      <c r="P18" s="239">
        <f t="shared" si="5"/>
        <v>213.07463814910921</v>
      </c>
      <c r="Q18" s="240">
        <f t="shared" si="6"/>
        <v>222.37102492908855</v>
      </c>
      <c r="R18" s="240">
        <f t="shared" si="7"/>
        <v>229.89999623552063</v>
      </c>
      <c r="S18" s="240">
        <f t="shared" si="8"/>
        <v>237.9989496169901</v>
      </c>
      <c r="T18" s="241">
        <f t="shared" si="9"/>
        <v>246.19476443889917</v>
      </c>
      <c r="U18" s="119"/>
      <c r="V18" s="181"/>
      <c r="W18" s="181"/>
      <c r="X18" s="181"/>
      <c r="Y18" s="181"/>
      <c r="Z18" s="181"/>
      <c r="AA18" s="179"/>
      <c r="AB18" s="301">
        <f t="shared" ref="AB18:AF18" si="17">IF($N18="Hourly",P18*$N56*H56,P18*H56)</f>
        <v>315137.38982253248</v>
      </c>
      <c r="AC18" s="302">
        <f t="shared" si="17"/>
        <v>328886.74587012193</v>
      </c>
      <c r="AD18" s="302">
        <f t="shared" si="17"/>
        <v>340022.094432335</v>
      </c>
      <c r="AE18" s="302">
        <f t="shared" si="17"/>
        <v>352000.44648352836</v>
      </c>
      <c r="AF18" s="303">
        <f t="shared" si="17"/>
        <v>364122.05660513183</v>
      </c>
      <c r="AG18" s="179"/>
    </row>
    <row r="19" spans="2:33" x14ac:dyDescent="0.25">
      <c r="B19" s="98" t="s">
        <v>127</v>
      </c>
      <c r="C19" s="121">
        <f>'Input Sheet'!G19</f>
        <v>80</v>
      </c>
      <c r="D19" s="122" t="str">
        <f>'Input Sheet'!H19</f>
        <v>Hourly</v>
      </c>
      <c r="E19" s="139">
        <f>'Input Sheet'!J19</f>
        <v>88</v>
      </c>
      <c r="F19" s="136">
        <f>'Input Sheet'!K19</f>
        <v>80</v>
      </c>
      <c r="G19" s="123"/>
      <c r="H19" s="173">
        <f>+'Input Sheet'!G$145</f>
        <v>213.07463814910921</v>
      </c>
      <c r="I19" s="167">
        <f>+'Input Sheet'!H$145</f>
        <v>222.37102492908855</v>
      </c>
      <c r="J19" s="167">
        <f>+'Input Sheet'!I$145</f>
        <v>229.89999623552063</v>
      </c>
      <c r="K19" s="167">
        <f>+'Input Sheet'!J$145</f>
        <v>237.9989496169901</v>
      </c>
      <c r="L19" s="168">
        <f>+'Input Sheet'!K$145</f>
        <v>246.19476443889917</v>
      </c>
      <c r="M19" s="118"/>
      <c r="N19" s="126" t="str">
        <f>+'Standard Hour Calcs'!Z20</f>
        <v>Hourly</v>
      </c>
      <c r="O19" s="118"/>
      <c r="P19" s="239">
        <f t="shared" si="5"/>
        <v>213.07463814910921</v>
      </c>
      <c r="Q19" s="240">
        <f t="shared" si="6"/>
        <v>222.37102492908855</v>
      </c>
      <c r="R19" s="240">
        <f t="shared" si="7"/>
        <v>229.89999623552063</v>
      </c>
      <c r="S19" s="240">
        <f t="shared" si="8"/>
        <v>237.9989496169901</v>
      </c>
      <c r="T19" s="241">
        <f t="shared" si="9"/>
        <v>246.19476443889917</v>
      </c>
      <c r="U19" s="119"/>
      <c r="V19" s="181"/>
      <c r="W19" s="181"/>
      <c r="X19" s="181"/>
      <c r="Y19" s="181"/>
      <c r="Z19" s="181"/>
      <c r="AA19" s="179"/>
      <c r="AB19" s="301">
        <f t="shared" ref="AB19:AF19" si="18">IF($N19="Hourly",P19*$N57*H57,P19*H57)</f>
        <v>47302.569669102246</v>
      </c>
      <c r="AC19" s="302">
        <f t="shared" si="18"/>
        <v>49366.367534257661</v>
      </c>
      <c r="AD19" s="302">
        <f t="shared" si="18"/>
        <v>51037.799164285578</v>
      </c>
      <c r="AE19" s="302">
        <f t="shared" si="18"/>
        <v>52835.766814971808</v>
      </c>
      <c r="AF19" s="303">
        <f t="shared" si="18"/>
        <v>54655.237705435618</v>
      </c>
      <c r="AG19" s="179"/>
    </row>
    <row r="20" spans="2:33" x14ac:dyDescent="0.25">
      <c r="B20" s="98" t="s">
        <v>128</v>
      </c>
      <c r="C20" s="121">
        <f>'Input Sheet'!G20</f>
        <v>80</v>
      </c>
      <c r="D20" s="122" t="str">
        <f>'Input Sheet'!H20</f>
        <v>Hourly</v>
      </c>
      <c r="E20" s="139">
        <f>'Input Sheet'!J20</f>
        <v>88</v>
      </c>
      <c r="F20" s="136">
        <f>'Input Sheet'!K20</f>
        <v>80</v>
      </c>
      <c r="G20" s="123"/>
      <c r="H20" s="173">
        <f>+'Input Sheet'!G$145</f>
        <v>213.07463814910921</v>
      </c>
      <c r="I20" s="167">
        <f>+'Input Sheet'!H$145</f>
        <v>222.37102492908855</v>
      </c>
      <c r="J20" s="167">
        <f>+'Input Sheet'!I$145</f>
        <v>229.89999623552063</v>
      </c>
      <c r="K20" s="167">
        <f>+'Input Sheet'!J$145</f>
        <v>237.9989496169901</v>
      </c>
      <c r="L20" s="168">
        <f>+'Input Sheet'!K$145</f>
        <v>246.19476443889917</v>
      </c>
      <c r="M20" s="118"/>
      <c r="N20" s="126" t="str">
        <f>+'Standard Hour Calcs'!Z21</f>
        <v>Hourly</v>
      </c>
      <c r="O20" s="118"/>
      <c r="P20" s="239">
        <f t="shared" si="5"/>
        <v>213.07463814910921</v>
      </c>
      <c r="Q20" s="240">
        <f t="shared" si="6"/>
        <v>222.37102492908855</v>
      </c>
      <c r="R20" s="240">
        <f t="shared" si="7"/>
        <v>229.89999623552063</v>
      </c>
      <c r="S20" s="240">
        <f t="shared" si="8"/>
        <v>237.9989496169901</v>
      </c>
      <c r="T20" s="241">
        <f t="shared" si="9"/>
        <v>246.19476443889917</v>
      </c>
      <c r="U20" s="119"/>
      <c r="V20" s="181"/>
      <c r="W20" s="181"/>
      <c r="X20" s="181"/>
      <c r="Y20" s="181"/>
      <c r="Z20" s="181"/>
      <c r="AA20" s="179"/>
      <c r="AB20" s="301">
        <f t="shared" ref="AB20:AF20" si="19">IF($N20="Hourly",P20*$N58*H58,P20*H58)</f>
        <v>196028.66709718047</v>
      </c>
      <c r="AC20" s="302">
        <f t="shared" si="19"/>
        <v>204581.34293476146</v>
      </c>
      <c r="AD20" s="302">
        <f t="shared" si="19"/>
        <v>211507.99653667898</v>
      </c>
      <c r="AE20" s="302">
        <f t="shared" si="19"/>
        <v>218959.03364763089</v>
      </c>
      <c r="AF20" s="303">
        <f t="shared" si="19"/>
        <v>226499.18328378725</v>
      </c>
      <c r="AG20" s="179"/>
    </row>
    <row r="21" spans="2:33" x14ac:dyDescent="0.25">
      <c r="B21" s="98" t="s">
        <v>129</v>
      </c>
      <c r="C21" s="121">
        <f>'Input Sheet'!G21</f>
        <v>80</v>
      </c>
      <c r="D21" s="122" t="str">
        <f>'Input Sheet'!H21</f>
        <v>Hourly</v>
      </c>
      <c r="E21" s="139">
        <f>'Input Sheet'!J21</f>
        <v>88</v>
      </c>
      <c r="F21" s="136">
        <f>'Input Sheet'!K21</f>
        <v>80</v>
      </c>
      <c r="G21" s="123"/>
      <c r="H21" s="173">
        <f>+'Input Sheet'!G$145</f>
        <v>213.07463814910921</v>
      </c>
      <c r="I21" s="167">
        <f>+'Input Sheet'!H$145</f>
        <v>222.37102492908855</v>
      </c>
      <c r="J21" s="167">
        <f>+'Input Sheet'!I$145</f>
        <v>229.89999623552063</v>
      </c>
      <c r="K21" s="167">
        <f>+'Input Sheet'!J$145</f>
        <v>237.9989496169901</v>
      </c>
      <c r="L21" s="168">
        <f>+'Input Sheet'!K$145</f>
        <v>246.19476443889917</v>
      </c>
      <c r="M21" s="118"/>
      <c r="N21" s="126" t="str">
        <f>+'Standard Hour Calcs'!Z22</f>
        <v>Hourly</v>
      </c>
      <c r="O21" s="118"/>
      <c r="P21" s="239">
        <f t="shared" si="5"/>
        <v>213.07463814910921</v>
      </c>
      <c r="Q21" s="240">
        <f t="shared" si="6"/>
        <v>222.37102492908855</v>
      </c>
      <c r="R21" s="240">
        <f t="shared" si="7"/>
        <v>229.89999623552063</v>
      </c>
      <c r="S21" s="240">
        <f t="shared" si="8"/>
        <v>237.9989496169901</v>
      </c>
      <c r="T21" s="241">
        <f t="shared" si="9"/>
        <v>246.19476443889917</v>
      </c>
      <c r="U21" s="119"/>
      <c r="V21" s="181"/>
      <c r="W21" s="181"/>
      <c r="X21" s="181"/>
      <c r="Y21" s="181"/>
      <c r="Z21" s="181"/>
      <c r="AA21" s="179"/>
      <c r="AB21" s="301">
        <f t="shared" ref="AB21:AF21" si="20">IF($N21="Hourly",P21*$N59*H59,P21*H59)</f>
        <v>2556.8956577893105</v>
      </c>
      <c r="AC21" s="302">
        <f t="shared" si="20"/>
        <v>2668.4522991490626</v>
      </c>
      <c r="AD21" s="302">
        <f t="shared" si="20"/>
        <v>2758.7999548262478</v>
      </c>
      <c r="AE21" s="302">
        <f t="shared" si="20"/>
        <v>2855.9873954038812</v>
      </c>
      <c r="AF21" s="303">
        <f t="shared" si="20"/>
        <v>2954.3371732667902</v>
      </c>
      <c r="AG21" s="179"/>
    </row>
    <row r="22" spans="2:33" x14ac:dyDescent="0.25">
      <c r="B22" s="98" t="s">
        <v>130</v>
      </c>
      <c r="C22" s="121">
        <f>'Input Sheet'!G22</f>
        <v>80</v>
      </c>
      <c r="D22" s="122" t="str">
        <f>'Input Sheet'!H22</f>
        <v>Hourly</v>
      </c>
      <c r="E22" s="139">
        <f>'Input Sheet'!J22</f>
        <v>88</v>
      </c>
      <c r="F22" s="136">
        <f>'Input Sheet'!K22</f>
        <v>80</v>
      </c>
      <c r="G22" s="123"/>
      <c r="H22" s="173">
        <f>+'Input Sheet'!G$145</f>
        <v>213.07463814910921</v>
      </c>
      <c r="I22" s="167">
        <f>+'Input Sheet'!H$145</f>
        <v>222.37102492908855</v>
      </c>
      <c r="J22" s="167">
        <f>+'Input Sheet'!I$145</f>
        <v>229.89999623552063</v>
      </c>
      <c r="K22" s="167">
        <f>+'Input Sheet'!J$145</f>
        <v>237.9989496169901</v>
      </c>
      <c r="L22" s="168">
        <f>+'Input Sheet'!K$145</f>
        <v>246.19476443889917</v>
      </c>
      <c r="M22" s="118"/>
      <c r="N22" s="126" t="str">
        <f>+'Standard Hour Calcs'!Z23</f>
        <v>Hourly</v>
      </c>
      <c r="O22" s="118"/>
      <c r="P22" s="239">
        <f t="shared" si="5"/>
        <v>213.07463814910921</v>
      </c>
      <c r="Q22" s="240">
        <f t="shared" si="6"/>
        <v>222.37102492908855</v>
      </c>
      <c r="R22" s="240">
        <f t="shared" si="7"/>
        <v>229.89999623552063</v>
      </c>
      <c r="S22" s="240">
        <f t="shared" si="8"/>
        <v>237.9989496169901</v>
      </c>
      <c r="T22" s="241">
        <f t="shared" si="9"/>
        <v>246.19476443889917</v>
      </c>
      <c r="U22" s="119"/>
      <c r="V22" s="181"/>
      <c r="W22" s="181"/>
      <c r="X22" s="181"/>
      <c r="Y22" s="181"/>
      <c r="Z22" s="181"/>
      <c r="AA22" s="179"/>
      <c r="AB22" s="301">
        <f t="shared" ref="AB22:AF22" si="21">IF($N22="Hourly",P22*$N60*H60,P22*H60)</f>
        <v>77559.168286275744</v>
      </c>
      <c r="AC22" s="302">
        <f t="shared" si="21"/>
        <v>80943.053074188239</v>
      </c>
      <c r="AD22" s="302">
        <f t="shared" si="21"/>
        <v>83683.598629729517</v>
      </c>
      <c r="AE22" s="302">
        <f t="shared" si="21"/>
        <v>86631.617660584394</v>
      </c>
      <c r="AF22" s="303">
        <f t="shared" si="21"/>
        <v>89614.894255759296</v>
      </c>
      <c r="AG22" s="179"/>
    </row>
    <row r="23" spans="2:33" x14ac:dyDescent="0.25">
      <c r="B23" s="98" t="s">
        <v>131</v>
      </c>
      <c r="C23" s="121">
        <f>'Input Sheet'!G23</f>
        <v>80</v>
      </c>
      <c r="D23" s="122" t="str">
        <f>'Input Sheet'!H23</f>
        <v>Hourly</v>
      </c>
      <c r="E23" s="139">
        <f>'Input Sheet'!J23</f>
        <v>88</v>
      </c>
      <c r="F23" s="136">
        <f>'Input Sheet'!K23</f>
        <v>80</v>
      </c>
      <c r="G23" s="123"/>
      <c r="H23" s="173">
        <f>+'Input Sheet'!G$145</f>
        <v>213.07463814910921</v>
      </c>
      <c r="I23" s="167">
        <f>+'Input Sheet'!H$145</f>
        <v>222.37102492908855</v>
      </c>
      <c r="J23" s="167">
        <f>+'Input Sheet'!I$145</f>
        <v>229.89999623552063</v>
      </c>
      <c r="K23" s="167">
        <f>+'Input Sheet'!J$145</f>
        <v>237.9989496169901</v>
      </c>
      <c r="L23" s="168">
        <f>+'Input Sheet'!K$145</f>
        <v>246.19476443889917</v>
      </c>
      <c r="M23" s="118"/>
      <c r="N23" s="126" t="str">
        <f>+'Standard Hour Calcs'!Z24</f>
        <v>Hourly</v>
      </c>
      <c r="O23" s="118"/>
      <c r="P23" s="239">
        <f t="shared" si="5"/>
        <v>213.07463814910921</v>
      </c>
      <c r="Q23" s="240">
        <f t="shared" si="6"/>
        <v>222.37102492908855</v>
      </c>
      <c r="R23" s="240">
        <f t="shared" si="7"/>
        <v>229.89999623552063</v>
      </c>
      <c r="S23" s="240">
        <f t="shared" si="8"/>
        <v>237.9989496169901</v>
      </c>
      <c r="T23" s="241">
        <f t="shared" si="9"/>
        <v>246.19476443889917</v>
      </c>
      <c r="U23" s="119"/>
      <c r="V23" s="181"/>
      <c r="W23" s="181"/>
      <c r="X23" s="181"/>
      <c r="Y23" s="181"/>
      <c r="Z23" s="181"/>
      <c r="AA23" s="179"/>
      <c r="AB23" s="301">
        <f t="shared" ref="AB23:AF23" si="22">IF($N23="Hourly",P23*$N61*H61,P23*H61)</f>
        <v>57530.152300259491</v>
      </c>
      <c r="AC23" s="302">
        <f t="shared" si="22"/>
        <v>60040.176730853913</v>
      </c>
      <c r="AD23" s="302">
        <f t="shared" si="22"/>
        <v>62072.998983590573</v>
      </c>
      <c r="AE23" s="302">
        <f t="shared" si="22"/>
        <v>64259.716396587326</v>
      </c>
      <c r="AF23" s="303">
        <f t="shared" si="22"/>
        <v>66472.586398502768</v>
      </c>
      <c r="AG23" s="179"/>
    </row>
    <row r="24" spans="2:33" x14ac:dyDescent="0.25">
      <c r="B24" s="98" t="s">
        <v>132</v>
      </c>
      <c r="C24" s="121">
        <f>'Input Sheet'!G24</f>
        <v>80</v>
      </c>
      <c r="D24" s="122" t="str">
        <f>'Input Sheet'!H24</f>
        <v>Hourly</v>
      </c>
      <c r="E24" s="139">
        <f>'Input Sheet'!J24</f>
        <v>88</v>
      </c>
      <c r="F24" s="136">
        <f>'Input Sheet'!K24</f>
        <v>80</v>
      </c>
      <c r="G24" s="123"/>
      <c r="H24" s="173">
        <f>+'Input Sheet'!G$145</f>
        <v>213.07463814910921</v>
      </c>
      <c r="I24" s="167">
        <f>+'Input Sheet'!H$145</f>
        <v>222.37102492908855</v>
      </c>
      <c r="J24" s="167">
        <f>+'Input Sheet'!I$145</f>
        <v>229.89999623552063</v>
      </c>
      <c r="K24" s="167">
        <f>+'Input Sheet'!J$145</f>
        <v>237.9989496169901</v>
      </c>
      <c r="L24" s="168">
        <f>+'Input Sheet'!K$145</f>
        <v>246.19476443889917</v>
      </c>
      <c r="M24" s="118"/>
      <c r="N24" s="126" t="str">
        <f>+'Standard Hour Calcs'!Z25</f>
        <v>Hourly</v>
      </c>
      <c r="O24" s="118"/>
      <c r="P24" s="239">
        <f t="shared" si="5"/>
        <v>213.07463814910921</v>
      </c>
      <c r="Q24" s="240">
        <f t="shared" si="6"/>
        <v>222.37102492908855</v>
      </c>
      <c r="R24" s="240">
        <f t="shared" si="7"/>
        <v>229.89999623552063</v>
      </c>
      <c r="S24" s="240">
        <f t="shared" si="8"/>
        <v>237.9989496169901</v>
      </c>
      <c r="T24" s="241">
        <f t="shared" si="9"/>
        <v>246.19476443889917</v>
      </c>
      <c r="U24" s="119"/>
      <c r="V24" s="181"/>
      <c r="W24" s="181"/>
      <c r="X24" s="181"/>
      <c r="Y24" s="181"/>
      <c r="Z24" s="181"/>
      <c r="AA24" s="179"/>
      <c r="AB24" s="301">
        <f t="shared" ref="AB24:AF24" si="23">IF($N24="Hourly",P24*$N62*H62,P24*H62)</f>
        <v>74149.974075890001</v>
      </c>
      <c r="AC24" s="302">
        <f t="shared" si="23"/>
        <v>77385.116675322817</v>
      </c>
      <c r="AD24" s="302">
        <f t="shared" si="23"/>
        <v>80005.19868996118</v>
      </c>
      <c r="AE24" s="302">
        <f t="shared" si="23"/>
        <v>82823.634466712552</v>
      </c>
      <c r="AF24" s="303">
        <f t="shared" si="23"/>
        <v>85675.778024736908</v>
      </c>
      <c r="AG24" s="179"/>
    </row>
    <row r="25" spans="2:33" x14ac:dyDescent="0.25">
      <c r="B25" s="98" t="s">
        <v>133</v>
      </c>
      <c r="C25" s="121">
        <f>'Input Sheet'!G25</f>
        <v>80</v>
      </c>
      <c r="D25" s="122" t="str">
        <f>'Input Sheet'!H25</f>
        <v>Hourly</v>
      </c>
      <c r="E25" s="139">
        <f>'Input Sheet'!J25</f>
        <v>88</v>
      </c>
      <c r="F25" s="136">
        <f>'Input Sheet'!K25</f>
        <v>80</v>
      </c>
      <c r="G25" s="123"/>
      <c r="H25" s="173">
        <f>+'Input Sheet'!G$145</f>
        <v>213.07463814910921</v>
      </c>
      <c r="I25" s="167">
        <f>+'Input Sheet'!H$145</f>
        <v>222.37102492908855</v>
      </c>
      <c r="J25" s="167">
        <f>+'Input Sheet'!I$145</f>
        <v>229.89999623552063</v>
      </c>
      <c r="K25" s="167">
        <f>+'Input Sheet'!J$145</f>
        <v>237.9989496169901</v>
      </c>
      <c r="L25" s="168">
        <f>+'Input Sheet'!K$145</f>
        <v>246.19476443889917</v>
      </c>
      <c r="M25" s="118"/>
      <c r="N25" s="126" t="str">
        <f>+'Standard Hour Calcs'!Z26</f>
        <v>Hourly</v>
      </c>
      <c r="O25" s="118"/>
      <c r="P25" s="239">
        <f t="shared" si="5"/>
        <v>213.07463814910921</v>
      </c>
      <c r="Q25" s="240">
        <f t="shared" si="6"/>
        <v>222.37102492908855</v>
      </c>
      <c r="R25" s="240">
        <f t="shared" si="7"/>
        <v>229.89999623552063</v>
      </c>
      <c r="S25" s="240">
        <f t="shared" si="8"/>
        <v>237.9989496169901</v>
      </c>
      <c r="T25" s="241">
        <f t="shared" si="9"/>
        <v>246.19476443889917</v>
      </c>
      <c r="U25" s="119"/>
      <c r="V25" s="181"/>
      <c r="W25" s="181"/>
      <c r="X25" s="181"/>
      <c r="Y25" s="181"/>
      <c r="Z25" s="181"/>
      <c r="AA25" s="179"/>
      <c r="AB25" s="301">
        <f t="shared" ref="AB25:AF25" si="24">IF($N25="Hourly",P25*$N63*H63,P25*H63)</f>
        <v>25568.956577893106</v>
      </c>
      <c r="AC25" s="302">
        <f t="shared" si="24"/>
        <v>26684.522991490627</v>
      </c>
      <c r="AD25" s="302">
        <f t="shared" si="24"/>
        <v>27587.999548262476</v>
      </c>
      <c r="AE25" s="302">
        <f t="shared" si="24"/>
        <v>28559.873954038812</v>
      </c>
      <c r="AF25" s="303">
        <f t="shared" si="24"/>
        <v>29543.3717326679</v>
      </c>
      <c r="AG25" s="179"/>
    </row>
    <row r="26" spans="2:33" x14ac:dyDescent="0.25">
      <c r="B26" s="98" t="s">
        <v>134</v>
      </c>
      <c r="C26" s="121">
        <f>'Input Sheet'!G26</f>
        <v>80</v>
      </c>
      <c r="D26" s="122" t="str">
        <f>'Input Sheet'!H26</f>
        <v>Hourly</v>
      </c>
      <c r="E26" s="139">
        <f>'Input Sheet'!J26</f>
        <v>88</v>
      </c>
      <c r="F26" s="136">
        <f>'Input Sheet'!K26</f>
        <v>80</v>
      </c>
      <c r="G26" s="123"/>
      <c r="H26" s="173">
        <f>+'Input Sheet'!G$145</f>
        <v>213.07463814910921</v>
      </c>
      <c r="I26" s="167">
        <f>+'Input Sheet'!H$145</f>
        <v>222.37102492908855</v>
      </c>
      <c r="J26" s="167">
        <f>+'Input Sheet'!I$145</f>
        <v>229.89999623552063</v>
      </c>
      <c r="K26" s="167">
        <f>+'Input Sheet'!J$145</f>
        <v>237.9989496169901</v>
      </c>
      <c r="L26" s="168">
        <f>+'Input Sheet'!K$145</f>
        <v>246.19476443889917</v>
      </c>
      <c r="M26" s="118"/>
      <c r="N26" s="126" t="str">
        <f>+'Standard Hour Calcs'!Z27</f>
        <v>Hourly</v>
      </c>
      <c r="O26" s="118"/>
      <c r="P26" s="239">
        <f t="shared" si="5"/>
        <v>213.07463814910921</v>
      </c>
      <c r="Q26" s="240">
        <f t="shared" si="6"/>
        <v>222.37102492908855</v>
      </c>
      <c r="R26" s="240">
        <f t="shared" si="7"/>
        <v>229.89999623552063</v>
      </c>
      <c r="S26" s="240">
        <f t="shared" si="8"/>
        <v>237.9989496169901</v>
      </c>
      <c r="T26" s="241">
        <f t="shared" si="9"/>
        <v>246.19476443889917</v>
      </c>
      <c r="U26" s="119"/>
      <c r="V26" s="181"/>
      <c r="W26" s="181"/>
      <c r="X26" s="181"/>
      <c r="Y26" s="181"/>
      <c r="Z26" s="181"/>
      <c r="AA26" s="179"/>
      <c r="AB26" s="301">
        <f t="shared" ref="AB26:AF26" si="25">IF($N26="Hourly",P26*$N64*H64,P26*H64)</f>
        <v>12784.478288946553</v>
      </c>
      <c r="AC26" s="302">
        <f t="shared" si="25"/>
        <v>13342.261495745312</v>
      </c>
      <c r="AD26" s="302">
        <f t="shared" si="25"/>
        <v>13793.999774131236</v>
      </c>
      <c r="AE26" s="302">
        <f t="shared" si="25"/>
        <v>14279.936977019406</v>
      </c>
      <c r="AF26" s="303">
        <f t="shared" si="25"/>
        <v>14771.68586633395</v>
      </c>
      <c r="AG26" s="179"/>
    </row>
    <row r="27" spans="2:33" x14ac:dyDescent="0.25">
      <c r="B27" s="98" t="s">
        <v>135</v>
      </c>
      <c r="C27" s="121">
        <f>'Input Sheet'!G27</f>
        <v>80</v>
      </c>
      <c r="D27" s="122" t="str">
        <f>'Input Sheet'!H27</f>
        <v>Hourly</v>
      </c>
      <c r="E27" s="139">
        <f>'Input Sheet'!J27</f>
        <v>88</v>
      </c>
      <c r="F27" s="136">
        <f>'Input Sheet'!K27</f>
        <v>80</v>
      </c>
      <c r="G27" s="123"/>
      <c r="H27" s="173">
        <f>+'Input Sheet'!G$145</f>
        <v>213.07463814910921</v>
      </c>
      <c r="I27" s="167">
        <f>+'Input Sheet'!H$145</f>
        <v>222.37102492908855</v>
      </c>
      <c r="J27" s="167">
        <f>+'Input Sheet'!I$145</f>
        <v>229.89999623552063</v>
      </c>
      <c r="K27" s="167">
        <f>+'Input Sheet'!J$145</f>
        <v>237.9989496169901</v>
      </c>
      <c r="L27" s="168">
        <f>+'Input Sheet'!K$145</f>
        <v>246.19476443889917</v>
      </c>
      <c r="M27" s="118"/>
      <c r="N27" s="126" t="str">
        <f>+'Standard Hour Calcs'!Z28</f>
        <v>Hourly</v>
      </c>
      <c r="O27" s="118"/>
      <c r="P27" s="239">
        <f t="shared" si="5"/>
        <v>213.07463814910921</v>
      </c>
      <c r="Q27" s="240">
        <f t="shared" si="6"/>
        <v>222.37102492908855</v>
      </c>
      <c r="R27" s="240">
        <f t="shared" si="7"/>
        <v>229.89999623552063</v>
      </c>
      <c r="S27" s="240">
        <f t="shared" si="8"/>
        <v>237.9989496169901</v>
      </c>
      <c r="T27" s="241">
        <f t="shared" si="9"/>
        <v>246.19476443889917</v>
      </c>
      <c r="U27" s="119"/>
      <c r="V27" s="181"/>
      <c r="W27" s="181"/>
      <c r="X27" s="181"/>
      <c r="Y27" s="181"/>
      <c r="Z27" s="181"/>
      <c r="AA27" s="179"/>
      <c r="AB27" s="301">
        <f t="shared" ref="AB27:AF27" si="26">IF($N27="Hourly",P27*$N65*H65,P27*H65)</f>
        <v>7244.5376970697125</v>
      </c>
      <c r="AC27" s="302">
        <f t="shared" si="26"/>
        <v>7560.6148475890104</v>
      </c>
      <c r="AD27" s="302">
        <f t="shared" si="26"/>
        <v>7816.5998720077014</v>
      </c>
      <c r="AE27" s="302">
        <f t="shared" si="26"/>
        <v>8091.9642869776635</v>
      </c>
      <c r="AF27" s="303">
        <f t="shared" si="26"/>
        <v>8370.6219909225711</v>
      </c>
      <c r="AG27" s="179"/>
    </row>
    <row r="28" spans="2:33" x14ac:dyDescent="0.25">
      <c r="B28" s="98" t="s">
        <v>136</v>
      </c>
      <c r="C28" s="121">
        <f>'Input Sheet'!G28</f>
        <v>80</v>
      </c>
      <c r="D28" s="122" t="str">
        <f>'Input Sheet'!H28</f>
        <v>Hourly</v>
      </c>
      <c r="E28" s="139">
        <f>'Input Sheet'!J28</f>
        <v>88</v>
      </c>
      <c r="F28" s="136">
        <f>'Input Sheet'!K28</f>
        <v>80</v>
      </c>
      <c r="G28" s="123"/>
      <c r="H28" s="173">
        <f>+'Input Sheet'!G$145</f>
        <v>213.07463814910921</v>
      </c>
      <c r="I28" s="167">
        <f>+'Input Sheet'!H$145</f>
        <v>222.37102492908855</v>
      </c>
      <c r="J28" s="167">
        <f>+'Input Sheet'!I$145</f>
        <v>229.89999623552063</v>
      </c>
      <c r="K28" s="167">
        <f>+'Input Sheet'!J$145</f>
        <v>237.9989496169901</v>
      </c>
      <c r="L28" s="168">
        <f>+'Input Sheet'!K$145</f>
        <v>246.19476443889917</v>
      </c>
      <c r="M28" s="118"/>
      <c r="N28" s="126" t="str">
        <f>+'Standard Hour Calcs'!Z29</f>
        <v>Hourly</v>
      </c>
      <c r="O28" s="118"/>
      <c r="P28" s="239">
        <f t="shared" si="5"/>
        <v>213.07463814910921</v>
      </c>
      <c r="Q28" s="240">
        <f t="shared" si="6"/>
        <v>222.37102492908855</v>
      </c>
      <c r="R28" s="240">
        <f t="shared" si="7"/>
        <v>229.89999623552063</v>
      </c>
      <c r="S28" s="240">
        <f t="shared" si="8"/>
        <v>237.9989496169901</v>
      </c>
      <c r="T28" s="241">
        <f t="shared" si="9"/>
        <v>246.19476443889917</v>
      </c>
      <c r="U28" s="119"/>
      <c r="V28" s="181"/>
      <c r="W28" s="181"/>
      <c r="X28" s="181"/>
      <c r="Y28" s="181"/>
      <c r="Z28" s="181"/>
      <c r="AA28" s="179"/>
      <c r="AB28" s="301">
        <f t="shared" ref="AB28:AF28" si="27">IF($N28="Hourly",P28*$N66*H66,P28*H66)</f>
        <v>0</v>
      </c>
      <c r="AC28" s="302">
        <f t="shared" si="27"/>
        <v>0</v>
      </c>
      <c r="AD28" s="302">
        <f t="shared" si="27"/>
        <v>0</v>
      </c>
      <c r="AE28" s="302">
        <f t="shared" si="27"/>
        <v>0</v>
      </c>
      <c r="AF28" s="303">
        <f t="shared" si="27"/>
        <v>0</v>
      </c>
      <c r="AG28" s="179"/>
    </row>
    <row r="29" spans="2:33" x14ac:dyDescent="0.25">
      <c r="B29" s="98" t="s">
        <v>137</v>
      </c>
      <c r="C29" s="121">
        <f>'Input Sheet'!G29</f>
        <v>80</v>
      </c>
      <c r="D29" s="190" t="str">
        <f>'Input Sheet'!H29</f>
        <v>Hourly</v>
      </c>
      <c r="E29" s="139">
        <f>'Input Sheet'!J29</f>
        <v>88</v>
      </c>
      <c r="F29" s="136">
        <f>'Input Sheet'!K29</f>
        <v>80</v>
      </c>
      <c r="G29" s="123"/>
      <c r="H29" s="173">
        <f>+'Input Sheet'!G$145</f>
        <v>213.07463814910921</v>
      </c>
      <c r="I29" s="167">
        <f>+'Input Sheet'!H$145</f>
        <v>222.37102492908855</v>
      </c>
      <c r="J29" s="167">
        <f>+'Input Sheet'!I$145</f>
        <v>229.89999623552063</v>
      </c>
      <c r="K29" s="167">
        <f>+'Input Sheet'!J$145</f>
        <v>237.9989496169901</v>
      </c>
      <c r="L29" s="168">
        <f>+'Input Sheet'!K$145</f>
        <v>246.19476443889917</v>
      </c>
      <c r="M29" s="118"/>
      <c r="N29" s="126" t="str">
        <f>+'Standard Hour Calcs'!Z30</f>
        <v>Hourly</v>
      </c>
      <c r="O29" s="118"/>
      <c r="P29" s="239">
        <f t="shared" si="5"/>
        <v>213.07463814910921</v>
      </c>
      <c r="Q29" s="240">
        <f t="shared" si="6"/>
        <v>222.37102492908855</v>
      </c>
      <c r="R29" s="240">
        <f t="shared" si="7"/>
        <v>229.89999623552063</v>
      </c>
      <c r="S29" s="240">
        <f t="shared" si="8"/>
        <v>237.9989496169901</v>
      </c>
      <c r="T29" s="241">
        <f t="shared" si="9"/>
        <v>246.19476443889917</v>
      </c>
      <c r="U29" s="119"/>
      <c r="V29" s="181"/>
      <c r="W29" s="181"/>
      <c r="X29" s="181"/>
      <c r="Y29" s="181"/>
      <c r="Z29" s="181"/>
      <c r="AA29" s="179"/>
      <c r="AB29" s="301">
        <f t="shared" ref="AB29:AF29" si="28">IF($N29="Hourly",P29*$N67*H67,P29*H67)</f>
        <v>83099.10887815259</v>
      </c>
      <c r="AC29" s="302">
        <f t="shared" si="28"/>
        <v>86724.699722344536</v>
      </c>
      <c r="AD29" s="302">
        <f t="shared" si="28"/>
        <v>89660.998531853053</v>
      </c>
      <c r="AE29" s="302">
        <f t="shared" si="28"/>
        <v>92819.590350626138</v>
      </c>
      <c r="AF29" s="303">
        <f t="shared" si="28"/>
        <v>96015.958131170672</v>
      </c>
      <c r="AG29" s="179"/>
    </row>
    <row r="30" spans="2:33" x14ac:dyDescent="0.25">
      <c r="B30" s="98" t="s">
        <v>138</v>
      </c>
      <c r="C30" s="121">
        <f>'Input Sheet'!G30</f>
        <v>80</v>
      </c>
      <c r="D30" s="190" t="str">
        <f>'Input Sheet'!H30</f>
        <v>Hourly</v>
      </c>
      <c r="E30" s="139">
        <f>'Input Sheet'!J30</f>
        <v>88</v>
      </c>
      <c r="F30" s="136">
        <f>'Input Sheet'!K30</f>
        <v>80</v>
      </c>
      <c r="G30" s="123"/>
      <c r="H30" s="173">
        <f>+'Input Sheet'!G$145</f>
        <v>213.07463814910921</v>
      </c>
      <c r="I30" s="167">
        <f>+'Input Sheet'!H$145</f>
        <v>222.37102492908855</v>
      </c>
      <c r="J30" s="167">
        <f>+'Input Sheet'!I$145</f>
        <v>229.89999623552063</v>
      </c>
      <c r="K30" s="167">
        <f>+'Input Sheet'!J$145</f>
        <v>237.9989496169901</v>
      </c>
      <c r="L30" s="168">
        <f>+'Input Sheet'!K$145</f>
        <v>246.19476443889917</v>
      </c>
      <c r="M30" s="118"/>
      <c r="N30" s="126" t="str">
        <f>+'Standard Hour Calcs'!Z31</f>
        <v>Hourly</v>
      </c>
      <c r="O30" s="118"/>
      <c r="P30" s="239">
        <f t="shared" si="5"/>
        <v>213.07463814910921</v>
      </c>
      <c r="Q30" s="240">
        <f t="shared" si="6"/>
        <v>222.37102492908855</v>
      </c>
      <c r="R30" s="240">
        <f t="shared" si="7"/>
        <v>229.89999623552063</v>
      </c>
      <c r="S30" s="240">
        <f t="shared" si="8"/>
        <v>237.9989496169901</v>
      </c>
      <c r="T30" s="241">
        <f t="shared" si="9"/>
        <v>246.19476443889917</v>
      </c>
      <c r="U30" s="119"/>
      <c r="V30" s="181"/>
      <c r="W30" s="181"/>
      <c r="X30" s="181"/>
      <c r="Y30" s="181"/>
      <c r="Z30" s="181"/>
      <c r="AA30" s="179"/>
      <c r="AB30" s="301">
        <f t="shared" ref="AB30:AF30" si="29">IF($N30="Hourly",P30*$N68*H68,P30*H68)</f>
        <v>0</v>
      </c>
      <c r="AC30" s="302">
        <f t="shared" si="29"/>
        <v>0</v>
      </c>
      <c r="AD30" s="302">
        <f t="shared" si="29"/>
        <v>0</v>
      </c>
      <c r="AE30" s="302">
        <f t="shared" si="29"/>
        <v>0</v>
      </c>
      <c r="AF30" s="303">
        <f t="shared" si="29"/>
        <v>0</v>
      </c>
      <c r="AG30" s="179"/>
    </row>
    <row r="31" spans="2:33" x14ac:dyDescent="0.25">
      <c r="B31" s="138" t="s">
        <v>139</v>
      </c>
      <c r="C31" s="121">
        <f>'Input Sheet'!G31</f>
        <v>80</v>
      </c>
      <c r="D31" s="190" t="str">
        <f>'Input Sheet'!H31</f>
        <v>Hourly</v>
      </c>
      <c r="E31" s="139">
        <f>'Input Sheet'!J31</f>
        <v>88</v>
      </c>
      <c r="F31" s="136">
        <f>'Input Sheet'!K31</f>
        <v>80</v>
      </c>
      <c r="G31" s="123"/>
      <c r="H31" s="173">
        <f>+'Input Sheet'!G$145</f>
        <v>213.07463814910921</v>
      </c>
      <c r="I31" s="167">
        <f>+'Input Sheet'!H$145</f>
        <v>222.37102492908855</v>
      </c>
      <c r="J31" s="167">
        <f>+'Input Sheet'!I$145</f>
        <v>229.89999623552063</v>
      </c>
      <c r="K31" s="167">
        <f>+'Input Sheet'!J$145</f>
        <v>237.9989496169901</v>
      </c>
      <c r="L31" s="168">
        <f>+'Input Sheet'!K$145</f>
        <v>246.19476443889917</v>
      </c>
      <c r="M31" s="118"/>
      <c r="N31" s="126" t="str">
        <f>+'Standard Hour Calcs'!Z32</f>
        <v>Hourly</v>
      </c>
      <c r="O31" s="118"/>
      <c r="P31" s="239">
        <f t="shared" si="5"/>
        <v>213.07463814910921</v>
      </c>
      <c r="Q31" s="240">
        <f t="shared" si="6"/>
        <v>222.37102492908855</v>
      </c>
      <c r="R31" s="240">
        <f t="shared" si="7"/>
        <v>229.89999623552063</v>
      </c>
      <c r="S31" s="240">
        <f t="shared" si="8"/>
        <v>237.9989496169901</v>
      </c>
      <c r="T31" s="241">
        <f t="shared" si="9"/>
        <v>246.19476443889917</v>
      </c>
      <c r="U31" s="119"/>
      <c r="V31" s="181"/>
      <c r="W31" s="181"/>
      <c r="X31" s="181"/>
      <c r="Y31" s="181"/>
      <c r="Z31" s="181"/>
      <c r="AA31" s="179"/>
      <c r="AB31" s="301">
        <f t="shared" ref="AB31:AF31" si="30">IF($N31="Hourly",P31*$N69*H69,P31*H69)</f>
        <v>0</v>
      </c>
      <c r="AC31" s="302">
        <f t="shared" si="30"/>
        <v>0</v>
      </c>
      <c r="AD31" s="302">
        <f t="shared" si="30"/>
        <v>0</v>
      </c>
      <c r="AE31" s="302">
        <f t="shared" si="30"/>
        <v>0</v>
      </c>
      <c r="AF31" s="303">
        <f t="shared" si="30"/>
        <v>0</v>
      </c>
      <c r="AG31" s="179"/>
    </row>
    <row r="32" spans="2:33" x14ac:dyDescent="0.25">
      <c r="B32" s="138" t="s">
        <v>140</v>
      </c>
      <c r="C32" s="121">
        <f>'Input Sheet'!G32</f>
        <v>80</v>
      </c>
      <c r="D32" s="190" t="str">
        <f>'Input Sheet'!H32</f>
        <v>Hourly</v>
      </c>
      <c r="E32" s="139">
        <f>'Input Sheet'!J32</f>
        <v>88</v>
      </c>
      <c r="F32" s="136">
        <f>'Input Sheet'!K32</f>
        <v>80</v>
      </c>
      <c r="G32" s="123"/>
      <c r="H32" s="173">
        <f>+'Input Sheet'!G$145</f>
        <v>213.07463814910921</v>
      </c>
      <c r="I32" s="167">
        <f>+'Input Sheet'!H$145</f>
        <v>222.37102492908855</v>
      </c>
      <c r="J32" s="167">
        <f>+'Input Sheet'!I$145</f>
        <v>229.89999623552063</v>
      </c>
      <c r="K32" s="167">
        <f>+'Input Sheet'!J$145</f>
        <v>237.9989496169901</v>
      </c>
      <c r="L32" s="168">
        <f>+'Input Sheet'!K$145</f>
        <v>246.19476443889917</v>
      </c>
      <c r="M32" s="118"/>
      <c r="N32" s="126" t="str">
        <f>+'Standard Hour Calcs'!Z33</f>
        <v>Hourly</v>
      </c>
      <c r="O32" s="118"/>
      <c r="P32" s="239">
        <f t="shared" si="5"/>
        <v>213.07463814910921</v>
      </c>
      <c r="Q32" s="240">
        <f t="shared" si="6"/>
        <v>222.37102492908855</v>
      </c>
      <c r="R32" s="240">
        <f t="shared" si="7"/>
        <v>229.89999623552063</v>
      </c>
      <c r="S32" s="240">
        <f t="shared" si="8"/>
        <v>237.9989496169901</v>
      </c>
      <c r="T32" s="241">
        <f t="shared" si="9"/>
        <v>246.19476443889917</v>
      </c>
      <c r="U32" s="119"/>
      <c r="V32" s="181"/>
      <c r="W32" s="181"/>
      <c r="X32" s="181"/>
      <c r="Y32" s="181"/>
      <c r="Z32" s="181"/>
      <c r="AA32" s="179"/>
      <c r="AB32" s="301">
        <f t="shared" ref="AB32:AF32" si="31">IF($N32="Hourly",P32*$N70*H70,P32*H70)</f>
        <v>0</v>
      </c>
      <c r="AC32" s="302">
        <f t="shared" si="31"/>
        <v>0</v>
      </c>
      <c r="AD32" s="302">
        <f t="shared" si="31"/>
        <v>0</v>
      </c>
      <c r="AE32" s="302">
        <f t="shared" si="31"/>
        <v>0</v>
      </c>
      <c r="AF32" s="303">
        <f t="shared" si="31"/>
        <v>0</v>
      </c>
      <c r="AG32" s="179"/>
    </row>
    <row r="33" spans="2:33" x14ac:dyDescent="0.25">
      <c r="B33" s="138" t="s">
        <v>141</v>
      </c>
      <c r="C33" s="121">
        <f>'Input Sheet'!G33</f>
        <v>80</v>
      </c>
      <c r="D33" s="190" t="str">
        <f>'Input Sheet'!H33</f>
        <v>Hourly</v>
      </c>
      <c r="E33" s="139">
        <f>'Input Sheet'!J33</f>
        <v>88</v>
      </c>
      <c r="F33" s="136">
        <f>'Input Sheet'!K33</f>
        <v>80</v>
      </c>
      <c r="G33" s="123"/>
      <c r="H33" s="173">
        <f>+'Input Sheet'!G$145</f>
        <v>213.07463814910921</v>
      </c>
      <c r="I33" s="167">
        <f>+'Input Sheet'!H$145</f>
        <v>222.37102492908855</v>
      </c>
      <c r="J33" s="167">
        <f>+'Input Sheet'!I$145</f>
        <v>229.89999623552063</v>
      </c>
      <c r="K33" s="167">
        <f>+'Input Sheet'!J$145</f>
        <v>237.9989496169901</v>
      </c>
      <c r="L33" s="168">
        <f>+'Input Sheet'!K$145</f>
        <v>246.19476443889917</v>
      </c>
      <c r="M33" s="118"/>
      <c r="N33" s="126" t="str">
        <f>+'Standard Hour Calcs'!Z34</f>
        <v>Hourly</v>
      </c>
      <c r="O33" s="118"/>
      <c r="P33" s="239">
        <f t="shared" si="5"/>
        <v>213.07463814910921</v>
      </c>
      <c r="Q33" s="240">
        <f t="shared" si="6"/>
        <v>222.37102492908855</v>
      </c>
      <c r="R33" s="240">
        <f t="shared" si="7"/>
        <v>229.89999623552063</v>
      </c>
      <c r="S33" s="240">
        <f t="shared" si="8"/>
        <v>237.9989496169901</v>
      </c>
      <c r="T33" s="241">
        <f t="shared" si="9"/>
        <v>246.19476443889917</v>
      </c>
      <c r="U33" s="119"/>
      <c r="V33" s="181"/>
      <c r="W33" s="181"/>
      <c r="X33" s="181"/>
      <c r="Y33" s="181"/>
      <c r="Z33" s="181"/>
      <c r="AA33" s="179"/>
      <c r="AB33" s="301">
        <f t="shared" ref="AB33:AF33" si="32">IF($N33="Hourly",P33*$N71*H71,P33*H71)</f>
        <v>0</v>
      </c>
      <c r="AC33" s="302">
        <f t="shared" si="32"/>
        <v>0</v>
      </c>
      <c r="AD33" s="302">
        <f t="shared" si="32"/>
        <v>0</v>
      </c>
      <c r="AE33" s="302">
        <f t="shared" si="32"/>
        <v>0</v>
      </c>
      <c r="AF33" s="303">
        <f t="shared" si="32"/>
        <v>0</v>
      </c>
      <c r="AG33" s="179"/>
    </row>
    <row r="34" spans="2:33" x14ac:dyDescent="0.25">
      <c r="B34" s="138" t="s">
        <v>142</v>
      </c>
      <c r="C34" s="121">
        <f>'Input Sheet'!G34</f>
        <v>80</v>
      </c>
      <c r="D34" s="122" t="str">
        <f>'Input Sheet'!H34</f>
        <v>Hourly</v>
      </c>
      <c r="E34" s="139">
        <f>'Input Sheet'!J34</f>
        <v>88</v>
      </c>
      <c r="F34" s="136">
        <f>'Input Sheet'!K34</f>
        <v>80</v>
      </c>
      <c r="G34" s="123"/>
      <c r="H34" s="173">
        <f>+'Input Sheet'!G$145</f>
        <v>213.07463814910921</v>
      </c>
      <c r="I34" s="167">
        <f>+'Input Sheet'!H$145</f>
        <v>222.37102492908855</v>
      </c>
      <c r="J34" s="167">
        <f>+'Input Sheet'!I$145</f>
        <v>229.89999623552063</v>
      </c>
      <c r="K34" s="167">
        <f>+'Input Sheet'!J$145</f>
        <v>237.9989496169901</v>
      </c>
      <c r="L34" s="168">
        <f>+'Input Sheet'!K$145</f>
        <v>246.19476443889917</v>
      </c>
      <c r="M34" s="118"/>
      <c r="N34" s="126" t="str">
        <f>+'Standard Hour Calcs'!Z35</f>
        <v>Hourly</v>
      </c>
      <c r="O34" s="118"/>
      <c r="P34" s="239">
        <f t="shared" si="5"/>
        <v>213.07463814910921</v>
      </c>
      <c r="Q34" s="240">
        <f t="shared" si="6"/>
        <v>222.37102492908855</v>
      </c>
      <c r="R34" s="240">
        <f t="shared" si="7"/>
        <v>229.89999623552063</v>
      </c>
      <c r="S34" s="240">
        <f t="shared" si="8"/>
        <v>237.9989496169901</v>
      </c>
      <c r="T34" s="241">
        <f t="shared" si="9"/>
        <v>246.19476443889917</v>
      </c>
      <c r="U34" s="119"/>
      <c r="V34" s="181"/>
      <c r="W34" s="181"/>
      <c r="X34" s="181"/>
      <c r="Y34" s="181"/>
      <c r="Z34" s="181"/>
      <c r="AA34" s="179"/>
      <c r="AB34" s="301">
        <f t="shared" ref="AB34:AF34" si="33">IF($N34="Hourly",P34*$N72*H72,P34*H72)</f>
        <v>95457.437890800924</v>
      </c>
      <c r="AC34" s="302">
        <f t="shared" si="33"/>
        <v>99622.219168231677</v>
      </c>
      <c r="AD34" s="302">
        <f t="shared" si="33"/>
        <v>102995.19831351325</v>
      </c>
      <c r="AE34" s="302">
        <f t="shared" si="33"/>
        <v>106623.52942841157</v>
      </c>
      <c r="AF34" s="303">
        <f t="shared" si="33"/>
        <v>110295.25446862682</v>
      </c>
      <c r="AG34" s="179"/>
    </row>
    <row r="35" spans="2:33" x14ac:dyDescent="0.25">
      <c r="B35" s="138"/>
      <c r="C35" s="121"/>
      <c r="D35" s="122"/>
      <c r="E35" s="139"/>
      <c r="F35" s="137"/>
      <c r="G35" s="123"/>
      <c r="H35" s="173"/>
      <c r="I35" s="167"/>
      <c r="J35" s="167"/>
      <c r="K35" s="167"/>
      <c r="L35" s="168"/>
      <c r="M35" s="118"/>
      <c r="N35" s="126"/>
      <c r="O35" s="118"/>
      <c r="P35" s="239"/>
      <c r="Q35" s="240"/>
      <c r="R35" s="240"/>
      <c r="S35" s="240"/>
      <c r="T35" s="241"/>
      <c r="U35" s="119"/>
      <c r="V35" s="181"/>
      <c r="W35" s="181"/>
      <c r="X35" s="181"/>
      <c r="Y35" s="181"/>
      <c r="Z35" s="181"/>
      <c r="AA35" s="179"/>
      <c r="AB35" s="301"/>
      <c r="AC35" s="302"/>
      <c r="AD35" s="302"/>
      <c r="AE35" s="302"/>
      <c r="AF35" s="303"/>
      <c r="AG35" s="179"/>
    </row>
    <row r="36" spans="2:33" x14ac:dyDescent="0.25">
      <c r="B36" s="138" t="s">
        <v>143</v>
      </c>
      <c r="C36" s="121">
        <f>'Input Sheet'!G36</f>
        <v>96.363636363636374</v>
      </c>
      <c r="D36" s="122" t="str">
        <f>'Input Sheet'!H36</f>
        <v>Hourly</v>
      </c>
      <c r="E36" s="139">
        <f>'Input Sheet'!J36</f>
        <v>106</v>
      </c>
      <c r="F36" s="136">
        <f>'Input Sheet'!K36</f>
        <v>96.363636363636374</v>
      </c>
      <c r="G36" s="123"/>
      <c r="H36" s="173">
        <f>+'Input Sheet'!G$145</f>
        <v>213.07463814910921</v>
      </c>
      <c r="I36" s="167">
        <f>+'Input Sheet'!H$145</f>
        <v>222.37102492908855</v>
      </c>
      <c r="J36" s="167">
        <f>+'Input Sheet'!I$145</f>
        <v>229.89999623552063</v>
      </c>
      <c r="K36" s="167">
        <f>+'Input Sheet'!J$145</f>
        <v>237.9989496169901</v>
      </c>
      <c r="L36" s="168">
        <f>+'Input Sheet'!K$145</f>
        <v>246.19476443889917</v>
      </c>
      <c r="M36" s="118"/>
      <c r="N36" s="126" t="str">
        <f>+'Standard Hour Calcs'!Z37</f>
        <v>Hourly</v>
      </c>
      <c r="O36" s="118"/>
      <c r="P36" s="239">
        <f t="shared" si="5"/>
        <v>213.07463814910921</v>
      </c>
      <c r="Q36" s="240">
        <f t="shared" si="6"/>
        <v>222.37102492908855</v>
      </c>
      <c r="R36" s="240">
        <f t="shared" si="7"/>
        <v>229.89999623552063</v>
      </c>
      <c r="S36" s="240">
        <f t="shared" si="8"/>
        <v>237.9989496169901</v>
      </c>
      <c r="T36" s="241">
        <f t="shared" si="9"/>
        <v>246.19476443889917</v>
      </c>
      <c r="U36" s="119"/>
      <c r="V36" s="181"/>
      <c r="W36" s="181"/>
      <c r="X36" s="181"/>
      <c r="Y36" s="181"/>
      <c r="Z36" s="181"/>
      <c r="AA36" s="179"/>
      <c r="AB36" s="301">
        <f t="shared" ref="AB36:AF36" si="34">IF($N36="Hourly",P36*$N74*H74,P36*H74)</f>
        <v>260803.35709450967</v>
      </c>
      <c r="AC36" s="302">
        <f t="shared" si="34"/>
        <v>272182.13451320439</v>
      </c>
      <c r="AD36" s="302">
        <f t="shared" si="34"/>
        <v>281397.59539227723</v>
      </c>
      <c r="AE36" s="302">
        <f t="shared" si="34"/>
        <v>291310.71433119586</v>
      </c>
      <c r="AF36" s="303">
        <f t="shared" si="34"/>
        <v>301342.39167321258</v>
      </c>
      <c r="AG36" s="179"/>
    </row>
    <row r="37" spans="2:33" x14ac:dyDescent="0.25">
      <c r="B37" s="138" t="s">
        <v>144</v>
      </c>
      <c r="C37" s="139">
        <f>'Input Sheet'!G37</f>
        <v>80</v>
      </c>
      <c r="D37" s="190" t="str">
        <f>'Input Sheet'!H37</f>
        <v>Hourly</v>
      </c>
      <c r="E37" s="139">
        <f>'Input Sheet'!J37</f>
        <v>88</v>
      </c>
      <c r="F37" s="136">
        <f>'Input Sheet'!K37</f>
        <v>80</v>
      </c>
      <c r="G37" s="123"/>
      <c r="H37" s="173">
        <f>+'Input Sheet'!G$145</f>
        <v>213.07463814910921</v>
      </c>
      <c r="I37" s="167">
        <f>+'Input Sheet'!H$145</f>
        <v>222.37102492908855</v>
      </c>
      <c r="J37" s="167">
        <f>+'Input Sheet'!I$145</f>
        <v>229.89999623552063</v>
      </c>
      <c r="K37" s="167">
        <f>+'Input Sheet'!J$145</f>
        <v>237.9989496169901</v>
      </c>
      <c r="L37" s="168">
        <f>+'Input Sheet'!K$145</f>
        <v>246.19476443889917</v>
      </c>
      <c r="M37" s="118"/>
      <c r="N37" s="126" t="str">
        <f>+'Standard Hour Calcs'!Z38</f>
        <v>Hourly</v>
      </c>
      <c r="O37" s="118"/>
      <c r="P37" s="239">
        <f t="shared" si="5"/>
        <v>213.07463814910921</v>
      </c>
      <c r="Q37" s="240">
        <f t="shared" si="6"/>
        <v>222.37102492908855</v>
      </c>
      <c r="R37" s="240">
        <f t="shared" si="7"/>
        <v>229.89999623552063</v>
      </c>
      <c r="S37" s="240">
        <f t="shared" si="8"/>
        <v>237.9989496169901</v>
      </c>
      <c r="T37" s="241">
        <f t="shared" si="9"/>
        <v>246.19476443889917</v>
      </c>
      <c r="U37" s="119"/>
      <c r="V37" s="181"/>
      <c r="W37" s="181"/>
      <c r="X37" s="181"/>
      <c r="Y37" s="181"/>
      <c r="Z37" s="181"/>
      <c r="AA37" s="179"/>
      <c r="AB37" s="301">
        <f t="shared" ref="AB37:AF37" si="35">IF($N37="Hourly",P37*$N75*H75,P37*H75)</f>
        <v>34091.942103857473</v>
      </c>
      <c r="AC37" s="302">
        <f t="shared" si="35"/>
        <v>35579.363988654164</v>
      </c>
      <c r="AD37" s="302">
        <f t="shared" si="35"/>
        <v>36783.999397683299</v>
      </c>
      <c r="AE37" s="302">
        <f t="shared" si="35"/>
        <v>38079.831938718416</v>
      </c>
      <c r="AF37" s="303">
        <f t="shared" si="35"/>
        <v>39391.162310223866</v>
      </c>
      <c r="AG37" s="179"/>
    </row>
    <row r="38" spans="2:33" x14ac:dyDescent="0.25">
      <c r="B38" s="138" t="s">
        <v>145</v>
      </c>
      <c r="C38" s="121">
        <f>'Input Sheet'!G38</f>
        <v>96.363636363636374</v>
      </c>
      <c r="D38" s="190" t="str">
        <f>'Input Sheet'!H38</f>
        <v>Hourly</v>
      </c>
      <c r="E38" s="139">
        <f>'Input Sheet'!J38</f>
        <v>106</v>
      </c>
      <c r="F38" s="136">
        <f>'Input Sheet'!K38</f>
        <v>96.363636363636374</v>
      </c>
      <c r="G38" s="123"/>
      <c r="H38" s="173">
        <f>+'Input Sheet'!G$145</f>
        <v>213.07463814910921</v>
      </c>
      <c r="I38" s="167">
        <f>+'Input Sheet'!H$145</f>
        <v>222.37102492908855</v>
      </c>
      <c r="J38" s="167">
        <f>+'Input Sheet'!I$145</f>
        <v>229.89999623552063</v>
      </c>
      <c r="K38" s="167">
        <f>+'Input Sheet'!J$145</f>
        <v>237.9989496169901</v>
      </c>
      <c r="L38" s="168">
        <f>+'Input Sheet'!K$145</f>
        <v>246.19476443889917</v>
      </c>
      <c r="M38" s="118"/>
      <c r="N38" s="126" t="str">
        <f>+'Standard Hour Calcs'!Z39</f>
        <v>Hourly</v>
      </c>
      <c r="O38" s="118"/>
      <c r="P38" s="239">
        <f t="shared" si="5"/>
        <v>213.07463814910921</v>
      </c>
      <c r="Q38" s="240">
        <f t="shared" si="6"/>
        <v>222.37102492908855</v>
      </c>
      <c r="R38" s="240">
        <f t="shared" si="7"/>
        <v>229.89999623552063</v>
      </c>
      <c r="S38" s="240">
        <f t="shared" si="8"/>
        <v>237.9989496169901</v>
      </c>
      <c r="T38" s="241">
        <f t="shared" si="9"/>
        <v>246.19476443889917</v>
      </c>
      <c r="U38" s="119"/>
      <c r="V38" s="181"/>
      <c r="W38" s="181"/>
      <c r="X38" s="181"/>
      <c r="Y38" s="181"/>
      <c r="Z38" s="181"/>
      <c r="AA38" s="179"/>
      <c r="AB38" s="301">
        <f t="shared" ref="AB38:AF38" si="36">IF($N38="Hourly",P38*$N76*H76,P38*H76)</f>
        <v>57530.152300259484</v>
      </c>
      <c r="AC38" s="302">
        <f t="shared" si="36"/>
        <v>60040.176730853906</v>
      </c>
      <c r="AD38" s="302">
        <f t="shared" si="36"/>
        <v>62072.998983590573</v>
      </c>
      <c r="AE38" s="302">
        <f t="shared" si="36"/>
        <v>64259.716396587326</v>
      </c>
      <c r="AF38" s="303">
        <f t="shared" si="36"/>
        <v>66472.586398502783</v>
      </c>
      <c r="AG38" s="179"/>
    </row>
    <row r="39" spans="2:33" x14ac:dyDescent="0.25">
      <c r="B39" s="138" t="s">
        <v>146</v>
      </c>
      <c r="C39" s="121">
        <f>'Input Sheet'!G39</f>
        <v>80</v>
      </c>
      <c r="D39" s="190" t="str">
        <f>'Input Sheet'!H39</f>
        <v>Hourly</v>
      </c>
      <c r="E39" s="139">
        <f>'Input Sheet'!J39</f>
        <v>88</v>
      </c>
      <c r="F39" s="136">
        <f>'Input Sheet'!K39</f>
        <v>80</v>
      </c>
      <c r="G39" s="123"/>
      <c r="H39" s="173">
        <f>+'Input Sheet'!G$145</f>
        <v>213.07463814910921</v>
      </c>
      <c r="I39" s="167">
        <f>+'Input Sheet'!H$145</f>
        <v>222.37102492908855</v>
      </c>
      <c r="J39" s="167">
        <f>+'Input Sheet'!I$145</f>
        <v>229.89999623552063</v>
      </c>
      <c r="K39" s="167">
        <f>+'Input Sheet'!J$145</f>
        <v>237.9989496169901</v>
      </c>
      <c r="L39" s="168">
        <f>+'Input Sheet'!K$145</f>
        <v>246.19476443889917</v>
      </c>
      <c r="M39" s="118"/>
      <c r="N39" s="126" t="str">
        <f>+'Standard Hour Calcs'!Z40</f>
        <v>Hourly</v>
      </c>
      <c r="O39" s="118"/>
      <c r="P39" s="239">
        <f t="shared" si="5"/>
        <v>213.07463814910921</v>
      </c>
      <c r="Q39" s="240">
        <f t="shared" si="6"/>
        <v>222.37102492908855</v>
      </c>
      <c r="R39" s="240">
        <f t="shared" si="7"/>
        <v>229.89999623552063</v>
      </c>
      <c r="S39" s="240">
        <f t="shared" si="8"/>
        <v>237.9989496169901</v>
      </c>
      <c r="T39" s="241">
        <f t="shared" si="9"/>
        <v>246.19476443889917</v>
      </c>
      <c r="U39" s="119"/>
      <c r="V39" s="181"/>
      <c r="W39" s="181"/>
      <c r="X39" s="181"/>
      <c r="Y39" s="181"/>
      <c r="Z39" s="181"/>
      <c r="AA39" s="179"/>
      <c r="AB39" s="301">
        <f t="shared" ref="AB39:AF39" si="37">IF($N39="Hourly",P39*$N77*H77,P39*H77)</f>
        <v>11506.030460051898</v>
      </c>
      <c r="AC39" s="302">
        <f t="shared" si="37"/>
        <v>12008.035346170782</v>
      </c>
      <c r="AD39" s="302">
        <f t="shared" si="37"/>
        <v>12414.599796718116</v>
      </c>
      <c r="AE39" s="302">
        <f t="shared" si="37"/>
        <v>12851.943279317466</v>
      </c>
      <c r="AF39" s="303">
        <f t="shared" si="37"/>
        <v>13294.517279700556</v>
      </c>
      <c r="AG39" s="179"/>
    </row>
    <row r="40" spans="2:33" x14ac:dyDescent="0.25">
      <c r="B40" s="140"/>
      <c r="C40" s="141"/>
      <c r="D40" s="90"/>
      <c r="E40" s="90"/>
      <c r="F40" s="128"/>
      <c r="G40" s="124"/>
      <c r="H40" s="174"/>
      <c r="I40" s="169"/>
      <c r="J40" s="169"/>
      <c r="K40" s="169"/>
      <c r="L40" s="170"/>
      <c r="M40" s="125"/>
      <c r="N40" s="129"/>
      <c r="O40" s="125"/>
      <c r="P40" s="242"/>
      <c r="Q40" s="243"/>
      <c r="R40" s="243"/>
      <c r="S40" s="243"/>
      <c r="T40" s="244"/>
      <c r="U40" s="119"/>
      <c r="V40" s="181"/>
      <c r="W40" s="181"/>
      <c r="X40" s="181"/>
      <c r="Y40" s="181"/>
      <c r="Z40" s="181"/>
      <c r="AA40" s="179"/>
      <c r="AB40" s="304"/>
      <c r="AC40" s="305"/>
      <c r="AD40" s="305"/>
      <c r="AE40" s="305"/>
      <c r="AF40" s="306"/>
      <c r="AG40" s="179"/>
    </row>
    <row r="41" spans="2:33" x14ac:dyDescent="0.25">
      <c r="C41" s="125"/>
      <c r="D41" s="87"/>
      <c r="E41" s="87"/>
      <c r="F41" s="87"/>
      <c r="G41" s="124"/>
      <c r="H41" s="124"/>
      <c r="I41" s="124"/>
      <c r="J41" s="130"/>
      <c r="K41" s="130"/>
      <c r="L41" s="130"/>
      <c r="M41" s="130"/>
      <c r="N41" s="130"/>
      <c r="O41" s="130"/>
      <c r="P41" s="130"/>
      <c r="Q41" s="130"/>
      <c r="R41" s="130"/>
      <c r="S41" s="130"/>
      <c r="T41" s="130"/>
      <c r="V41" s="182"/>
      <c r="W41" s="182"/>
      <c r="X41" s="182"/>
      <c r="Y41" s="182"/>
      <c r="Z41" s="182"/>
      <c r="AA41" s="179"/>
      <c r="AB41" s="307">
        <f>SUM(AB9:AB40)</f>
        <v>2180179.6975416853</v>
      </c>
      <c r="AC41" s="308">
        <f>SUM(AC9:AC40)</f>
        <v>2275300.3270744341</v>
      </c>
      <c r="AD41" s="308">
        <f>SUM(AD9:AD40)</f>
        <v>2352336.7614818471</v>
      </c>
      <c r="AE41" s="308">
        <f>SUM(AE9:AE40)</f>
        <v>2435205.2524810429</v>
      </c>
      <c r="AF41" s="309">
        <f>SUM(AF9:AF40)</f>
        <v>2519064.8297388162</v>
      </c>
      <c r="AG41" s="179"/>
    </row>
    <row r="42" spans="2:33" x14ac:dyDescent="0.25">
      <c r="C42" s="125"/>
      <c r="D42" s="87"/>
      <c r="E42" s="87"/>
      <c r="F42" s="87"/>
      <c r="G42" s="190"/>
      <c r="H42" s="190"/>
      <c r="I42" s="190"/>
      <c r="J42" s="130"/>
      <c r="K42" s="130"/>
      <c r="L42" s="130"/>
      <c r="M42" s="130"/>
      <c r="N42" s="130"/>
      <c r="O42" s="130"/>
      <c r="P42" s="130"/>
      <c r="Q42" s="130"/>
      <c r="R42" s="130"/>
      <c r="S42" s="130"/>
      <c r="T42" s="130"/>
      <c r="V42" s="261"/>
      <c r="W42" s="261"/>
      <c r="X42" s="261"/>
      <c r="Y42" s="261"/>
      <c r="Z42" s="261"/>
      <c r="AA42" s="179"/>
      <c r="AB42" s="261"/>
      <c r="AC42" s="261"/>
      <c r="AD42" s="261"/>
      <c r="AE42" s="261"/>
      <c r="AF42" s="261"/>
      <c r="AG42" s="179"/>
    </row>
    <row r="43" spans="2:33" ht="15" x14ac:dyDescent="0.25">
      <c r="B43" s="163" t="s">
        <v>103</v>
      </c>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row>
    <row r="44" spans="2:33" x14ac:dyDescent="0.25">
      <c r="M44" s="131"/>
      <c r="N44" s="131"/>
      <c r="O44" s="131"/>
      <c r="V44" s="95"/>
      <c r="W44" s="95"/>
      <c r="X44" s="95"/>
      <c r="Y44" s="95"/>
      <c r="Z44" s="95"/>
    </row>
    <row r="45" spans="2:33" s="107" customFormat="1" x14ac:dyDescent="0.2">
      <c r="C45" s="434" t="s">
        <v>76</v>
      </c>
      <c r="D45" s="435"/>
      <c r="E45" s="435"/>
      <c r="F45" s="436"/>
      <c r="G45" s="28"/>
      <c r="H45" s="437" t="s">
        <v>102</v>
      </c>
      <c r="I45" s="438"/>
      <c r="J45" s="438"/>
      <c r="K45" s="438"/>
      <c r="L45" s="439"/>
      <c r="P45" s="447" t="s">
        <v>78</v>
      </c>
      <c r="Q45" s="448"/>
      <c r="R45" s="448"/>
      <c r="S45" s="448"/>
      <c r="T45" s="449"/>
      <c r="V45" s="434" t="s">
        <v>77</v>
      </c>
      <c r="W45" s="435"/>
      <c r="X45" s="435"/>
      <c r="Y45" s="435"/>
      <c r="Z45" s="436"/>
      <c r="AB45" s="434" t="s">
        <v>62</v>
      </c>
      <c r="AC45" s="435"/>
      <c r="AD45" s="435"/>
      <c r="AE45" s="435"/>
      <c r="AF45" s="436"/>
    </row>
    <row r="46" spans="2:33" s="107" customFormat="1" ht="25.5" x14ac:dyDescent="0.25">
      <c r="B46" s="110" t="s">
        <v>15</v>
      </c>
      <c r="C46" s="112" t="s">
        <v>17</v>
      </c>
      <c r="D46" s="113" t="s">
        <v>18</v>
      </c>
      <c r="E46" s="113" t="s">
        <v>19</v>
      </c>
      <c r="F46" s="114" t="s">
        <v>20</v>
      </c>
      <c r="G46" s="28"/>
      <c r="H46" s="112" t="s">
        <v>22</v>
      </c>
      <c r="I46" s="113" t="s">
        <v>23</v>
      </c>
      <c r="J46" s="113" t="s">
        <v>24</v>
      </c>
      <c r="K46" s="113" t="s">
        <v>25</v>
      </c>
      <c r="L46" s="114" t="s">
        <v>26</v>
      </c>
      <c r="N46" s="135" t="s">
        <v>27</v>
      </c>
      <c r="P46" s="184" t="s">
        <v>22</v>
      </c>
      <c r="Q46" s="185" t="s">
        <v>23</v>
      </c>
      <c r="R46" s="185" t="s">
        <v>24</v>
      </c>
      <c r="S46" s="185" t="s">
        <v>25</v>
      </c>
      <c r="T46" s="186" t="s">
        <v>26</v>
      </c>
      <c r="V46" s="183" t="s">
        <v>22</v>
      </c>
      <c r="W46" s="115" t="s">
        <v>23</v>
      </c>
      <c r="X46" s="115" t="s">
        <v>24</v>
      </c>
      <c r="Y46" s="115" t="s">
        <v>25</v>
      </c>
      <c r="Z46" s="116" t="s">
        <v>26</v>
      </c>
      <c r="AB46" s="183" t="s">
        <v>22</v>
      </c>
      <c r="AC46" s="115" t="s">
        <v>23</v>
      </c>
      <c r="AD46" s="115" t="s">
        <v>24</v>
      </c>
      <c r="AE46" s="115" t="s">
        <v>25</v>
      </c>
      <c r="AF46" s="116" t="s">
        <v>26</v>
      </c>
    </row>
    <row r="47" spans="2:33" s="107" customFormat="1" x14ac:dyDescent="0.25">
      <c r="B47" s="117" t="s">
        <v>9</v>
      </c>
      <c r="C47" s="310">
        <f>+'Input Sheet'!G57</f>
        <v>0</v>
      </c>
      <c r="D47" s="311">
        <f>+'Input Sheet'!H57</f>
        <v>53</v>
      </c>
      <c r="E47" s="311">
        <f>+'Input Sheet'!I57</f>
        <v>59</v>
      </c>
      <c r="F47" s="312">
        <f>+'Input Sheet'!K57</f>
        <v>64</v>
      </c>
      <c r="G47" s="275"/>
      <c r="H47" s="310">
        <f>ROUND(AVERAGE($D47:$F47),0)</f>
        <v>59</v>
      </c>
      <c r="I47" s="311">
        <f t="shared" ref="I47:L77" si="38">ROUND(AVERAGE($D47:$F47),0)</f>
        <v>59</v>
      </c>
      <c r="J47" s="311">
        <f t="shared" si="38"/>
        <v>59</v>
      </c>
      <c r="K47" s="311">
        <f t="shared" si="38"/>
        <v>59</v>
      </c>
      <c r="L47" s="312">
        <f t="shared" si="38"/>
        <v>59</v>
      </c>
      <c r="N47" s="120"/>
      <c r="P47" s="282">
        <f>IF($N9="Hourly",'Input Sheet'!G$144*'Fee Breakdown'!$N47*'Fee Breakdown'!H47,'Input Sheet'!G$144*'Fee Breakdown'!$N9*'Fee Breakdown'!H47)</f>
        <v>16651.641040346312</v>
      </c>
      <c r="Q47" s="283">
        <f>IF($N9="Hourly",'Input Sheet'!H$144*'Fee Breakdown'!$N47*'Fee Breakdown'!I47,'Input Sheet'!H$144*'Fee Breakdown'!$N9*'Fee Breakdown'!I47)</f>
        <v>17378.147474791636</v>
      </c>
      <c r="R47" s="283">
        <f>IF($N9="Hourly",'Input Sheet'!I$144*'Fee Breakdown'!$N47*'Fee Breakdown'!J47,'Input Sheet'!I$144*'Fee Breakdown'!$N9*'Fee Breakdown'!J47)</f>
        <v>17966.531567271195</v>
      </c>
      <c r="S47" s="283">
        <f>IF($N9="Hourly",'Input Sheet'!J$144*'Fee Breakdown'!$N47*'Fee Breakdown'!K47,'Input Sheet'!J$144*'Fee Breakdown'!$N9*'Fee Breakdown'!K47)</f>
        <v>18599.459379244545</v>
      </c>
      <c r="T47" s="284">
        <f>IF($N9="Hourly",'Input Sheet'!K$144*'Fee Breakdown'!$N47*'Fee Breakdown'!L47,'Input Sheet'!K$144*'Fee Breakdown'!$N9*'Fee Breakdown'!L47)</f>
        <v>19239.956848267939</v>
      </c>
      <c r="U47" s="285"/>
      <c r="V47" s="286">
        <f>+P47*('Input Sheet'!G$154-1)</f>
        <v>19539.907367453096</v>
      </c>
      <c r="W47" s="287">
        <f>+Q47*('Input Sheet'!H$154-1)</f>
        <v>21896.52629745824</v>
      </c>
      <c r="X47" s="287">
        <f>+R47*('Input Sheet'!I$154-1)</f>
        <v>22836.219137159878</v>
      </c>
      <c r="Y47" s="287">
        <f>+S47*('Input Sheet'!J$154-1)</f>
        <v>24130.494425529851</v>
      </c>
      <c r="Z47" s="288">
        <f>+T47*('Input Sheet'!K$154-1)</f>
        <v>25446.740149561942</v>
      </c>
      <c r="AA47" s="285"/>
      <c r="AB47" s="286">
        <f>+P47+V47</f>
        <v>36191.548407799404</v>
      </c>
      <c r="AC47" s="287">
        <f t="shared" ref="AC47" si="39">+Q47+W47</f>
        <v>39274.67377224988</v>
      </c>
      <c r="AD47" s="287">
        <f t="shared" ref="AD47" si="40">+R47+X47</f>
        <v>40802.750704431077</v>
      </c>
      <c r="AE47" s="287">
        <f t="shared" ref="AE47" si="41">+S47+Y47</f>
        <v>42729.953804774399</v>
      </c>
      <c r="AF47" s="288">
        <f t="shared" ref="AF47" si="42">+T47+Z47</f>
        <v>44686.69699782988</v>
      </c>
    </row>
    <row r="48" spans="2:33" s="107" customFormat="1" x14ac:dyDescent="0.25">
      <c r="B48" s="98" t="s">
        <v>10</v>
      </c>
      <c r="C48" s="313">
        <f>+'Input Sheet'!G58</f>
        <v>0</v>
      </c>
      <c r="D48" s="314">
        <f>+'Input Sheet'!H58</f>
        <v>33</v>
      </c>
      <c r="E48" s="314">
        <f>+'Input Sheet'!I58</f>
        <v>55</v>
      </c>
      <c r="F48" s="315">
        <f>+'Input Sheet'!K58</f>
        <v>43</v>
      </c>
      <c r="G48" s="275"/>
      <c r="H48" s="313">
        <f t="shared" ref="H48:H63" si="43">ROUND(AVERAGE($D48:$F48),0)</f>
        <v>44</v>
      </c>
      <c r="I48" s="314">
        <f t="shared" si="38"/>
        <v>44</v>
      </c>
      <c r="J48" s="314">
        <f t="shared" si="38"/>
        <v>44</v>
      </c>
      <c r="K48" s="314">
        <f t="shared" si="38"/>
        <v>44</v>
      </c>
      <c r="L48" s="315">
        <f t="shared" si="38"/>
        <v>44</v>
      </c>
      <c r="N48" s="126"/>
      <c r="P48" s="282">
        <f>IF($N10="Hourly",'Input Sheet'!G$144*'Fee Breakdown'!$N48*'Fee Breakdown'!H48,'Input Sheet'!G$144*'Fee Breakdown'!$N10*'Fee Breakdown'!H48)</f>
        <v>16557.563972321757</v>
      </c>
      <c r="Q48" s="283">
        <f>IF($N10="Hourly",'Input Sheet'!H$144*'Fee Breakdown'!$N48*'Fee Breakdown'!I48,'Input Sheet'!H$144*'Fee Breakdown'!$N10*'Fee Breakdown'!I48)</f>
        <v>17279.96585064027</v>
      </c>
      <c r="R48" s="283">
        <f>IF($N10="Hourly",'Input Sheet'!I$144*'Fee Breakdown'!$N48*'Fee Breakdown'!J48,'Input Sheet'!I$144*'Fee Breakdown'!$N10*'Fee Breakdown'!J48)</f>
        <v>17865.025739207518</v>
      </c>
      <c r="S48" s="283">
        <f>IF($N10="Hourly",'Input Sheet'!J$144*'Fee Breakdown'!$N48*'Fee Breakdown'!K48,'Input Sheet'!J$144*'Fee Breakdown'!$N10*'Fee Breakdown'!K48)</f>
        <v>18494.377687836386</v>
      </c>
      <c r="T48" s="284">
        <f>IF($N10="Hourly",'Input Sheet'!K$144*'Fee Breakdown'!$N48*'Fee Breakdown'!L48,'Input Sheet'!K$144*'Fee Breakdown'!$N10*'Fee Breakdown'!L48)</f>
        <v>19131.256527091282</v>
      </c>
      <c r="U48" s="285"/>
      <c r="V48" s="282">
        <f>+P48*('Input Sheet'!G$154-1)</f>
        <v>19429.512410574829</v>
      </c>
      <c r="W48" s="283">
        <f>+Q48*('Input Sheet'!H$154-1)</f>
        <v>21772.817109337007</v>
      </c>
      <c r="X48" s="283">
        <f>+R48*('Input Sheet'!I$154-1)</f>
        <v>22707.20094994429</v>
      </c>
      <c r="Y48" s="283">
        <f>+S48*('Input Sheet'!J$154-1)</f>
        <v>23994.163948549456</v>
      </c>
      <c r="Z48" s="284">
        <f>+T48*('Input Sheet'!K$154-1)</f>
        <v>25302.973256061588</v>
      </c>
      <c r="AA48" s="285"/>
      <c r="AB48" s="282">
        <f t="shared" ref="AB48:AB77" si="44">+P48+V48</f>
        <v>35987.076382896586</v>
      </c>
      <c r="AC48" s="283">
        <f t="shared" ref="AC48:AC77" si="45">+Q48+W48</f>
        <v>39052.782959977281</v>
      </c>
      <c r="AD48" s="283">
        <f t="shared" ref="AD48:AD77" si="46">+R48+X48</f>
        <v>40572.226689151808</v>
      </c>
      <c r="AE48" s="283">
        <f t="shared" ref="AE48:AE77" si="47">+S48+Y48</f>
        <v>42488.541636385839</v>
      </c>
      <c r="AF48" s="284">
        <f t="shared" ref="AF48:AF77" si="48">+T48+Z48</f>
        <v>44434.22978315287</v>
      </c>
    </row>
    <row r="49" spans="2:32" s="107" customFormat="1" x14ac:dyDescent="0.25">
      <c r="B49" s="98" t="s">
        <v>11</v>
      </c>
      <c r="C49" s="313">
        <f>+'Input Sheet'!G59</f>
        <v>0</v>
      </c>
      <c r="D49" s="314">
        <f>+'Input Sheet'!H59</f>
        <v>85</v>
      </c>
      <c r="E49" s="314">
        <f>+'Input Sheet'!I59</f>
        <v>108</v>
      </c>
      <c r="F49" s="315">
        <f>+'Input Sheet'!K59</f>
        <v>95</v>
      </c>
      <c r="G49" s="275"/>
      <c r="H49" s="313">
        <f t="shared" si="43"/>
        <v>96</v>
      </c>
      <c r="I49" s="314">
        <f t="shared" si="38"/>
        <v>96</v>
      </c>
      <c r="J49" s="314">
        <f t="shared" si="38"/>
        <v>96</v>
      </c>
      <c r="K49" s="314">
        <f t="shared" si="38"/>
        <v>96</v>
      </c>
      <c r="L49" s="315">
        <f t="shared" si="38"/>
        <v>96</v>
      </c>
      <c r="N49" s="126"/>
      <c r="P49" s="282">
        <f>IF($N11="Hourly",'Input Sheet'!G$144*'Fee Breakdown'!$N49*'Fee Breakdown'!H49,'Input Sheet'!G$144*'Fee Breakdown'!$N11*'Fee Breakdown'!H49)</f>
        <v>63219.789712501253</v>
      </c>
      <c r="Q49" s="283">
        <f>IF($N11="Hourly",'Input Sheet'!H$144*'Fee Breakdown'!$N49*'Fee Breakdown'!I49,'Input Sheet'!H$144*'Fee Breakdown'!$N11*'Fee Breakdown'!I49)</f>
        <v>65978.051429717394</v>
      </c>
      <c r="R49" s="283">
        <f>IF($N11="Hourly",'Input Sheet'!I$144*'Fee Breakdown'!$N49*'Fee Breakdown'!J49,'Input Sheet'!I$144*'Fee Breakdown'!$N11*'Fee Breakdown'!J49)</f>
        <v>68211.916458792344</v>
      </c>
      <c r="S49" s="283">
        <f>IF($N11="Hourly",'Input Sheet'!J$144*'Fee Breakdown'!$N49*'Fee Breakdown'!K49,'Input Sheet'!J$144*'Fee Breakdown'!$N11*'Fee Breakdown'!K49)</f>
        <v>70614.896626284375</v>
      </c>
      <c r="T49" s="284">
        <f>IF($N11="Hourly",'Input Sheet'!K$144*'Fee Breakdown'!$N49*'Fee Breakdown'!L49,'Input Sheet'!K$144*'Fee Breakdown'!$N11*'Fee Breakdown'!L49)</f>
        <v>73046.615830712166</v>
      </c>
      <c r="U49" s="285"/>
      <c r="V49" s="282">
        <f>+P49*('Input Sheet'!G$154-1)</f>
        <v>74185.411022194807</v>
      </c>
      <c r="W49" s="283">
        <f>+Q49*('Input Sheet'!H$154-1)</f>
        <v>83132.574417468568</v>
      </c>
      <c r="X49" s="283">
        <f>+R49*('Input Sheet'!I$154-1)</f>
        <v>86700.221808878196</v>
      </c>
      <c r="Y49" s="283">
        <f>+S49*('Input Sheet'!J$154-1)</f>
        <v>91614.080530825187</v>
      </c>
      <c r="Z49" s="284">
        <f>+T49*('Input Sheet'!K$154-1)</f>
        <v>96611.352432235159</v>
      </c>
      <c r="AA49" s="285"/>
      <c r="AB49" s="282">
        <f t="shared" si="44"/>
        <v>137405.20073469606</v>
      </c>
      <c r="AC49" s="283">
        <f t="shared" si="45"/>
        <v>149110.62584718596</v>
      </c>
      <c r="AD49" s="283">
        <f t="shared" si="46"/>
        <v>154912.13826767053</v>
      </c>
      <c r="AE49" s="283">
        <f t="shared" si="47"/>
        <v>162228.97715710956</v>
      </c>
      <c r="AF49" s="284">
        <f t="shared" si="48"/>
        <v>169657.96826294734</v>
      </c>
    </row>
    <row r="50" spans="2:32" s="107" customFormat="1" x14ac:dyDescent="0.25">
      <c r="B50" s="98" t="s">
        <v>13</v>
      </c>
      <c r="C50" s="313">
        <f>+'Input Sheet'!G60</f>
        <v>0</v>
      </c>
      <c r="D50" s="314">
        <f>+'Input Sheet'!H60</f>
        <v>61</v>
      </c>
      <c r="E50" s="314">
        <f>+'Input Sheet'!I60</f>
        <v>81</v>
      </c>
      <c r="F50" s="315">
        <f>+'Input Sheet'!K60</f>
        <v>67</v>
      </c>
      <c r="G50" s="275"/>
      <c r="H50" s="313">
        <f t="shared" si="43"/>
        <v>70</v>
      </c>
      <c r="I50" s="314">
        <f t="shared" si="38"/>
        <v>70</v>
      </c>
      <c r="J50" s="314">
        <f t="shared" si="38"/>
        <v>70</v>
      </c>
      <c r="K50" s="314">
        <f t="shared" si="38"/>
        <v>70</v>
      </c>
      <c r="L50" s="315">
        <f t="shared" si="38"/>
        <v>70</v>
      </c>
      <c r="N50" s="126"/>
      <c r="P50" s="282">
        <f>IF($N12="Hourly",'Input Sheet'!G$144*'Fee Breakdown'!$N50*'Fee Breakdown'!H50,'Input Sheet'!G$144*'Fee Breakdown'!$N12*'Fee Breakdown'!H50)</f>
        <v>59268.552855469934</v>
      </c>
      <c r="Q50" s="283">
        <f>IF($N12="Hourly",'Input Sheet'!H$144*'Fee Breakdown'!$N50*'Fee Breakdown'!I50,'Input Sheet'!H$144*'Fee Breakdown'!$N12*'Fee Breakdown'!I50)</f>
        <v>61854.423215360061</v>
      </c>
      <c r="R50" s="283">
        <f>IF($N12="Hourly",'Input Sheet'!I$144*'Fee Breakdown'!$N50*'Fee Breakdown'!J50,'Input Sheet'!I$144*'Fee Breakdown'!$N12*'Fee Breakdown'!J50)</f>
        <v>63948.671680117812</v>
      </c>
      <c r="S50" s="283">
        <f>IF($N12="Hourly",'Input Sheet'!J$144*'Fee Breakdown'!$N50*'Fee Breakdown'!K50,'Input Sheet'!J$144*'Fee Breakdown'!$N12*'Fee Breakdown'!K50)</f>
        <v>66201.465587141603</v>
      </c>
      <c r="T50" s="284">
        <f>IF($N12="Hourly",'Input Sheet'!K$144*'Fee Breakdown'!$N50*'Fee Breakdown'!L50,'Input Sheet'!K$144*'Fee Breakdown'!$N12*'Fee Breakdown'!L50)</f>
        <v>68481.202341292665</v>
      </c>
      <c r="U50" s="285"/>
      <c r="V50" s="282">
        <f>+P50*('Input Sheet'!G$154-1)</f>
        <v>69548.82283330764</v>
      </c>
      <c r="W50" s="283">
        <f>+Q50*('Input Sheet'!H$154-1)</f>
        <v>77936.788516376793</v>
      </c>
      <c r="X50" s="283">
        <f>+R50*('Input Sheet'!I$154-1)</f>
        <v>81281.457945823291</v>
      </c>
      <c r="Y50" s="283">
        <f>+S50*('Input Sheet'!J$154-1)</f>
        <v>85888.200497648621</v>
      </c>
      <c r="Z50" s="284">
        <f>+T50*('Input Sheet'!K$154-1)</f>
        <v>90573.142905220462</v>
      </c>
      <c r="AA50" s="285"/>
      <c r="AB50" s="282">
        <f t="shared" si="44"/>
        <v>128817.37568877757</v>
      </c>
      <c r="AC50" s="283">
        <f t="shared" si="45"/>
        <v>139791.21173173684</v>
      </c>
      <c r="AD50" s="283">
        <f t="shared" si="46"/>
        <v>145230.1296259411</v>
      </c>
      <c r="AE50" s="283">
        <f t="shared" si="47"/>
        <v>152089.66608479022</v>
      </c>
      <c r="AF50" s="284">
        <f t="shared" si="48"/>
        <v>159054.34524651314</v>
      </c>
    </row>
    <row r="51" spans="2:32" s="107" customFormat="1" x14ac:dyDescent="0.25">
      <c r="B51" s="98" t="s">
        <v>123</v>
      </c>
      <c r="C51" s="313">
        <f>+'Input Sheet'!G61</f>
        <v>0</v>
      </c>
      <c r="D51" s="314">
        <f>+'Input Sheet'!H61</f>
        <v>26</v>
      </c>
      <c r="E51" s="314">
        <f>+'Input Sheet'!I61</f>
        <v>38</v>
      </c>
      <c r="F51" s="315">
        <f>+'Input Sheet'!K61</f>
        <v>33</v>
      </c>
      <c r="G51" s="275"/>
      <c r="H51" s="313">
        <f t="shared" si="43"/>
        <v>32</v>
      </c>
      <c r="I51" s="314">
        <f t="shared" si="38"/>
        <v>32</v>
      </c>
      <c r="J51" s="314">
        <f t="shared" si="38"/>
        <v>32</v>
      </c>
      <c r="K51" s="314">
        <f t="shared" si="38"/>
        <v>32</v>
      </c>
      <c r="L51" s="315">
        <f t="shared" si="38"/>
        <v>32</v>
      </c>
      <c r="N51" s="126">
        <f>+'Standard Hour Calcs'!Y14</f>
        <v>4</v>
      </c>
      <c r="P51" s="282">
        <f>IF($N13="Hourly",'Input Sheet'!G$144*'Fee Breakdown'!$N51*'Fee Breakdown'!H51,'Input Sheet'!G$144*'Fee Breakdown'!$N13*'Fee Breakdown'!H51)</f>
        <v>12041.864707143097</v>
      </c>
      <c r="Q51" s="283">
        <f>IF($N13="Hourly",'Input Sheet'!H$144*'Fee Breakdown'!$N51*'Fee Breakdown'!I51,'Input Sheet'!H$144*'Fee Breakdown'!$N13*'Fee Breakdown'!I51)</f>
        <v>12567.247891374742</v>
      </c>
      <c r="R51" s="283">
        <f>IF($N13="Hourly",'Input Sheet'!I$144*'Fee Breakdown'!$N51*'Fee Breakdown'!J51,'Input Sheet'!I$144*'Fee Breakdown'!$N13*'Fee Breakdown'!J51)</f>
        <v>12992.745992150922</v>
      </c>
      <c r="S51" s="283">
        <f>IF($N13="Hourly",'Input Sheet'!J$144*'Fee Breakdown'!$N51*'Fee Breakdown'!K51,'Input Sheet'!J$144*'Fee Breakdown'!$N13*'Fee Breakdown'!K51)</f>
        <v>13450.456500244643</v>
      </c>
      <c r="T51" s="284">
        <f>IF($N13="Hourly",'Input Sheet'!K$144*'Fee Breakdown'!$N51*'Fee Breakdown'!L51,'Input Sheet'!K$144*'Fee Breakdown'!$N13*'Fee Breakdown'!L51)</f>
        <v>13913.641110611841</v>
      </c>
      <c r="U51" s="285"/>
      <c r="V51" s="282">
        <f>+P51*('Input Sheet'!G$154-1)</f>
        <v>14130.554480418059</v>
      </c>
      <c r="W51" s="283">
        <f>+Q51*('Input Sheet'!H$154-1)</f>
        <v>15834.776079517822</v>
      </c>
      <c r="X51" s="283">
        <f>+R51*('Input Sheet'!I$154-1)</f>
        <v>16514.327963595846</v>
      </c>
      <c r="Y51" s="283">
        <f>+S51*('Input Sheet'!J$154-1)</f>
        <v>17450.301053490515</v>
      </c>
      <c r="Z51" s="284">
        <f>+T51*('Input Sheet'!K$154-1)</f>
        <v>18402.162368044792</v>
      </c>
      <c r="AA51" s="285"/>
      <c r="AB51" s="282">
        <f t="shared" si="44"/>
        <v>26172.419187561158</v>
      </c>
      <c r="AC51" s="283">
        <f t="shared" si="45"/>
        <v>28402.023970892566</v>
      </c>
      <c r="AD51" s="283">
        <f t="shared" si="46"/>
        <v>29507.073955746768</v>
      </c>
      <c r="AE51" s="283">
        <f t="shared" si="47"/>
        <v>30900.757553735159</v>
      </c>
      <c r="AF51" s="284">
        <f t="shared" si="48"/>
        <v>32315.803478656635</v>
      </c>
    </row>
    <row r="52" spans="2:32" s="107" customFormat="1" x14ac:dyDescent="0.25">
      <c r="B52" s="98" t="s">
        <v>12</v>
      </c>
      <c r="C52" s="313">
        <f>+'Input Sheet'!G62</f>
        <v>0</v>
      </c>
      <c r="D52" s="314">
        <f>+'Input Sheet'!H62</f>
        <v>12</v>
      </c>
      <c r="E52" s="314">
        <f>+'Input Sheet'!I62</f>
        <v>11</v>
      </c>
      <c r="F52" s="315">
        <f>+'Input Sheet'!K62</f>
        <v>28</v>
      </c>
      <c r="G52" s="275"/>
      <c r="H52" s="313">
        <f t="shared" si="43"/>
        <v>17</v>
      </c>
      <c r="I52" s="314">
        <f t="shared" si="38"/>
        <v>17</v>
      </c>
      <c r="J52" s="314">
        <f t="shared" si="38"/>
        <v>17</v>
      </c>
      <c r="K52" s="314">
        <f t="shared" si="38"/>
        <v>17</v>
      </c>
      <c r="L52" s="315">
        <f t="shared" si="38"/>
        <v>17</v>
      </c>
      <c r="N52" s="126">
        <f>+'Standard Hour Calcs'!Y15</f>
        <v>7</v>
      </c>
      <c r="P52" s="282">
        <f>IF($N14="Hourly",'Input Sheet'!G$144*'Fee Breakdown'!$N52*'Fee Breakdown'!H52,'Input Sheet'!G$144*'Fee Breakdown'!$N14*'Fee Breakdown'!H52)</f>
        <v>11195.171094922098</v>
      </c>
      <c r="Q52" s="283">
        <f>IF($N14="Hourly",'Input Sheet'!H$144*'Fee Breakdown'!$N52*'Fee Breakdown'!I52,'Input Sheet'!H$144*'Fee Breakdown'!$N14*'Fee Breakdown'!I52)</f>
        <v>11683.613274012454</v>
      </c>
      <c r="R52" s="283">
        <f>IF($N14="Hourly",'Input Sheet'!I$144*'Fee Breakdown'!$N52*'Fee Breakdown'!J52,'Input Sheet'!I$144*'Fee Breakdown'!$N14*'Fee Breakdown'!J52)</f>
        <v>12079.193539577811</v>
      </c>
      <c r="S52" s="283">
        <f>IF($N14="Hourly",'Input Sheet'!J$144*'Fee Breakdown'!$N52*'Fee Breakdown'!K52,'Input Sheet'!J$144*'Fee Breakdown'!$N14*'Fee Breakdown'!K52)</f>
        <v>12504.721277571192</v>
      </c>
      <c r="T52" s="284">
        <f>IF($N14="Hourly",'Input Sheet'!K$144*'Fee Breakdown'!$N52*'Fee Breakdown'!L52,'Input Sheet'!K$144*'Fee Breakdown'!$N14*'Fee Breakdown'!L52)</f>
        <v>12935.338220021946</v>
      </c>
      <c r="U52" s="285"/>
      <c r="V52" s="282">
        <f>+P52*('Input Sheet'!G$154-1)</f>
        <v>13136.999868513665</v>
      </c>
      <c r="W52" s="283">
        <f>+Q52*('Input Sheet'!H$154-1)</f>
        <v>14721.393386426724</v>
      </c>
      <c r="X52" s="283">
        <f>+R52*('Input Sheet'!I$154-1)</f>
        <v>15353.164278655513</v>
      </c>
      <c r="Y52" s="283">
        <f>+S52*('Input Sheet'!J$154-1)</f>
        <v>16223.326760666961</v>
      </c>
      <c r="Z52" s="284">
        <f>+T52*('Input Sheet'!K$154-1)</f>
        <v>17108.26032654164</v>
      </c>
      <c r="AA52" s="285"/>
      <c r="AB52" s="282">
        <f t="shared" si="44"/>
        <v>24332.170963435761</v>
      </c>
      <c r="AC52" s="283">
        <f t="shared" si="45"/>
        <v>26405.006660439176</v>
      </c>
      <c r="AD52" s="283">
        <f t="shared" si="46"/>
        <v>27432.357818233322</v>
      </c>
      <c r="AE52" s="283">
        <f t="shared" si="47"/>
        <v>28728.048038238154</v>
      </c>
      <c r="AF52" s="284">
        <f t="shared" si="48"/>
        <v>30043.598546563586</v>
      </c>
    </row>
    <row r="53" spans="2:32" s="107" customFormat="1" x14ac:dyDescent="0.25">
      <c r="B53" s="98"/>
      <c r="C53" s="313"/>
      <c r="D53" s="314"/>
      <c r="E53" s="314"/>
      <c r="F53" s="315"/>
      <c r="G53" s="275"/>
      <c r="H53" s="313"/>
      <c r="I53" s="314"/>
      <c r="J53" s="314"/>
      <c r="K53" s="314"/>
      <c r="L53" s="315"/>
      <c r="N53" s="126"/>
      <c r="P53" s="282"/>
      <c r="Q53" s="283"/>
      <c r="R53" s="283"/>
      <c r="S53" s="283"/>
      <c r="T53" s="284"/>
      <c r="U53" s="285"/>
      <c r="V53" s="282"/>
      <c r="W53" s="283"/>
      <c r="X53" s="283"/>
      <c r="Y53" s="283"/>
      <c r="Z53" s="284"/>
      <c r="AA53" s="285"/>
      <c r="AB53" s="282"/>
      <c r="AC53" s="283"/>
      <c r="AD53" s="283"/>
      <c r="AE53" s="283"/>
      <c r="AF53" s="284"/>
    </row>
    <row r="54" spans="2:32" s="107" customFormat="1" x14ac:dyDescent="0.25">
      <c r="B54" s="98" t="s">
        <v>124</v>
      </c>
      <c r="C54" s="313">
        <f>+'Input Sheet'!G64</f>
        <v>0</v>
      </c>
      <c r="D54" s="314">
        <f>+'Input Sheet'!H64</f>
        <v>108</v>
      </c>
      <c r="E54" s="314">
        <f>+'Input Sheet'!I64</f>
        <v>92</v>
      </c>
      <c r="F54" s="315">
        <f>+'Input Sheet'!K64</f>
        <v>56</v>
      </c>
      <c r="G54" s="275"/>
      <c r="H54" s="313">
        <f t="shared" si="43"/>
        <v>85</v>
      </c>
      <c r="I54" s="314">
        <f t="shared" si="38"/>
        <v>85</v>
      </c>
      <c r="J54" s="314">
        <f t="shared" si="38"/>
        <v>85</v>
      </c>
      <c r="K54" s="314">
        <f t="shared" si="38"/>
        <v>85</v>
      </c>
      <c r="L54" s="315">
        <f t="shared" si="38"/>
        <v>85</v>
      </c>
      <c r="N54" s="126">
        <f>+'Standard Hour Calcs'!Y17</f>
        <v>9</v>
      </c>
      <c r="P54" s="282">
        <f>IF($N16="Hourly",'Input Sheet'!G$144*'Fee Breakdown'!$N54*'Fee Breakdown'!H54,'Input Sheet'!G$144*'Fee Breakdown'!$N16*'Fee Breakdown'!H54)</f>
        <v>71968.957038784923</v>
      </c>
      <c r="Q54" s="283">
        <f>IF($N16="Hourly",'Input Sheet'!H$144*'Fee Breakdown'!$N54*'Fee Breakdown'!I54,'Input Sheet'!H$144*'Fee Breakdown'!$N16*'Fee Breakdown'!I54)</f>
        <v>75108.942475794363</v>
      </c>
      <c r="R54" s="283">
        <f>IF($N16="Hourly",'Input Sheet'!I$144*'Fee Breakdown'!$N54*'Fee Breakdown'!J54,'Input Sheet'!I$144*'Fee Breakdown'!$N16*'Fee Breakdown'!J54)</f>
        <v>77651.958468714482</v>
      </c>
      <c r="S54" s="283">
        <f>IF($N16="Hourly",'Input Sheet'!J$144*'Fee Breakdown'!$N54*'Fee Breakdown'!K54,'Input Sheet'!J$144*'Fee Breakdown'!$N16*'Fee Breakdown'!K54)</f>
        <v>80387.493927243384</v>
      </c>
      <c r="T54" s="284">
        <f>IF($N16="Hourly",'Input Sheet'!K$144*'Fee Breakdown'!$N54*'Fee Breakdown'!L54,'Input Sheet'!K$144*'Fee Breakdown'!$N16*'Fee Breakdown'!L54)</f>
        <v>83155.74570014108</v>
      </c>
      <c r="U54" s="285"/>
      <c r="V54" s="282">
        <f>+P54*('Input Sheet'!G$154-1)</f>
        <v>84452.14201187357</v>
      </c>
      <c r="W54" s="283">
        <f>+Q54*('Input Sheet'!H$154-1)</f>
        <v>94637.528912743248</v>
      </c>
      <c r="X54" s="283">
        <f>+R54*('Input Sheet'!I$154-1)</f>
        <v>98698.913219928276</v>
      </c>
      <c r="Y54" s="283">
        <f>+S54*('Input Sheet'!J$154-1)</f>
        <v>104292.8148900019</v>
      </c>
      <c r="Z54" s="284">
        <f>+T54*('Input Sheet'!K$154-1)</f>
        <v>109981.67352776769</v>
      </c>
      <c r="AA54" s="285"/>
      <c r="AB54" s="282">
        <f t="shared" si="44"/>
        <v>156421.09905065849</v>
      </c>
      <c r="AC54" s="283">
        <f t="shared" si="45"/>
        <v>169746.47138853761</v>
      </c>
      <c r="AD54" s="283">
        <f t="shared" si="46"/>
        <v>176350.87168864277</v>
      </c>
      <c r="AE54" s="283">
        <f t="shared" si="47"/>
        <v>184680.3088172453</v>
      </c>
      <c r="AF54" s="284">
        <f t="shared" si="48"/>
        <v>193137.41922790877</v>
      </c>
    </row>
    <row r="55" spans="2:32" s="107" customFormat="1" x14ac:dyDescent="0.25">
      <c r="B55" s="98" t="s">
        <v>125</v>
      </c>
      <c r="C55" s="313">
        <f>+'Input Sheet'!G65</f>
        <v>0</v>
      </c>
      <c r="D55" s="314">
        <f>+'Input Sheet'!H65</f>
        <v>77</v>
      </c>
      <c r="E55" s="314">
        <f>+'Input Sheet'!I65</f>
        <v>61</v>
      </c>
      <c r="F55" s="315">
        <f>+'Input Sheet'!K65</f>
        <v>73</v>
      </c>
      <c r="G55" s="275"/>
      <c r="H55" s="313">
        <f t="shared" si="43"/>
        <v>70</v>
      </c>
      <c r="I55" s="314">
        <f t="shared" si="38"/>
        <v>70</v>
      </c>
      <c r="J55" s="314">
        <f t="shared" si="38"/>
        <v>70</v>
      </c>
      <c r="K55" s="314">
        <f t="shared" si="38"/>
        <v>70</v>
      </c>
      <c r="L55" s="315">
        <f t="shared" si="38"/>
        <v>70</v>
      </c>
      <c r="N55" s="126">
        <f>+'Standard Hour Calcs'!Y18</f>
        <v>17</v>
      </c>
      <c r="P55" s="282">
        <f>IF($N17="Hourly",'Input Sheet'!G$144*'Fee Breakdown'!$N55*'Fee Breakdown'!H55,'Input Sheet'!G$144*'Fee Breakdown'!$N17*'Fee Breakdown'!H55)</f>
        <v>111951.71094922099</v>
      </c>
      <c r="Q55" s="283">
        <f>IF($N17="Hourly",'Input Sheet'!H$144*'Fee Breakdown'!$N55*'Fee Breakdown'!I55,'Input Sheet'!H$144*'Fee Breakdown'!$N17*'Fee Breakdown'!I55)</f>
        <v>116836.13274012455</v>
      </c>
      <c r="R55" s="283">
        <f>IF($N17="Hourly",'Input Sheet'!I$144*'Fee Breakdown'!$N55*'Fee Breakdown'!J55,'Input Sheet'!I$144*'Fee Breakdown'!$N17*'Fee Breakdown'!J55)</f>
        <v>120791.9353957781</v>
      </c>
      <c r="S55" s="283">
        <f>IF($N17="Hourly",'Input Sheet'!J$144*'Fee Breakdown'!$N55*'Fee Breakdown'!K55,'Input Sheet'!J$144*'Fee Breakdown'!$N17*'Fee Breakdown'!K55)</f>
        <v>125047.21277571192</v>
      </c>
      <c r="T55" s="284">
        <f>IF($N17="Hourly",'Input Sheet'!K$144*'Fee Breakdown'!$N55*'Fee Breakdown'!L55,'Input Sheet'!K$144*'Fee Breakdown'!$N17*'Fee Breakdown'!L55)</f>
        <v>129353.38220021946</v>
      </c>
      <c r="U55" s="285"/>
      <c r="V55" s="282">
        <f>+P55*('Input Sheet'!G$154-1)</f>
        <v>131369.99868513664</v>
      </c>
      <c r="W55" s="283">
        <f>+Q55*('Input Sheet'!H$154-1)</f>
        <v>147213.93386426725</v>
      </c>
      <c r="X55" s="283">
        <f>+R55*('Input Sheet'!I$154-1)</f>
        <v>153531.64278655511</v>
      </c>
      <c r="Y55" s="283">
        <f>+S55*('Input Sheet'!J$154-1)</f>
        <v>162233.2676066696</v>
      </c>
      <c r="Z55" s="284">
        <f>+T55*('Input Sheet'!K$154-1)</f>
        <v>171082.60326541643</v>
      </c>
      <c r="AA55" s="285"/>
      <c r="AB55" s="282">
        <f t="shared" si="44"/>
        <v>243321.70963435763</v>
      </c>
      <c r="AC55" s="283">
        <f t="shared" si="45"/>
        <v>264050.06660439179</v>
      </c>
      <c r="AD55" s="283">
        <f t="shared" si="46"/>
        <v>274323.57818233321</v>
      </c>
      <c r="AE55" s="283">
        <f t="shared" si="47"/>
        <v>287280.48038238153</v>
      </c>
      <c r="AF55" s="284">
        <f t="shared" si="48"/>
        <v>300435.98546563589</v>
      </c>
    </row>
    <row r="56" spans="2:32" s="107" customFormat="1" x14ac:dyDescent="0.25">
      <c r="B56" s="98" t="s">
        <v>126</v>
      </c>
      <c r="C56" s="313">
        <f>+'Input Sheet'!G66</f>
        <v>0</v>
      </c>
      <c r="D56" s="314">
        <f>+'Input Sheet'!H66</f>
        <v>44</v>
      </c>
      <c r="E56" s="314">
        <f>+'Input Sheet'!I66</f>
        <v>48</v>
      </c>
      <c r="F56" s="315">
        <f>+'Input Sheet'!K66</f>
        <v>62</v>
      </c>
      <c r="G56" s="275"/>
      <c r="H56" s="313">
        <f t="shared" si="43"/>
        <v>51</v>
      </c>
      <c r="I56" s="314">
        <f t="shared" si="38"/>
        <v>51</v>
      </c>
      <c r="J56" s="314">
        <f t="shared" si="38"/>
        <v>51</v>
      </c>
      <c r="K56" s="314">
        <f t="shared" si="38"/>
        <v>51</v>
      </c>
      <c r="L56" s="315">
        <f t="shared" si="38"/>
        <v>51</v>
      </c>
      <c r="N56" s="126">
        <f>+'Standard Hour Calcs'!Y19</f>
        <v>29</v>
      </c>
      <c r="P56" s="282">
        <f>IF($N18="Hourly",'Input Sheet'!G$144*'Fee Breakdown'!$N56*'Fee Breakdown'!H56,'Input Sheet'!G$144*'Fee Breakdown'!$N18*'Fee Breakdown'!H56)</f>
        <v>139139.9836083175</v>
      </c>
      <c r="Q56" s="283">
        <f>IF($N18="Hourly",'Input Sheet'!H$144*'Fee Breakdown'!$N56*'Fee Breakdown'!I56,'Input Sheet'!H$144*'Fee Breakdown'!$N18*'Fee Breakdown'!I56)</f>
        <v>145210.62211986908</v>
      </c>
      <c r="R56" s="283">
        <f>IF($N18="Hourly",'Input Sheet'!I$144*'Fee Breakdown'!$N56*'Fee Breakdown'!J56,'Input Sheet'!I$144*'Fee Breakdown'!$N18*'Fee Breakdown'!J56)</f>
        <v>150127.11970618137</v>
      </c>
      <c r="S56" s="283">
        <f>IF($N18="Hourly",'Input Sheet'!J$144*'Fee Breakdown'!$N56*'Fee Breakdown'!K56,'Input Sheet'!J$144*'Fee Breakdown'!$N18*'Fee Breakdown'!K56)</f>
        <v>155415.82159267055</v>
      </c>
      <c r="T56" s="284">
        <f>IF($N18="Hourly",'Input Sheet'!K$144*'Fee Breakdown'!$N56*'Fee Breakdown'!L56,'Input Sheet'!K$144*'Fee Breakdown'!$N18*'Fee Breakdown'!L56)</f>
        <v>160767.77502027276</v>
      </c>
      <c r="U56" s="285"/>
      <c r="V56" s="282">
        <f>+P56*('Input Sheet'!G$154-1)</f>
        <v>163274.14122295554</v>
      </c>
      <c r="W56" s="283">
        <f>+Q56*('Input Sheet'!H$154-1)</f>
        <v>182965.88923130359</v>
      </c>
      <c r="X56" s="283">
        <f>+R56*('Input Sheet'!I$154-1)</f>
        <v>190817.8988918614</v>
      </c>
      <c r="Y56" s="283">
        <f>+S56*('Input Sheet'!J$154-1)</f>
        <v>201632.77545400368</v>
      </c>
      <c r="Z56" s="284">
        <f>+T56*('Input Sheet'!K$154-1)</f>
        <v>212631.23548701755</v>
      </c>
      <c r="AA56" s="285"/>
      <c r="AB56" s="282">
        <f t="shared" si="44"/>
        <v>302414.12483127305</v>
      </c>
      <c r="AC56" s="283">
        <f t="shared" si="45"/>
        <v>328176.5113511727</v>
      </c>
      <c r="AD56" s="283">
        <f t="shared" si="46"/>
        <v>340945.01859804278</v>
      </c>
      <c r="AE56" s="283">
        <f t="shared" si="47"/>
        <v>357048.59704667423</v>
      </c>
      <c r="AF56" s="284">
        <f t="shared" si="48"/>
        <v>373399.01050729031</v>
      </c>
    </row>
    <row r="57" spans="2:32" s="107" customFormat="1" x14ac:dyDescent="0.25">
      <c r="B57" s="98" t="s">
        <v>127</v>
      </c>
      <c r="C57" s="313">
        <f>+'Input Sheet'!G67</f>
        <v>0</v>
      </c>
      <c r="D57" s="314">
        <f>+'Input Sheet'!H67</f>
        <v>4</v>
      </c>
      <c r="E57" s="314">
        <f>+'Input Sheet'!I67</f>
        <v>4</v>
      </c>
      <c r="F57" s="315">
        <f>+'Input Sheet'!K67</f>
        <v>9</v>
      </c>
      <c r="G57" s="275"/>
      <c r="H57" s="313">
        <f t="shared" si="43"/>
        <v>6</v>
      </c>
      <c r="I57" s="314">
        <f t="shared" si="38"/>
        <v>6</v>
      </c>
      <c r="J57" s="314">
        <f t="shared" si="38"/>
        <v>6</v>
      </c>
      <c r="K57" s="314">
        <f t="shared" si="38"/>
        <v>6</v>
      </c>
      <c r="L57" s="315">
        <f t="shared" si="38"/>
        <v>6</v>
      </c>
      <c r="N57" s="126">
        <f>+'Standard Hour Calcs'!Y20</f>
        <v>37</v>
      </c>
      <c r="P57" s="282">
        <f>IF($N19="Hourly",'Input Sheet'!G$144*'Fee Breakdown'!$N57*'Fee Breakdown'!H57,'Input Sheet'!G$144*'Fee Breakdown'!$N19*'Fee Breakdown'!H57)</f>
        <v>20885.109101451308</v>
      </c>
      <c r="Q57" s="283">
        <f>IF($N19="Hourly",'Input Sheet'!H$144*'Fee Breakdown'!$N57*'Fee Breakdown'!I57,'Input Sheet'!H$144*'Fee Breakdown'!$N19*'Fee Breakdown'!I57)</f>
        <v>21796.320561603068</v>
      </c>
      <c r="R57" s="283">
        <f>IF($N19="Hourly",'Input Sheet'!I$144*'Fee Breakdown'!$N57*'Fee Breakdown'!J57,'Input Sheet'!I$144*'Fee Breakdown'!$N19*'Fee Breakdown'!J57)</f>
        <v>22534.293830136754</v>
      </c>
      <c r="S57" s="283">
        <f>IF($N19="Hourly",'Input Sheet'!J$144*'Fee Breakdown'!$N57*'Fee Breakdown'!K57,'Input Sheet'!J$144*'Fee Breakdown'!$N19*'Fee Breakdown'!K57)</f>
        <v>23328.135492611804</v>
      </c>
      <c r="T57" s="284">
        <f>IF($N19="Hourly",'Input Sheet'!K$144*'Fee Breakdown'!$N57*'Fee Breakdown'!L57,'Input Sheet'!K$144*'Fee Breakdown'!$N19*'Fee Breakdown'!L57)</f>
        <v>24131.471301217414</v>
      </c>
      <c r="U57" s="285"/>
      <c r="V57" s="282">
        <f>+P57*('Input Sheet'!G$154-1)</f>
        <v>24507.680426975072</v>
      </c>
      <c r="W57" s="283">
        <f>+Q57*('Input Sheet'!H$154-1)</f>
        <v>27463.439762913724</v>
      </c>
      <c r="X57" s="283">
        <f>+R57*('Input Sheet'!I$154-1)</f>
        <v>28642.037561861544</v>
      </c>
      <c r="Y57" s="283">
        <f>+S57*('Input Sheet'!J$154-1)</f>
        <v>30265.365889647608</v>
      </c>
      <c r="Z57" s="284">
        <f>+T57*('Input Sheet'!K$154-1)</f>
        <v>31916.250357077686</v>
      </c>
      <c r="AA57" s="285"/>
      <c r="AB57" s="282">
        <f t="shared" si="44"/>
        <v>45392.78952842638</v>
      </c>
      <c r="AC57" s="283">
        <f t="shared" si="45"/>
        <v>49259.760324516792</v>
      </c>
      <c r="AD57" s="283">
        <f t="shared" si="46"/>
        <v>51176.331391998297</v>
      </c>
      <c r="AE57" s="283">
        <f t="shared" si="47"/>
        <v>53593.501382259412</v>
      </c>
      <c r="AF57" s="284">
        <f t="shared" si="48"/>
        <v>56047.7216582951</v>
      </c>
    </row>
    <row r="58" spans="2:32" s="107" customFormat="1" x14ac:dyDescent="0.25">
      <c r="B58" s="98" t="s">
        <v>128</v>
      </c>
      <c r="C58" s="313">
        <f>+'Input Sheet'!G68</f>
        <v>0</v>
      </c>
      <c r="D58" s="314">
        <f>+'Input Sheet'!H68</f>
        <v>3</v>
      </c>
      <c r="E58" s="314">
        <f>+'Input Sheet'!I68</f>
        <v>6</v>
      </c>
      <c r="F58" s="315">
        <f>+'Input Sheet'!K68</f>
        <v>4</v>
      </c>
      <c r="G58" s="275"/>
      <c r="H58" s="313">
        <f t="shared" si="43"/>
        <v>4</v>
      </c>
      <c r="I58" s="314">
        <f t="shared" si="38"/>
        <v>4</v>
      </c>
      <c r="J58" s="314">
        <f t="shared" si="38"/>
        <v>4</v>
      </c>
      <c r="K58" s="314">
        <f t="shared" si="38"/>
        <v>4</v>
      </c>
      <c r="L58" s="315">
        <f t="shared" si="38"/>
        <v>4</v>
      </c>
      <c r="N58" s="126">
        <f>+'Standard Hour Calcs'!Y21</f>
        <v>230</v>
      </c>
      <c r="P58" s="282">
        <f>IF($N20="Hourly",'Input Sheet'!G$144*'Fee Breakdown'!$N58*'Fee Breakdown'!H58,'Input Sheet'!G$144*'Fee Breakdown'!$N20*'Fee Breakdown'!H58)</f>
        <v>86550.902582591007</v>
      </c>
      <c r="Q58" s="283">
        <f>IF($N20="Hourly",'Input Sheet'!H$144*'Fee Breakdown'!$N58*'Fee Breakdown'!I58,'Input Sheet'!H$144*'Fee Breakdown'!$N20*'Fee Breakdown'!I58)</f>
        <v>90327.09421925596</v>
      </c>
      <c r="R58" s="283">
        <f>IF($N20="Hourly",'Input Sheet'!I$144*'Fee Breakdown'!$N58*'Fee Breakdown'!J58,'Input Sheet'!I$144*'Fee Breakdown'!$N20*'Fee Breakdown'!J58)</f>
        <v>93385.361818584744</v>
      </c>
      <c r="S58" s="283">
        <f>IF($N20="Hourly",'Input Sheet'!J$144*'Fee Breakdown'!$N58*'Fee Breakdown'!K58,'Input Sheet'!J$144*'Fee Breakdown'!$N20*'Fee Breakdown'!K58)</f>
        <v>96675.15609550837</v>
      </c>
      <c r="T58" s="284">
        <f>IF($N20="Hourly",'Input Sheet'!K$144*'Fee Breakdown'!$N58*'Fee Breakdown'!L58,'Input Sheet'!K$144*'Fee Breakdown'!$N20*'Fee Breakdown'!L58)</f>
        <v>100004.2954825226</v>
      </c>
      <c r="U58" s="285"/>
      <c r="V58" s="282">
        <f>+P58*('Input Sheet'!G$154-1)</f>
        <v>101563.3603280048</v>
      </c>
      <c r="W58" s="283">
        <f>+Q58*('Input Sheet'!H$154-1)</f>
        <v>113812.45307153436</v>
      </c>
      <c r="X58" s="283">
        <f>+R58*('Input Sheet'!I$154-1)</f>
        <v>118696.73223834512</v>
      </c>
      <c r="Y58" s="283">
        <f>+S58*('Input Sheet'!J$154-1)</f>
        <v>125424.03882196305</v>
      </c>
      <c r="Z58" s="284">
        <f>+T58*('Input Sheet'!K$154-1)</f>
        <v>132265.54202032194</v>
      </c>
      <c r="AA58" s="285"/>
      <c r="AB58" s="282">
        <f t="shared" si="44"/>
        <v>188114.2629105958</v>
      </c>
      <c r="AC58" s="283">
        <f t="shared" si="45"/>
        <v>204139.5472907903</v>
      </c>
      <c r="AD58" s="283">
        <f t="shared" si="46"/>
        <v>212082.09405692987</v>
      </c>
      <c r="AE58" s="283">
        <f t="shared" si="47"/>
        <v>222099.19491747144</v>
      </c>
      <c r="AF58" s="284">
        <f t="shared" si="48"/>
        <v>232269.83750284454</v>
      </c>
    </row>
    <row r="59" spans="2:32" s="107" customFormat="1" x14ac:dyDescent="0.25">
      <c r="B59" s="98" t="s">
        <v>129</v>
      </c>
      <c r="C59" s="313">
        <f>+'Input Sheet'!G69</f>
        <v>0</v>
      </c>
      <c r="D59" s="314">
        <f>+'Input Sheet'!H69</f>
        <v>0</v>
      </c>
      <c r="E59" s="314">
        <f>+'Input Sheet'!I69</f>
        <v>11</v>
      </c>
      <c r="F59" s="315">
        <f>+'Input Sheet'!K69</f>
        <v>2</v>
      </c>
      <c r="G59" s="275"/>
      <c r="H59" s="313">
        <f t="shared" si="43"/>
        <v>4</v>
      </c>
      <c r="I59" s="314">
        <f t="shared" si="38"/>
        <v>4</v>
      </c>
      <c r="J59" s="314">
        <f t="shared" si="38"/>
        <v>4</v>
      </c>
      <c r="K59" s="314">
        <f t="shared" si="38"/>
        <v>4</v>
      </c>
      <c r="L59" s="315">
        <f t="shared" si="38"/>
        <v>4</v>
      </c>
      <c r="N59" s="126">
        <f>+'Standard Hour Calcs'!Y22</f>
        <v>3</v>
      </c>
      <c r="P59" s="282">
        <f>IF($N21="Hourly",'Input Sheet'!G$144*'Fee Breakdown'!$N59*'Fee Breakdown'!H59,'Input Sheet'!G$144*'Fee Breakdown'!$N21*'Fee Breakdown'!H59)</f>
        <v>1128.9248162946653</v>
      </c>
      <c r="Q59" s="283">
        <f>IF($N21="Hourly",'Input Sheet'!H$144*'Fee Breakdown'!$N59*'Fee Breakdown'!I59,'Input Sheet'!H$144*'Fee Breakdown'!$N21*'Fee Breakdown'!I59)</f>
        <v>1178.1794898163821</v>
      </c>
      <c r="R59" s="283">
        <f>IF($N21="Hourly",'Input Sheet'!I$144*'Fee Breakdown'!$N59*'Fee Breakdown'!J59,'Input Sheet'!I$144*'Fee Breakdown'!$N21*'Fee Breakdown'!J59)</f>
        <v>1218.0699367641489</v>
      </c>
      <c r="S59" s="283">
        <f>IF($N21="Hourly",'Input Sheet'!J$144*'Fee Breakdown'!$N59*'Fee Breakdown'!K59,'Input Sheet'!J$144*'Fee Breakdown'!$N21*'Fee Breakdown'!K59)</f>
        <v>1260.9802968979352</v>
      </c>
      <c r="T59" s="284">
        <f>IF($N21="Hourly",'Input Sheet'!K$144*'Fee Breakdown'!$N59*'Fee Breakdown'!L59,'Input Sheet'!K$144*'Fee Breakdown'!$N21*'Fee Breakdown'!L59)</f>
        <v>1304.4038541198602</v>
      </c>
      <c r="U59" s="285"/>
      <c r="V59" s="282">
        <f>+P59*('Input Sheet'!G$154-1)</f>
        <v>1324.739482539193</v>
      </c>
      <c r="W59" s="283">
        <f>+Q59*('Input Sheet'!H$154-1)</f>
        <v>1484.5102574547959</v>
      </c>
      <c r="X59" s="283">
        <f>+R59*('Input Sheet'!I$154-1)</f>
        <v>1548.2182465871106</v>
      </c>
      <c r="Y59" s="283">
        <f>+S59*('Input Sheet'!J$154-1)</f>
        <v>1635.9657237647355</v>
      </c>
      <c r="Z59" s="284">
        <f>+T59*('Input Sheet'!K$154-1)</f>
        <v>1725.2027220041991</v>
      </c>
      <c r="AA59" s="285"/>
      <c r="AB59" s="282">
        <f t="shared" si="44"/>
        <v>2453.6642988338581</v>
      </c>
      <c r="AC59" s="283">
        <f t="shared" si="45"/>
        <v>2662.689747271178</v>
      </c>
      <c r="AD59" s="283">
        <f t="shared" si="46"/>
        <v>2766.2881833512592</v>
      </c>
      <c r="AE59" s="283">
        <f t="shared" si="47"/>
        <v>2896.9460206626709</v>
      </c>
      <c r="AF59" s="284">
        <f t="shared" si="48"/>
        <v>3029.6065761240593</v>
      </c>
    </row>
    <row r="60" spans="2:32" s="107" customFormat="1" x14ac:dyDescent="0.25">
      <c r="B60" s="98" t="s">
        <v>130</v>
      </c>
      <c r="C60" s="313">
        <f>+'Input Sheet'!G70</f>
        <v>0</v>
      </c>
      <c r="D60" s="314">
        <f>+'Input Sheet'!H70</f>
        <v>62</v>
      </c>
      <c r="E60" s="314">
        <f>+'Input Sheet'!I70</f>
        <v>45</v>
      </c>
      <c r="F60" s="315">
        <f>+'Input Sheet'!K70</f>
        <v>49</v>
      </c>
      <c r="G60" s="275"/>
      <c r="H60" s="313">
        <f t="shared" si="43"/>
        <v>52</v>
      </c>
      <c r="I60" s="314">
        <f t="shared" si="38"/>
        <v>52</v>
      </c>
      <c r="J60" s="314">
        <f t="shared" si="38"/>
        <v>52</v>
      </c>
      <c r="K60" s="314">
        <f t="shared" si="38"/>
        <v>52</v>
      </c>
      <c r="L60" s="315">
        <f t="shared" si="38"/>
        <v>52</v>
      </c>
      <c r="N60" s="126">
        <f>+'Standard Hour Calcs'!Y23</f>
        <v>7</v>
      </c>
      <c r="P60" s="282">
        <f>IF($N22="Hourly",'Input Sheet'!G$144*'Fee Breakdown'!$N60*'Fee Breakdown'!H60,'Input Sheet'!G$144*'Fee Breakdown'!$N22*'Fee Breakdown'!H60)</f>
        <v>34244.052760938182</v>
      </c>
      <c r="Q60" s="283">
        <f>IF($N22="Hourly",'Input Sheet'!H$144*'Fee Breakdown'!$N60*'Fee Breakdown'!I60,'Input Sheet'!H$144*'Fee Breakdown'!$N22*'Fee Breakdown'!I60)</f>
        <v>35738.111191096919</v>
      </c>
      <c r="R60" s="283">
        <f>IF($N22="Hourly",'Input Sheet'!I$144*'Fee Breakdown'!$N60*'Fee Breakdown'!J60,'Input Sheet'!I$144*'Fee Breakdown'!$N22*'Fee Breakdown'!J60)</f>
        <v>36948.121415179186</v>
      </c>
      <c r="S60" s="283">
        <f>IF($N22="Hourly",'Input Sheet'!J$144*'Fee Breakdown'!$N60*'Fee Breakdown'!K60,'Input Sheet'!J$144*'Fee Breakdown'!$N22*'Fee Breakdown'!K60)</f>
        <v>38249.735672570707</v>
      </c>
      <c r="T60" s="284">
        <f>IF($N22="Hourly",'Input Sheet'!K$144*'Fee Breakdown'!$N60*'Fee Breakdown'!L60,'Input Sheet'!K$144*'Fee Breakdown'!$N22*'Fee Breakdown'!L60)</f>
        <v>39566.916908302424</v>
      </c>
      <c r="U60" s="285"/>
      <c r="V60" s="282">
        <f>+P60*('Input Sheet'!G$154-1)</f>
        <v>40183.764303688855</v>
      </c>
      <c r="W60" s="283">
        <f>+Q60*('Input Sheet'!H$154-1)</f>
        <v>45030.144476128808</v>
      </c>
      <c r="X60" s="283">
        <f>+R60*('Input Sheet'!I$154-1)</f>
        <v>46962.620146475689</v>
      </c>
      <c r="Y60" s="283">
        <f>+S60*('Input Sheet'!J$154-1)</f>
        <v>49624.293620863653</v>
      </c>
      <c r="Z60" s="284">
        <f>+T60*('Input Sheet'!K$154-1)</f>
        <v>52331.149234127377</v>
      </c>
      <c r="AA60" s="285"/>
      <c r="AB60" s="282">
        <f t="shared" si="44"/>
        <v>74427.817064627045</v>
      </c>
      <c r="AC60" s="283">
        <f t="shared" si="45"/>
        <v>80768.25566722572</v>
      </c>
      <c r="AD60" s="283">
        <f t="shared" si="46"/>
        <v>83910.741561654868</v>
      </c>
      <c r="AE60" s="283">
        <f t="shared" si="47"/>
        <v>87874.02929343436</v>
      </c>
      <c r="AF60" s="284">
        <f t="shared" si="48"/>
        <v>91898.066142429801</v>
      </c>
    </row>
    <row r="61" spans="2:32" s="107" customFormat="1" x14ac:dyDescent="0.25">
      <c r="B61" s="98" t="s">
        <v>131</v>
      </c>
      <c r="C61" s="313">
        <f>+'Input Sheet'!G71</f>
        <v>0</v>
      </c>
      <c r="D61" s="314">
        <f>+'Input Sheet'!H71</f>
        <v>14</v>
      </c>
      <c r="E61" s="314">
        <f>+'Input Sheet'!I71</f>
        <v>22</v>
      </c>
      <c r="F61" s="315">
        <f>+'Input Sheet'!K71</f>
        <v>19</v>
      </c>
      <c r="G61" s="275"/>
      <c r="H61" s="313">
        <f t="shared" si="43"/>
        <v>18</v>
      </c>
      <c r="I61" s="314">
        <f t="shared" si="38"/>
        <v>18</v>
      </c>
      <c r="J61" s="314">
        <f t="shared" si="38"/>
        <v>18</v>
      </c>
      <c r="K61" s="314">
        <f t="shared" si="38"/>
        <v>18</v>
      </c>
      <c r="L61" s="315">
        <f t="shared" si="38"/>
        <v>18</v>
      </c>
      <c r="N61" s="126">
        <f>+'Standard Hour Calcs'!Y24</f>
        <v>15</v>
      </c>
      <c r="P61" s="282">
        <f>IF($N23="Hourly",'Input Sheet'!G$144*'Fee Breakdown'!$N61*'Fee Breakdown'!H61,'Input Sheet'!G$144*'Fee Breakdown'!$N23*'Fee Breakdown'!H61)</f>
        <v>25400.808366629968</v>
      </c>
      <c r="Q61" s="283">
        <f>IF($N23="Hourly",'Input Sheet'!H$144*'Fee Breakdown'!$N61*'Fee Breakdown'!I61,'Input Sheet'!H$144*'Fee Breakdown'!$N23*'Fee Breakdown'!I61)</f>
        <v>26509.038520868595</v>
      </c>
      <c r="R61" s="283">
        <f>IF($N23="Hourly",'Input Sheet'!I$144*'Fee Breakdown'!$N61*'Fee Breakdown'!J61,'Input Sheet'!I$144*'Fee Breakdown'!$N23*'Fee Breakdown'!J61)</f>
        <v>27406.573577193351</v>
      </c>
      <c r="S61" s="283">
        <f>IF($N23="Hourly",'Input Sheet'!J$144*'Fee Breakdown'!$N61*'Fee Breakdown'!K61,'Input Sheet'!J$144*'Fee Breakdown'!$N23*'Fee Breakdown'!K61)</f>
        <v>28372.056680203543</v>
      </c>
      <c r="T61" s="284">
        <f>IF($N23="Hourly",'Input Sheet'!K$144*'Fee Breakdown'!$N61*'Fee Breakdown'!L61,'Input Sheet'!K$144*'Fee Breakdown'!$N23*'Fee Breakdown'!L61)</f>
        <v>29349.086717696853</v>
      </c>
      <c r="U61" s="285"/>
      <c r="V61" s="282">
        <f>+P61*('Input Sheet'!G$154-1)</f>
        <v>29806.63835713184</v>
      </c>
      <c r="W61" s="283">
        <f>+Q61*('Input Sheet'!H$154-1)</f>
        <v>33401.480792732902</v>
      </c>
      <c r="X61" s="283">
        <f>+R61*('Input Sheet'!I$154-1)</f>
        <v>34834.910548209984</v>
      </c>
      <c r="Y61" s="283">
        <f>+S61*('Input Sheet'!J$154-1)</f>
        <v>36809.228784706553</v>
      </c>
      <c r="Z61" s="284">
        <f>+T61*('Input Sheet'!K$154-1)</f>
        <v>38817.061245094483</v>
      </c>
      <c r="AA61" s="285"/>
      <c r="AB61" s="282">
        <f t="shared" si="44"/>
        <v>55207.446723761808</v>
      </c>
      <c r="AC61" s="283">
        <f t="shared" si="45"/>
        <v>59910.5193136015</v>
      </c>
      <c r="AD61" s="283">
        <f t="shared" si="46"/>
        <v>62241.484125403338</v>
      </c>
      <c r="AE61" s="283">
        <f t="shared" si="47"/>
        <v>65181.285464910092</v>
      </c>
      <c r="AF61" s="284">
        <f t="shared" si="48"/>
        <v>68166.147962791336</v>
      </c>
    </row>
    <row r="62" spans="2:32" s="107" customFormat="1" x14ac:dyDescent="0.25">
      <c r="B62" s="98" t="s">
        <v>132</v>
      </c>
      <c r="C62" s="313">
        <f>+'Input Sheet'!G72</f>
        <v>0</v>
      </c>
      <c r="D62" s="314">
        <f>+'Input Sheet'!H72</f>
        <v>11</v>
      </c>
      <c r="E62" s="314">
        <f>+'Input Sheet'!I72</f>
        <v>11</v>
      </c>
      <c r="F62" s="315">
        <f>+'Input Sheet'!K72</f>
        <v>14</v>
      </c>
      <c r="G62" s="275"/>
      <c r="H62" s="313">
        <f t="shared" si="43"/>
        <v>12</v>
      </c>
      <c r="I62" s="314">
        <f t="shared" si="38"/>
        <v>12</v>
      </c>
      <c r="J62" s="314">
        <f t="shared" si="38"/>
        <v>12</v>
      </c>
      <c r="K62" s="314">
        <f t="shared" si="38"/>
        <v>12</v>
      </c>
      <c r="L62" s="315">
        <f t="shared" si="38"/>
        <v>12</v>
      </c>
      <c r="N62" s="126">
        <f>+'Standard Hour Calcs'!Y25</f>
        <v>29</v>
      </c>
      <c r="P62" s="282">
        <f>IF($N24="Hourly",'Input Sheet'!G$144*'Fee Breakdown'!$N62*'Fee Breakdown'!H62,'Input Sheet'!G$144*'Fee Breakdown'!$N24*'Fee Breakdown'!H62)</f>
        <v>32738.819672545294</v>
      </c>
      <c r="Q62" s="283">
        <f>IF($N24="Hourly",'Input Sheet'!H$144*'Fee Breakdown'!$N62*'Fee Breakdown'!I62,'Input Sheet'!H$144*'Fee Breakdown'!$N24*'Fee Breakdown'!I62)</f>
        <v>34167.205204675076</v>
      </c>
      <c r="R62" s="283">
        <f>IF($N24="Hourly",'Input Sheet'!I$144*'Fee Breakdown'!$N62*'Fee Breakdown'!J62,'Input Sheet'!I$144*'Fee Breakdown'!$N24*'Fee Breakdown'!J62)</f>
        <v>35324.028166160322</v>
      </c>
      <c r="S62" s="283">
        <f>IF($N24="Hourly",'Input Sheet'!J$144*'Fee Breakdown'!$N62*'Fee Breakdown'!K62,'Input Sheet'!J$144*'Fee Breakdown'!$N24*'Fee Breakdown'!K62)</f>
        <v>36568.428610040122</v>
      </c>
      <c r="T62" s="284">
        <f>IF($N24="Hourly",'Input Sheet'!K$144*'Fee Breakdown'!$N62*'Fee Breakdown'!L62,'Input Sheet'!K$144*'Fee Breakdown'!$N24*'Fee Breakdown'!L62)</f>
        <v>37827.711769475944</v>
      </c>
      <c r="U62" s="285"/>
      <c r="V62" s="282">
        <f>+P62*('Input Sheet'!G$154-1)</f>
        <v>38417.4449936366</v>
      </c>
      <c r="W62" s="283">
        <f>+Q62*('Input Sheet'!H$154-1)</f>
        <v>43050.797466189077</v>
      </c>
      <c r="X62" s="283">
        <f>+R62*('Input Sheet'!I$154-1)</f>
        <v>44898.329151026206</v>
      </c>
      <c r="Y62" s="283">
        <f>+S62*('Input Sheet'!J$154-1)</f>
        <v>47443.005989177334</v>
      </c>
      <c r="Z62" s="284">
        <f>+T62*('Input Sheet'!K$154-1)</f>
        <v>50030.878938121779</v>
      </c>
      <c r="AA62" s="285"/>
      <c r="AB62" s="282">
        <f t="shared" si="44"/>
        <v>71156.264666181902</v>
      </c>
      <c r="AC62" s="283">
        <f t="shared" si="45"/>
        <v>77218.002670864153</v>
      </c>
      <c r="AD62" s="283">
        <f t="shared" si="46"/>
        <v>80222.357317186528</v>
      </c>
      <c r="AE62" s="283">
        <f t="shared" si="47"/>
        <v>84011.434599217464</v>
      </c>
      <c r="AF62" s="284">
        <f t="shared" si="48"/>
        <v>87858.59070759773</v>
      </c>
    </row>
    <row r="63" spans="2:32" s="107" customFormat="1" x14ac:dyDescent="0.25">
      <c r="B63" s="98" t="s">
        <v>133</v>
      </c>
      <c r="C63" s="313">
        <f>+'Input Sheet'!G73</f>
        <v>0</v>
      </c>
      <c r="D63" s="314">
        <f>+'Input Sheet'!H73</f>
        <v>19</v>
      </c>
      <c r="E63" s="314">
        <f>+'Input Sheet'!I73</f>
        <v>27</v>
      </c>
      <c r="F63" s="315">
        <f>+'Input Sheet'!K73</f>
        <v>0</v>
      </c>
      <c r="G63" s="275"/>
      <c r="H63" s="313">
        <f t="shared" si="43"/>
        <v>15</v>
      </c>
      <c r="I63" s="314">
        <f t="shared" si="38"/>
        <v>15</v>
      </c>
      <c r="J63" s="314">
        <f t="shared" si="38"/>
        <v>15</v>
      </c>
      <c r="K63" s="314">
        <f t="shared" si="38"/>
        <v>15</v>
      </c>
      <c r="L63" s="315">
        <f t="shared" si="38"/>
        <v>15</v>
      </c>
      <c r="N63" s="126">
        <f>+'Standard Hour Calcs'!Y26</f>
        <v>8</v>
      </c>
      <c r="P63" s="282">
        <f>IF($N25="Hourly",'Input Sheet'!G$144*'Fee Breakdown'!$N63*'Fee Breakdown'!H63,'Input Sheet'!G$144*'Fee Breakdown'!$N25*'Fee Breakdown'!H63)</f>
        <v>11289.248162946653</v>
      </c>
      <c r="Q63" s="283">
        <f>IF($N25="Hourly",'Input Sheet'!H$144*'Fee Breakdown'!$N63*'Fee Breakdown'!I63,'Input Sheet'!H$144*'Fee Breakdown'!$N25*'Fee Breakdown'!I63)</f>
        <v>11781.79489816382</v>
      </c>
      <c r="R63" s="283">
        <f>IF($N25="Hourly",'Input Sheet'!I$144*'Fee Breakdown'!$N63*'Fee Breakdown'!J63,'Input Sheet'!I$144*'Fee Breakdown'!$N25*'Fee Breakdown'!J63)</f>
        <v>12180.69936764149</v>
      </c>
      <c r="S63" s="283">
        <f>IF($N25="Hourly",'Input Sheet'!J$144*'Fee Breakdown'!$N63*'Fee Breakdown'!K63,'Input Sheet'!J$144*'Fee Breakdown'!$N25*'Fee Breakdown'!K63)</f>
        <v>12609.802968979353</v>
      </c>
      <c r="T63" s="284">
        <f>IF($N25="Hourly",'Input Sheet'!K$144*'Fee Breakdown'!$N63*'Fee Breakdown'!L63,'Input Sheet'!K$144*'Fee Breakdown'!$N25*'Fee Breakdown'!L63)</f>
        <v>13044.038541198601</v>
      </c>
      <c r="U63" s="285"/>
      <c r="V63" s="282">
        <f>+P63*('Input Sheet'!G$154-1)</f>
        <v>13247.39482539193</v>
      </c>
      <c r="W63" s="283">
        <f>+Q63*('Input Sheet'!H$154-1)</f>
        <v>14845.102574547958</v>
      </c>
      <c r="X63" s="283">
        <f>+R63*('Input Sheet'!I$154-1)</f>
        <v>15482.182465871105</v>
      </c>
      <c r="Y63" s="283">
        <f>+S63*('Input Sheet'!J$154-1)</f>
        <v>16359.657237647356</v>
      </c>
      <c r="Z63" s="284">
        <f>+T63*('Input Sheet'!K$154-1)</f>
        <v>17252.027220041989</v>
      </c>
      <c r="AA63" s="285"/>
      <c r="AB63" s="282">
        <f t="shared" si="44"/>
        <v>24536.642988338583</v>
      </c>
      <c r="AC63" s="283">
        <f t="shared" si="45"/>
        <v>26626.897472711778</v>
      </c>
      <c r="AD63" s="283">
        <f t="shared" si="46"/>
        <v>27662.881833512594</v>
      </c>
      <c r="AE63" s="283">
        <f t="shared" si="47"/>
        <v>28969.460206626711</v>
      </c>
      <c r="AF63" s="284">
        <f t="shared" si="48"/>
        <v>30296.065761240592</v>
      </c>
    </row>
    <row r="64" spans="2:32" s="107" customFormat="1" x14ac:dyDescent="0.25">
      <c r="B64" s="98" t="s">
        <v>134</v>
      </c>
      <c r="C64" s="313">
        <f>+'Input Sheet'!G74</f>
        <v>0</v>
      </c>
      <c r="D64" s="314">
        <f>+'Input Sheet'!H74</f>
        <v>4</v>
      </c>
      <c r="E64" s="314">
        <f>+'Input Sheet'!I74</f>
        <v>5</v>
      </c>
      <c r="F64" s="315">
        <f>+'Input Sheet'!K74</f>
        <v>0</v>
      </c>
      <c r="G64" s="275"/>
      <c r="H64" s="313">
        <f t="shared" ref="H64:H77" si="49">ROUND(AVERAGE($D64:$F64),0)</f>
        <v>3</v>
      </c>
      <c r="I64" s="314">
        <f t="shared" si="38"/>
        <v>3</v>
      </c>
      <c r="J64" s="314">
        <f t="shared" si="38"/>
        <v>3</v>
      </c>
      <c r="K64" s="314">
        <f t="shared" si="38"/>
        <v>3</v>
      </c>
      <c r="L64" s="315">
        <f t="shared" si="38"/>
        <v>3</v>
      </c>
      <c r="N64" s="126">
        <f>+'Standard Hour Calcs'!Y27</f>
        <v>20</v>
      </c>
      <c r="P64" s="282">
        <f>IF($N26="Hourly",'Input Sheet'!G$144*'Fee Breakdown'!$N64*'Fee Breakdown'!H64,'Input Sheet'!G$144*'Fee Breakdown'!$N26*'Fee Breakdown'!H64)</f>
        <v>5644.6240814733264</v>
      </c>
      <c r="Q64" s="283">
        <f>IF($N26="Hourly",'Input Sheet'!H$144*'Fee Breakdown'!$N64*'Fee Breakdown'!I64,'Input Sheet'!H$144*'Fee Breakdown'!$N26*'Fee Breakdown'!I64)</f>
        <v>5890.8974490819101</v>
      </c>
      <c r="R64" s="283">
        <f>IF($N26="Hourly",'Input Sheet'!I$144*'Fee Breakdown'!$N64*'Fee Breakdown'!J64,'Input Sheet'!I$144*'Fee Breakdown'!$N26*'Fee Breakdown'!J64)</f>
        <v>6090.3496838207448</v>
      </c>
      <c r="S64" s="283">
        <f>IF($N26="Hourly",'Input Sheet'!J$144*'Fee Breakdown'!$N64*'Fee Breakdown'!K64,'Input Sheet'!J$144*'Fee Breakdown'!$N26*'Fee Breakdown'!K64)</f>
        <v>6304.9014844896774</v>
      </c>
      <c r="T64" s="284">
        <f>IF($N26="Hourly",'Input Sheet'!K$144*'Fee Breakdown'!$N64*'Fee Breakdown'!L64,'Input Sheet'!K$144*'Fee Breakdown'!$N26*'Fee Breakdown'!L64)</f>
        <v>6522.0192705993004</v>
      </c>
      <c r="U64" s="285"/>
      <c r="V64" s="282">
        <f>+P64*('Input Sheet'!G$154-1)</f>
        <v>6623.6974126959649</v>
      </c>
      <c r="W64" s="283">
        <f>+Q64*('Input Sheet'!H$154-1)</f>
        <v>7422.5512872739791</v>
      </c>
      <c r="X64" s="283">
        <f>+R64*('Input Sheet'!I$154-1)</f>
        <v>7741.0912329355524</v>
      </c>
      <c r="Y64" s="283">
        <f>+S64*('Input Sheet'!J$154-1)</f>
        <v>8179.8286188236789</v>
      </c>
      <c r="Z64" s="284">
        <f>+T64*('Input Sheet'!K$154-1)</f>
        <v>8626.0136100209947</v>
      </c>
      <c r="AA64" s="285"/>
      <c r="AB64" s="282">
        <f t="shared" si="44"/>
        <v>12268.321494169291</v>
      </c>
      <c r="AC64" s="283">
        <f t="shared" si="45"/>
        <v>13313.448736355889</v>
      </c>
      <c r="AD64" s="283">
        <f t="shared" si="46"/>
        <v>13831.440916756297</v>
      </c>
      <c r="AE64" s="283">
        <f t="shared" si="47"/>
        <v>14484.730103313355</v>
      </c>
      <c r="AF64" s="284">
        <f t="shared" si="48"/>
        <v>15148.032880620296</v>
      </c>
    </row>
    <row r="65" spans="2:32" s="107" customFormat="1" x14ac:dyDescent="0.25">
      <c r="B65" s="98" t="s">
        <v>135</v>
      </c>
      <c r="C65" s="313">
        <f>+'Input Sheet'!G75</f>
        <v>0</v>
      </c>
      <c r="D65" s="314">
        <f>+'Input Sheet'!H75</f>
        <v>0</v>
      </c>
      <c r="E65" s="314">
        <f>+'Input Sheet'!I75</f>
        <v>3</v>
      </c>
      <c r="F65" s="315">
        <f>+'Input Sheet'!K75</f>
        <v>0</v>
      </c>
      <c r="G65" s="275"/>
      <c r="H65" s="313">
        <f t="shared" si="49"/>
        <v>1</v>
      </c>
      <c r="I65" s="314">
        <f t="shared" si="38"/>
        <v>1</v>
      </c>
      <c r="J65" s="314">
        <f t="shared" si="38"/>
        <v>1</v>
      </c>
      <c r="K65" s="314">
        <f t="shared" si="38"/>
        <v>1</v>
      </c>
      <c r="L65" s="315">
        <f t="shared" si="38"/>
        <v>1</v>
      </c>
      <c r="N65" s="126">
        <f>+'Standard Hour Calcs'!Y28</f>
        <v>34</v>
      </c>
      <c r="P65" s="282">
        <f>IF($N27="Hourly",'Input Sheet'!G$144*'Fee Breakdown'!$N65*'Fee Breakdown'!H65,'Input Sheet'!G$144*'Fee Breakdown'!$N27*'Fee Breakdown'!H65)</f>
        <v>3198.6203128348852</v>
      </c>
      <c r="Q65" s="283">
        <f>IF($N27="Hourly",'Input Sheet'!H$144*'Fee Breakdown'!$N65*'Fee Breakdown'!I65,'Input Sheet'!H$144*'Fee Breakdown'!$N27*'Fee Breakdown'!I65)</f>
        <v>3338.1752211464159</v>
      </c>
      <c r="R65" s="283">
        <f>IF($N27="Hourly",'Input Sheet'!I$144*'Fee Breakdown'!$N65*'Fee Breakdown'!J65,'Input Sheet'!I$144*'Fee Breakdown'!$N27*'Fee Breakdown'!J65)</f>
        <v>3451.1981541650885</v>
      </c>
      <c r="S65" s="283">
        <f>IF($N27="Hourly",'Input Sheet'!J$144*'Fee Breakdown'!$N65*'Fee Breakdown'!K65,'Input Sheet'!J$144*'Fee Breakdown'!$N27*'Fee Breakdown'!K65)</f>
        <v>3572.7775078774835</v>
      </c>
      <c r="T65" s="284">
        <f>IF($N27="Hourly",'Input Sheet'!K$144*'Fee Breakdown'!$N65*'Fee Breakdown'!L65,'Input Sheet'!K$144*'Fee Breakdown'!$N27*'Fee Breakdown'!L65)</f>
        <v>3695.8109200062704</v>
      </c>
      <c r="U65" s="285"/>
      <c r="V65" s="282">
        <f>+P65*('Input Sheet'!G$154-1)</f>
        <v>3753.4285338610471</v>
      </c>
      <c r="W65" s="283">
        <f>+Q65*('Input Sheet'!H$154-1)</f>
        <v>4206.1123961219218</v>
      </c>
      <c r="X65" s="283">
        <f>+R65*('Input Sheet'!I$154-1)</f>
        <v>4386.6183653301459</v>
      </c>
      <c r="Y65" s="283">
        <f>+S65*('Input Sheet'!J$154-1)</f>
        <v>4635.2362173334177</v>
      </c>
      <c r="Z65" s="284">
        <f>+T65*('Input Sheet'!K$154-1)</f>
        <v>4888.0743790118977</v>
      </c>
      <c r="AA65" s="285"/>
      <c r="AB65" s="282">
        <f t="shared" si="44"/>
        <v>6952.0488466959323</v>
      </c>
      <c r="AC65" s="283">
        <f t="shared" si="45"/>
        <v>7544.2876172683373</v>
      </c>
      <c r="AD65" s="283">
        <f t="shared" si="46"/>
        <v>7837.8165194952344</v>
      </c>
      <c r="AE65" s="283">
        <f t="shared" si="47"/>
        <v>8208.0137252109016</v>
      </c>
      <c r="AF65" s="284">
        <f t="shared" si="48"/>
        <v>8583.8852990181676</v>
      </c>
    </row>
    <row r="66" spans="2:32" s="107" customFormat="1" x14ac:dyDescent="0.25">
      <c r="B66" s="98" t="s">
        <v>136</v>
      </c>
      <c r="C66" s="313">
        <f>+'Input Sheet'!G76</f>
        <v>0</v>
      </c>
      <c r="D66" s="314">
        <f>+'Input Sheet'!H76</f>
        <v>0</v>
      </c>
      <c r="E66" s="314">
        <f>+'Input Sheet'!I76</f>
        <v>1</v>
      </c>
      <c r="F66" s="315">
        <f>+'Input Sheet'!K76</f>
        <v>0</v>
      </c>
      <c r="G66" s="275"/>
      <c r="H66" s="313">
        <f t="shared" si="49"/>
        <v>0</v>
      </c>
      <c r="I66" s="314">
        <f t="shared" si="38"/>
        <v>0</v>
      </c>
      <c r="J66" s="314">
        <f t="shared" si="38"/>
        <v>0</v>
      </c>
      <c r="K66" s="314">
        <f t="shared" si="38"/>
        <v>0</v>
      </c>
      <c r="L66" s="315">
        <f t="shared" si="38"/>
        <v>0</v>
      </c>
      <c r="N66" s="126">
        <f>+'Standard Hour Calcs'!Y29</f>
        <v>42</v>
      </c>
      <c r="P66" s="282">
        <f>IF($N28="Hourly",'Input Sheet'!G$144*'Fee Breakdown'!$N66*'Fee Breakdown'!H66,'Input Sheet'!G$144*'Fee Breakdown'!$N28*'Fee Breakdown'!H66)</f>
        <v>0</v>
      </c>
      <c r="Q66" s="283">
        <f>IF($N28="Hourly",'Input Sheet'!H$144*'Fee Breakdown'!$N66*'Fee Breakdown'!I66,'Input Sheet'!H$144*'Fee Breakdown'!$N28*'Fee Breakdown'!I66)</f>
        <v>0</v>
      </c>
      <c r="R66" s="283">
        <f>IF($N28="Hourly",'Input Sheet'!I$144*'Fee Breakdown'!$N66*'Fee Breakdown'!J66,'Input Sheet'!I$144*'Fee Breakdown'!$N28*'Fee Breakdown'!J66)</f>
        <v>0</v>
      </c>
      <c r="S66" s="283">
        <f>IF($N28="Hourly",'Input Sheet'!J$144*'Fee Breakdown'!$N66*'Fee Breakdown'!K66,'Input Sheet'!J$144*'Fee Breakdown'!$N28*'Fee Breakdown'!K66)</f>
        <v>0</v>
      </c>
      <c r="T66" s="284">
        <f>IF($N28="Hourly",'Input Sheet'!K$144*'Fee Breakdown'!$N66*'Fee Breakdown'!L66,'Input Sheet'!K$144*'Fee Breakdown'!$N28*'Fee Breakdown'!L66)</f>
        <v>0</v>
      </c>
      <c r="U66" s="285"/>
      <c r="V66" s="282">
        <f>+P66*('Input Sheet'!G$154-1)</f>
        <v>0</v>
      </c>
      <c r="W66" s="283">
        <f>+Q66*('Input Sheet'!H$154-1)</f>
        <v>0</v>
      </c>
      <c r="X66" s="283">
        <f>+R66*('Input Sheet'!I$154-1)</f>
        <v>0</v>
      </c>
      <c r="Y66" s="283">
        <f>+S66*('Input Sheet'!J$154-1)</f>
        <v>0</v>
      </c>
      <c r="Z66" s="284">
        <f>+T66*('Input Sheet'!K$154-1)</f>
        <v>0</v>
      </c>
      <c r="AA66" s="285"/>
      <c r="AB66" s="282">
        <f t="shared" si="44"/>
        <v>0</v>
      </c>
      <c r="AC66" s="283">
        <f t="shared" si="45"/>
        <v>0</v>
      </c>
      <c r="AD66" s="283">
        <f t="shared" si="46"/>
        <v>0</v>
      </c>
      <c r="AE66" s="283">
        <f t="shared" si="47"/>
        <v>0</v>
      </c>
      <c r="AF66" s="284">
        <f t="shared" si="48"/>
        <v>0</v>
      </c>
    </row>
    <row r="67" spans="2:32" s="107" customFormat="1" x14ac:dyDescent="0.25">
      <c r="B67" s="98" t="s">
        <v>137</v>
      </c>
      <c r="C67" s="313">
        <f>+'Input Sheet'!G77</f>
        <v>0</v>
      </c>
      <c r="D67" s="314">
        <f>+'Input Sheet'!H77</f>
        <v>4</v>
      </c>
      <c r="E67" s="314">
        <f>+'Input Sheet'!I77</f>
        <v>1</v>
      </c>
      <c r="F67" s="315">
        <f>+'Input Sheet'!K77</f>
        <v>0</v>
      </c>
      <c r="G67" s="275"/>
      <c r="H67" s="313">
        <f t="shared" si="49"/>
        <v>2</v>
      </c>
      <c r="I67" s="314">
        <f t="shared" si="38"/>
        <v>2</v>
      </c>
      <c r="J67" s="314">
        <f t="shared" si="38"/>
        <v>2</v>
      </c>
      <c r="K67" s="314">
        <f t="shared" si="38"/>
        <v>2</v>
      </c>
      <c r="L67" s="315">
        <f t="shared" si="38"/>
        <v>2</v>
      </c>
      <c r="N67" s="126">
        <f>+'Standard Hour Calcs'!Y30</f>
        <v>195</v>
      </c>
      <c r="P67" s="282">
        <f>IF($N29="Hourly",'Input Sheet'!G$144*'Fee Breakdown'!$N67*'Fee Breakdown'!H67,'Input Sheet'!G$144*'Fee Breakdown'!$N29*'Fee Breakdown'!H67)</f>
        <v>36690.056529576621</v>
      </c>
      <c r="Q67" s="283">
        <f>IF($N29="Hourly",'Input Sheet'!H$144*'Fee Breakdown'!$N67*'Fee Breakdown'!I67,'Input Sheet'!H$144*'Fee Breakdown'!$N29*'Fee Breakdown'!I67)</f>
        <v>38290.833419032417</v>
      </c>
      <c r="R67" s="283">
        <f>IF($N29="Hourly",'Input Sheet'!I$144*'Fee Breakdown'!$N67*'Fee Breakdown'!J67,'Input Sheet'!I$144*'Fee Breakdown'!$N29*'Fee Breakdown'!J67)</f>
        <v>39587.27294483484</v>
      </c>
      <c r="S67" s="283">
        <f>IF($N29="Hourly",'Input Sheet'!J$144*'Fee Breakdown'!$N67*'Fee Breakdown'!K67,'Input Sheet'!J$144*'Fee Breakdown'!$N29*'Fee Breakdown'!K67)</f>
        <v>40981.859649182901</v>
      </c>
      <c r="T67" s="284">
        <f>IF($N29="Hourly",'Input Sheet'!K$144*'Fee Breakdown'!$N67*'Fee Breakdown'!L67,'Input Sheet'!K$144*'Fee Breakdown'!$N29*'Fee Breakdown'!L67)</f>
        <v>42393.125258895452</v>
      </c>
      <c r="U67" s="285"/>
      <c r="V67" s="282">
        <f>+P67*('Input Sheet'!G$154-1)</f>
        <v>43054.033182523774</v>
      </c>
      <c r="W67" s="283">
        <f>+Q67*('Input Sheet'!H$154-1)</f>
        <v>48246.583367280866</v>
      </c>
      <c r="X67" s="283">
        <f>+R67*('Input Sheet'!I$154-1)</f>
        <v>50317.093014081089</v>
      </c>
      <c r="Y67" s="283">
        <f>+S67*('Input Sheet'!J$154-1)</f>
        <v>53168.886022353916</v>
      </c>
      <c r="Z67" s="284">
        <f>+T67*('Input Sheet'!K$154-1)</f>
        <v>56069.088465136469</v>
      </c>
      <c r="AA67" s="285"/>
      <c r="AB67" s="282">
        <f t="shared" si="44"/>
        <v>79744.089712100395</v>
      </c>
      <c r="AC67" s="283">
        <f t="shared" si="45"/>
        <v>86537.41678631329</v>
      </c>
      <c r="AD67" s="283">
        <f t="shared" si="46"/>
        <v>89904.365958915936</v>
      </c>
      <c r="AE67" s="283">
        <f t="shared" si="47"/>
        <v>94150.745671536817</v>
      </c>
      <c r="AF67" s="284">
        <f t="shared" si="48"/>
        <v>98462.213724031928</v>
      </c>
    </row>
    <row r="68" spans="2:32" s="107" customFormat="1" x14ac:dyDescent="0.25">
      <c r="B68" s="98" t="s">
        <v>138</v>
      </c>
      <c r="C68" s="313">
        <f>+'Input Sheet'!G78</f>
        <v>0</v>
      </c>
      <c r="D68" s="314">
        <f>+'Input Sheet'!H78</f>
        <v>0</v>
      </c>
      <c r="E68" s="314">
        <f>+'Input Sheet'!I78</f>
        <v>0</v>
      </c>
      <c r="F68" s="315">
        <f>+'Input Sheet'!K78</f>
        <v>0</v>
      </c>
      <c r="G68" s="275"/>
      <c r="H68" s="313">
        <f t="shared" si="49"/>
        <v>0</v>
      </c>
      <c r="I68" s="314">
        <f t="shared" si="38"/>
        <v>0</v>
      </c>
      <c r="J68" s="314">
        <f t="shared" si="38"/>
        <v>0</v>
      </c>
      <c r="K68" s="314">
        <f t="shared" si="38"/>
        <v>0</v>
      </c>
      <c r="L68" s="315">
        <f t="shared" si="38"/>
        <v>0</v>
      </c>
      <c r="N68" s="126">
        <f>+'Standard Hour Calcs'!Y31</f>
        <v>0</v>
      </c>
      <c r="P68" s="282">
        <f>IF($N30="Hourly",'Input Sheet'!G$144*'Fee Breakdown'!$N68*'Fee Breakdown'!H68,'Input Sheet'!G$144*'Fee Breakdown'!$N30*'Fee Breakdown'!H68)</f>
        <v>0</v>
      </c>
      <c r="Q68" s="283">
        <f>IF($N30="Hourly",'Input Sheet'!H$144*'Fee Breakdown'!$N68*'Fee Breakdown'!I68,'Input Sheet'!H$144*'Fee Breakdown'!$N30*'Fee Breakdown'!I68)</f>
        <v>0</v>
      </c>
      <c r="R68" s="283">
        <f>IF($N30="Hourly",'Input Sheet'!I$144*'Fee Breakdown'!$N68*'Fee Breakdown'!J68,'Input Sheet'!I$144*'Fee Breakdown'!$N30*'Fee Breakdown'!J68)</f>
        <v>0</v>
      </c>
      <c r="S68" s="283">
        <f>IF($N30="Hourly",'Input Sheet'!J$144*'Fee Breakdown'!$N68*'Fee Breakdown'!K68,'Input Sheet'!J$144*'Fee Breakdown'!$N30*'Fee Breakdown'!K68)</f>
        <v>0</v>
      </c>
      <c r="T68" s="284">
        <f>IF($N30="Hourly",'Input Sheet'!K$144*'Fee Breakdown'!$N68*'Fee Breakdown'!L68,'Input Sheet'!K$144*'Fee Breakdown'!$N30*'Fee Breakdown'!L68)</f>
        <v>0</v>
      </c>
      <c r="U68" s="285"/>
      <c r="V68" s="282">
        <f>+P68*('Input Sheet'!G$154-1)</f>
        <v>0</v>
      </c>
      <c r="W68" s="283">
        <f>+Q68*('Input Sheet'!H$154-1)</f>
        <v>0</v>
      </c>
      <c r="X68" s="283">
        <f>+R68*('Input Sheet'!I$154-1)</f>
        <v>0</v>
      </c>
      <c r="Y68" s="283">
        <f>+S68*('Input Sheet'!J$154-1)</f>
        <v>0</v>
      </c>
      <c r="Z68" s="284">
        <f>+T68*('Input Sheet'!K$154-1)</f>
        <v>0</v>
      </c>
      <c r="AA68" s="285"/>
      <c r="AB68" s="282">
        <f t="shared" si="44"/>
        <v>0</v>
      </c>
      <c r="AC68" s="283">
        <f t="shared" si="45"/>
        <v>0</v>
      </c>
      <c r="AD68" s="283">
        <f t="shared" si="46"/>
        <v>0</v>
      </c>
      <c r="AE68" s="283">
        <f t="shared" si="47"/>
        <v>0</v>
      </c>
      <c r="AF68" s="284">
        <f t="shared" si="48"/>
        <v>0</v>
      </c>
    </row>
    <row r="69" spans="2:32" s="107" customFormat="1" x14ac:dyDescent="0.25">
      <c r="B69" s="98" t="s">
        <v>139</v>
      </c>
      <c r="C69" s="313">
        <f>+'Input Sheet'!G79</f>
        <v>0</v>
      </c>
      <c r="D69" s="314">
        <f>+'Input Sheet'!H79</f>
        <v>0</v>
      </c>
      <c r="E69" s="314">
        <f>+'Input Sheet'!I79</f>
        <v>0</v>
      </c>
      <c r="F69" s="315">
        <f>+'Input Sheet'!K79</f>
        <v>0</v>
      </c>
      <c r="G69" s="275"/>
      <c r="H69" s="313">
        <f t="shared" si="49"/>
        <v>0</v>
      </c>
      <c r="I69" s="314">
        <f t="shared" si="38"/>
        <v>0</v>
      </c>
      <c r="J69" s="314">
        <f t="shared" si="38"/>
        <v>0</v>
      </c>
      <c r="K69" s="314">
        <f t="shared" si="38"/>
        <v>0</v>
      </c>
      <c r="L69" s="315">
        <f t="shared" si="38"/>
        <v>0</v>
      </c>
      <c r="N69" s="126">
        <f>+'Standard Hour Calcs'!Y32</f>
        <v>0</v>
      </c>
      <c r="P69" s="282">
        <f>IF($N31="Hourly",'Input Sheet'!G$144*'Fee Breakdown'!$N69*'Fee Breakdown'!H69,'Input Sheet'!G$144*'Fee Breakdown'!$N31*'Fee Breakdown'!H69)</f>
        <v>0</v>
      </c>
      <c r="Q69" s="283">
        <f>IF($N31="Hourly",'Input Sheet'!H$144*'Fee Breakdown'!$N69*'Fee Breakdown'!I69,'Input Sheet'!H$144*'Fee Breakdown'!$N31*'Fee Breakdown'!I69)</f>
        <v>0</v>
      </c>
      <c r="R69" s="283">
        <f>IF($N31="Hourly",'Input Sheet'!I$144*'Fee Breakdown'!$N69*'Fee Breakdown'!J69,'Input Sheet'!I$144*'Fee Breakdown'!$N31*'Fee Breakdown'!J69)</f>
        <v>0</v>
      </c>
      <c r="S69" s="283">
        <f>IF($N31="Hourly",'Input Sheet'!J$144*'Fee Breakdown'!$N69*'Fee Breakdown'!K69,'Input Sheet'!J$144*'Fee Breakdown'!$N31*'Fee Breakdown'!K69)</f>
        <v>0</v>
      </c>
      <c r="T69" s="284">
        <f>IF($N31="Hourly",'Input Sheet'!K$144*'Fee Breakdown'!$N69*'Fee Breakdown'!L69,'Input Sheet'!K$144*'Fee Breakdown'!$N31*'Fee Breakdown'!L69)</f>
        <v>0</v>
      </c>
      <c r="U69" s="285"/>
      <c r="V69" s="282">
        <f>+P69*('Input Sheet'!G$154-1)</f>
        <v>0</v>
      </c>
      <c r="W69" s="283">
        <f>+Q69*('Input Sheet'!H$154-1)</f>
        <v>0</v>
      </c>
      <c r="X69" s="283">
        <f>+R69*('Input Sheet'!I$154-1)</f>
        <v>0</v>
      </c>
      <c r="Y69" s="283">
        <f>+S69*('Input Sheet'!J$154-1)</f>
        <v>0</v>
      </c>
      <c r="Z69" s="284">
        <f>+T69*('Input Sheet'!K$154-1)</f>
        <v>0</v>
      </c>
      <c r="AA69" s="285"/>
      <c r="AB69" s="282">
        <f t="shared" si="44"/>
        <v>0</v>
      </c>
      <c r="AC69" s="283">
        <f t="shared" si="45"/>
        <v>0</v>
      </c>
      <c r="AD69" s="283">
        <f t="shared" si="46"/>
        <v>0</v>
      </c>
      <c r="AE69" s="283">
        <f t="shared" si="47"/>
        <v>0</v>
      </c>
      <c r="AF69" s="284">
        <f t="shared" si="48"/>
        <v>0</v>
      </c>
    </row>
    <row r="70" spans="2:32" s="107" customFormat="1" x14ac:dyDescent="0.25">
      <c r="B70" s="98" t="s">
        <v>140</v>
      </c>
      <c r="C70" s="313">
        <f>+'Input Sheet'!G80</f>
        <v>0</v>
      </c>
      <c r="D70" s="314">
        <f>+'Input Sheet'!H80</f>
        <v>0</v>
      </c>
      <c r="E70" s="314">
        <f>+'Input Sheet'!I80</f>
        <v>0</v>
      </c>
      <c r="F70" s="315">
        <f>+'Input Sheet'!K80</f>
        <v>0</v>
      </c>
      <c r="G70" s="275"/>
      <c r="H70" s="313">
        <f t="shared" si="49"/>
        <v>0</v>
      </c>
      <c r="I70" s="314">
        <f t="shared" si="38"/>
        <v>0</v>
      </c>
      <c r="J70" s="314">
        <f t="shared" si="38"/>
        <v>0</v>
      </c>
      <c r="K70" s="314">
        <f t="shared" si="38"/>
        <v>0</v>
      </c>
      <c r="L70" s="315">
        <f t="shared" si="38"/>
        <v>0</v>
      </c>
      <c r="N70" s="126">
        <f>+'Standard Hour Calcs'!Y33</f>
        <v>0</v>
      </c>
      <c r="P70" s="282">
        <f>IF($N32="Hourly",'Input Sheet'!G$144*'Fee Breakdown'!$N70*'Fee Breakdown'!H70,'Input Sheet'!G$144*'Fee Breakdown'!$N32*'Fee Breakdown'!H70)</f>
        <v>0</v>
      </c>
      <c r="Q70" s="283">
        <f>IF($N32="Hourly",'Input Sheet'!H$144*'Fee Breakdown'!$N70*'Fee Breakdown'!I70,'Input Sheet'!H$144*'Fee Breakdown'!$N32*'Fee Breakdown'!I70)</f>
        <v>0</v>
      </c>
      <c r="R70" s="283">
        <f>IF($N32="Hourly",'Input Sheet'!I$144*'Fee Breakdown'!$N70*'Fee Breakdown'!J70,'Input Sheet'!I$144*'Fee Breakdown'!$N32*'Fee Breakdown'!J70)</f>
        <v>0</v>
      </c>
      <c r="S70" s="283">
        <f>IF($N32="Hourly",'Input Sheet'!J$144*'Fee Breakdown'!$N70*'Fee Breakdown'!K70,'Input Sheet'!J$144*'Fee Breakdown'!$N32*'Fee Breakdown'!K70)</f>
        <v>0</v>
      </c>
      <c r="T70" s="284">
        <f>IF($N32="Hourly",'Input Sheet'!K$144*'Fee Breakdown'!$N70*'Fee Breakdown'!L70,'Input Sheet'!K$144*'Fee Breakdown'!$N32*'Fee Breakdown'!L70)</f>
        <v>0</v>
      </c>
      <c r="U70" s="285"/>
      <c r="V70" s="282">
        <f>+P70*('Input Sheet'!G$154-1)</f>
        <v>0</v>
      </c>
      <c r="W70" s="283">
        <f>+Q70*('Input Sheet'!H$154-1)</f>
        <v>0</v>
      </c>
      <c r="X70" s="283">
        <f>+R70*('Input Sheet'!I$154-1)</f>
        <v>0</v>
      </c>
      <c r="Y70" s="283">
        <f>+S70*('Input Sheet'!J$154-1)</f>
        <v>0</v>
      </c>
      <c r="Z70" s="284">
        <f>+T70*('Input Sheet'!K$154-1)</f>
        <v>0</v>
      </c>
      <c r="AA70" s="285"/>
      <c r="AB70" s="282">
        <f t="shared" si="44"/>
        <v>0</v>
      </c>
      <c r="AC70" s="283">
        <f t="shared" si="45"/>
        <v>0</v>
      </c>
      <c r="AD70" s="283">
        <f t="shared" si="46"/>
        <v>0</v>
      </c>
      <c r="AE70" s="283">
        <f t="shared" si="47"/>
        <v>0</v>
      </c>
      <c r="AF70" s="284">
        <f t="shared" si="48"/>
        <v>0</v>
      </c>
    </row>
    <row r="71" spans="2:32" s="107" customFormat="1" x14ac:dyDescent="0.25">
      <c r="B71" s="98" t="s">
        <v>141</v>
      </c>
      <c r="C71" s="313">
        <f>+'Input Sheet'!G81</f>
        <v>0</v>
      </c>
      <c r="D71" s="314">
        <f>+'Input Sheet'!H81</f>
        <v>0</v>
      </c>
      <c r="E71" s="314">
        <f>+'Input Sheet'!I81</f>
        <v>0</v>
      </c>
      <c r="F71" s="315">
        <f>+'Input Sheet'!K81</f>
        <v>0</v>
      </c>
      <c r="G71" s="275"/>
      <c r="H71" s="313">
        <f t="shared" si="49"/>
        <v>0</v>
      </c>
      <c r="I71" s="314">
        <f t="shared" si="38"/>
        <v>0</v>
      </c>
      <c r="J71" s="314">
        <f t="shared" si="38"/>
        <v>0</v>
      </c>
      <c r="K71" s="314">
        <f t="shared" si="38"/>
        <v>0</v>
      </c>
      <c r="L71" s="315">
        <f t="shared" si="38"/>
        <v>0</v>
      </c>
      <c r="N71" s="126">
        <f>+'Standard Hour Calcs'!Y34</f>
        <v>0</v>
      </c>
      <c r="P71" s="282">
        <f>IF($N33="Hourly",'Input Sheet'!G$144*'Fee Breakdown'!$N71*'Fee Breakdown'!H71,'Input Sheet'!G$144*'Fee Breakdown'!$N33*'Fee Breakdown'!H71)</f>
        <v>0</v>
      </c>
      <c r="Q71" s="283">
        <f>IF($N33="Hourly",'Input Sheet'!H$144*'Fee Breakdown'!$N71*'Fee Breakdown'!I71,'Input Sheet'!H$144*'Fee Breakdown'!$N33*'Fee Breakdown'!I71)</f>
        <v>0</v>
      </c>
      <c r="R71" s="283">
        <f>IF($N33="Hourly",'Input Sheet'!I$144*'Fee Breakdown'!$N71*'Fee Breakdown'!J71,'Input Sheet'!I$144*'Fee Breakdown'!$N33*'Fee Breakdown'!J71)</f>
        <v>0</v>
      </c>
      <c r="S71" s="283">
        <f>IF($N33="Hourly",'Input Sheet'!J$144*'Fee Breakdown'!$N71*'Fee Breakdown'!K71,'Input Sheet'!J$144*'Fee Breakdown'!$N33*'Fee Breakdown'!K71)</f>
        <v>0</v>
      </c>
      <c r="T71" s="284">
        <f>IF($N33="Hourly",'Input Sheet'!K$144*'Fee Breakdown'!$N71*'Fee Breakdown'!L71,'Input Sheet'!K$144*'Fee Breakdown'!$N33*'Fee Breakdown'!L71)</f>
        <v>0</v>
      </c>
      <c r="U71" s="285"/>
      <c r="V71" s="282">
        <f>+P71*('Input Sheet'!G$154-1)</f>
        <v>0</v>
      </c>
      <c r="W71" s="283">
        <f>+Q71*('Input Sheet'!H$154-1)</f>
        <v>0</v>
      </c>
      <c r="X71" s="283">
        <f>+R71*('Input Sheet'!I$154-1)</f>
        <v>0</v>
      </c>
      <c r="Y71" s="283">
        <f>+S71*('Input Sheet'!J$154-1)</f>
        <v>0</v>
      </c>
      <c r="Z71" s="284">
        <f>+T71*('Input Sheet'!K$154-1)</f>
        <v>0</v>
      </c>
      <c r="AA71" s="285"/>
      <c r="AB71" s="282">
        <f t="shared" si="44"/>
        <v>0</v>
      </c>
      <c r="AC71" s="283">
        <f t="shared" si="45"/>
        <v>0</v>
      </c>
      <c r="AD71" s="283">
        <f t="shared" si="46"/>
        <v>0</v>
      </c>
      <c r="AE71" s="283">
        <f t="shared" si="47"/>
        <v>0</v>
      </c>
      <c r="AF71" s="284">
        <f t="shared" si="48"/>
        <v>0</v>
      </c>
    </row>
    <row r="72" spans="2:32" s="107" customFormat="1" x14ac:dyDescent="0.25">
      <c r="B72" s="98" t="s">
        <v>142</v>
      </c>
      <c r="C72" s="313">
        <f>+'Input Sheet'!G82</f>
        <v>0</v>
      </c>
      <c r="D72" s="314">
        <f>+'Input Sheet'!H82</f>
        <v>49</v>
      </c>
      <c r="E72" s="314">
        <f>+'Input Sheet'!I82</f>
        <v>66</v>
      </c>
      <c r="F72" s="315">
        <f>+'Input Sheet'!K82</f>
        <v>77</v>
      </c>
      <c r="G72" s="275"/>
      <c r="H72" s="313">
        <f t="shared" si="49"/>
        <v>64</v>
      </c>
      <c r="I72" s="314">
        <f t="shared" si="38"/>
        <v>64</v>
      </c>
      <c r="J72" s="314">
        <f t="shared" si="38"/>
        <v>64</v>
      </c>
      <c r="K72" s="314">
        <f t="shared" si="38"/>
        <v>64</v>
      </c>
      <c r="L72" s="315">
        <f t="shared" si="38"/>
        <v>64</v>
      </c>
      <c r="N72" s="126">
        <f>+'Standard Hour Calcs'!Y35</f>
        <v>7</v>
      </c>
      <c r="P72" s="282">
        <f>IF($N34="Hourly",'Input Sheet'!G$144*'Fee Breakdown'!$N72*'Fee Breakdown'!H72,'Input Sheet'!G$144*'Fee Breakdown'!$N34*'Fee Breakdown'!H72)</f>
        <v>42146.526475000835</v>
      </c>
      <c r="Q72" s="283">
        <f>IF($N34="Hourly",'Input Sheet'!H$144*'Fee Breakdown'!$N72*'Fee Breakdown'!I72,'Input Sheet'!H$144*'Fee Breakdown'!$N34*'Fee Breakdown'!I72)</f>
        <v>43985.367619811594</v>
      </c>
      <c r="R72" s="283">
        <f>IF($N34="Hourly",'Input Sheet'!I$144*'Fee Breakdown'!$N72*'Fee Breakdown'!J72,'Input Sheet'!I$144*'Fee Breakdown'!$N34*'Fee Breakdown'!J72)</f>
        <v>45474.610972528229</v>
      </c>
      <c r="S72" s="283">
        <f>IF($N34="Hourly",'Input Sheet'!J$144*'Fee Breakdown'!$N72*'Fee Breakdown'!K72,'Input Sheet'!J$144*'Fee Breakdown'!$N34*'Fee Breakdown'!K72)</f>
        <v>47076.59775085625</v>
      </c>
      <c r="T72" s="284">
        <f>IF($N34="Hourly",'Input Sheet'!K$144*'Fee Breakdown'!$N72*'Fee Breakdown'!L72,'Input Sheet'!K$144*'Fee Breakdown'!$N34*'Fee Breakdown'!L72)</f>
        <v>48697.743887141442</v>
      </c>
      <c r="U72" s="285"/>
      <c r="V72" s="282">
        <f>+P72*('Input Sheet'!G$154-1)</f>
        <v>49456.940681463202</v>
      </c>
      <c r="W72" s="283">
        <f>+Q72*('Input Sheet'!H$154-1)</f>
        <v>55421.716278312379</v>
      </c>
      <c r="X72" s="283">
        <f>+R72*('Input Sheet'!I$154-1)</f>
        <v>57800.147872585461</v>
      </c>
      <c r="Y72" s="283">
        <f>+S72*('Input Sheet'!J$154-1)</f>
        <v>61076.053687216794</v>
      </c>
      <c r="Z72" s="284">
        <f>+T72*('Input Sheet'!K$154-1)</f>
        <v>64407.568288156763</v>
      </c>
      <c r="AA72" s="285"/>
      <c r="AB72" s="282">
        <f t="shared" si="44"/>
        <v>91603.46715646403</v>
      </c>
      <c r="AC72" s="283">
        <f t="shared" si="45"/>
        <v>99407.083898123965</v>
      </c>
      <c r="AD72" s="283">
        <f t="shared" si="46"/>
        <v>103274.75884511368</v>
      </c>
      <c r="AE72" s="283">
        <f t="shared" si="47"/>
        <v>108152.65143807305</v>
      </c>
      <c r="AF72" s="284">
        <f t="shared" si="48"/>
        <v>113105.3121752982</v>
      </c>
    </row>
    <row r="73" spans="2:32" s="107" customFormat="1" x14ac:dyDescent="0.25">
      <c r="B73" s="98"/>
      <c r="C73" s="313"/>
      <c r="D73" s="314"/>
      <c r="E73" s="314"/>
      <c r="F73" s="315"/>
      <c r="G73" s="275"/>
      <c r="H73" s="313"/>
      <c r="I73" s="314"/>
      <c r="J73" s="314"/>
      <c r="K73" s="314"/>
      <c r="L73" s="315"/>
      <c r="N73" s="126"/>
      <c r="P73" s="282"/>
      <c r="Q73" s="283"/>
      <c r="R73" s="283"/>
      <c r="S73" s="283"/>
      <c r="T73" s="284"/>
      <c r="U73" s="285"/>
      <c r="V73" s="282"/>
      <c r="W73" s="283"/>
      <c r="X73" s="283"/>
      <c r="Y73" s="283"/>
      <c r="Z73" s="284"/>
      <c r="AA73" s="285"/>
      <c r="AB73" s="282"/>
      <c r="AC73" s="283"/>
      <c r="AD73" s="283"/>
      <c r="AE73" s="283"/>
      <c r="AF73" s="284"/>
    </row>
    <row r="74" spans="2:32" s="107" customFormat="1" x14ac:dyDescent="0.25">
      <c r="B74" s="98" t="s">
        <v>143</v>
      </c>
      <c r="C74" s="313">
        <f>+'Input Sheet'!G84</f>
        <v>0</v>
      </c>
      <c r="D74" s="314">
        <f>+'Input Sheet'!H84</f>
        <v>110</v>
      </c>
      <c r="E74" s="314">
        <f>+'Input Sheet'!I84</f>
        <v>122</v>
      </c>
      <c r="F74" s="315">
        <f>+'Input Sheet'!K84</f>
        <v>175</v>
      </c>
      <c r="G74" s="275"/>
      <c r="H74" s="313">
        <f t="shared" si="49"/>
        <v>136</v>
      </c>
      <c r="I74" s="314">
        <f t="shared" si="38"/>
        <v>136</v>
      </c>
      <c r="J74" s="314">
        <f t="shared" si="38"/>
        <v>136</v>
      </c>
      <c r="K74" s="314">
        <f t="shared" si="38"/>
        <v>136</v>
      </c>
      <c r="L74" s="315">
        <f t="shared" si="38"/>
        <v>136</v>
      </c>
      <c r="N74" s="126">
        <f>+'Standard Hour Calcs'!Y37</f>
        <v>9</v>
      </c>
      <c r="P74" s="282">
        <f>IF($N36="Hourly",'Input Sheet'!G$144*'Fee Breakdown'!$N74*'Fee Breakdown'!H74,'Input Sheet'!G$144*'Fee Breakdown'!$N36*'Fee Breakdown'!H74)</f>
        <v>115150.33126205587</v>
      </c>
      <c r="Q74" s="283">
        <f>IF($N36="Hourly",'Input Sheet'!H$144*'Fee Breakdown'!$N74*'Fee Breakdown'!I74,'Input Sheet'!H$144*'Fee Breakdown'!$N36*'Fee Breakdown'!I74)</f>
        <v>120174.30796127097</v>
      </c>
      <c r="R74" s="283">
        <f>IF($N36="Hourly",'Input Sheet'!I$144*'Fee Breakdown'!$N74*'Fee Breakdown'!J74,'Input Sheet'!I$144*'Fee Breakdown'!$N36*'Fee Breakdown'!J74)</f>
        <v>124243.13354994319</v>
      </c>
      <c r="S74" s="283">
        <f>IF($N36="Hourly",'Input Sheet'!J$144*'Fee Breakdown'!$N74*'Fee Breakdown'!K74,'Input Sheet'!J$144*'Fee Breakdown'!$N36*'Fee Breakdown'!K74)</f>
        <v>128619.9902835894</v>
      </c>
      <c r="T74" s="284">
        <f>IF($N36="Hourly",'Input Sheet'!K$144*'Fee Breakdown'!$N74*'Fee Breakdown'!L74,'Input Sheet'!K$144*'Fee Breakdown'!$N36*'Fee Breakdown'!L74)</f>
        <v>133049.19312022574</v>
      </c>
      <c r="U74" s="285"/>
      <c r="V74" s="282">
        <f>+P74*('Input Sheet'!G$154-1)</f>
        <v>135123.42721899771</v>
      </c>
      <c r="W74" s="283">
        <f>+Q74*('Input Sheet'!H$154-1)</f>
        <v>151420.04626038918</v>
      </c>
      <c r="X74" s="283">
        <f>+R74*('Input Sheet'!I$154-1)</f>
        <v>157918.26115188526</v>
      </c>
      <c r="Y74" s="283">
        <f>+S74*('Input Sheet'!J$154-1)</f>
        <v>166868.50382400304</v>
      </c>
      <c r="Z74" s="284">
        <f>+T74*('Input Sheet'!K$154-1)</f>
        <v>175970.67764442833</v>
      </c>
      <c r="AA74" s="285"/>
      <c r="AB74" s="282">
        <f t="shared" si="44"/>
        <v>250273.75848105358</v>
      </c>
      <c r="AC74" s="283">
        <f t="shared" si="45"/>
        <v>271594.35422166018</v>
      </c>
      <c r="AD74" s="283">
        <f t="shared" si="46"/>
        <v>282161.39470182848</v>
      </c>
      <c r="AE74" s="283">
        <f t="shared" si="47"/>
        <v>295488.49410759244</v>
      </c>
      <c r="AF74" s="284">
        <f t="shared" si="48"/>
        <v>309019.87076465407</v>
      </c>
    </row>
    <row r="75" spans="2:32" s="107" customFormat="1" x14ac:dyDescent="0.25">
      <c r="B75" s="98" t="s">
        <v>144</v>
      </c>
      <c r="C75" s="313">
        <f>+'Input Sheet'!G85</f>
        <v>0</v>
      </c>
      <c r="D75" s="314">
        <f>+'Input Sheet'!H85</f>
        <v>17</v>
      </c>
      <c r="E75" s="314">
        <f>+'Input Sheet'!I85</f>
        <v>15</v>
      </c>
      <c r="F75" s="315">
        <f>+'Input Sheet'!K85</f>
        <v>15</v>
      </c>
      <c r="G75" s="275"/>
      <c r="H75" s="313">
        <f t="shared" si="49"/>
        <v>16</v>
      </c>
      <c r="I75" s="314">
        <f t="shared" si="38"/>
        <v>16</v>
      </c>
      <c r="J75" s="314">
        <f t="shared" si="38"/>
        <v>16</v>
      </c>
      <c r="K75" s="314">
        <f t="shared" si="38"/>
        <v>16</v>
      </c>
      <c r="L75" s="315">
        <f t="shared" si="38"/>
        <v>16</v>
      </c>
      <c r="N75" s="126">
        <f>+'Standard Hour Calcs'!Y38</f>
        <v>10</v>
      </c>
      <c r="P75" s="282">
        <f>IF($N37="Hourly",'Input Sheet'!G$144*'Fee Breakdown'!$N75*'Fee Breakdown'!H75,'Input Sheet'!G$144*'Fee Breakdown'!$N37*'Fee Breakdown'!H75)</f>
        <v>15052.330883928871</v>
      </c>
      <c r="Q75" s="283">
        <f>IF($N37="Hourly",'Input Sheet'!H$144*'Fee Breakdown'!$N75*'Fee Breakdown'!I75,'Input Sheet'!H$144*'Fee Breakdown'!$N37*'Fee Breakdown'!I75)</f>
        <v>15709.059864218427</v>
      </c>
      <c r="R75" s="283">
        <f>IF($N37="Hourly",'Input Sheet'!I$144*'Fee Breakdown'!$N75*'Fee Breakdown'!J75,'Input Sheet'!I$144*'Fee Breakdown'!$N37*'Fee Breakdown'!J75)</f>
        <v>16240.932490188652</v>
      </c>
      <c r="S75" s="283">
        <f>IF($N37="Hourly",'Input Sheet'!J$144*'Fee Breakdown'!$N75*'Fee Breakdown'!K75,'Input Sheet'!J$144*'Fee Breakdown'!$N37*'Fee Breakdown'!K75)</f>
        <v>16813.070625305805</v>
      </c>
      <c r="T75" s="284">
        <f>IF($N37="Hourly",'Input Sheet'!K$144*'Fee Breakdown'!$N75*'Fee Breakdown'!L75,'Input Sheet'!K$144*'Fee Breakdown'!$N37*'Fee Breakdown'!L75)</f>
        <v>17392.051388264801</v>
      </c>
      <c r="U75" s="285"/>
      <c r="V75" s="282">
        <f>+P75*('Input Sheet'!G$154-1)</f>
        <v>17663.193100522574</v>
      </c>
      <c r="W75" s="283">
        <f>+Q75*('Input Sheet'!H$154-1)</f>
        <v>19793.470099397276</v>
      </c>
      <c r="X75" s="283">
        <f>+R75*('Input Sheet'!I$154-1)</f>
        <v>20642.909954494808</v>
      </c>
      <c r="Y75" s="283">
        <f>+S75*('Input Sheet'!J$154-1)</f>
        <v>21812.876316863141</v>
      </c>
      <c r="Z75" s="284">
        <f>+T75*('Input Sheet'!K$154-1)</f>
        <v>23002.702960055987</v>
      </c>
      <c r="AA75" s="285"/>
      <c r="AB75" s="282">
        <f t="shared" si="44"/>
        <v>32715.523984451444</v>
      </c>
      <c r="AC75" s="283">
        <f t="shared" si="45"/>
        <v>35502.5299636157</v>
      </c>
      <c r="AD75" s="283">
        <f t="shared" si="46"/>
        <v>36883.842444683462</v>
      </c>
      <c r="AE75" s="283">
        <f t="shared" si="47"/>
        <v>38625.946942168943</v>
      </c>
      <c r="AF75" s="284">
        <f t="shared" si="48"/>
        <v>40394.754348320785</v>
      </c>
    </row>
    <row r="76" spans="2:32" s="107" customFormat="1" x14ac:dyDescent="0.25">
      <c r="B76" s="98" t="s">
        <v>145</v>
      </c>
      <c r="C76" s="313">
        <f>+'Input Sheet'!G86</f>
        <v>0</v>
      </c>
      <c r="D76" s="314">
        <f>+'Input Sheet'!H86</f>
        <v>33</v>
      </c>
      <c r="E76" s="314">
        <f>+'Input Sheet'!I86</f>
        <v>55</v>
      </c>
      <c r="F76" s="315">
        <f>+'Input Sheet'!K86</f>
        <v>48</v>
      </c>
      <c r="G76" s="275"/>
      <c r="H76" s="313">
        <f t="shared" si="49"/>
        <v>45</v>
      </c>
      <c r="I76" s="314">
        <f t="shared" si="38"/>
        <v>45</v>
      </c>
      <c r="J76" s="314">
        <f t="shared" si="38"/>
        <v>45</v>
      </c>
      <c r="K76" s="314">
        <f t="shared" si="38"/>
        <v>45</v>
      </c>
      <c r="L76" s="315">
        <f t="shared" si="38"/>
        <v>45</v>
      </c>
      <c r="N76" s="126">
        <f>+'Standard Hour Calcs'!Y39</f>
        <v>6</v>
      </c>
      <c r="P76" s="282">
        <f>IF($N38="Hourly",'Input Sheet'!G$144*'Fee Breakdown'!$N76*'Fee Breakdown'!H76,'Input Sheet'!G$144*'Fee Breakdown'!$N38*'Fee Breakdown'!H76)</f>
        <v>25400.808366629972</v>
      </c>
      <c r="Q76" s="283">
        <f>IF($N38="Hourly",'Input Sheet'!H$144*'Fee Breakdown'!$N76*'Fee Breakdown'!I76,'Input Sheet'!H$144*'Fee Breakdown'!$N38*'Fee Breakdown'!I76)</f>
        <v>26509.038520868598</v>
      </c>
      <c r="R76" s="283">
        <f>IF($N38="Hourly",'Input Sheet'!I$144*'Fee Breakdown'!$N76*'Fee Breakdown'!J76,'Input Sheet'!I$144*'Fee Breakdown'!$N38*'Fee Breakdown'!J76)</f>
        <v>27406.573577193351</v>
      </c>
      <c r="S76" s="283">
        <f>IF($N38="Hourly",'Input Sheet'!J$144*'Fee Breakdown'!$N76*'Fee Breakdown'!K76,'Input Sheet'!J$144*'Fee Breakdown'!$N38*'Fee Breakdown'!K76)</f>
        <v>28372.056680203543</v>
      </c>
      <c r="T76" s="284">
        <f>IF($N38="Hourly",'Input Sheet'!K$144*'Fee Breakdown'!$N76*'Fee Breakdown'!L76,'Input Sheet'!K$144*'Fee Breakdown'!$N38*'Fee Breakdown'!L76)</f>
        <v>29349.086717696853</v>
      </c>
      <c r="U76" s="285"/>
      <c r="V76" s="282">
        <f>+P76*('Input Sheet'!G$154-1)</f>
        <v>29806.638357131847</v>
      </c>
      <c r="W76" s="283">
        <f>+Q76*('Input Sheet'!H$154-1)</f>
        <v>33401.480792732909</v>
      </c>
      <c r="X76" s="283">
        <f>+R76*('Input Sheet'!I$154-1)</f>
        <v>34834.910548209984</v>
      </c>
      <c r="Y76" s="283">
        <f>+S76*('Input Sheet'!J$154-1)</f>
        <v>36809.228784706553</v>
      </c>
      <c r="Z76" s="284">
        <f>+T76*('Input Sheet'!K$154-1)</f>
        <v>38817.061245094483</v>
      </c>
      <c r="AA76" s="285"/>
      <c r="AB76" s="282">
        <f t="shared" si="44"/>
        <v>55207.446723761823</v>
      </c>
      <c r="AC76" s="283">
        <f t="shared" si="45"/>
        <v>59910.519313601508</v>
      </c>
      <c r="AD76" s="283">
        <f t="shared" si="46"/>
        <v>62241.484125403338</v>
      </c>
      <c r="AE76" s="283">
        <f t="shared" si="47"/>
        <v>65181.285464910092</v>
      </c>
      <c r="AF76" s="284">
        <f t="shared" si="48"/>
        <v>68166.147962791336</v>
      </c>
    </row>
    <row r="77" spans="2:32" s="107" customFormat="1" x14ac:dyDescent="0.25">
      <c r="B77" s="98" t="s">
        <v>146</v>
      </c>
      <c r="C77" s="313">
        <f>+'Input Sheet'!G87</f>
        <v>0</v>
      </c>
      <c r="D77" s="314">
        <f>+'Input Sheet'!H87</f>
        <v>6</v>
      </c>
      <c r="E77" s="314">
        <f>+'Input Sheet'!I87</f>
        <v>14</v>
      </c>
      <c r="F77" s="315">
        <f>+'Input Sheet'!K87</f>
        <v>7</v>
      </c>
      <c r="G77" s="275"/>
      <c r="H77" s="313">
        <f t="shared" si="49"/>
        <v>9</v>
      </c>
      <c r="I77" s="314">
        <f t="shared" si="38"/>
        <v>9</v>
      </c>
      <c r="J77" s="314">
        <f t="shared" si="38"/>
        <v>9</v>
      </c>
      <c r="K77" s="314">
        <f t="shared" si="38"/>
        <v>9</v>
      </c>
      <c r="L77" s="315">
        <f t="shared" si="38"/>
        <v>9</v>
      </c>
      <c r="N77" s="126">
        <f>+'Standard Hour Calcs'!Y40</f>
        <v>6</v>
      </c>
      <c r="P77" s="282">
        <f>IF($N39="Hourly",'Input Sheet'!G$144*'Fee Breakdown'!$N77*'Fee Breakdown'!H77,'Input Sheet'!G$144*'Fee Breakdown'!$N39*'Fee Breakdown'!H77)</f>
        <v>5080.1616733259943</v>
      </c>
      <c r="Q77" s="283">
        <f>IF($N39="Hourly",'Input Sheet'!H$144*'Fee Breakdown'!$N77*'Fee Breakdown'!I77,'Input Sheet'!H$144*'Fee Breakdown'!$N39*'Fee Breakdown'!I77)</f>
        <v>5301.8077041737197</v>
      </c>
      <c r="R77" s="283">
        <f>IF($N39="Hourly",'Input Sheet'!I$144*'Fee Breakdown'!$N77*'Fee Breakdown'!J77,'Input Sheet'!I$144*'Fee Breakdown'!$N39*'Fee Breakdown'!J77)</f>
        <v>5481.3147154386697</v>
      </c>
      <c r="S77" s="283">
        <f>IF($N39="Hourly",'Input Sheet'!J$144*'Fee Breakdown'!$N77*'Fee Breakdown'!K77,'Input Sheet'!J$144*'Fee Breakdown'!$N39*'Fee Breakdown'!K77)</f>
        <v>5674.4113360407082</v>
      </c>
      <c r="T77" s="284">
        <f>IF($N39="Hourly",'Input Sheet'!K$144*'Fee Breakdown'!$N77*'Fee Breakdown'!L77,'Input Sheet'!K$144*'Fee Breakdown'!$N39*'Fee Breakdown'!L77)</f>
        <v>5869.817343539371</v>
      </c>
      <c r="U77" s="285"/>
      <c r="V77" s="282">
        <f>+P77*('Input Sheet'!G$154-1)</f>
        <v>5961.3276714263693</v>
      </c>
      <c r="W77" s="283">
        <f>+Q77*('Input Sheet'!H$154-1)</f>
        <v>6680.2961585465819</v>
      </c>
      <c r="X77" s="283">
        <f>+R77*('Input Sheet'!I$154-1)</f>
        <v>6966.9821096419964</v>
      </c>
      <c r="Y77" s="283">
        <f>+S77*('Input Sheet'!J$154-1)</f>
        <v>7361.8457569413094</v>
      </c>
      <c r="Z77" s="284">
        <f>+T77*('Input Sheet'!K$154-1)</f>
        <v>7763.4122490188965</v>
      </c>
      <c r="AA77" s="285"/>
      <c r="AB77" s="282">
        <f t="shared" si="44"/>
        <v>11041.489344752365</v>
      </c>
      <c r="AC77" s="283">
        <f t="shared" si="45"/>
        <v>11982.103862720302</v>
      </c>
      <c r="AD77" s="283">
        <f t="shared" si="46"/>
        <v>12448.296825080666</v>
      </c>
      <c r="AE77" s="283">
        <f t="shared" si="47"/>
        <v>13036.257092982018</v>
      </c>
      <c r="AF77" s="284">
        <f t="shared" si="48"/>
        <v>13633.229592558268</v>
      </c>
    </row>
    <row r="78" spans="2:32" s="107" customFormat="1" x14ac:dyDescent="0.25">
      <c r="B78" s="127"/>
      <c r="C78" s="316"/>
      <c r="D78" s="317"/>
      <c r="E78" s="317"/>
      <c r="F78" s="318"/>
      <c r="G78" s="275"/>
      <c r="H78" s="316"/>
      <c r="I78" s="317"/>
      <c r="J78" s="317"/>
      <c r="K78" s="317"/>
      <c r="L78" s="318"/>
      <c r="N78" s="129"/>
      <c r="P78" s="289"/>
      <c r="Q78" s="290"/>
      <c r="R78" s="290"/>
      <c r="S78" s="290"/>
      <c r="T78" s="291"/>
      <c r="U78" s="285"/>
      <c r="V78" s="289"/>
      <c r="W78" s="290"/>
      <c r="X78" s="290"/>
      <c r="Y78" s="290"/>
      <c r="Z78" s="291"/>
      <c r="AA78" s="285"/>
      <c r="AB78" s="289"/>
      <c r="AC78" s="290"/>
      <c r="AD78" s="290"/>
      <c r="AE78" s="290"/>
      <c r="AF78" s="291"/>
    </row>
    <row r="79" spans="2:32" s="107" customFormat="1" x14ac:dyDescent="0.25">
      <c r="C79" s="319">
        <f>SUM(C47:C78)</f>
        <v>0</v>
      </c>
      <c r="D79" s="320">
        <f>SUM(D47:D78)</f>
        <v>835</v>
      </c>
      <c r="E79" s="320">
        <f>SUM(E47:E78)</f>
        <v>961</v>
      </c>
      <c r="F79" s="321">
        <f>SUM(F47:F78)</f>
        <v>940</v>
      </c>
      <c r="G79" s="322"/>
      <c r="H79" s="319">
        <f>SUM(H47:H78)</f>
        <v>911</v>
      </c>
      <c r="I79" s="320">
        <f>SUM(I47:I78)</f>
        <v>911</v>
      </c>
      <c r="J79" s="320">
        <f>SUM(J47:J78)</f>
        <v>911</v>
      </c>
      <c r="K79" s="320">
        <f>SUM(K47:K78)</f>
        <v>911</v>
      </c>
      <c r="L79" s="321">
        <f>SUM(L47:L78)</f>
        <v>911</v>
      </c>
      <c r="P79" s="292">
        <f>SUM(P47:P78)</f>
        <v>962596.56002725149</v>
      </c>
      <c r="Q79" s="293">
        <f>SUM(Q47:Q78)</f>
        <v>1004594.3783167686</v>
      </c>
      <c r="R79" s="293">
        <f>SUM(R47:R78)</f>
        <v>1038607.6327475641</v>
      </c>
      <c r="S79" s="293">
        <f>SUM(S47:S78)</f>
        <v>1075195.8664883061</v>
      </c>
      <c r="T79" s="294">
        <f>SUM(T47:T78)</f>
        <v>1112221.6862795341</v>
      </c>
      <c r="U79" s="285"/>
      <c r="V79" s="295">
        <f>SUM(V47:V78)</f>
        <v>1129561.1987784186</v>
      </c>
      <c r="W79" s="296">
        <f>SUM(W47:W78)</f>
        <v>1265792.4128564564</v>
      </c>
      <c r="X79" s="296">
        <f>SUM(X47:X78)</f>
        <v>1320114.091589943</v>
      </c>
      <c r="Y79" s="296">
        <f>SUM(Y47:Y78)</f>
        <v>1394933.4404633979</v>
      </c>
      <c r="Z79" s="297">
        <f>SUM(Z47:Z78)</f>
        <v>1471022.8542955806</v>
      </c>
      <c r="AA79" s="285"/>
      <c r="AB79" s="295">
        <f>SUM(AB47:AB78)</f>
        <v>2092157.7588056703</v>
      </c>
      <c r="AC79" s="296">
        <f>SUM(AC47:AC78)</f>
        <v>2270386.7911732239</v>
      </c>
      <c r="AD79" s="296">
        <f>SUM(AD47:AD78)</f>
        <v>2358721.724337507</v>
      </c>
      <c r="AE79" s="296">
        <f>SUM(AE47:AE78)</f>
        <v>2470129.306951704</v>
      </c>
      <c r="AF79" s="297">
        <f>SUM(AF47:AF78)</f>
        <v>2583244.540575115</v>
      </c>
    </row>
    <row r="80" spans="2:32" s="107" customFormat="1" x14ac:dyDescent="0.25">
      <c r="P80" s="285"/>
      <c r="Q80" s="285"/>
      <c r="R80" s="285"/>
      <c r="S80" s="285"/>
      <c r="T80" s="285"/>
      <c r="U80" s="285"/>
      <c r="V80" s="285"/>
      <c r="W80" s="285"/>
      <c r="X80" s="285"/>
      <c r="Y80" s="285"/>
      <c r="Z80" s="285"/>
      <c r="AA80" s="285"/>
      <c r="AB80" s="285"/>
      <c r="AC80" s="285"/>
      <c r="AD80" s="285"/>
      <c r="AE80" s="285"/>
      <c r="AF80" s="285"/>
    </row>
    <row r="81" spans="22:26" s="107" customFormat="1" hidden="1" x14ac:dyDescent="0.25">
      <c r="V81" s="95"/>
      <c r="W81" s="95"/>
      <c r="X81" s="95"/>
      <c r="Y81" s="95"/>
      <c r="Z81" s="95"/>
    </row>
  </sheetData>
  <mergeCells count="10">
    <mergeCell ref="AB45:AF45"/>
    <mergeCell ref="C45:F45"/>
    <mergeCell ref="H45:L45"/>
    <mergeCell ref="C7:F7"/>
    <mergeCell ref="P7:T7"/>
    <mergeCell ref="H7:L7"/>
    <mergeCell ref="V7:Z7"/>
    <mergeCell ref="P45:T45"/>
    <mergeCell ref="V45:Z45"/>
    <mergeCell ref="AB7:AF7"/>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Input Documents --&gt;</vt:lpstr>
      <vt:lpstr>Input Sheet</vt:lpstr>
      <vt:lpstr>Standard Hour Calcs</vt:lpstr>
      <vt:lpstr>Methodology Statements --&gt;</vt:lpstr>
      <vt:lpstr>AER Summary</vt:lpstr>
      <vt:lpstr>Service Description</vt:lpstr>
      <vt:lpstr>Fee Breakdown</vt:lpstr>
      <vt:lpstr>'AER Summary'!Print_Area</vt:lpstr>
      <vt:lpstr>'Fee Breakdown'!Print_Area</vt:lpstr>
      <vt:lpstr>'Standard Hour Calcs'!Print_Titles</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2014-04-28T01:28:16Z</cp:lastPrinted>
  <dcterms:created xsi:type="dcterms:W3CDTF">2013-06-17T01:25:32Z</dcterms:created>
  <dcterms:modified xsi:type="dcterms:W3CDTF">2015-01-04T23:51:07Z</dcterms:modified>
</cp:coreProperties>
</file>