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21720" windowHeight="13170" tabRatio="874" activeTab="4"/>
  </bookViews>
  <sheets>
    <sheet name="Input Documents --&gt;" sheetId="16" r:id="rId1"/>
    <sheet name="Input Sheet" sheetId="13" r:id="rId2"/>
    <sheet name="Standard Hour Calcs" sheetId="12" r:id="rId3"/>
    <sheet name="Methodology Statements --&gt;" sheetId="15" r:id="rId4"/>
    <sheet name="AER Summary" sheetId="8" r:id="rId5"/>
    <sheet name="Service Description" sheetId="9" r:id="rId6"/>
    <sheet name="Fee Breakdown" sheetId="11" r:id="rId7"/>
  </sheets>
  <externalReferences>
    <externalReference r:id="rId8"/>
  </externalReferences>
  <definedNames>
    <definedName name="_xlnm.Print_Area" localSheetId="4">'AER Summary'!$A:$I</definedName>
    <definedName name="_xlnm.Print_Area" localSheetId="6">'Fee Breakdown'!$A$1:$AH$216</definedName>
    <definedName name="_xlnm.Print_Titles" localSheetId="2">'Standard Hour Calcs'!$9:$9</definedName>
    <definedName name="TM1REBUILDOPTION">1</definedName>
  </definedNames>
  <calcPr calcId="145621" calcMode="manual" concurrentCalc="0"/>
</workbook>
</file>

<file path=xl/calcChain.xml><?xml version="1.0" encoding="utf-8"?>
<calcChain xmlns="http://schemas.openxmlformats.org/spreadsheetml/2006/main">
  <c r="J269" i="13" l="1"/>
  <c r="G298" i="13"/>
  <c r="H298" i="13"/>
  <c r="I298" i="13"/>
  <c r="J298" i="13"/>
  <c r="K298" i="13"/>
  <c r="K300" i="13"/>
  <c r="J271" i="13"/>
  <c r="J273" i="13"/>
  <c r="K308" i="13"/>
  <c r="K291" i="13"/>
  <c r="U104" i="11"/>
  <c r="T104" i="11"/>
  <c r="S104" i="11"/>
  <c r="R104" i="11"/>
  <c r="Q104" i="11"/>
  <c r="AC104" i="11"/>
  <c r="H271" i="13"/>
  <c r="H273" i="13"/>
  <c r="G308" i="13"/>
  <c r="G289" i="13"/>
  <c r="Q102" i="11"/>
  <c r="AC102" i="11"/>
  <c r="I271" i="13"/>
  <c r="I273" i="13"/>
  <c r="G290" i="13"/>
  <c r="Q103" i="11"/>
  <c r="AC103" i="11"/>
  <c r="AC105" i="11"/>
  <c r="AG104" i="11"/>
  <c r="K289" i="13"/>
  <c r="U102" i="11"/>
  <c r="AG102" i="11"/>
  <c r="K290" i="13"/>
  <c r="U103" i="11"/>
  <c r="AG103" i="11"/>
  <c r="AG105" i="11"/>
  <c r="AF104" i="11"/>
  <c r="J308" i="13"/>
  <c r="J289" i="13"/>
  <c r="T102" i="11"/>
  <c r="AF102" i="11"/>
  <c r="J290" i="13"/>
  <c r="T103" i="11"/>
  <c r="AF103" i="11"/>
  <c r="AF105" i="11"/>
  <c r="AE104" i="11"/>
  <c r="I308" i="13"/>
  <c r="I289" i="13"/>
  <c r="S102" i="11"/>
  <c r="AE102" i="11"/>
  <c r="I290" i="13"/>
  <c r="S103" i="11"/>
  <c r="AE103" i="11"/>
  <c r="AE105" i="11"/>
  <c r="AD104" i="11"/>
  <c r="H308" i="13"/>
  <c r="H289" i="13"/>
  <c r="R102" i="11"/>
  <c r="AD102" i="11"/>
  <c r="H290" i="13"/>
  <c r="R103" i="11"/>
  <c r="AD103" i="11"/>
  <c r="AD105" i="11"/>
  <c r="K287" i="13"/>
  <c r="K285" i="13"/>
  <c r="K286" i="13"/>
  <c r="U206" i="11"/>
  <c r="AA206" i="11"/>
  <c r="AG206" i="11"/>
  <c r="U207" i="11"/>
  <c r="AA207" i="11"/>
  <c r="AG207" i="11"/>
  <c r="U208" i="11"/>
  <c r="AA208" i="11"/>
  <c r="AG208" i="11"/>
  <c r="U209" i="11"/>
  <c r="AA209" i="11"/>
  <c r="AG209" i="11"/>
  <c r="U210" i="11"/>
  <c r="AA210" i="11"/>
  <c r="AG210" i="11"/>
  <c r="AG211" i="11"/>
  <c r="J287" i="13"/>
  <c r="J285" i="13"/>
  <c r="J286" i="13"/>
  <c r="T206" i="11"/>
  <c r="Z206" i="11"/>
  <c r="AF206" i="11"/>
  <c r="T207" i="11"/>
  <c r="Z207" i="11"/>
  <c r="AF207" i="11"/>
  <c r="T208" i="11"/>
  <c r="Z208" i="11"/>
  <c r="AF208" i="11"/>
  <c r="T209" i="11"/>
  <c r="Z209" i="11"/>
  <c r="AF209" i="11"/>
  <c r="T210" i="11"/>
  <c r="Z210" i="11"/>
  <c r="AF210" i="11"/>
  <c r="AF211" i="11"/>
  <c r="I287" i="13"/>
  <c r="I285" i="13"/>
  <c r="I286" i="13"/>
  <c r="S206" i="11"/>
  <c r="Y206" i="11"/>
  <c r="AE206" i="11"/>
  <c r="S207" i="11"/>
  <c r="Y207" i="11"/>
  <c r="AE207" i="11"/>
  <c r="S208" i="11"/>
  <c r="Y208" i="11"/>
  <c r="AE208" i="11"/>
  <c r="S209" i="11"/>
  <c r="Y209" i="11"/>
  <c r="AE209" i="11"/>
  <c r="S210" i="11"/>
  <c r="Y210" i="11"/>
  <c r="AE210" i="11"/>
  <c r="AE211" i="11"/>
  <c r="H287" i="13"/>
  <c r="H285" i="13"/>
  <c r="H286" i="13"/>
  <c r="R206" i="11"/>
  <c r="X206" i="11"/>
  <c r="AD206" i="11"/>
  <c r="R207" i="11"/>
  <c r="X207" i="11"/>
  <c r="AD207" i="11"/>
  <c r="R208" i="11"/>
  <c r="X208" i="11"/>
  <c r="AD208" i="11"/>
  <c r="R209" i="11"/>
  <c r="X209" i="11"/>
  <c r="AD209" i="11"/>
  <c r="R210" i="11"/>
  <c r="X210" i="11"/>
  <c r="AD210" i="11"/>
  <c r="AD211" i="11"/>
  <c r="G287" i="13"/>
  <c r="G285" i="13"/>
  <c r="G286" i="13"/>
  <c r="Q206" i="11"/>
  <c r="W206" i="11"/>
  <c r="AC206" i="11"/>
  <c r="Q207" i="11"/>
  <c r="W207" i="11"/>
  <c r="AC207" i="11"/>
  <c r="Q208" i="11"/>
  <c r="W208" i="11"/>
  <c r="AC208" i="11"/>
  <c r="Q209" i="11"/>
  <c r="W209" i="11"/>
  <c r="AC209" i="11"/>
  <c r="Q210" i="11"/>
  <c r="W210" i="11"/>
  <c r="AC210" i="11"/>
  <c r="AC211" i="11"/>
  <c r="AA211" i="11"/>
  <c r="Z211" i="11"/>
  <c r="Y211" i="11"/>
  <c r="X211" i="11"/>
  <c r="W211" i="11"/>
  <c r="U211" i="11"/>
  <c r="T211" i="11"/>
  <c r="S211" i="11"/>
  <c r="R211" i="11"/>
  <c r="Q211" i="11"/>
  <c r="J261" i="13"/>
  <c r="J263" i="13"/>
  <c r="G281" i="13"/>
  <c r="H11" i="11"/>
  <c r="Q11" i="11"/>
  <c r="AC11" i="11"/>
  <c r="H12" i="11"/>
  <c r="Q12" i="11"/>
  <c r="AC12" i="11"/>
  <c r="H13" i="11"/>
  <c r="Q13" i="11"/>
  <c r="AC13" i="11"/>
  <c r="H14" i="11"/>
  <c r="Q14" i="11"/>
  <c r="AC14" i="11"/>
  <c r="H15" i="11"/>
  <c r="Q15" i="11"/>
  <c r="AC15" i="11"/>
  <c r="H16" i="11"/>
  <c r="Q16" i="11"/>
  <c r="AC16" i="11"/>
  <c r="H17" i="11"/>
  <c r="Q17" i="11"/>
  <c r="AC17" i="11"/>
  <c r="H18" i="11"/>
  <c r="Q18" i="11"/>
  <c r="AC18" i="11"/>
  <c r="H19" i="11"/>
  <c r="Q19" i="11"/>
  <c r="AC19" i="11"/>
  <c r="H20" i="11"/>
  <c r="Q20" i="11"/>
  <c r="AC20" i="11"/>
  <c r="H21" i="11"/>
  <c r="Q21" i="11"/>
  <c r="AC21" i="11"/>
  <c r="H22" i="11"/>
  <c r="Q22" i="11"/>
  <c r="AC22" i="11"/>
  <c r="H23" i="11"/>
  <c r="Q23" i="11"/>
  <c r="AC23" i="11"/>
  <c r="H24" i="11"/>
  <c r="Q24" i="11"/>
  <c r="AC24" i="11"/>
  <c r="H25" i="11"/>
  <c r="Q25" i="11"/>
  <c r="AC25" i="11"/>
  <c r="H26" i="11"/>
  <c r="Q26" i="11"/>
  <c r="AC26" i="11"/>
  <c r="H27" i="11"/>
  <c r="Q27" i="11"/>
  <c r="AC27" i="11"/>
  <c r="H28" i="11"/>
  <c r="Q28" i="11"/>
  <c r="AC28" i="11"/>
  <c r="H29" i="11"/>
  <c r="Q29" i="11"/>
  <c r="AC29" i="11"/>
  <c r="H30" i="11"/>
  <c r="Q30" i="11"/>
  <c r="AC30" i="11"/>
  <c r="H31" i="11"/>
  <c r="Q31" i="11"/>
  <c r="AC31" i="11"/>
  <c r="H32" i="11"/>
  <c r="Q32" i="11"/>
  <c r="AC32" i="11"/>
  <c r="H33" i="11"/>
  <c r="Q33" i="11"/>
  <c r="AC33" i="11"/>
  <c r="H34" i="11"/>
  <c r="Q34" i="11"/>
  <c r="AC34" i="11"/>
  <c r="H35" i="11"/>
  <c r="Q35" i="11"/>
  <c r="AC35" i="11"/>
  <c r="H36" i="11"/>
  <c r="Q36" i="11"/>
  <c r="AC36" i="11"/>
  <c r="H37" i="11"/>
  <c r="Q37" i="11"/>
  <c r="AC37" i="11"/>
  <c r="H38" i="11"/>
  <c r="Q38" i="11"/>
  <c r="AC38" i="11"/>
  <c r="H39" i="11"/>
  <c r="Q39" i="11"/>
  <c r="AC39" i="11"/>
  <c r="H40" i="11"/>
  <c r="Q40" i="11"/>
  <c r="AC40" i="11"/>
  <c r="H41" i="11"/>
  <c r="Q41" i="11"/>
  <c r="AC41" i="11"/>
  <c r="H42" i="11"/>
  <c r="Q42" i="11"/>
  <c r="AC42" i="11"/>
  <c r="H43" i="11"/>
  <c r="Q43" i="11"/>
  <c r="AC43" i="11"/>
  <c r="H44" i="11"/>
  <c r="Q44" i="11"/>
  <c r="AC44" i="11"/>
  <c r="H45" i="11"/>
  <c r="Q45" i="11"/>
  <c r="AC45" i="11"/>
  <c r="H46" i="11"/>
  <c r="Q46" i="11"/>
  <c r="AC46" i="11"/>
  <c r="H47" i="11"/>
  <c r="Q47" i="11"/>
  <c r="AC47" i="11"/>
  <c r="H48" i="11"/>
  <c r="Q48" i="11"/>
  <c r="AC48" i="11"/>
  <c r="H49" i="11"/>
  <c r="Q49" i="11"/>
  <c r="AC49" i="11"/>
  <c r="H50" i="11"/>
  <c r="Q50" i="11"/>
  <c r="AC50" i="11"/>
  <c r="H51" i="11"/>
  <c r="Q51" i="11"/>
  <c r="AC51" i="11"/>
  <c r="H52" i="11"/>
  <c r="Q52" i="11"/>
  <c r="AC52" i="11"/>
  <c r="H53" i="11"/>
  <c r="Q53" i="11"/>
  <c r="AC53" i="11"/>
  <c r="H54" i="11"/>
  <c r="Q54" i="11"/>
  <c r="AC54" i="11"/>
  <c r="H55" i="11"/>
  <c r="Q55" i="11"/>
  <c r="AC55" i="11"/>
  <c r="H56" i="11"/>
  <c r="Q56" i="11"/>
  <c r="AC56" i="11"/>
  <c r="H57" i="11"/>
  <c r="Q57" i="11"/>
  <c r="AC57" i="11"/>
  <c r="H58" i="11"/>
  <c r="Q58" i="11"/>
  <c r="AC58" i="11"/>
  <c r="H59" i="11"/>
  <c r="Q59" i="11"/>
  <c r="AC59" i="11"/>
  <c r="H60" i="11"/>
  <c r="Q60" i="11"/>
  <c r="AC60" i="11"/>
  <c r="H61" i="11"/>
  <c r="Q61" i="11"/>
  <c r="AC61" i="11"/>
  <c r="H62" i="11"/>
  <c r="Q62" i="11"/>
  <c r="AC62" i="11"/>
  <c r="H64" i="11"/>
  <c r="Q64" i="11"/>
  <c r="AC64" i="11"/>
  <c r="H65" i="11"/>
  <c r="Q65" i="11"/>
  <c r="AC65" i="11"/>
  <c r="H66" i="11"/>
  <c r="Q66" i="11"/>
  <c r="AC66" i="11"/>
  <c r="H67" i="11"/>
  <c r="Q67" i="11"/>
  <c r="AC67" i="11"/>
  <c r="H68" i="11"/>
  <c r="Q68" i="11"/>
  <c r="AC68" i="11"/>
  <c r="H69" i="11"/>
  <c r="Q69" i="11"/>
  <c r="AC69" i="11"/>
  <c r="H70" i="11"/>
  <c r="Q70" i="11"/>
  <c r="AC70" i="11"/>
  <c r="H71" i="11"/>
  <c r="Q71" i="11"/>
  <c r="AC71" i="11"/>
  <c r="H72" i="11"/>
  <c r="Q72" i="11"/>
  <c r="AC72" i="11"/>
  <c r="H73" i="11"/>
  <c r="Q73" i="11"/>
  <c r="AC73" i="11"/>
  <c r="H74" i="11"/>
  <c r="Q74" i="11"/>
  <c r="AC74" i="11"/>
  <c r="H75" i="11"/>
  <c r="Q75" i="11"/>
  <c r="AC75" i="11"/>
  <c r="H76" i="11"/>
  <c r="Q76" i="11"/>
  <c r="AC76" i="11"/>
  <c r="H77" i="11"/>
  <c r="Q77" i="11"/>
  <c r="AC77" i="11"/>
  <c r="H78" i="11"/>
  <c r="Q78" i="11"/>
  <c r="AC78" i="11"/>
  <c r="H79" i="11"/>
  <c r="Q79" i="11"/>
  <c r="AC79" i="11"/>
  <c r="H80" i="11"/>
  <c r="Q80" i="11"/>
  <c r="AC80" i="11"/>
  <c r="H81" i="11"/>
  <c r="Q81" i="11"/>
  <c r="AC81" i="11"/>
  <c r="H82" i="11"/>
  <c r="Q82" i="11"/>
  <c r="AC82" i="11"/>
  <c r="H83" i="11"/>
  <c r="Q83" i="11"/>
  <c r="AC83" i="11"/>
  <c r="H84" i="11"/>
  <c r="Q84" i="11"/>
  <c r="AC84" i="11"/>
  <c r="H85" i="11"/>
  <c r="Q85" i="11"/>
  <c r="AC85" i="11"/>
  <c r="H86" i="11"/>
  <c r="Q86" i="11"/>
  <c r="AC86" i="11"/>
  <c r="H87" i="11"/>
  <c r="Q87" i="11"/>
  <c r="AC87" i="11"/>
  <c r="H88" i="11"/>
  <c r="Q88" i="11"/>
  <c r="AC88" i="11"/>
  <c r="H89" i="11"/>
  <c r="Q89" i="11"/>
  <c r="AC89" i="11"/>
  <c r="H90" i="11"/>
  <c r="Q90" i="11"/>
  <c r="AC90" i="11"/>
  <c r="H91" i="11"/>
  <c r="Q91" i="11"/>
  <c r="AC91" i="11"/>
  <c r="H92" i="11"/>
  <c r="Q92" i="11"/>
  <c r="AC92" i="11"/>
  <c r="H93" i="11"/>
  <c r="Q93" i="11"/>
  <c r="AC93" i="11"/>
  <c r="H95" i="11"/>
  <c r="Q95" i="11"/>
  <c r="AC95" i="11"/>
  <c r="H96" i="11"/>
  <c r="Q96" i="11"/>
  <c r="AC96" i="11"/>
  <c r="H97" i="11"/>
  <c r="Q97" i="11"/>
  <c r="AC97" i="11"/>
  <c r="H98" i="11"/>
  <c r="Q98" i="11"/>
  <c r="AC98" i="11"/>
  <c r="AC99" i="11"/>
  <c r="K280" i="13"/>
  <c r="U115" i="11"/>
  <c r="AA115" i="11"/>
  <c r="AG115" i="11"/>
  <c r="U116" i="11"/>
  <c r="AA116" i="11"/>
  <c r="AG116" i="11"/>
  <c r="U117" i="11"/>
  <c r="AA117" i="11"/>
  <c r="AG117" i="11"/>
  <c r="U118" i="11"/>
  <c r="AA118" i="11"/>
  <c r="AG118" i="11"/>
  <c r="U119" i="11"/>
  <c r="AA119" i="11"/>
  <c r="AG119" i="11"/>
  <c r="U120" i="11"/>
  <c r="AA120" i="11"/>
  <c r="AG120" i="11"/>
  <c r="U121" i="11"/>
  <c r="AA121" i="11"/>
  <c r="AG121" i="11"/>
  <c r="U122" i="11"/>
  <c r="AA122" i="11"/>
  <c r="AG122" i="11"/>
  <c r="U123" i="11"/>
  <c r="AA123" i="11"/>
  <c r="AG123" i="11"/>
  <c r="U124" i="11"/>
  <c r="AA124" i="11"/>
  <c r="AG124" i="11"/>
  <c r="U125" i="11"/>
  <c r="AA125" i="11"/>
  <c r="AG125" i="11"/>
  <c r="U126" i="11"/>
  <c r="AA126" i="11"/>
  <c r="AG126" i="11"/>
  <c r="U127" i="11"/>
  <c r="AA127" i="11"/>
  <c r="AG127" i="11"/>
  <c r="U128" i="11"/>
  <c r="AA128" i="11"/>
  <c r="AG128" i="11"/>
  <c r="U129" i="11"/>
  <c r="AA129" i="11"/>
  <c r="AG129" i="11"/>
  <c r="U130" i="11"/>
  <c r="AA130" i="11"/>
  <c r="AG130" i="11"/>
  <c r="U131" i="11"/>
  <c r="AA131" i="11"/>
  <c r="AG131" i="11"/>
  <c r="U132" i="11"/>
  <c r="AA132" i="11"/>
  <c r="AG132" i="11"/>
  <c r="U133" i="11"/>
  <c r="AA133" i="11"/>
  <c r="AG133" i="11"/>
  <c r="U134" i="11"/>
  <c r="AA134" i="11"/>
  <c r="AG134" i="11"/>
  <c r="U135" i="11"/>
  <c r="AA135" i="11"/>
  <c r="AG135" i="11"/>
  <c r="U136" i="11"/>
  <c r="AA136" i="11"/>
  <c r="AG136" i="11"/>
  <c r="U137" i="11"/>
  <c r="AA137" i="11"/>
  <c r="AG137" i="11"/>
  <c r="U138" i="11"/>
  <c r="AA138" i="11"/>
  <c r="AG138" i="11"/>
  <c r="U139" i="11"/>
  <c r="AA139" i="11"/>
  <c r="AG139" i="11"/>
  <c r="U140" i="11"/>
  <c r="AA140" i="11"/>
  <c r="AG140" i="11"/>
  <c r="U141" i="11"/>
  <c r="AA141" i="11"/>
  <c r="AG141" i="11"/>
  <c r="U142" i="11"/>
  <c r="AA142" i="11"/>
  <c r="AG142" i="11"/>
  <c r="U143" i="11"/>
  <c r="AA143" i="11"/>
  <c r="AG143" i="11"/>
  <c r="U144" i="11"/>
  <c r="AA144" i="11"/>
  <c r="AG144" i="11"/>
  <c r="U145" i="11"/>
  <c r="AA145" i="11"/>
  <c r="AG145" i="11"/>
  <c r="U146" i="11"/>
  <c r="AA146" i="11"/>
  <c r="AG146" i="11"/>
  <c r="U147" i="11"/>
  <c r="AA147" i="11"/>
  <c r="AG147" i="11"/>
  <c r="U148" i="11"/>
  <c r="AA148" i="11"/>
  <c r="AG148" i="11"/>
  <c r="U149" i="11"/>
  <c r="AA149" i="11"/>
  <c r="AG149" i="11"/>
  <c r="U150" i="11"/>
  <c r="AA150" i="11"/>
  <c r="AG150" i="11"/>
  <c r="U151" i="11"/>
  <c r="AA151" i="11"/>
  <c r="AG151" i="11"/>
  <c r="U152" i="11"/>
  <c r="AA152" i="11"/>
  <c r="AG152" i="11"/>
  <c r="U153" i="11"/>
  <c r="AA153" i="11"/>
  <c r="AG153" i="11"/>
  <c r="U154" i="11"/>
  <c r="AA154" i="11"/>
  <c r="AG154" i="11"/>
  <c r="U155" i="11"/>
  <c r="AA155" i="11"/>
  <c r="AG155" i="11"/>
  <c r="U156" i="11"/>
  <c r="AA156" i="11"/>
  <c r="AG156" i="11"/>
  <c r="U157" i="11"/>
  <c r="AA157" i="11"/>
  <c r="AG157" i="11"/>
  <c r="U158" i="11"/>
  <c r="AA158" i="11"/>
  <c r="AG158" i="11"/>
  <c r="U159" i="11"/>
  <c r="AA159" i="11"/>
  <c r="AG159" i="11"/>
  <c r="U160" i="11"/>
  <c r="AA160" i="11"/>
  <c r="AG160" i="11"/>
  <c r="U161" i="11"/>
  <c r="AA161" i="11"/>
  <c r="AG161" i="11"/>
  <c r="U162" i="11"/>
  <c r="AA162" i="11"/>
  <c r="AG162" i="11"/>
  <c r="U163" i="11"/>
  <c r="AA163" i="11"/>
  <c r="AG163" i="11"/>
  <c r="U164" i="11"/>
  <c r="AA164" i="11"/>
  <c r="AG164" i="11"/>
  <c r="U165" i="11"/>
  <c r="AA165" i="11"/>
  <c r="AG165" i="11"/>
  <c r="U166" i="11"/>
  <c r="AA166" i="11"/>
  <c r="AG166" i="11"/>
  <c r="U168" i="11"/>
  <c r="AA168" i="11"/>
  <c r="AG168" i="11"/>
  <c r="U169" i="11"/>
  <c r="AA169" i="11"/>
  <c r="AG169" i="11"/>
  <c r="U170" i="11"/>
  <c r="AA170" i="11"/>
  <c r="AG170" i="11"/>
  <c r="U171" i="11"/>
  <c r="AA171" i="11"/>
  <c r="AG171" i="11"/>
  <c r="U172" i="11"/>
  <c r="AA172" i="11"/>
  <c r="AG172" i="11"/>
  <c r="U173" i="11"/>
  <c r="AA173" i="11"/>
  <c r="AG173" i="11"/>
  <c r="U174" i="11"/>
  <c r="AA174" i="11"/>
  <c r="AG174" i="11"/>
  <c r="U175" i="11"/>
  <c r="AA175" i="11"/>
  <c r="AG175" i="11"/>
  <c r="U176" i="11"/>
  <c r="AA176" i="11"/>
  <c r="AG176" i="11"/>
  <c r="U177" i="11"/>
  <c r="AA177" i="11"/>
  <c r="AG177" i="11"/>
  <c r="U178" i="11"/>
  <c r="AA178" i="11"/>
  <c r="AG178" i="11"/>
  <c r="U179" i="11"/>
  <c r="AA179" i="11"/>
  <c r="AG179" i="11"/>
  <c r="U180" i="11"/>
  <c r="AA180" i="11"/>
  <c r="AG180" i="11"/>
  <c r="U181" i="11"/>
  <c r="AA181" i="11"/>
  <c r="AG181" i="11"/>
  <c r="U182" i="11"/>
  <c r="AA182" i="11"/>
  <c r="AG182" i="11"/>
  <c r="U183" i="11"/>
  <c r="AA183" i="11"/>
  <c r="AG183" i="11"/>
  <c r="U184" i="11"/>
  <c r="AA184" i="11"/>
  <c r="AG184" i="11"/>
  <c r="U185" i="11"/>
  <c r="AA185" i="11"/>
  <c r="AG185" i="11"/>
  <c r="U186" i="11"/>
  <c r="AA186" i="11"/>
  <c r="AG186" i="11"/>
  <c r="U187" i="11"/>
  <c r="AA187" i="11"/>
  <c r="AG187" i="11"/>
  <c r="U188" i="11"/>
  <c r="AA188" i="11"/>
  <c r="AG188" i="11"/>
  <c r="U189" i="11"/>
  <c r="AA189" i="11"/>
  <c r="AG189" i="11"/>
  <c r="U190" i="11"/>
  <c r="AA190" i="11"/>
  <c r="AG190" i="11"/>
  <c r="U191" i="11"/>
  <c r="AA191" i="11"/>
  <c r="AG191" i="11"/>
  <c r="U192" i="11"/>
  <c r="AA192" i="11"/>
  <c r="AG192" i="11"/>
  <c r="U193" i="11"/>
  <c r="AA193" i="11"/>
  <c r="AG193" i="11"/>
  <c r="U194" i="11"/>
  <c r="AA194" i="11"/>
  <c r="AG194" i="11"/>
  <c r="U195" i="11"/>
  <c r="AA195" i="11"/>
  <c r="AG195" i="11"/>
  <c r="U196" i="11"/>
  <c r="AA196" i="11"/>
  <c r="AG196" i="11"/>
  <c r="U197" i="11"/>
  <c r="AA197" i="11"/>
  <c r="AG197" i="11"/>
  <c r="U199" i="11"/>
  <c r="AA199" i="11"/>
  <c r="AG199" i="11"/>
  <c r="U200" i="11"/>
  <c r="AA200" i="11"/>
  <c r="AG200" i="11"/>
  <c r="U201" i="11"/>
  <c r="AA201" i="11"/>
  <c r="AG201" i="11"/>
  <c r="U202" i="11"/>
  <c r="AA202" i="11"/>
  <c r="AG202" i="11"/>
  <c r="AG203" i="11"/>
  <c r="AG213" i="11"/>
  <c r="J280" i="13"/>
  <c r="T115" i="11"/>
  <c r="Z115" i="11"/>
  <c r="AF115" i="11"/>
  <c r="T116" i="11"/>
  <c r="Z116" i="11"/>
  <c r="AF116" i="11"/>
  <c r="T117" i="11"/>
  <c r="Z117" i="11"/>
  <c r="AF117" i="11"/>
  <c r="T118" i="11"/>
  <c r="Z118" i="11"/>
  <c r="AF118" i="11"/>
  <c r="T119" i="11"/>
  <c r="Z119" i="11"/>
  <c r="AF119" i="11"/>
  <c r="T120" i="11"/>
  <c r="Z120" i="11"/>
  <c r="AF120" i="11"/>
  <c r="T121" i="11"/>
  <c r="Z121" i="11"/>
  <c r="AF121" i="11"/>
  <c r="T122" i="11"/>
  <c r="Z122" i="11"/>
  <c r="AF122" i="11"/>
  <c r="T123" i="11"/>
  <c r="Z123" i="11"/>
  <c r="AF123" i="11"/>
  <c r="T124" i="11"/>
  <c r="Z124" i="11"/>
  <c r="AF124" i="11"/>
  <c r="T125" i="11"/>
  <c r="Z125" i="11"/>
  <c r="AF125" i="11"/>
  <c r="T126" i="11"/>
  <c r="Z126" i="11"/>
  <c r="AF126" i="11"/>
  <c r="T127" i="11"/>
  <c r="Z127" i="11"/>
  <c r="AF127" i="11"/>
  <c r="T128" i="11"/>
  <c r="Z128" i="11"/>
  <c r="AF128" i="11"/>
  <c r="T129" i="11"/>
  <c r="Z129" i="11"/>
  <c r="AF129" i="11"/>
  <c r="T130" i="11"/>
  <c r="Z130" i="11"/>
  <c r="AF130" i="11"/>
  <c r="T131" i="11"/>
  <c r="Z131" i="11"/>
  <c r="AF131" i="11"/>
  <c r="T132" i="11"/>
  <c r="Z132" i="11"/>
  <c r="AF132" i="11"/>
  <c r="T133" i="11"/>
  <c r="Z133" i="11"/>
  <c r="AF133" i="11"/>
  <c r="T134" i="11"/>
  <c r="Z134" i="11"/>
  <c r="AF134" i="11"/>
  <c r="T135" i="11"/>
  <c r="Z135" i="11"/>
  <c r="AF135" i="11"/>
  <c r="T136" i="11"/>
  <c r="Z136" i="11"/>
  <c r="AF136" i="11"/>
  <c r="T137" i="11"/>
  <c r="Z137" i="11"/>
  <c r="AF137" i="11"/>
  <c r="T138" i="11"/>
  <c r="Z138" i="11"/>
  <c r="AF138" i="11"/>
  <c r="T139" i="11"/>
  <c r="Z139" i="11"/>
  <c r="AF139" i="11"/>
  <c r="T140" i="11"/>
  <c r="Z140" i="11"/>
  <c r="AF140" i="11"/>
  <c r="T141" i="11"/>
  <c r="Z141" i="11"/>
  <c r="AF141" i="11"/>
  <c r="T142" i="11"/>
  <c r="Z142" i="11"/>
  <c r="AF142" i="11"/>
  <c r="T143" i="11"/>
  <c r="Z143" i="11"/>
  <c r="AF143" i="11"/>
  <c r="T144" i="11"/>
  <c r="Z144" i="11"/>
  <c r="AF144" i="11"/>
  <c r="T145" i="11"/>
  <c r="Z145" i="11"/>
  <c r="AF145" i="11"/>
  <c r="T146" i="11"/>
  <c r="Z146" i="11"/>
  <c r="AF146" i="11"/>
  <c r="T147" i="11"/>
  <c r="Z147" i="11"/>
  <c r="AF147" i="11"/>
  <c r="T148" i="11"/>
  <c r="Z148" i="11"/>
  <c r="AF148" i="11"/>
  <c r="T149" i="11"/>
  <c r="Z149" i="11"/>
  <c r="AF149" i="11"/>
  <c r="T150" i="11"/>
  <c r="Z150" i="11"/>
  <c r="AF150" i="11"/>
  <c r="T151" i="11"/>
  <c r="Z151" i="11"/>
  <c r="AF151" i="11"/>
  <c r="T152" i="11"/>
  <c r="Z152" i="11"/>
  <c r="AF152" i="11"/>
  <c r="T153" i="11"/>
  <c r="Z153" i="11"/>
  <c r="AF153" i="11"/>
  <c r="T154" i="11"/>
  <c r="Z154" i="11"/>
  <c r="AF154" i="11"/>
  <c r="T155" i="11"/>
  <c r="Z155" i="11"/>
  <c r="AF155" i="11"/>
  <c r="T156" i="11"/>
  <c r="Z156" i="11"/>
  <c r="AF156" i="11"/>
  <c r="T157" i="11"/>
  <c r="Z157" i="11"/>
  <c r="AF157" i="11"/>
  <c r="T158" i="11"/>
  <c r="Z158" i="11"/>
  <c r="AF158" i="11"/>
  <c r="T159" i="11"/>
  <c r="Z159" i="11"/>
  <c r="AF159" i="11"/>
  <c r="T160" i="11"/>
  <c r="Z160" i="11"/>
  <c r="AF160" i="11"/>
  <c r="T161" i="11"/>
  <c r="Z161" i="11"/>
  <c r="AF161" i="11"/>
  <c r="T162" i="11"/>
  <c r="Z162" i="11"/>
  <c r="AF162" i="11"/>
  <c r="T163" i="11"/>
  <c r="Z163" i="11"/>
  <c r="AF163" i="11"/>
  <c r="T164" i="11"/>
  <c r="Z164" i="11"/>
  <c r="AF164" i="11"/>
  <c r="T165" i="11"/>
  <c r="Z165" i="11"/>
  <c r="AF165" i="11"/>
  <c r="T166" i="11"/>
  <c r="Z166" i="11"/>
  <c r="AF166" i="11"/>
  <c r="T168" i="11"/>
  <c r="Z168" i="11"/>
  <c r="AF168" i="11"/>
  <c r="T169" i="11"/>
  <c r="Z169" i="11"/>
  <c r="AF169" i="11"/>
  <c r="T170" i="11"/>
  <c r="Z170" i="11"/>
  <c r="AF170" i="11"/>
  <c r="T171" i="11"/>
  <c r="Z171" i="11"/>
  <c r="AF171" i="11"/>
  <c r="T172" i="11"/>
  <c r="Z172" i="11"/>
  <c r="AF172" i="11"/>
  <c r="T173" i="11"/>
  <c r="Z173" i="11"/>
  <c r="AF173" i="11"/>
  <c r="T174" i="11"/>
  <c r="Z174" i="11"/>
  <c r="AF174" i="11"/>
  <c r="T175" i="11"/>
  <c r="Z175" i="11"/>
  <c r="AF175" i="11"/>
  <c r="T176" i="11"/>
  <c r="Z176" i="11"/>
  <c r="AF176" i="11"/>
  <c r="T177" i="11"/>
  <c r="Z177" i="11"/>
  <c r="AF177" i="11"/>
  <c r="T178" i="11"/>
  <c r="Z178" i="11"/>
  <c r="AF178" i="11"/>
  <c r="T179" i="11"/>
  <c r="Z179" i="11"/>
  <c r="AF179" i="11"/>
  <c r="T180" i="11"/>
  <c r="Z180" i="11"/>
  <c r="AF180" i="11"/>
  <c r="T181" i="11"/>
  <c r="Z181" i="11"/>
  <c r="AF181" i="11"/>
  <c r="T182" i="11"/>
  <c r="Z182" i="11"/>
  <c r="AF182" i="11"/>
  <c r="T183" i="11"/>
  <c r="Z183" i="11"/>
  <c r="AF183" i="11"/>
  <c r="T184" i="11"/>
  <c r="Z184" i="11"/>
  <c r="AF184" i="11"/>
  <c r="T185" i="11"/>
  <c r="Z185" i="11"/>
  <c r="AF185" i="11"/>
  <c r="T186" i="11"/>
  <c r="Z186" i="11"/>
  <c r="AF186" i="11"/>
  <c r="T187" i="11"/>
  <c r="Z187" i="11"/>
  <c r="AF187" i="11"/>
  <c r="T188" i="11"/>
  <c r="Z188" i="11"/>
  <c r="AF188" i="11"/>
  <c r="T189" i="11"/>
  <c r="Z189" i="11"/>
  <c r="AF189" i="11"/>
  <c r="T190" i="11"/>
  <c r="Z190" i="11"/>
  <c r="AF190" i="11"/>
  <c r="T191" i="11"/>
  <c r="Z191" i="11"/>
  <c r="AF191" i="11"/>
  <c r="T192" i="11"/>
  <c r="Z192" i="11"/>
  <c r="AF192" i="11"/>
  <c r="T193" i="11"/>
  <c r="Z193" i="11"/>
  <c r="AF193" i="11"/>
  <c r="T194" i="11"/>
  <c r="Z194" i="11"/>
  <c r="AF194" i="11"/>
  <c r="T195" i="11"/>
  <c r="Z195" i="11"/>
  <c r="AF195" i="11"/>
  <c r="T196" i="11"/>
  <c r="Z196" i="11"/>
  <c r="AF196" i="11"/>
  <c r="T197" i="11"/>
  <c r="Z197" i="11"/>
  <c r="AF197" i="11"/>
  <c r="T199" i="11"/>
  <c r="Z199" i="11"/>
  <c r="AF199" i="11"/>
  <c r="T200" i="11"/>
  <c r="Z200" i="11"/>
  <c r="AF200" i="11"/>
  <c r="T201" i="11"/>
  <c r="Z201" i="11"/>
  <c r="AF201" i="11"/>
  <c r="T202" i="11"/>
  <c r="Z202" i="11"/>
  <c r="AF202" i="11"/>
  <c r="AF203" i="11"/>
  <c r="AF213" i="11"/>
  <c r="I280" i="13"/>
  <c r="S115" i="11"/>
  <c r="Y115" i="11"/>
  <c r="AE115" i="11"/>
  <c r="S116" i="11"/>
  <c r="Y116" i="11"/>
  <c r="AE116" i="11"/>
  <c r="S117" i="11"/>
  <c r="Y117" i="11"/>
  <c r="AE117" i="11"/>
  <c r="S118" i="11"/>
  <c r="Y118" i="11"/>
  <c r="AE118" i="11"/>
  <c r="S119" i="11"/>
  <c r="Y119" i="11"/>
  <c r="AE119" i="11"/>
  <c r="S120" i="11"/>
  <c r="Y120" i="11"/>
  <c r="AE120" i="11"/>
  <c r="S121" i="11"/>
  <c r="Y121" i="11"/>
  <c r="AE121" i="11"/>
  <c r="S122" i="11"/>
  <c r="Y122" i="11"/>
  <c r="AE122" i="11"/>
  <c r="S123" i="11"/>
  <c r="Y123" i="11"/>
  <c r="AE123" i="11"/>
  <c r="S124" i="11"/>
  <c r="Y124" i="11"/>
  <c r="AE124" i="11"/>
  <c r="S125" i="11"/>
  <c r="Y125" i="11"/>
  <c r="AE125" i="11"/>
  <c r="S126" i="11"/>
  <c r="Y126" i="11"/>
  <c r="AE126" i="11"/>
  <c r="S127" i="11"/>
  <c r="Y127" i="11"/>
  <c r="AE127" i="11"/>
  <c r="S128" i="11"/>
  <c r="Y128" i="11"/>
  <c r="AE128" i="11"/>
  <c r="S129" i="11"/>
  <c r="Y129" i="11"/>
  <c r="AE129" i="11"/>
  <c r="S130" i="11"/>
  <c r="Y130" i="11"/>
  <c r="AE130" i="11"/>
  <c r="S131" i="11"/>
  <c r="Y131" i="11"/>
  <c r="AE131" i="11"/>
  <c r="S132" i="11"/>
  <c r="Y132" i="11"/>
  <c r="AE132" i="11"/>
  <c r="S133" i="11"/>
  <c r="Y133" i="11"/>
  <c r="AE133" i="11"/>
  <c r="S134" i="11"/>
  <c r="Y134" i="11"/>
  <c r="AE134" i="11"/>
  <c r="S135" i="11"/>
  <c r="Y135" i="11"/>
  <c r="AE135" i="11"/>
  <c r="S136" i="11"/>
  <c r="Y136" i="11"/>
  <c r="AE136" i="11"/>
  <c r="S137" i="11"/>
  <c r="Y137" i="11"/>
  <c r="AE137" i="11"/>
  <c r="S138" i="11"/>
  <c r="Y138" i="11"/>
  <c r="AE138" i="11"/>
  <c r="S139" i="11"/>
  <c r="Y139" i="11"/>
  <c r="AE139" i="11"/>
  <c r="S140" i="11"/>
  <c r="Y140" i="11"/>
  <c r="AE140" i="11"/>
  <c r="S141" i="11"/>
  <c r="Y141" i="11"/>
  <c r="AE141" i="11"/>
  <c r="S142" i="11"/>
  <c r="Y142" i="11"/>
  <c r="AE142" i="11"/>
  <c r="S143" i="11"/>
  <c r="Y143" i="11"/>
  <c r="AE143" i="11"/>
  <c r="S144" i="11"/>
  <c r="Y144" i="11"/>
  <c r="AE144" i="11"/>
  <c r="S145" i="11"/>
  <c r="Y145" i="11"/>
  <c r="AE145" i="11"/>
  <c r="S146" i="11"/>
  <c r="Y146" i="11"/>
  <c r="AE146" i="11"/>
  <c r="S147" i="11"/>
  <c r="Y147" i="11"/>
  <c r="AE147" i="11"/>
  <c r="S148" i="11"/>
  <c r="Y148" i="11"/>
  <c r="AE148" i="11"/>
  <c r="S149" i="11"/>
  <c r="Y149" i="11"/>
  <c r="AE149" i="11"/>
  <c r="S150" i="11"/>
  <c r="Y150" i="11"/>
  <c r="AE150" i="11"/>
  <c r="S151" i="11"/>
  <c r="Y151" i="11"/>
  <c r="AE151" i="11"/>
  <c r="S152" i="11"/>
  <c r="Y152" i="11"/>
  <c r="AE152" i="11"/>
  <c r="S153" i="11"/>
  <c r="Y153" i="11"/>
  <c r="AE153" i="11"/>
  <c r="S154" i="11"/>
  <c r="Y154" i="11"/>
  <c r="AE154" i="11"/>
  <c r="S155" i="11"/>
  <c r="Y155" i="11"/>
  <c r="AE155" i="11"/>
  <c r="S156" i="11"/>
  <c r="Y156" i="11"/>
  <c r="AE156" i="11"/>
  <c r="S157" i="11"/>
  <c r="Y157" i="11"/>
  <c r="AE157" i="11"/>
  <c r="S158" i="11"/>
  <c r="Y158" i="11"/>
  <c r="AE158" i="11"/>
  <c r="S159" i="11"/>
  <c r="Y159" i="11"/>
  <c r="AE159" i="11"/>
  <c r="S160" i="11"/>
  <c r="Y160" i="11"/>
  <c r="AE160" i="11"/>
  <c r="S161" i="11"/>
  <c r="Y161" i="11"/>
  <c r="AE161" i="11"/>
  <c r="S162" i="11"/>
  <c r="Y162" i="11"/>
  <c r="AE162" i="11"/>
  <c r="S163" i="11"/>
  <c r="Y163" i="11"/>
  <c r="AE163" i="11"/>
  <c r="S164" i="11"/>
  <c r="Y164" i="11"/>
  <c r="AE164" i="11"/>
  <c r="S165" i="11"/>
  <c r="Y165" i="11"/>
  <c r="AE165" i="11"/>
  <c r="S166" i="11"/>
  <c r="Y166" i="11"/>
  <c r="AE166" i="11"/>
  <c r="S168" i="11"/>
  <c r="Y168" i="11"/>
  <c r="AE168" i="11"/>
  <c r="S169" i="11"/>
  <c r="Y169" i="11"/>
  <c r="AE169" i="11"/>
  <c r="S170" i="11"/>
  <c r="Y170" i="11"/>
  <c r="AE170" i="11"/>
  <c r="S171" i="11"/>
  <c r="Y171" i="11"/>
  <c r="AE171" i="11"/>
  <c r="S172" i="11"/>
  <c r="Y172" i="11"/>
  <c r="AE172" i="11"/>
  <c r="S173" i="11"/>
  <c r="Y173" i="11"/>
  <c r="AE173" i="11"/>
  <c r="S174" i="11"/>
  <c r="Y174" i="11"/>
  <c r="AE174" i="11"/>
  <c r="S175" i="11"/>
  <c r="Y175" i="11"/>
  <c r="AE175" i="11"/>
  <c r="S176" i="11"/>
  <c r="Y176" i="11"/>
  <c r="AE176" i="11"/>
  <c r="S177" i="11"/>
  <c r="Y177" i="11"/>
  <c r="AE177" i="11"/>
  <c r="S178" i="11"/>
  <c r="Y178" i="11"/>
  <c r="AE178" i="11"/>
  <c r="S179" i="11"/>
  <c r="Y179" i="11"/>
  <c r="AE179" i="11"/>
  <c r="S180" i="11"/>
  <c r="Y180" i="11"/>
  <c r="AE180" i="11"/>
  <c r="S181" i="11"/>
  <c r="Y181" i="11"/>
  <c r="AE181" i="11"/>
  <c r="S182" i="11"/>
  <c r="Y182" i="11"/>
  <c r="AE182" i="11"/>
  <c r="S183" i="11"/>
  <c r="Y183" i="11"/>
  <c r="AE183" i="11"/>
  <c r="S184" i="11"/>
  <c r="Y184" i="11"/>
  <c r="AE184" i="11"/>
  <c r="S185" i="11"/>
  <c r="Y185" i="11"/>
  <c r="AE185" i="11"/>
  <c r="S186" i="11"/>
  <c r="Y186" i="11"/>
  <c r="AE186" i="11"/>
  <c r="S187" i="11"/>
  <c r="Y187" i="11"/>
  <c r="AE187" i="11"/>
  <c r="S188" i="11"/>
  <c r="Y188" i="11"/>
  <c r="AE188" i="11"/>
  <c r="S189" i="11"/>
  <c r="Y189" i="11"/>
  <c r="AE189" i="11"/>
  <c r="S190" i="11"/>
  <c r="Y190" i="11"/>
  <c r="AE190" i="11"/>
  <c r="S191" i="11"/>
  <c r="Y191" i="11"/>
  <c r="AE191" i="11"/>
  <c r="S192" i="11"/>
  <c r="Y192" i="11"/>
  <c r="AE192" i="11"/>
  <c r="S193" i="11"/>
  <c r="Y193" i="11"/>
  <c r="AE193" i="11"/>
  <c r="S194" i="11"/>
  <c r="Y194" i="11"/>
  <c r="AE194" i="11"/>
  <c r="S195" i="11"/>
  <c r="Y195" i="11"/>
  <c r="AE195" i="11"/>
  <c r="S196" i="11"/>
  <c r="Y196" i="11"/>
  <c r="AE196" i="11"/>
  <c r="S197" i="11"/>
  <c r="Y197" i="11"/>
  <c r="AE197" i="11"/>
  <c r="S199" i="11"/>
  <c r="Y199" i="11"/>
  <c r="AE199" i="11"/>
  <c r="S200" i="11"/>
  <c r="Y200" i="11"/>
  <c r="AE200" i="11"/>
  <c r="S201" i="11"/>
  <c r="Y201" i="11"/>
  <c r="AE201" i="11"/>
  <c r="S202" i="11"/>
  <c r="Y202" i="11"/>
  <c r="AE202" i="11"/>
  <c r="AE203" i="11"/>
  <c r="AE213" i="11"/>
  <c r="H280" i="13"/>
  <c r="R115" i="11"/>
  <c r="X115" i="11"/>
  <c r="AD115" i="11"/>
  <c r="R116" i="11"/>
  <c r="X116" i="11"/>
  <c r="AD116" i="11"/>
  <c r="R117" i="11"/>
  <c r="X117" i="11"/>
  <c r="AD117" i="11"/>
  <c r="R118" i="11"/>
  <c r="X118" i="11"/>
  <c r="AD118" i="11"/>
  <c r="R119" i="11"/>
  <c r="X119" i="11"/>
  <c r="AD119" i="11"/>
  <c r="R120" i="11"/>
  <c r="X120" i="11"/>
  <c r="AD120" i="11"/>
  <c r="R121" i="11"/>
  <c r="X121" i="11"/>
  <c r="AD121" i="11"/>
  <c r="R122" i="11"/>
  <c r="X122" i="11"/>
  <c r="AD122" i="11"/>
  <c r="R123" i="11"/>
  <c r="X123" i="11"/>
  <c r="AD123" i="11"/>
  <c r="R124" i="11"/>
  <c r="X124" i="11"/>
  <c r="AD124" i="11"/>
  <c r="R125" i="11"/>
  <c r="X125" i="11"/>
  <c r="AD125" i="11"/>
  <c r="R126" i="11"/>
  <c r="X126" i="11"/>
  <c r="AD126" i="11"/>
  <c r="R127" i="11"/>
  <c r="X127" i="11"/>
  <c r="AD127" i="11"/>
  <c r="R128" i="11"/>
  <c r="X128" i="11"/>
  <c r="AD128" i="11"/>
  <c r="R129" i="11"/>
  <c r="X129" i="11"/>
  <c r="AD129" i="11"/>
  <c r="R130" i="11"/>
  <c r="X130" i="11"/>
  <c r="AD130" i="11"/>
  <c r="R131" i="11"/>
  <c r="X131" i="11"/>
  <c r="AD131" i="11"/>
  <c r="R132" i="11"/>
  <c r="X132" i="11"/>
  <c r="AD132" i="11"/>
  <c r="R133" i="11"/>
  <c r="X133" i="11"/>
  <c r="AD133" i="11"/>
  <c r="R134" i="11"/>
  <c r="X134" i="11"/>
  <c r="AD134" i="11"/>
  <c r="R135" i="11"/>
  <c r="X135" i="11"/>
  <c r="AD135" i="11"/>
  <c r="R136" i="11"/>
  <c r="X136" i="11"/>
  <c r="AD136" i="11"/>
  <c r="R137" i="11"/>
  <c r="X137" i="11"/>
  <c r="AD137" i="11"/>
  <c r="R138" i="11"/>
  <c r="X138" i="11"/>
  <c r="AD138" i="11"/>
  <c r="R139" i="11"/>
  <c r="X139" i="11"/>
  <c r="AD139" i="11"/>
  <c r="R140" i="11"/>
  <c r="X140" i="11"/>
  <c r="AD140" i="11"/>
  <c r="R141" i="11"/>
  <c r="X141" i="11"/>
  <c r="AD141" i="11"/>
  <c r="R142" i="11"/>
  <c r="X142" i="11"/>
  <c r="AD142" i="11"/>
  <c r="R143" i="11"/>
  <c r="X143" i="11"/>
  <c r="AD143" i="11"/>
  <c r="R144" i="11"/>
  <c r="X144" i="11"/>
  <c r="AD144" i="11"/>
  <c r="R145" i="11"/>
  <c r="X145" i="11"/>
  <c r="AD145" i="11"/>
  <c r="R146" i="11"/>
  <c r="X146" i="11"/>
  <c r="AD146" i="11"/>
  <c r="R147" i="11"/>
  <c r="X147" i="11"/>
  <c r="AD147" i="11"/>
  <c r="R148" i="11"/>
  <c r="X148" i="11"/>
  <c r="AD148" i="11"/>
  <c r="R149" i="11"/>
  <c r="X149" i="11"/>
  <c r="AD149" i="11"/>
  <c r="R150" i="11"/>
  <c r="X150" i="11"/>
  <c r="AD150" i="11"/>
  <c r="R151" i="11"/>
  <c r="X151" i="11"/>
  <c r="AD151" i="11"/>
  <c r="R152" i="11"/>
  <c r="X152" i="11"/>
  <c r="AD152" i="11"/>
  <c r="R153" i="11"/>
  <c r="X153" i="11"/>
  <c r="AD153" i="11"/>
  <c r="R154" i="11"/>
  <c r="X154" i="11"/>
  <c r="AD154" i="11"/>
  <c r="R155" i="11"/>
  <c r="X155" i="11"/>
  <c r="AD155" i="11"/>
  <c r="R156" i="11"/>
  <c r="X156" i="11"/>
  <c r="AD156" i="11"/>
  <c r="R157" i="11"/>
  <c r="X157" i="11"/>
  <c r="AD157" i="11"/>
  <c r="R158" i="11"/>
  <c r="X158" i="11"/>
  <c r="AD158" i="11"/>
  <c r="R159" i="11"/>
  <c r="X159" i="11"/>
  <c r="AD159" i="11"/>
  <c r="R160" i="11"/>
  <c r="X160" i="11"/>
  <c r="AD160" i="11"/>
  <c r="R161" i="11"/>
  <c r="X161" i="11"/>
  <c r="AD161" i="11"/>
  <c r="R162" i="11"/>
  <c r="X162" i="11"/>
  <c r="AD162" i="11"/>
  <c r="R163" i="11"/>
  <c r="X163" i="11"/>
  <c r="AD163" i="11"/>
  <c r="R164" i="11"/>
  <c r="X164" i="11"/>
  <c r="AD164" i="11"/>
  <c r="R165" i="11"/>
  <c r="X165" i="11"/>
  <c r="AD165" i="11"/>
  <c r="R166" i="11"/>
  <c r="X166" i="11"/>
  <c r="AD166" i="11"/>
  <c r="R168" i="11"/>
  <c r="X168" i="11"/>
  <c r="AD168" i="11"/>
  <c r="R169" i="11"/>
  <c r="X169" i="11"/>
  <c r="AD169" i="11"/>
  <c r="R170" i="11"/>
  <c r="X170" i="11"/>
  <c r="AD170" i="11"/>
  <c r="R171" i="11"/>
  <c r="X171" i="11"/>
  <c r="AD171" i="11"/>
  <c r="R172" i="11"/>
  <c r="X172" i="11"/>
  <c r="AD172" i="11"/>
  <c r="R173" i="11"/>
  <c r="X173" i="11"/>
  <c r="AD173" i="11"/>
  <c r="R174" i="11"/>
  <c r="X174" i="11"/>
  <c r="AD174" i="11"/>
  <c r="R175" i="11"/>
  <c r="X175" i="11"/>
  <c r="AD175" i="11"/>
  <c r="R176" i="11"/>
  <c r="X176" i="11"/>
  <c r="AD176" i="11"/>
  <c r="R177" i="11"/>
  <c r="X177" i="11"/>
  <c r="AD177" i="11"/>
  <c r="R178" i="11"/>
  <c r="X178" i="11"/>
  <c r="AD178" i="11"/>
  <c r="R179" i="11"/>
  <c r="X179" i="11"/>
  <c r="AD179" i="11"/>
  <c r="R180" i="11"/>
  <c r="X180" i="11"/>
  <c r="AD180" i="11"/>
  <c r="R181" i="11"/>
  <c r="X181" i="11"/>
  <c r="AD181" i="11"/>
  <c r="R182" i="11"/>
  <c r="X182" i="11"/>
  <c r="AD182" i="11"/>
  <c r="R183" i="11"/>
  <c r="X183" i="11"/>
  <c r="AD183" i="11"/>
  <c r="R184" i="11"/>
  <c r="X184" i="11"/>
  <c r="AD184" i="11"/>
  <c r="R185" i="11"/>
  <c r="X185" i="11"/>
  <c r="AD185" i="11"/>
  <c r="R186" i="11"/>
  <c r="X186" i="11"/>
  <c r="AD186" i="11"/>
  <c r="R187" i="11"/>
  <c r="X187" i="11"/>
  <c r="AD187" i="11"/>
  <c r="R188" i="11"/>
  <c r="X188" i="11"/>
  <c r="AD188" i="11"/>
  <c r="R189" i="11"/>
  <c r="X189" i="11"/>
  <c r="AD189" i="11"/>
  <c r="R190" i="11"/>
  <c r="X190" i="11"/>
  <c r="AD190" i="11"/>
  <c r="R191" i="11"/>
  <c r="X191" i="11"/>
  <c r="AD191" i="11"/>
  <c r="R192" i="11"/>
  <c r="X192" i="11"/>
  <c r="AD192" i="11"/>
  <c r="R193" i="11"/>
  <c r="X193" i="11"/>
  <c r="AD193" i="11"/>
  <c r="R194" i="11"/>
  <c r="X194" i="11"/>
  <c r="AD194" i="11"/>
  <c r="R195" i="11"/>
  <c r="X195" i="11"/>
  <c r="AD195" i="11"/>
  <c r="R196" i="11"/>
  <c r="X196" i="11"/>
  <c r="AD196" i="11"/>
  <c r="R197" i="11"/>
  <c r="X197" i="11"/>
  <c r="AD197" i="11"/>
  <c r="R199" i="11"/>
  <c r="X199" i="11"/>
  <c r="AD199" i="11"/>
  <c r="R200" i="11"/>
  <c r="X200" i="11"/>
  <c r="AD200" i="11"/>
  <c r="R201" i="11"/>
  <c r="X201" i="11"/>
  <c r="AD201" i="11"/>
  <c r="R202" i="11"/>
  <c r="X202" i="11"/>
  <c r="AD202" i="11"/>
  <c r="AD203" i="11"/>
  <c r="AD213" i="11"/>
  <c r="G280" i="13"/>
  <c r="Q115" i="11"/>
  <c r="W115" i="11"/>
  <c r="AC115" i="11"/>
  <c r="Q116" i="11"/>
  <c r="W116" i="11"/>
  <c r="AC116" i="11"/>
  <c r="Q117" i="11"/>
  <c r="W117" i="11"/>
  <c r="AC117" i="11"/>
  <c r="Q118" i="11"/>
  <c r="W118" i="11"/>
  <c r="AC118" i="11"/>
  <c r="Q119" i="11"/>
  <c r="W119" i="11"/>
  <c r="AC119" i="11"/>
  <c r="Q120" i="11"/>
  <c r="W120" i="11"/>
  <c r="AC120" i="11"/>
  <c r="Q121" i="11"/>
  <c r="W121" i="11"/>
  <c r="AC121" i="11"/>
  <c r="Q122" i="11"/>
  <c r="W122" i="11"/>
  <c r="AC122" i="11"/>
  <c r="Q123" i="11"/>
  <c r="W123" i="11"/>
  <c r="AC123" i="11"/>
  <c r="Q124" i="11"/>
  <c r="W124" i="11"/>
  <c r="AC124" i="11"/>
  <c r="Q125" i="11"/>
  <c r="W125" i="11"/>
  <c r="AC125" i="11"/>
  <c r="Q126" i="11"/>
  <c r="W126" i="11"/>
  <c r="AC126" i="11"/>
  <c r="Q127" i="11"/>
  <c r="W127" i="11"/>
  <c r="AC127" i="11"/>
  <c r="Q128" i="11"/>
  <c r="W128" i="11"/>
  <c r="AC128" i="11"/>
  <c r="Q129" i="11"/>
  <c r="W129" i="11"/>
  <c r="AC129" i="11"/>
  <c r="Q130" i="11"/>
  <c r="W130" i="11"/>
  <c r="AC130" i="11"/>
  <c r="Q131" i="11"/>
  <c r="W131" i="11"/>
  <c r="AC131" i="11"/>
  <c r="Q132" i="11"/>
  <c r="W132" i="11"/>
  <c r="AC132" i="11"/>
  <c r="Q133" i="11"/>
  <c r="W133" i="11"/>
  <c r="AC133" i="11"/>
  <c r="Q134" i="11"/>
  <c r="W134" i="11"/>
  <c r="AC134" i="11"/>
  <c r="Q135" i="11"/>
  <c r="W135" i="11"/>
  <c r="AC135" i="11"/>
  <c r="Q136" i="11"/>
  <c r="W136" i="11"/>
  <c r="AC136" i="11"/>
  <c r="Q137" i="11"/>
  <c r="W137" i="11"/>
  <c r="AC137" i="11"/>
  <c r="Q138" i="11"/>
  <c r="W138" i="11"/>
  <c r="AC138" i="11"/>
  <c r="Q139" i="11"/>
  <c r="W139" i="11"/>
  <c r="AC139" i="11"/>
  <c r="Q140" i="11"/>
  <c r="W140" i="11"/>
  <c r="AC140" i="11"/>
  <c r="Q141" i="11"/>
  <c r="W141" i="11"/>
  <c r="AC141" i="11"/>
  <c r="Q142" i="11"/>
  <c r="W142" i="11"/>
  <c r="AC142" i="11"/>
  <c r="Q143" i="11"/>
  <c r="W143" i="11"/>
  <c r="AC143" i="11"/>
  <c r="Q144" i="11"/>
  <c r="W144" i="11"/>
  <c r="AC144" i="11"/>
  <c r="Q145" i="11"/>
  <c r="W145" i="11"/>
  <c r="AC145" i="11"/>
  <c r="Q146" i="11"/>
  <c r="W146" i="11"/>
  <c r="AC146" i="11"/>
  <c r="Q147" i="11"/>
  <c r="W147" i="11"/>
  <c r="AC147" i="11"/>
  <c r="Q148" i="11"/>
  <c r="W148" i="11"/>
  <c r="AC148" i="11"/>
  <c r="Q149" i="11"/>
  <c r="W149" i="11"/>
  <c r="AC149" i="11"/>
  <c r="Q150" i="11"/>
  <c r="W150" i="11"/>
  <c r="AC150" i="11"/>
  <c r="Q151" i="11"/>
  <c r="W151" i="11"/>
  <c r="AC151" i="11"/>
  <c r="Q152" i="11"/>
  <c r="W152" i="11"/>
  <c r="AC152" i="11"/>
  <c r="Q153" i="11"/>
  <c r="W153" i="11"/>
  <c r="AC153" i="11"/>
  <c r="Q154" i="11"/>
  <c r="W154" i="11"/>
  <c r="AC154" i="11"/>
  <c r="Q155" i="11"/>
  <c r="W155" i="11"/>
  <c r="AC155" i="11"/>
  <c r="Q156" i="11"/>
  <c r="W156" i="11"/>
  <c r="AC156" i="11"/>
  <c r="Q157" i="11"/>
  <c r="W157" i="11"/>
  <c r="AC157" i="11"/>
  <c r="Q158" i="11"/>
  <c r="W158" i="11"/>
  <c r="AC158" i="11"/>
  <c r="Q159" i="11"/>
  <c r="W159" i="11"/>
  <c r="AC159" i="11"/>
  <c r="Q160" i="11"/>
  <c r="W160" i="11"/>
  <c r="AC160" i="11"/>
  <c r="Q161" i="11"/>
  <c r="W161" i="11"/>
  <c r="AC161" i="11"/>
  <c r="Q162" i="11"/>
  <c r="W162" i="11"/>
  <c r="AC162" i="11"/>
  <c r="Q163" i="11"/>
  <c r="W163" i="11"/>
  <c r="AC163" i="11"/>
  <c r="Q164" i="11"/>
  <c r="W164" i="11"/>
  <c r="AC164" i="11"/>
  <c r="Q165" i="11"/>
  <c r="W165" i="11"/>
  <c r="AC165" i="11"/>
  <c r="Q166" i="11"/>
  <c r="W166" i="11"/>
  <c r="AC166" i="11"/>
  <c r="Q168" i="11"/>
  <c r="W168" i="11"/>
  <c r="AC168" i="11"/>
  <c r="Q169" i="11"/>
  <c r="W169" i="11"/>
  <c r="AC169" i="11"/>
  <c r="Q170" i="11"/>
  <c r="W170" i="11"/>
  <c r="AC170" i="11"/>
  <c r="Q171" i="11"/>
  <c r="W171" i="11"/>
  <c r="AC171" i="11"/>
  <c r="Q172" i="11"/>
  <c r="W172" i="11"/>
  <c r="AC172" i="11"/>
  <c r="Q173" i="11"/>
  <c r="W173" i="11"/>
  <c r="AC173" i="11"/>
  <c r="Q174" i="11"/>
  <c r="W174" i="11"/>
  <c r="AC174" i="11"/>
  <c r="Q175" i="11"/>
  <c r="W175" i="11"/>
  <c r="AC175" i="11"/>
  <c r="Q176" i="11"/>
  <c r="W176" i="11"/>
  <c r="AC176" i="11"/>
  <c r="Q177" i="11"/>
  <c r="W177" i="11"/>
  <c r="AC177" i="11"/>
  <c r="Q178" i="11"/>
  <c r="W178" i="11"/>
  <c r="AC178" i="11"/>
  <c r="Q179" i="11"/>
  <c r="W179" i="11"/>
  <c r="AC179" i="11"/>
  <c r="Q180" i="11"/>
  <c r="W180" i="11"/>
  <c r="AC180" i="11"/>
  <c r="Q181" i="11"/>
  <c r="W181" i="11"/>
  <c r="AC181" i="11"/>
  <c r="Q182" i="11"/>
  <c r="W182" i="11"/>
  <c r="AC182" i="11"/>
  <c r="Q183" i="11"/>
  <c r="W183" i="11"/>
  <c r="AC183" i="11"/>
  <c r="Q184" i="11"/>
  <c r="W184" i="11"/>
  <c r="AC184" i="11"/>
  <c r="Q185" i="11"/>
  <c r="W185" i="11"/>
  <c r="AC185" i="11"/>
  <c r="Q186" i="11"/>
  <c r="W186" i="11"/>
  <c r="AC186" i="11"/>
  <c r="Q187" i="11"/>
  <c r="W187" i="11"/>
  <c r="AC187" i="11"/>
  <c r="Q188" i="11"/>
  <c r="W188" i="11"/>
  <c r="AC188" i="11"/>
  <c r="Q189" i="11"/>
  <c r="W189" i="11"/>
  <c r="AC189" i="11"/>
  <c r="Q190" i="11"/>
  <c r="W190" i="11"/>
  <c r="AC190" i="11"/>
  <c r="Q191" i="11"/>
  <c r="W191" i="11"/>
  <c r="AC191" i="11"/>
  <c r="Q192" i="11"/>
  <c r="W192" i="11"/>
  <c r="AC192" i="11"/>
  <c r="Q193" i="11"/>
  <c r="W193" i="11"/>
  <c r="AC193" i="11"/>
  <c r="Q194" i="11"/>
  <c r="W194" i="11"/>
  <c r="AC194" i="11"/>
  <c r="Q195" i="11"/>
  <c r="W195" i="11"/>
  <c r="AC195" i="11"/>
  <c r="Q196" i="11"/>
  <c r="W196" i="11"/>
  <c r="AC196" i="11"/>
  <c r="Q197" i="11"/>
  <c r="W197" i="11"/>
  <c r="AC197" i="11"/>
  <c r="Q199" i="11"/>
  <c r="W199" i="11"/>
  <c r="AC199" i="11"/>
  <c r="Q200" i="11"/>
  <c r="W200" i="11"/>
  <c r="AC200" i="11"/>
  <c r="Q201" i="11"/>
  <c r="W201" i="11"/>
  <c r="AC201" i="11"/>
  <c r="Q202" i="11"/>
  <c r="W202" i="11"/>
  <c r="AC202" i="11"/>
  <c r="AC203" i="11"/>
  <c r="AC213" i="11"/>
  <c r="AA203" i="11"/>
  <c r="AA213" i="11"/>
  <c r="Z203" i="11"/>
  <c r="Z213" i="11"/>
  <c r="Y203" i="11"/>
  <c r="Y213" i="11"/>
  <c r="X203" i="11"/>
  <c r="X213" i="11"/>
  <c r="W203" i="11"/>
  <c r="W213" i="11"/>
  <c r="U167" i="11"/>
  <c r="U198" i="11"/>
  <c r="U203" i="11"/>
  <c r="U213" i="11"/>
  <c r="T167" i="11"/>
  <c r="T198" i="11"/>
  <c r="T203" i="11"/>
  <c r="T213" i="11"/>
  <c r="S167" i="11"/>
  <c r="S198" i="11"/>
  <c r="S203" i="11"/>
  <c r="S213" i="11"/>
  <c r="R167" i="11"/>
  <c r="R198" i="11"/>
  <c r="R203" i="11"/>
  <c r="R213" i="11"/>
  <c r="Q167" i="11"/>
  <c r="Q198" i="11"/>
  <c r="Q203" i="11"/>
  <c r="Q213" i="11"/>
  <c r="D99" i="12"/>
  <c r="Z99" i="12"/>
  <c r="N98" i="11"/>
  <c r="N202" i="11"/>
  <c r="F280" i="13"/>
  <c r="D98" i="12"/>
  <c r="Z98" i="12"/>
  <c r="N97" i="11"/>
  <c r="N201" i="11"/>
  <c r="D97" i="12"/>
  <c r="Z97" i="12"/>
  <c r="N96" i="11"/>
  <c r="N200" i="11"/>
  <c r="D96" i="12"/>
  <c r="Z96" i="12"/>
  <c r="N95" i="11"/>
  <c r="N199" i="11"/>
  <c r="D94" i="12"/>
  <c r="Z94" i="12"/>
  <c r="N93" i="11"/>
  <c r="D93" i="12"/>
  <c r="Z93" i="12"/>
  <c r="N92" i="11"/>
  <c r="D92" i="12"/>
  <c r="Z92" i="12"/>
  <c r="N91" i="11"/>
  <c r="D91" i="12"/>
  <c r="Z91" i="12"/>
  <c r="N90" i="11"/>
  <c r="E91" i="12"/>
  <c r="N194" i="11"/>
  <c r="D90" i="12"/>
  <c r="Z90" i="12"/>
  <c r="N89" i="11"/>
  <c r="E90" i="12"/>
  <c r="N193" i="11"/>
  <c r="D89" i="12"/>
  <c r="Z89" i="12"/>
  <c r="N88" i="11"/>
  <c r="E89" i="12"/>
  <c r="N192" i="11"/>
  <c r="D88" i="12"/>
  <c r="Z88" i="12"/>
  <c r="N87" i="11"/>
  <c r="E88" i="12"/>
  <c r="N191" i="11"/>
  <c r="D87" i="12"/>
  <c r="Z87" i="12"/>
  <c r="N86" i="11"/>
  <c r="E87" i="12"/>
  <c r="N190" i="11"/>
  <c r="D86" i="12"/>
  <c r="Z86" i="12"/>
  <c r="N85" i="11"/>
  <c r="E86" i="12"/>
  <c r="N189" i="11"/>
  <c r="D85" i="12"/>
  <c r="Z85" i="12"/>
  <c r="N84" i="11"/>
  <c r="E85" i="12"/>
  <c r="N188" i="11"/>
  <c r="D84" i="12"/>
  <c r="Z84" i="12"/>
  <c r="N83" i="11"/>
  <c r="E84" i="12"/>
  <c r="N187" i="11"/>
  <c r="D83" i="12"/>
  <c r="Z83" i="12"/>
  <c r="N82" i="11"/>
  <c r="E83" i="12"/>
  <c r="N186" i="11"/>
  <c r="D82" i="12"/>
  <c r="Z82" i="12"/>
  <c r="N81" i="11"/>
  <c r="N185" i="11"/>
  <c r="D81" i="12"/>
  <c r="Z81" i="12"/>
  <c r="N80" i="11"/>
  <c r="N184" i="11"/>
  <c r="D80" i="12"/>
  <c r="Z80" i="12"/>
  <c r="N79" i="11"/>
  <c r="D79" i="12"/>
  <c r="Z79" i="12"/>
  <c r="N78" i="11"/>
  <c r="D78" i="12"/>
  <c r="Z78" i="12"/>
  <c r="N77" i="11"/>
  <c r="D77" i="12"/>
  <c r="Z77" i="12"/>
  <c r="N76" i="11"/>
  <c r="E77" i="12"/>
  <c r="N180" i="11"/>
  <c r="D76" i="12"/>
  <c r="Z76" i="12"/>
  <c r="N75" i="11"/>
  <c r="E76" i="12"/>
  <c r="N179" i="11"/>
  <c r="D75" i="12"/>
  <c r="Z75" i="12"/>
  <c r="N74" i="11"/>
  <c r="E75" i="12"/>
  <c r="N178" i="11"/>
  <c r="D74" i="12"/>
  <c r="Z74" i="12"/>
  <c r="N73" i="11"/>
  <c r="E74" i="12"/>
  <c r="N177" i="11"/>
  <c r="D73" i="12"/>
  <c r="Z73" i="12"/>
  <c r="N72" i="11"/>
  <c r="E73" i="12"/>
  <c r="N176" i="11"/>
  <c r="D72" i="12"/>
  <c r="Z72" i="12"/>
  <c r="N71" i="11"/>
  <c r="E72" i="12"/>
  <c r="N175" i="11"/>
  <c r="D71" i="12"/>
  <c r="Z71" i="12"/>
  <c r="N70" i="11"/>
  <c r="E71" i="12"/>
  <c r="N174" i="11"/>
  <c r="D70" i="12"/>
  <c r="Z70" i="12"/>
  <c r="N69" i="11"/>
  <c r="E70" i="12"/>
  <c r="N173" i="11"/>
  <c r="D69" i="12"/>
  <c r="Z69" i="12"/>
  <c r="N68" i="11"/>
  <c r="E69" i="12"/>
  <c r="N172" i="11"/>
  <c r="D68" i="12"/>
  <c r="Z68" i="12"/>
  <c r="N67" i="11"/>
  <c r="N171" i="11"/>
  <c r="D67" i="12"/>
  <c r="Z67" i="12"/>
  <c r="N66" i="11"/>
  <c r="N170" i="11"/>
  <c r="D66" i="12"/>
  <c r="Z66" i="12"/>
  <c r="N65" i="11"/>
  <c r="N169" i="11"/>
  <c r="D65" i="12"/>
  <c r="Z65" i="12"/>
  <c r="N64" i="11"/>
  <c r="N168" i="11"/>
  <c r="D63" i="12"/>
  <c r="Z63" i="12"/>
  <c r="N62" i="11"/>
  <c r="E63" i="12"/>
  <c r="N166" i="11"/>
  <c r="D62" i="12"/>
  <c r="Z62" i="12"/>
  <c r="N61" i="11"/>
  <c r="E62" i="12"/>
  <c r="N165" i="11"/>
  <c r="D61" i="12"/>
  <c r="Z61" i="12"/>
  <c r="N60" i="11"/>
  <c r="E61" i="12"/>
  <c r="N164" i="11"/>
  <c r="D60" i="12"/>
  <c r="Z60" i="12"/>
  <c r="N59" i="11"/>
  <c r="E60" i="12"/>
  <c r="N163" i="11"/>
  <c r="D59" i="12"/>
  <c r="Z59" i="12"/>
  <c r="N58" i="11"/>
  <c r="E59" i="12"/>
  <c r="N162" i="11"/>
  <c r="D58" i="12"/>
  <c r="Z58" i="12"/>
  <c r="N57" i="11"/>
  <c r="E58" i="12"/>
  <c r="N161" i="11"/>
  <c r="D57" i="12"/>
  <c r="Z57" i="12"/>
  <c r="N56" i="11"/>
  <c r="E57" i="12"/>
  <c r="N160" i="11"/>
  <c r="D56" i="12"/>
  <c r="Z56" i="12"/>
  <c r="N55" i="11"/>
  <c r="E56" i="12"/>
  <c r="N159" i="11"/>
  <c r="D55" i="12"/>
  <c r="Z55" i="12"/>
  <c r="N54" i="11"/>
  <c r="E55" i="12"/>
  <c r="N158" i="11"/>
  <c r="D54" i="12"/>
  <c r="Z54" i="12"/>
  <c r="N53" i="11"/>
  <c r="D53" i="12"/>
  <c r="Z53" i="12"/>
  <c r="N52" i="11"/>
  <c r="E53" i="12"/>
  <c r="N156" i="11"/>
  <c r="D52" i="12"/>
  <c r="Z52" i="12"/>
  <c r="N51" i="11"/>
  <c r="E52" i="12"/>
  <c r="N155" i="11"/>
  <c r="D51" i="12"/>
  <c r="Z51" i="12"/>
  <c r="N50" i="11"/>
  <c r="E51" i="12"/>
  <c r="N154" i="11"/>
  <c r="D50" i="12"/>
  <c r="Z50" i="12"/>
  <c r="N49" i="11"/>
  <c r="D49" i="12"/>
  <c r="Z49" i="12"/>
  <c r="N48" i="11"/>
  <c r="E49" i="12"/>
  <c r="N152" i="11"/>
  <c r="D48" i="12"/>
  <c r="Z48" i="12"/>
  <c r="N47" i="11"/>
  <c r="E48" i="12"/>
  <c r="N151" i="11"/>
  <c r="D47" i="12"/>
  <c r="Z47" i="12"/>
  <c r="N46" i="11"/>
  <c r="E47" i="12"/>
  <c r="N150" i="11"/>
  <c r="D46" i="12"/>
  <c r="Z46" i="12"/>
  <c r="N45" i="11"/>
  <c r="D45" i="12"/>
  <c r="Z45" i="12"/>
  <c r="N44" i="11"/>
  <c r="E45" i="12"/>
  <c r="N148" i="11"/>
  <c r="D44" i="12"/>
  <c r="Z44" i="12"/>
  <c r="N43" i="11"/>
  <c r="E44" i="12"/>
  <c r="N147" i="11"/>
  <c r="D43" i="12"/>
  <c r="Z43" i="12"/>
  <c r="N42" i="11"/>
  <c r="E43" i="12"/>
  <c r="N146" i="11"/>
  <c r="D42" i="12"/>
  <c r="Z42" i="12"/>
  <c r="N41" i="11"/>
  <c r="D41" i="12"/>
  <c r="Z41" i="12"/>
  <c r="N40" i="11"/>
  <c r="E41" i="12"/>
  <c r="N144" i="11"/>
  <c r="D40" i="12"/>
  <c r="Z40" i="12"/>
  <c r="N39" i="11"/>
  <c r="E40" i="12"/>
  <c r="N143" i="11"/>
  <c r="D39" i="12"/>
  <c r="Z39" i="12"/>
  <c r="N38" i="11"/>
  <c r="E39" i="12"/>
  <c r="N142" i="11"/>
  <c r="D38" i="12"/>
  <c r="Z38" i="12"/>
  <c r="N37" i="11"/>
  <c r="D37" i="12"/>
  <c r="Z37" i="12"/>
  <c r="N36" i="11"/>
  <c r="E37" i="12"/>
  <c r="N140" i="11"/>
  <c r="D36" i="12"/>
  <c r="Z36" i="12"/>
  <c r="N35" i="11"/>
  <c r="E36" i="12"/>
  <c r="N139" i="11"/>
  <c r="D35" i="12"/>
  <c r="Z35" i="12"/>
  <c r="N34" i="11"/>
  <c r="E35" i="12"/>
  <c r="N138" i="11"/>
  <c r="D34" i="12"/>
  <c r="Z34" i="12"/>
  <c r="N33" i="11"/>
  <c r="D33" i="12"/>
  <c r="Z33" i="12"/>
  <c r="N32" i="11"/>
  <c r="E33" i="12"/>
  <c r="N136" i="11"/>
  <c r="D32" i="12"/>
  <c r="Z32" i="12"/>
  <c r="N31" i="11"/>
  <c r="E32" i="12"/>
  <c r="N135" i="11"/>
  <c r="D31" i="12"/>
  <c r="Z31" i="12"/>
  <c r="N30" i="11"/>
  <c r="E31" i="12"/>
  <c r="N134" i="11"/>
  <c r="D30" i="12"/>
  <c r="Z30" i="12"/>
  <c r="N29" i="11"/>
  <c r="E30" i="12"/>
  <c r="N133" i="11"/>
  <c r="D29" i="12"/>
  <c r="Z29" i="12"/>
  <c r="N28" i="11"/>
  <c r="E29" i="12"/>
  <c r="N132" i="11"/>
  <c r="D28" i="12"/>
  <c r="Z28" i="12"/>
  <c r="N27" i="11"/>
  <c r="E28" i="12"/>
  <c r="N131" i="11"/>
  <c r="D27" i="12"/>
  <c r="Z27" i="12"/>
  <c r="N26" i="11"/>
  <c r="E27" i="12"/>
  <c r="N130" i="11"/>
  <c r="D26" i="12"/>
  <c r="Z26" i="12"/>
  <c r="N25" i="11"/>
  <c r="E26" i="12"/>
  <c r="N129" i="11"/>
  <c r="D25" i="12"/>
  <c r="Z25" i="12"/>
  <c r="N24" i="11"/>
  <c r="E25" i="12"/>
  <c r="N128" i="11"/>
  <c r="D24" i="12"/>
  <c r="Z24" i="12"/>
  <c r="N23" i="11"/>
  <c r="E24" i="12"/>
  <c r="N127" i="11"/>
  <c r="D23" i="12"/>
  <c r="Z23" i="12"/>
  <c r="N22" i="11"/>
  <c r="E23" i="12"/>
  <c r="N126" i="11"/>
  <c r="D22" i="12"/>
  <c r="Z22" i="12"/>
  <c r="N21" i="11"/>
  <c r="E22" i="12"/>
  <c r="N125" i="11"/>
  <c r="D21" i="12"/>
  <c r="Z21" i="12"/>
  <c r="N20" i="11"/>
  <c r="N124" i="11"/>
  <c r="D20" i="12"/>
  <c r="Z20" i="12"/>
  <c r="N19" i="11"/>
  <c r="E20" i="12"/>
  <c r="N123" i="11"/>
  <c r="D19" i="12"/>
  <c r="Z19" i="12"/>
  <c r="N18" i="11"/>
  <c r="E19" i="12"/>
  <c r="N122" i="11"/>
  <c r="D18" i="12"/>
  <c r="Z18" i="12"/>
  <c r="N17" i="11"/>
  <c r="E18" i="12"/>
  <c r="N121" i="11"/>
  <c r="D17" i="12"/>
  <c r="Z17" i="12"/>
  <c r="N16" i="11"/>
  <c r="E17" i="12"/>
  <c r="N120" i="11"/>
  <c r="D16" i="12"/>
  <c r="Z16" i="12"/>
  <c r="N15" i="11"/>
  <c r="E16" i="12"/>
  <c r="N119" i="11"/>
  <c r="D15" i="12"/>
  <c r="Z15" i="12"/>
  <c r="N14" i="11"/>
  <c r="E15" i="12"/>
  <c r="N118" i="11"/>
  <c r="D14" i="12"/>
  <c r="Z14" i="12"/>
  <c r="N13" i="11"/>
  <c r="E14" i="12"/>
  <c r="N117" i="11"/>
  <c r="D13" i="12"/>
  <c r="Z13" i="12"/>
  <c r="N12" i="11"/>
  <c r="E13" i="12"/>
  <c r="N116" i="11"/>
  <c r="D12" i="12"/>
  <c r="Z12" i="12"/>
  <c r="N11" i="11"/>
  <c r="E12" i="12"/>
  <c r="N115" i="11"/>
  <c r="I12" i="12"/>
  <c r="N12" i="12"/>
  <c r="I13" i="12"/>
  <c r="N13" i="12"/>
  <c r="I14" i="12"/>
  <c r="N14" i="12"/>
  <c r="I15" i="12"/>
  <c r="N15" i="12"/>
  <c r="I16" i="12"/>
  <c r="N16" i="12"/>
  <c r="I17" i="12"/>
  <c r="N17" i="12"/>
  <c r="I18" i="12"/>
  <c r="N18" i="12"/>
  <c r="I19" i="12"/>
  <c r="N19" i="12"/>
  <c r="I20" i="12"/>
  <c r="N20" i="12"/>
  <c r="I21" i="12"/>
  <c r="E21" i="12"/>
  <c r="N21" i="12"/>
  <c r="I22" i="12"/>
  <c r="N22" i="12"/>
  <c r="I23" i="12"/>
  <c r="N23" i="12"/>
  <c r="I24" i="12"/>
  <c r="N24" i="12"/>
  <c r="I25" i="12"/>
  <c r="N25" i="12"/>
  <c r="I26" i="12"/>
  <c r="N26" i="12"/>
  <c r="I27" i="12"/>
  <c r="N27" i="12"/>
  <c r="I28" i="12"/>
  <c r="N28" i="12"/>
  <c r="I29" i="12"/>
  <c r="N29" i="12"/>
  <c r="I30" i="12"/>
  <c r="N30" i="12"/>
  <c r="I31" i="12"/>
  <c r="N31" i="12"/>
  <c r="I32" i="12"/>
  <c r="N32" i="12"/>
  <c r="I33" i="12"/>
  <c r="N33" i="12"/>
  <c r="E34" i="12"/>
  <c r="I34" i="12"/>
  <c r="N34" i="12"/>
  <c r="I35" i="12"/>
  <c r="N35" i="12"/>
  <c r="I36" i="12"/>
  <c r="N36" i="12"/>
  <c r="I37" i="12"/>
  <c r="N37" i="12"/>
  <c r="E38" i="12"/>
  <c r="I38" i="12"/>
  <c r="N38" i="12"/>
  <c r="I39" i="12"/>
  <c r="N39" i="12"/>
  <c r="I40" i="12"/>
  <c r="N40" i="12"/>
  <c r="I41" i="12"/>
  <c r="N41" i="12"/>
  <c r="E42" i="12"/>
  <c r="I42" i="12"/>
  <c r="N42" i="12"/>
  <c r="I43" i="12"/>
  <c r="N43" i="12"/>
  <c r="I44" i="12"/>
  <c r="N44" i="12"/>
  <c r="I45" i="12"/>
  <c r="N45" i="12"/>
  <c r="E46" i="12"/>
  <c r="I46" i="12"/>
  <c r="N46" i="12"/>
  <c r="I47" i="12"/>
  <c r="N47" i="12"/>
  <c r="I48" i="12"/>
  <c r="N48" i="12"/>
  <c r="I49" i="12"/>
  <c r="N49" i="12"/>
  <c r="E50" i="12"/>
  <c r="I50" i="12"/>
  <c r="N50" i="12"/>
  <c r="I51" i="12"/>
  <c r="N51" i="12"/>
  <c r="I52" i="12"/>
  <c r="N52" i="12"/>
  <c r="I53" i="12"/>
  <c r="N53" i="12"/>
  <c r="E54" i="12"/>
  <c r="I54" i="12"/>
  <c r="N54" i="12"/>
  <c r="I55" i="12"/>
  <c r="N55" i="12"/>
  <c r="I56" i="12"/>
  <c r="N56" i="12"/>
  <c r="I57" i="12"/>
  <c r="N57" i="12"/>
  <c r="I58" i="12"/>
  <c r="N58" i="12"/>
  <c r="I59" i="12"/>
  <c r="N59" i="12"/>
  <c r="I60" i="12"/>
  <c r="N60" i="12"/>
  <c r="I61" i="12"/>
  <c r="N61" i="12"/>
  <c r="I62" i="12"/>
  <c r="N62" i="12"/>
  <c r="I63" i="12"/>
  <c r="N63" i="12"/>
  <c r="I65" i="12"/>
  <c r="E65" i="12"/>
  <c r="N65" i="12"/>
  <c r="I66" i="12"/>
  <c r="E66" i="12"/>
  <c r="N66" i="12"/>
  <c r="I67" i="12"/>
  <c r="E67" i="12"/>
  <c r="N67" i="12"/>
  <c r="I68" i="12"/>
  <c r="E68" i="12"/>
  <c r="N68" i="12"/>
  <c r="I69" i="12"/>
  <c r="N69" i="12"/>
  <c r="I70" i="12"/>
  <c r="N70" i="12"/>
  <c r="I71" i="12"/>
  <c r="N71" i="12"/>
  <c r="I72" i="12"/>
  <c r="N72" i="12"/>
  <c r="I73" i="12"/>
  <c r="N73" i="12"/>
  <c r="I74" i="12"/>
  <c r="N74" i="12"/>
  <c r="I75" i="12"/>
  <c r="N75" i="12"/>
  <c r="I76" i="12"/>
  <c r="N76" i="12"/>
  <c r="I77" i="12"/>
  <c r="N77" i="12"/>
  <c r="E78" i="12"/>
  <c r="I78" i="12"/>
  <c r="N78" i="12"/>
  <c r="E79" i="12"/>
  <c r="I79" i="12"/>
  <c r="N79" i="12"/>
  <c r="E80" i="12"/>
  <c r="I80" i="12"/>
  <c r="N80" i="12"/>
  <c r="I81" i="12"/>
  <c r="E81" i="12"/>
  <c r="N81" i="12"/>
  <c r="I82" i="12"/>
  <c r="E82" i="12"/>
  <c r="N82" i="12"/>
  <c r="I83" i="12"/>
  <c r="N83" i="12"/>
  <c r="I84" i="12"/>
  <c r="N84" i="12"/>
  <c r="I85" i="12"/>
  <c r="N85" i="12"/>
  <c r="I86" i="12"/>
  <c r="N86" i="12"/>
  <c r="I87" i="12"/>
  <c r="N87" i="12"/>
  <c r="I88" i="12"/>
  <c r="N88" i="12"/>
  <c r="I89" i="12"/>
  <c r="N89" i="12"/>
  <c r="I90" i="12"/>
  <c r="N90" i="12"/>
  <c r="I91" i="12"/>
  <c r="N91" i="12"/>
  <c r="E92" i="12"/>
  <c r="I92" i="12"/>
  <c r="N92" i="12"/>
  <c r="E93" i="12"/>
  <c r="I93" i="12"/>
  <c r="N93" i="12"/>
  <c r="E94" i="12"/>
  <c r="I94" i="12"/>
  <c r="N94" i="12"/>
  <c r="I96" i="12"/>
  <c r="E96" i="12"/>
  <c r="N96" i="12"/>
  <c r="I97" i="12"/>
  <c r="E97" i="12"/>
  <c r="N97" i="12"/>
  <c r="I98" i="12"/>
  <c r="E98" i="12"/>
  <c r="N98" i="12"/>
  <c r="I99" i="12"/>
  <c r="E99" i="12"/>
  <c r="N99" i="12"/>
  <c r="N101" i="12"/>
  <c r="S12" i="12"/>
  <c r="J12" i="12"/>
  <c r="O12" i="12"/>
  <c r="J13" i="12"/>
  <c r="O13" i="12"/>
  <c r="J14" i="12"/>
  <c r="O14" i="12"/>
  <c r="J15" i="12"/>
  <c r="O15" i="12"/>
  <c r="J16" i="12"/>
  <c r="O16" i="12"/>
  <c r="J17" i="12"/>
  <c r="O17" i="12"/>
  <c r="J18" i="12"/>
  <c r="O18" i="12"/>
  <c r="J19" i="12"/>
  <c r="O19" i="12"/>
  <c r="J20" i="12"/>
  <c r="O20" i="12"/>
  <c r="J21" i="12"/>
  <c r="O21" i="12"/>
  <c r="J22" i="12"/>
  <c r="O22" i="12"/>
  <c r="J23" i="12"/>
  <c r="O23" i="12"/>
  <c r="J24" i="12"/>
  <c r="O24" i="12"/>
  <c r="J25" i="12"/>
  <c r="O25" i="12"/>
  <c r="J26" i="12"/>
  <c r="O26" i="12"/>
  <c r="J27" i="12"/>
  <c r="O27" i="12"/>
  <c r="J28" i="12"/>
  <c r="O28" i="12"/>
  <c r="J29" i="12"/>
  <c r="O29" i="12"/>
  <c r="J30" i="12"/>
  <c r="O30" i="12"/>
  <c r="J31" i="12"/>
  <c r="O31" i="12"/>
  <c r="J32" i="12"/>
  <c r="O32" i="12"/>
  <c r="J33" i="12"/>
  <c r="O33" i="12"/>
  <c r="J34" i="12"/>
  <c r="O34" i="12"/>
  <c r="J35" i="12"/>
  <c r="O35" i="12"/>
  <c r="J36" i="12"/>
  <c r="O36" i="12"/>
  <c r="J37" i="12"/>
  <c r="O37" i="12"/>
  <c r="J38" i="12"/>
  <c r="O38" i="12"/>
  <c r="J39" i="12"/>
  <c r="O39" i="12"/>
  <c r="J40" i="12"/>
  <c r="O40" i="12"/>
  <c r="J41" i="12"/>
  <c r="O41" i="12"/>
  <c r="J42" i="12"/>
  <c r="O42" i="12"/>
  <c r="J43" i="12"/>
  <c r="O43" i="12"/>
  <c r="J44" i="12"/>
  <c r="O44" i="12"/>
  <c r="J45" i="12"/>
  <c r="O45" i="12"/>
  <c r="J46" i="12"/>
  <c r="O46" i="12"/>
  <c r="J47" i="12"/>
  <c r="O47" i="12"/>
  <c r="J48" i="12"/>
  <c r="O48" i="12"/>
  <c r="J49" i="12"/>
  <c r="O49" i="12"/>
  <c r="J50" i="12"/>
  <c r="O50" i="12"/>
  <c r="J51" i="12"/>
  <c r="O51" i="12"/>
  <c r="J52" i="12"/>
  <c r="O52" i="12"/>
  <c r="J53" i="12"/>
  <c r="O53" i="12"/>
  <c r="J54" i="12"/>
  <c r="O54" i="12"/>
  <c r="J55" i="12"/>
  <c r="O55" i="12"/>
  <c r="J56" i="12"/>
  <c r="O56" i="12"/>
  <c r="J57" i="12"/>
  <c r="O57" i="12"/>
  <c r="J58" i="12"/>
  <c r="O58" i="12"/>
  <c r="J59" i="12"/>
  <c r="O59" i="12"/>
  <c r="J60" i="12"/>
  <c r="O60" i="12"/>
  <c r="J61" i="12"/>
  <c r="O61" i="12"/>
  <c r="J62" i="12"/>
  <c r="O62" i="12"/>
  <c r="J63" i="12"/>
  <c r="O63" i="12"/>
  <c r="J65" i="12"/>
  <c r="O65" i="12"/>
  <c r="J66" i="12"/>
  <c r="O66" i="12"/>
  <c r="J67" i="12"/>
  <c r="O67" i="12"/>
  <c r="J68" i="12"/>
  <c r="O68" i="12"/>
  <c r="J69" i="12"/>
  <c r="O69" i="12"/>
  <c r="J70" i="12"/>
  <c r="O70" i="12"/>
  <c r="J71" i="12"/>
  <c r="O71" i="12"/>
  <c r="J72" i="12"/>
  <c r="O72" i="12"/>
  <c r="J73" i="12"/>
  <c r="O73" i="12"/>
  <c r="J74" i="12"/>
  <c r="O74" i="12"/>
  <c r="J75" i="12"/>
  <c r="O75" i="12"/>
  <c r="J76" i="12"/>
  <c r="O76" i="12"/>
  <c r="J77" i="12"/>
  <c r="O77" i="12"/>
  <c r="J78" i="12"/>
  <c r="O78" i="12"/>
  <c r="J79" i="12"/>
  <c r="O79" i="12"/>
  <c r="J80" i="12"/>
  <c r="O80" i="12"/>
  <c r="J81" i="12"/>
  <c r="O81" i="12"/>
  <c r="J82" i="12"/>
  <c r="O82" i="12"/>
  <c r="J83" i="12"/>
  <c r="O83" i="12"/>
  <c r="J84" i="12"/>
  <c r="O84" i="12"/>
  <c r="J85" i="12"/>
  <c r="O85" i="12"/>
  <c r="J86" i="12"/>
  <c r="O86" i="12"/>
  <c r="J87" i="12"/>
  <c r="O87" i="12"/>
  <c r="J88" i="12"/>
  <c r="O88" i="12"/>
  <c r="J89" i="12"/>
  <c r="O89" i="12"/>
  <c r="J90" i="12"/>
  <c r="O90" i="12"/>
  <c r="J91" i="12"/>
  <c r="O91" i="12"/>
  <c r="J92" i="12"/>
  <c r="O92" i="12"/>
  <c r="J93" i="12"/>
  <c r="O93" i="12"/>
  <c r="J94" i="12"/>
  <c r="O94" i="12"/>
  <c r="J96" i="12"/>
  <c r="O96" i="12"/>
  <c r="J97" i="12"/>
  <c r="O97" i="12"/>
  <c r="J98" i="12"/>
  <c r="O98" i="12"/>
  <c r="J99" i="12"/>
  <c r="O99" i="12"/>
  <c r="O101" i="12"/>
  <c r="T12" i="12"/>
  <c r="K12" i="12"/>
  <c r="P12" i="12"/>
  <c r="K13" i="12"/>
  <c r="P13" i="12"/>
  <c r="K14" i="12"/>
  <c r="P14" i="12"/>
  <c r="K15" i="12"/>
  <c r="P15" i="12"/>
  <c r="K16" i="12"/>
  <c r="P16" i="12"/>
  <c r="K17" i="12"/>
  <c r="P17" i="12"/>
  <c r="K18" i="12"/>
  <c r="P18" i="12"/>
  <c r="K19" i="12"/>
  <c r="P19" i="12"/>
  <c r="K20" i="12"/>
  <c r="P20" i="12"/>
  <c r="K21" i="12"/>
  <c r="P21" i="12"/>
  <c r="K22" i="12"/>
  <c r="P22" i="12"/>
  <c r="K23" i="12"/>
  <c r="P23" i="12"/>
  <c r="K24" i="12"/>
  <c r="P24" i="12"/>
  <c r="K25" i="12"/>
  <c r="P25" i="12"/>
  <c r="K26" i="12"/>
  <c r="P26" i="12"/>
  <c r="K27" i="12"/>
  <c r="P27" i="12"/>
  <c r="K28" i="12"/>
  <c r="P28" i="12"/>
  <c r="K29" i="12"/>
  <c r="P29" i="12"/>
  <c r="K30" i="12"/>
  <c r="P30" i="12"/>
  <c r="K31" i="12"/>
  <c r="P31" i="12"/>
  <c r="K32" i="12"/>
  <c r="P32" i="12"/>
  <c r="K33" i="12"/>
  <c r="P33" i="12"/>
  <c r="K34" i="12"/>
  <c r="P34" i="12"/>
  <c r="K35" i="12"/>
  <c r="P35" i="12"/>
  <c r="K36" i="12"/>
  <c r="P36" i="12"/>
  <c r="K37" i="12"/>
  <c r="P37" i="12"/>
  <c r="K38" i="12"/>
  <c r="P38" i="12"/>
  <c r="K39" i="12"/>
  <c r="P39" i="12"/>
  <c r="K40" i="12"/>
  <c r="P40" i="12"/>
  <c r="K41" i="12"/>
  <c r="P41" i="12"/>
  <c r="K42" i="12"/>
  <c r="P42" i="12"/>
  <c r="K43" i="12"/>
  <c r="P43" i="12"/>
  <c r="K44" i="12"/>
  <c r="P44" i="12"/>
  <c r="K45" i="12"/>
  <c r="P45" i="12"/>
  <c r="K46" i="12"/>
  <c r="P46" i="12"/>
  <c r="K47" i="12"/>
  <c r="P47" i="12"/>
  <c r="K48" i="12"/>
  <c r="P48" i="12"/>
  <c r="K49" i="12"/>
  <c r="P49" i="12"/>
  <c r="K50" i="12"/>
  <c r="P50" i="12"/>
  <c r="K51" i="12"/>
  <c r="P51" i="12"/>
  <c r="K52" i="12"/>
  <c r="P52" i="12"/>
  <c r="K53" i="12"/>
  <c r="P53" i="12"/>
  <c r="K54" i="12"/>
  <c r="P54" i="12"/>
  <c r="K55" i="12"/>
  <c r="P55" i="12"/>
  <c r="K56" i="12"/>
  <c r="P56" i="12"/>
  <c r="K57" i="12"/>
  <c r="P57" i="12"/>
  <c r="K58" i="12"/>
  <c r="P58" i="12"/>
  <c r="K59" i="12"/>
  <c r="P59" i="12"/>
  <c r="K60" i="12"/>
  <c r="P60" i="12"/>
  <c r="K61" i="12"/>
  <c r="P61" i="12"/>
  <c r="K62" i="12"/>
  <c r="P62" i="12"/>
  <c r="K63" i="12"/>
  <c r="P63" i="12"/>
  <c r="K65" i="12"/>
  <c r="P65" i="12"/>
  <c r="K66" i="12"/>
  <c r="P66" i="12"/>
  <c r="K67" i="12"/>
  <c r="P67" i="12"/>
  <c r="K68" i="12"/>
  <c r="P68" i="12"/>
  <c r="K69" i="12"/>
  <c r="P69" i="12"/>
  <c r="K70" i="12"/>
  <c r="P70" i="12"/>
  <c r="K71" i="12"/>
  <c r="P71" i="12"/>
  <c r="K72" i="12"/>
  <c r="P72" i="12"/>
  <c r="K73" i="12"/>
  <c r="P73" i="12"/>
  <c r="K74" i="12"/>
  <c r="P74" i="12"/>
  <c r="K75" i="12"/>
  <c r="P75" i="12"/>
  <c r="K76" i="12"/>
  <c r="P76" i="12"/>
  <c r="K77" i="12"/>
  <c r="P77" i="12"/>
  <c r="K78" i="12"/>
  <c r="P78" i="12"/>
  <c r="K79" i="12"/>
  <c r="P79" i="12"/>
  <c r="K80" i="12"/>
  <c r="P80" i="12"/>
  <c r="K81" i="12"/>
  <c r="P81" i="12"/>
  <c r="K82" i="12"/>
  <c r="P82" i="12"/>
  <c r="K83" i="12"/>
  <c r="P83" i="12"/>
  <c r="K84" i="12"/>
  <c r="P84" i="12"/>
  <c r="K85" i="12"/>
  <c r="P85" i="12"/>
  <c r="K86" i="12"/>
  <c r="P86" i="12"/>
  <c r="K87" i="12"/>
  <c r="P87" i="12"/>
  <c r="K88" i="12"/>
  <c r="P88" i="12"/>
  <c r="K89" i="12"/>
  <c r="P89" i="12"/>
  <c r="K90" i="12"/>
  <c r="P90" i="12"/>
  <c r="K91" i="12"/>
  <c r="P91" i="12"/>
  <c r="K92" i="12"/>
  <c r="P92" i="12"/>
  <c r="K93" i="12"/>
  <c r="P93" i="12"/>
  <c r="K94" i="12"/>
  <c r="P94" i="12"/>
  <c r="K96" i="12"/>
  <c r="P96" i="12"/>
  <c r="K97" i="12"/>
  <c r="P97" i="12"/>
  <c r="K98" i="12"/>
  <c r="P98" i="12"/>
  <c r="K99" i="12"/>
  <c r="P99" i="12"/>
  <c r="P101" i="12"/>
  <c r="U12" i="12"/>
  <c r="V12" i="12"/>
  <c r="L12" i="12"/>
  <c r="X12" i="12"/>
  <c r="K281" i="13"/>
  <c r="L93" i="11"/>
  <c r="U93" i="11"/>
  <c r="AG93" i="11"/>
  <c r="J281" i="13"/>
  <c r="K93" i="11"/>
  <c r="T93" i="11"/>
  <c r="AF93" i="11"/>
  <c r="I281" i="13"/>
  <c r="J93" i="11"/>
  <c r="S93" i="11"/>
  <c r="AE93" i="11"/>
  <c r="H281" i="13"/>
  <c r="I93" i="11"/>
  <c r="R93" i="11"/>
  <c r="AD93" i="11"/>
  <c r="L92" i="11"/>
  <c r="U92" i="11"/>
  <c r="AG92" i="11"/>
  <c r="K92" i="11"/>
  <c r="T92" i="11"/>
  <c r="AF92" i="11"/>
  <c r="J92" i="11"/>
  <c r="S92" i="11"/>
  <c r="AE92" i="11"/>
  <c r="I92" i="11"/>
  <c r="R92" i="11"/>
  <c r="AD92" i="11"/>
  <c r="L91" i="11"/>
  <c r="U91" i="11"/>
  <c r="AG91" i="11"/>
  <c r="K91" i="11"/>
  <c r="T91" i="11"/>
  <c r="AF91" i="11"/>
  <c r="J91" i="11"/>
  <c r="S91" i="11"/>
  <c r="AE91" i="11"/>
  <c r="I91" i="11"/>
  <c r="R91" i="11"/>
  <c r="AD91" i="11"/>
  <c r="L90" i="11"/>
  <c r="U90" i="11"/>
  <c r="AG90" i="11"/>
  <c r="K90" i="11"/>
  <c r="T90" i="11"/>
  <c r="AF90" i="11"/>
  <c r="J90" i="11"/>
  <c r="S90" i="11"/>
  <c r="AE90" i="11"/>
  <c r="I90" i="11"/>
  <c r="R90" i="11"/>
  <c r="AD90" i="11"/>
  <c r="L89" i="11"/>
  <c r="U89" i="11"/>
  <c r="AG89" i="11"/>
  <c r="K89" i="11"/>
  <c r="T89" i="11"/>
  <c r="AF89" i="11"/>
  <c r="J89" i="11"/>
  <c r="S89" i="11"/>
  <c r="AE89" i="11"/>
  <c r="I89" i="11"/>
  <c r="R89" i="11"/>
  <c r="AD89" i="11"/>
  <c r="L88" i="11"/>
  <c r="U88" i="11"/>
  <c r="AG88" i="11"/>
  <c r="K88" i="11"/>
  <c r="T88" i="11"/>
  <c r="AF88" i="11"/>
  <c r="J88" i="11"/>
  <c r="S88" i="11"/>
  <c r="AE88" i="11"/>
  <c r="I88" i="11"/>
  <c r="R88" i="11"/>
  <c r="AD88" i="11"/>
  <c r="L87" i="11"/>
  <c r="U87" i="11"/>
  <c r="AG87" i="11"/>
  <c r="K87" i="11"/>
  <c r="T87" i="11"/>
  <c r="AF87" i="11"/>
  <c r="J87" i="11"/>
  <c r="S87" i="11"/>
  <c r="AE87" i="11"/>
  <c r="I87" i="11"/>
  <c r="R87" i="11"/>
  <c r="AD87" i="11"/>
  <c r="L86" i="11"/>
  <c r="U86" i="11"/>
  <c r="AG86" i="11"/>
  <c r="K86" i="11"/>
  <c r="T86" i="11"/>
  <c r="AF86" i="11"/>
  <c r="J86" i="11"/>
  <c r="S86" i="11"/>
  <c r="AE86" i="11"/>
  <c r="I86" i="11"/>
  <c r="R86" i="11"/>
  <c r="AD86" i="11"/>
  <c r="L85" i="11"/>
  <c r="U85" i="11"/>
  <c r="AG85" i="11"/>
  <c r="K85" i="11"/>
  <c r="T85" i="11"/>
  <c r="AF85" i="11"/>
  <c r="J85" i="11"/>
  <c r="S85" i="11"/>
  <c r="AE85" i="11"/>
  <c r="I85" i="11"/>
  <c r="R85" i="11"/>
  <c r="AD85" i="11"/>
  <c r="L84" i="11"/>
  <c r="U84" i="11"/>
  <c r="AG84" i="11"/>
  <c r="K84" i="11"/>
  <c r="T84" i="11"/>
  <c r="AF84" i="11"/>
  <c r="J84" i="11"/>
  <c r="S84" i="11"/>
  <c r="AE84" i="11"/>
  <c r="I84" i="11"/>
  <c r="R84" i="11"/>
  <c r="AD84" i="11"/>
  <c r="L83" i="11"/>
  <c r="U83" i="11"/>
  <c r="AG83" i="11"/>
  <c r="K83" i="11"/>
  <c r="T83" i="11"/>
  <c r="AF83" i="11"/>
  <c r="J83" i="11"/>
  <c r="S83" i="11"/>
  <c r="AE83" i="11"/>
  <c r="I83" i="11"/>
  <c r="R83" i="11"/>
  <c r="AD83" i="11"/>
  <c r="L82" i="11"/>
  <c r="U82" i="11"/>
  <c r="AG82" i="11"/>
  <c r="K82" i="11"/>
  <c r="T82" i="11"/>
  <c r="AF82" i="11"/>
  <c r="J82" i="11"/>
  <c r="S82" i="11"/>
  <c r="AE82" i="11"/>
  <c r="I82" i="11"/>
  <c r="R82" i="11"/>
  <c r="AD82" i="11"/>
  <c r="L81" i="11"/>
  <c r="U81" i="11"/>
  <c r="AG81" i="11"/>
  <c r="K81" i="11"/>
  <c r="T81" i="11"/>
  <c r="AF81" i="11"/>
  <c r="J81" i="11"/>
  <c r="S81" i="11"/>
  <c r="AE81" i="11"/>
  <c r="I81" i="11"/>
  <c r="R81" i="11"/>
  <c r="AD81" i="11"/>
  <c r="L80" i="11"/>
  <c r="U80" i="11"/>
  <c r="AG80" i="11"/>
  <c r="K80" i="11"/>
  <c r="T80" i="11"/>
  <c r="AF80" i="11"/>
  <c r="J80" i="11"/>
  <c r="S80" i="11"/>
  <c r="AE80" i="11"/>
  <c r="I80" i="11"/>
  <c r="R80" i="11"/>
  <c r="AD80" i="11"/>
  <c r="L79" i="11"/>
  <c r="U79" i="11"/>
  <c r="AG79" i="11"/>
  <c r="K79" i="11"/>
  <c r="T79" i="11"/>
  <c r="AF79" i="11"/>
  <c r="J79" i="11"/>
  <c r="S79" i="11"/>
  <c r="AE79" i="11"/>
  <c r="I79" i="11"/>
  <c r="R79" i="11"/>
  <c r="AD79" i="11"/>
  <c r="L78" i="11"/>
  <c r="U78" i="11"/>
  <c r="AG78" i="11"/>
  <c r="K78" i="11"/>
  <c r="T78" i="11"/>
  <c r="AF78" i="11"/>
  <c r="J78" i="11"/>
  <c r="S78" i="11"/>
  <c r="AE78" i="11"/>
  <c r="I78" i="11"/>
  <c r="R78" i="11"/>
  <c r="AD78" i="11"/>
  <c r="L77" i="11"/>
  <c r="U77" i="11"/>
  <c r="AG77" i="11"/>
  <c r="K77" i="11"/>
  <c r="T77" i="11"/>
  <c r="AF77" i="11"/>
  <c r="J77" i="11"/>
  <c r="S77" i="11"/>
  <c r="AE77" i="11"/>
  <c r="I77" i="11"/>
  <c r="R77" i="11"/>
  <c r="AD77" i="11"/>
  <c r="L76" i="11"/>
  <c r="U76" i="11"/>
  <c r="AG76" i="11"/>
  <c r="K76" i="11"/>
  <c r="T76" i="11"/>
  <c r="AF76" i="11"/>
  <c r="J76" i="11"/>
  <c r="S76" i="11"/>
  <c r="AE76" i="11"/>
  <c r="I76" i="11"/>
  <c r="R76" i="11"/>
  <c r="AD76" i="11"/>
  <c r="L75" i="11"/>
  <c r="U75" i="11"/>
  <c r="AG75" i="11"/>
  <c r="K75" i="11"/>
  <c r="T75" i="11"/>
  <c r="AF75" i="11"/>
  <c r="J75" i="11"/>
  <c r="S75" i="11"/>
  <c r="AE75" i="11"/>
  <c r="I75" i="11"/>
  <c r="R75" i="11"/>
  <c r="AD75" i="11"/>
  <c r="L74" i="11"/>
  <c r="U74" i="11"/>
  <c r="AG74" i="11"/>
  <c r="K74" i="11"/>
  <c r="T74" i="11"/>
  <c r="AF74" i="11"/>
  <c r="J74" i="11"/>
  <c r="S74" i="11"/>
  <c r="AE74" i="11"/>
  <c r="I74" i="11"/>
  <c r="R74" i="11"/>
  <c r="AD74" i="11"/>
  <c r="L73" i="11"/>
  <c r="U73" i="11"/>
  <c r="AG73" i="11"/>
  <c r="K73" i="11"/>
  <c r="T73" i="11"/>
  <c r="AF73" i="11"/>
  <c r="J73" i="11"/>
  <c r="S73" i="11"/>
  <c r="AE73" i="11"/>
  <c r="I73" i="11"/>
  <c r="R73" i="11"/>
  <c r="AD73" i="11"/>
  <c r="L72" i="11"/>
  <c r="U72" i="11"/>
  <c r="AG72" i="11"/>
  <c r="K72" i="11"/>
  <c r="T72" i="11"/>
  <c r="AF72" i="11"/>
  <c r="J72" i="11"/>
  <c r="S72" i="11"/>
  <c r="AE72" i="11"/>
  <c r="I72" i="11"/>
  <c r="R72" i="11"/>
  <c r="AD72" i="11"/>
  <c r="L71" i="11"/>
  <c r="U71" i="11"/>
  <c r="AG71" i="11"/>
  <c r="K71" i="11"/>
  <c r="T71" i="11"/>
  <c r="AF71" i="11"/>
  <c r="J71" i="11"/>
  <c r="S71" i="11"/>
  <c r="AE71" i="11"/>
  <c r="I71" i="11"/>
  <c r="R71" i="11"/>
  <c r="AD71" i="11"/>
  <c r="L70" i="11"/>
  <c r="U70" i="11"/>
  <c r="AG70" i="11"/>
  <c r="K70" i="11"/>
  <c r="T70" i="11"/>
  <c r="AF70" i="11"/>
  <c r="J70" i="11"/>
  <c r="S70" i="11"/>
  <c r="AE70" i="11"/>
  <c r="I70" i="11"/>
  <c r="R70" i="11"/>
  <c r="AD70" i="11"/>
  <c r="L69" i="11"/>
  <c r="U69" i="11"/>
  <c r="AG69" i="11"/>
  <c r="K69" i="11"/>
  <c r="T69" i="11"/>
  <c r="AF69" i="11"/>
  <c r="J69" i="11"/>
  <c r="S69" i="11"/>
  <c r="AE69" i="11"/>
  <c r="I69" i="11"/>
  <c r="R69" i="11"/>
  <c r="AD69" i="11"/>
  <c r="L68" i="11"/>
  <c r="U68" i="11"/>
  <c r="AG68" i="11"/>
  <c r="K68" i="11"/>
  <c r="T68" i="11"/>
  <c r="AF68" i="11"/>
  <c r="J68" i="11"/>
  <c r="S68" i="11"/>
  <c r="AE68" i="11"/>
  <c r="I68" i="11"/>
  <c r="R68" i="11"/>
  <c r="AD68" i="11"/>
  <c r="L67" i="11"/>
  <c r="U67" i="11"/>
  <c r="AG67" i="11"/>
  <c r="K67" i="11"/>
  <c r="T67" i="11"/>
  <c r="AF67" i="11"/>
  <c r="J67" i="11"/>
  <c r="S67" i="11"/>
  <c r="AE67" i="11"/>
  <c r="I67" i="11"/>
  <c r="R67" i="11"/>
  <c r="AD67" i="11"/>
  <c r="L66" i="11"/>
  <c r="U66" i="11"/>
  <c r="AG66" i="11"/>
  <c r="K66" i="11"/>
  <c r="T66" i="11"/>
  <c r="AF66" i="11"/>
  <c r="J66" i="11"/>
  <c r="S66" i="11"/>
  <c r="AE66" i="11"/>
  <c r="I66" i="11"/>
  <c r="R66" i="11"/>
  <c r="AD66" i="11"/>
  <c r="L65" i="11"/>
  <c r="U65" i="11"/>
  <c r="AG65" i="11"/>
  <c r="K65" i="11"/>
  <c r="T65" i="11"/>
  <c r="AF65" i="11"/>
  <c r="J65" i="11"/>
  <c r="S65" i="11"/>
  <c r="AE65" i="11"/>
  <c r="I65" i="11"/>
  <c r="R65" i="11"/>
  <c r="AD65" i="11"/>
  <c r="L64" i="11"/>
  <c r="U64" i="11"/>
  <c r="AG64" i="11"/>
  <c r="K64" i="11"/>
  <c r="T64" i="11"/>
  <c r="AF64" i="11"/>
  <c r="J64" i="11"/>
  <c r="S64" i="11"/>
  <c r="AE64" i="11"/>
  <c r="I64" i="11"/>
  <c r="R64" i="11"/>
  <c r="AD64" i="11"/>
  <c r="L98" i="11"/>
  <c r="U98" i="11"/>
  <c r="AG98" i="11"/>
  <c r="K98" i="11"/>
  <c r="T98" i="11"/>
  <c r="AF98" i="11"/>
  <c r="J98" i="11"/>
  <c r="S98" i="11"/>
  <c r="AE98" i="11"/>
  <c r="I98" i="11"/>
  <c r="R98" i="11"/>
  <c r="AD98" i="11"/>
  <c r="L97" i="11"/>
  <c r="U97" i="11"/>
  <c r="AG97" i="11"/>
  <c r="K97" i="11"/>
  <c r="T97" i="11"/>
  <c r="AF97" i="11"/>
  <c r="J97" i="11"/>
  <c r="S97" i="11"/>
  <c r="AE97" i="11"/>
  <c r="I97" i="11"/>
  <c r="R97" i="11"/>
  <c r="AD97" i="11"/>
  <c r="L96" i="11"/>
  <c r="U96" i="11"/>
  <c r="AG96" i="11"/>
  <c r="K96" i="11"/>
  <c r="T96" i="11"/>
  <c r="AF96" i="11"/>
  <c r="J96" i="11"/>
  <c r="S96" i="11"/>
  <c r="AE96" i="11"/>
  <c r="I96" i="11"/>
  <c r="R96" i="11"/>
  <c r="AD96" i="11"/>
  <c r="L95" i="11"/>
  <c r="U95" i="11"/>
  <c r="AG95" i="11"/>
  <c r="K95" i="11"/>
  <c r="T95" i="11"/>
  <c r="AF95" i="11"/>
  <c r="J95" i="11"/>
  <c r="S95" i="11"/>
  <c r="AE95" i="11"/>
  <c r="I95" i="11"/>
  <c r="R95" i="11"/>
  <c r="AD95" i="11"/>
  <c r="L62" i="11"/>
  <c r="U62" i="11"/>
  <c r="AG62" i="11"/>
  <c r="K62" i="11"/>
  <c r="T62" i="11"/>
  <c r="AF62" i="11"/>
  <c r="J62" i="11"/>
  <c r="S62" i="11"/>
  <c r="AE62" i="11"/>
  <c r="I62" i="11"/>
  <c r="R62" i="11"/>
  <c r="AD62" i="11"/>
  <c r="L61" i="11"/>
  <c r="U61" i="11"/>
  <c r="AG61" i="11"/>
  <c r="K61" i="11"/>
  <c r="T61" i="11"/>
  <c r="AF61" i="11"/>
  <c r="J61" i="11"/>
  <c r="S61" i="11"/>
  <c r="AE61" i="11"/>
  <c r="I61" i="11"/>
  <c r="R61" i="11"/>
  <c r="AD61" i="11"/>
  <c r="L60" i="11"/>
  <c r="U60" i="11"/>
  <c r="AG60" i="11"/>
  <c r="K60" i="11"/>
  <c r="T60" i="11"/>
  <c r="AF60" i="11"/>
  <c r="J60" i="11"/>
  <c r="S60" i="11"/>
  <c r="AE60" i="11"/>
  <c r="I60" i="11"/>
  <c r="R60" i="11"/>
  <c r="AD60" i="11"/>
  <c r="L59" i="11"/>
  <c r="U59" i="11"/>
  <c r="AG59" i="11"/>
  <c r="K59" i="11"/>
  <c r="T59" i="11"/>
  <c r="AF59" i="11"/>
  <c r="J59" i="11"/>
  <c r="S59" i="11"/>
  <c r="AE59" i="11"/>
  <c r="I59" i="11"/>
  <c r="R59" i="11"/>
  <c r="AD59" i="11"/>
  <c r="L58" i="11"/>
  <c r="U58" i="11"/>
  <c r="AG58" i="11"/>
  <c r="K58" i="11"/>
  <c r="T58" i="11"/>
  <c r="AF58" i="11"/>
  <c r="J58" i="11"/>
  <c r="S58" i="11"/>
  <c r="AE58" i="11"/>
  <c r="I58" i="11"/>
  <c r="R58" i="11"/>
  <c r="AD58" i="11"/>
  <c r="L57" i="11"/>
  <c r="U57" i="11"/>
  <c r="AG57" i="11"/>
  <c r="K57" i="11"/>
  <c r="T57" i="11"/>
  <c r="AF57" i="11"/>
  <c r="J57" i="11"/>
  <c r="S57" i="11"/>
  <c r="AE57" i="11"/>
  <c r="I57" i="11"/>
  <c r="R57" i="11"/>
  <c r="AD57" i="11"/>
  <c r="L56" i="11"/>
  <c r="U56" i="11"/>
  <c r="AG56" i="11"/>
  <c r="K56" i="11"/>
  <c r="T56" i="11"/>
  <c r="AF56" i="11"/>
  <c r="J56" i="11"/>
  <c r="S56" i="11"/>
  <c r="AE56" i="11"/>
  <c r="I56" i="11"/>
  <c r="R56" i="11"/>
  <c r="AD56" i="11"/>
  <c r="L55" i="11"/>
  <c r="U55" i="11"/>
  <c r="AG55" i="11"/>
  <c r="K55" i="11"/>
  <c r="T55" i="11"/>
  <c r="AF55" i="11"/>
  <c r="J55" i="11"/>
  <c r="S55" i="11"/>
  <c r="AE55" i="11"/>
  <c r="I55" i="11"/>
  <c r="R55" i="11"/>
  <c r="AD55" i="11"/>
  <c r="L54" i="11"/>
  <c r="U54" i="11"/>
  <c r="AG54" i="11"/>
  <c r="K54" i="11"/>
  <c r="T54" i="11"/>
  <c r="AF54" i="11"/>
  <c r="J54" i="11"/>
  <c r="S54" i="11"/>
  <c r="AE54" i="11"/>
  <c r="I54" i="11"/>
  <c r="R54" i="11"/>
  <c r="AD54" i="11"/>
  <c r="L53" i="11"/>
  <c r="U53" i="11"/>
  <c r="AG53" i="11"/>
  <c r="K53" i="11"/>
  <c r="T53" i="11"/>
  <c r="AF53" i="11"/>
  <c r="J53" i="11"/>
  <c r="S53" i="11"/>
  <c r="AE53" i="11"/>
  <c r="I53" i="11"/>
  <c r="R53" i="11"/>
  <c r="AD53" i="11"/>
  <c r="L52" i="11"/>
  <c r="U52" i="11"/>
  <c r="AG52" i="11"/>
  <c r="K52" i="11"/>
  <c r="T52" i="11"/>
  <c r="AF52" i="11"/>
  <c r="J52" i="11"/>
  <c r="S52" i="11"/>
  <c r="AE52" i="11"/>
  <c r="I52" i="11"/>
  <c r="R52" i="11"/>
  <c r="AD52" i="11"/>
  <c r="L51" i="11"/>
  <c r="U51" i="11"/>
  <c r="AG51" i="11"/>
  <c r="K51" i="11"/>
  <c r="T51" i="11"/>
  <c r="AF51" i="11"/>
  <c r="J51" i="11"/>
  <c r="S51" i="11"/>
  <c r="AE51" i="11"/>
  <c r="I51" i="11"/>
  <c r="R51" i="11"/>
  <c r="AD51" i="11"/>
  <c r="L50" i="11"/>
  <c r="U50" i="11"/>
  <c r="AG50" i="11"/>
  <c r="K50" i="11"/>
  <c r="T50" i="11"/>
  <c r="AF50" i="11"/>
  <c r="J50" i="11"/>
  <c r="S50" i="11"/>
  <c r="AE50" i="11"/>
  <c r="I50" i="11"/>
  <c r="R50" i="11"/>
  <c r="AD50" i="11"/>
  <c r="L49" i="11"/>
  <c r="U49" i="11"/>
  <c r="AG49" i="11"/>
  <c r="K49" i="11"/>
  <c r="T49" i="11"/>
  <c r="AF49" i="11"/>
  <c r="J49" i="11"/>
  <c r="S49" i="11"/>
  <c r="AE49" i="11"/>
  <c r="I49" i="11"/>
  <c r="R49" i="11"/>
  <c r="AD49" i="11"/>
  <c r="L48" i="11"/>
  <c r="U48" i="11"/>
  <c r="AG48" i="11"/>
  <c r="K48" i="11"/>
  <c r="T48" i="11"/>
  <c r="AF48" i="11"/>
  <c r="J48" i="11"/>
  <c r="S48" i="11"/>
  <c r="AE48" i="11"/>
  <c r="I48" i="11"/>
  <c r="R48" i="11"/>
  <c r="AD48" i="11"/>
  <c r="L47" i="11"/>
  <c r="U47" i="11"/>
  <c r="AG47" i="11"/>
  <c r="K47" i="11"/>
  <c r="T47" i="11"/>
  <c r="AF47" i="11"/>
  <c r="J47" i="11"/>
  <c r="S47" i="11"/>
  <c r="AE47" i="11"/>
  <c r="I47" i="11"/>
  <c r="R47" i="11"/>
  <c r="AD47" i="11"/>
  <c r="L46" i="11"/>
  <c r="U46" i="11"/>
  <c r="AG46" i="11"/>
  <c r="K46" i="11"/>
  <c r="T46" i="11"/>
  <c r="AF46" i="11"/>
  <c r="J46" i="11"/>
  <c r="S46" i="11"/>
  <c r="AE46" i="11"/>
  <c r="I46" i="11"/>
  <c r="R46" i="11"/>
  <c r="AD46" i="11"/>
  <c r="L45" i="11"/>
  <c r="U45" i="11"/>
  <c r="AG45" i="11"/>
  <c r="K45" i="11"/>
  <c r="T45" i="11"/>
  <c r="AF45" i="11"/>
  <c r="J45" i="11"/>
  <c r="S45" i="11"/>
  <c r="AE45" i="11"/>
  <c r="I45" i="11"/>
  <c r="R45" i="11"/>
  <c r="AD45" i="11"/>
  <c r="L44" i="11"/>
  <c r="U44" i="11"/>
  <c r="AG44" i="11"/>
  <c r="K44" i="11"/>
  <c r="T44" i="11"/>
  <c r="AF44" i="11"/>
  <c r="J44" i="11"/>
  <c r="S44" i="11"/>
  <c r="AE44" i="11"/>
  <c r="I44" i="11"/>
  <c r="R44" i="11"/>
  <c r="AD44" i="11"/>
  <c r="L43" i="11"/>
  <c r="U43" i="11"/>
  <c r="AG43" i="11"/>
  <c r="K43" i="11"/>
  <c r="T43" i="11"/>
  <c r="AF43" i="11"/>
  <c r="J43" i="11"/>
  <c r="S43" i="11"/>
  <c r="AE43" i="11"/>
  <c r="I43" i="11"/>
  <c r="R43" i="11"/>
  <c r="AD43" i="11"/>
  <c r="L42" i="11"/>
  <c r="U42" i="11"/>
  <c r="AG42" i="11"/>
  <c r="K42" i="11"/>
  <c r="T42" i="11"/>
  <c r="AF42" i="11"/>
  <c r="J42" i="11"/>
  <c r="S42" i="11"/>
  <c r="AE42" i="11"/>
  <c r="I42" i="11"/>
  <c r="R42" i="11"/>
  <c r="AD42" i="11"/>
  <c r="L41" i="11"/>
  <c r="U41" i="11"/>
  <c r="AG41" i="11"/>
  <c r="K41" i="11"/>
  <c r="T41" i="11"/>
  <c r="AF41" i="11"/>
  <c r="J41" i="11"/>
  <c r="S41" i="11"/>
  <c r="AE41" i="11"/>
  <c r="I41" i="11"/>
  <c r="R41" i="11"/>
  <c r="AD41" i="11"/>
  <c r="L40" i="11"/>
  <c r="U40" i="11"/>
  <c r="AG40" i="11"/>
  <c r="K40" i="11"/>
  <c r="T40" i="11"/>
  <c r="AF40" i="11"/>
  <c r="J40" i="11"/>
  <c r="S40" i="11"/>
  <c r="AE40" i="11"/>
  <c r="I40" i="11"/>
  <c r="R40" i="11"/>
  <c r="AD40" i="11"/>
  <c r="L39" i="11"/>
  <c r="U39" i="11"/>
  <c r="AG39" i="11"/>
  <c r="K39" i="11"/>
  <c r="T39" i="11"/>
  <c r="AF39" i="11"/>
  <c r="J39" i="11"/>
  <c r="S39" i="11"/>
  <c r="AE39" i="11"/>
  <c r="I39" i="11"/>
  <c r="R39" i="11"/>
  <c r="AD39" i="11"/>
  <c r="L38" i="11"/>
  <c r="U38" i="11"/>
  <c r="AG38" i="11"/>
  <c r="K38" i="11"/>
  <c r="T38" i="11"/>
  <c r="AF38" i="11"/>
  <c r="J38" i="11"/>
  <c r="S38" i="11"/>
  <c r="AE38" i="11"/>
  <c r="I38" i="11"/>
  <c r="R38" i="11"/>
  <c r="AD38" i="11"/>
  <c r="L37" i="11"/>
  <c r="U37" i="11"/>
  <c r="AG37" i="11"/>
  <c r="K37" i="11"/>
  <c r="T37" i="11"/>
  <c r="AF37" i="11"/>
  <c r="J37" i="11"/>
  <c r="S37" i="11"/>
  <c r="AE37" i="11"/>
  <c r="I37" i="11"/>
  <c r="R37" i="11"/>
  <c r="AD37" i="11"/>
  <c r="L36" i="11"/>
  <c r="U36" i="11"/>
  <c r="AG36" i="11"/>
  <c r="K36" i="11"/>
  <c r="T36" i="11"/>
  <c r="AF36" i="11"/>
  <c r="J36" i="11"/>
  <c r="S36" i="11"/>
  <c r="AE36" i="11"/>
  <c r="I36" i="11"/>
  <c r="R36" i="11"/>
  <c r="AD36" i="11"/>
  <c r="L35" i="11"/>
  <c r="U35" i="11"/>
  <c r="AG35" i="11"/>
  <c r="K35" i="11"/>
  <c r="T35" i="11"/>
  <c r="AF35" i="11"/>
  <c r="J35" i="11"/>
  <c r="S35" i="11"/>
  <c r="AE35" i="11"/>
  <c r="I35" i="11"/>
  <c r="R35" i="11"/>
  <c r="AD35" i="11"/>
  <c r="L34" i="11"/>
  <c r="U34" i="11"/>
  <c r="AG34" i="11"/>
  <c r="K34" i="11"/>
  <c r="T34" i="11"/>
  <c r="AF34" i="11"/>
  <c r="J34" i="11"/>
  <c r="S34" i="11"/>
  <c r="AE34" i="11"/>
  <c r="I34" i="11"/>
  <c r="R34" i="11"/>
  <c r="AD34" i="11"/>
  <c r="L33" i="11"/>
  <c r="U33" i="11"/>
  <c r="AG33" i="11"/>
  <c r="K33" i="11"/>
  <c r="T33" i="11"/>
  <c r="AF33" i="11"/>
  <c r="J33" i="11"/>
  <c r="S33" i="11"/>
  <c r="AE33" i="11"/>
  <c r="I33" i="11"/>
  <c r="R33" i="11"/>
  <c r="AD33" i="11"/>
  <c r="L32" i="11"/>
  <c r="U32" i="11"/>
  <c r="AG32" i="11"/>
  <c r="K32" i="11"/>
  <c r="T32" i="11"/>
  <c r="AF32" i="11"/>
  <c r="J32" i="11"/>
  <c r="S32" i="11"/>
  <c r="AE32" i="11"/>
  <c r="I32" i="11"/>
  <c r="R32" i="11"/>
  <c r="AD32" i="11"/>
  <c r="L31" i="11"/>
  <c r="U31" i="11"/>
  <c r="AG31" i="11"/>
  <c r="K31" i="11"/>
  <c r="T31" i="11"/>
  <c r="AF31" i="11"/>
  <c r="J31" i="11"/>
  <c r="S31" i="11"/>
  <c r="AE31" i="11"/>
  <c r="I31" i="11"/>
  <c r="R31" i="11"/>
  <c r="AD31" i="11"/>
  <c r="L30" i="11"/>
  <c r="U30" i="11"/>
  <c r="AG30" i="11"/>
  <c r="K30" i="11"/>
  <c r="T30" i="11"/>
  <c r="AF30" i="11"/>
  <c r="J30" i="11"/>
  <c r="S30" i="11"/>
  <c r="AE30" i="11"/>
  <c r="I30" i="11"/>
  <c r="R30" i="11"/>
  <c r="AD30" i="11"/>
  <c r="L29" i="11"/>
  <c r="U29" i="11"/>
  <c r="AG29" i="11"/>
  <c r="K29" i="11"/>
  <c r="T29" i="11"/>
  <c r="AF29" i="11"/>
  <c r="J29" i="11"/>
  <c r="S29" i="11"/>
  <c r="AE29" i="11"/>
  <c r="I29" i="11"/>
  <c r="R29" i="11"/>
  <c r="AD29" i="11"/>
  <c r="L28" i="11"/>
  <c r="U28" i="11"/>
  <c r="AG28" i="11"/>
  <c r="K28" i="11"/>
  <c r="T28" i="11"/>
  <c r="AF28" i="11"/>
  <c r="J28" i="11"/>
  <c r="S28" i="11"/>
  <c r="AE28" i="11"/>
  <c r="I28" i="11"/>
  <c r="R28" i="11"/>
  <c r="AD28" i="11"/>
  <c r="L27" i="11"/>
  <c r="U27" i="11"/>
  <c r="AG27" i="11"/>
  <c r="K27" i="11"/>
  <c r="T27" i="11"/>
  <c r="AF27" i="11"/>
  <c r="J27" i="11"/>
  <c r="S27" i="11"/>
  <c r="AE27" i="11"/>
  <c r="I27" i="11"/>
  <c r="R27" i="11"/>
  <c r="AD27" i="11"/>
  <c r="L26" i="11"/>
  <c r="U26" i="11"/>
  <c r="AG26" i="11"/>
  <c r="K26" i="11"/>
  <c r="T26" i="11"/>
  <c r="AF26" i="11"/>
  <c r="J26" i="11"/>
  <c r="S26" i="11"/>
  <c r="AE26" i="11"/>
  <c r="I26" i="11"/>
  <c r="R26" i="11"/>
  <c r="AD26" i="11"/>
  <c r="L25" i="11"/>
  <c r="U25" i="11"/>
  <c r="AG25" i="11"/>
  <c r="K25" i="11"/>
  <c r="T25" i="11"/>
  <c r="AF25" i="11"/>
  <c r="J25" i="11"/>
  <c r="S25" i="11"/>
  <c r="AE25" i="11"/>
  <c r="I25" i="11"/>
  <c r="R25" i="11"/>
  <c r="AD25" i="11"/>
  <c r="L24" i="11"/>
  <c r="U24" i="11"/>
  <c r="AG24" i="11"/>
  <c r="K24" i="11"/>
  <c r="T24" i="11"/>
  <c r="AF24" i="11"/>
  <c r="J24" i="11"/>
  <c r="S24" i="11"/>
  <c r="AE24" i="11"/>
  <c r="I24" i="11"/>
  <c r="R24" i="11"/>
  <c r="AD24" i="11"/>
  <c r="L23" i="11"/>
  <c r="U23" i="11"/>
  <c r="AG23" i="11"/>
  <c r="K23" i="11"/>
  <c r="T23" i="11"/>
  <c r="AF23" i="11"/>
  <c r="J23" i="11"/>
  <c r="S23" i="11"/>
  <c r="AE23" i="11"/>
  <c r="I23" i="11"/>
  <c r="R23" i="11"/>
  <c r="AD23" i="11"/>
  <c r="L22" i="11"/>
  <c r="U22" i="11"/>
  <c r="AG22" i="11"/>
  <c r="K22" i="11"/>
  <c r="T22" i="11"/>
  <c r="AF22" i="11"/>
  <c r="J22" i="11"/>
  <c r="S22" i="11"/>
  <c r="AE22" i="11"/>
  <c r="I22" i="11"/>
  <c r="R22" i="11"/>
  <c r="AD22" i="11"/>
  <c r="L21" i="11"/>
  <c r="U21" i="11"/>
  <c r="AG21" i="11"/>
  <c r="K21" i="11"/>
  <c r="T21" i="11"/>
  <c r="AF21" i="11"/>
  <c r="J21" i="11"/>
  <c r="S21" i="11"/>
  <c r="AE21" i="11"/>
  <c r="I21" i="11"/>
  <c r="R21" i="11"/>
  <c r="AD21" i="11"/>
  <c r="L20" i="11"/>
  <c r="U20" i="11"/>
  <c r="AG20" i="11"/>
  <c r="K20" i="11"/>
  <c r="T20" i="11"/>
  <c r="AF20" i="11"/>
  <c r="J20" i="11"/>
  <c r="S20" i="11"/>
  <c r="AE20" i="11"/>
  <c r="I20" i="11"/>
  <c r="R20" i="11"/>
  <c r="AD20" i="11"/>
  <c r="L19" i="11"/>
  <c r="U19" i="11"/>
  <c r="AG19" i="11"/>
  <c r="K19" i="11"/>
  <c r="T19" i="11"/>
  <c r="AF19" i="11"/>
  <c r="J19" i="11"/>
  <c r="S19" i="11"/>
  <c r="AE19" i="11"/>
  <c r="I19" i="11"/>
  <c r="R19" i="11"/>
  <c r="AD19" i="11"/>
  <c r="L18" i="11"/>
  <c r="U18" i="11"/>
  <c r="AG18" i="11"/>
  <c r="K18" i="11"/>
  <c r="T18" i="11"/>
  <c r="AF18" i="11"/>
  <c r="J18" i="11"/>
  <c r="S18" i="11"/>
  <c r="AE18" i="11"/>
  <c r="I18" i="11"/>
  <c r="R18" i="11"/>
  <c r="AD18" i="11"/>
  <c r="L17" i="11"/>
  <c r="U17" i="11"/>
  <c r="AG17" i="11"/>
  <c r="K17" i="11"/>
  <c r="T17" i="11"/>
  <c r="AF17" i="11"/>
  <c r="J17" i="11"/>
  <c r="S17" i="11"/>
  <c r="AE17" i="11"/>
  <c r="I17" i="11"/>
  <c r="R17" i="11"/>
  <c r="AD17" i="11"/>
  <c r="L16" i="11"/>
  <c r="U16" i="11"/>
  <c r="AG16" i="11"/>
  <c r="K16" i="11"/>
  <c r="T16" i="11"/>
  <c r="AF16" i="11"/>
  <c r="J16" i="11"/>
  <c r="S16" i="11"/>
  <c r="AE16" i="11"/>
  <c r="I16" i="11"/>
  <c r="R16" i="11"/>
  <c r="AD16" i="11"/>
  <c r="L15" i="11"/>
  <c r="U15" i="11"/>
  <c r="AG15" i="11"/>
  <c r="K15" i="11"/>
  <c r="T15" i="11"/>
  <c r="AF15" i="11"/>
  <c r="J15" i="11"/>
  <c r="S15" i="11"/>
  <c r="AE15" i="11"/>
  <c r="I15" i="11"/>
  <c r="R15" i="11"/>
  <c r="AD15" i="11"/>
  <c r="L14" i="11"/>
  <c r="U14" i="11"/>
  <c r="AG14" i="11"/>
  <c r="K14" i="11"/>
  <c r="T14" i="11"/>
  <c r="AF14" i="11"/>
  <c r="J14" i="11"/>
  <c r="S14" i="11"/>
  <c r="AE14" i="11"/>
  <c r="I14" i="11"/>
  <c r="R14" i="11"/>
  <c r="AD14" i="11"/>
  <c r="L13" i="11"/>
  <c r="U13" i="11"/>
  <c r="AG13" i="11"/>
  <c r="K13" i="11"/>
  <c r="T13" i="11"/>
  <c r="AF13" i="11"/>
  <c r="J13" i="11"/>
  <c r="S13" i="11"/>
  <c r="AE13" i="11"/>
  <c r="I13" i="11"/>
  <c r="R13" i="11"/>
  <c r="AD13" i="11"/>
  <c r="L12" i="11"/>
  <c r="U12" i="11"/>
  <c r="AG12" i="11"/>
  <c r="K12" i="11"/>
  <c r="T12" i="11"/>
  <c r="AF12" i="11"/>
  <c r="J12" i="11"/>
  <c r="S12" i="11"/>
  <c r="AE12" i="11"/>
  <c r="I12" i="11"/>
  <c r="R12" i="11"/>
  <c r="AD12" i="11"/>
  <c r="L11" i="11"/>
  <c r="U11" i="11"/>
  <c r="AG11" i="11"/>
  <c r="K11" i="11"/>
  <c r="T11" i="11"/>
  <c r="AF11" i="11"/>
  <c r="J11" i="11"/>
  <c r="S11" i="11"/>
  <c r="AE11" i="11"/>
  <c r="I11" i="11"/>
  <c r="R11" i="11"/>
  <c r="AD11" i="11"/>
  <c r="L103" i="11"/>
  <c r="K103" i="11"/>
  <c r="J103" i="11"/>
  <c r="I103" i="11"/>
  <c r="H103" i="11"/>
  <c r="L102" i="11"/>
  <c r="K102" i="11"/>
  <c r="J102" i="11"/>
  <c r="I102" i="11"/>
  <c r="H102" i="11"/>
  <c r="L19" i="12"/>
  <c r="AA19" i="12"/>
  <c r="S17" i="12"/>
  <c r="K93" i="13"/>
  <c r="G93" i="13"/>
  <c r="H93" i="13"/>
  <c r="K92" i="13"/>
  <c r="G92" i="13"/>
  <c r="H92" i="13"/>
  <c r="K91" i="13"/>
  <c r="G91" i="13"/>
  <c r="H91" i="13"/>
  <c r="K90" i="13"/>
  <c r="G90" i="13"/>
  <c r="H90" i="13"/>
  <c r="K89" i="13"/>
  <c r="G89" i="13"/>
  <c r="H89" i="13"/>
  <c r="K88" i="13"/>
  <c r="G88" i="13"/>
  <c r="H88" i="13"/>
  <c r="K87" i="13"/>
  <c r="G87" i="13"/>
  <c r="H87" i="13"/>
  <c r="K86" i="13"/>
  <c r="G86" i="13"/>
  <c r="H86" i="13"/>
  <c r="K85" i="13"/>
  <c r="G85" i="13"/>
  <c r="H85" i="13"/>
  <c r="K84" i="13"/>
  <c r="G84" i="13"/>
  <c r="H84" i="13"/>
  <c r="K83" i="13"/>
  <c r="G83" i="13"/>
  <c r="H83" i="13"/>
  <c r="K82" i="13"/>
  <c r="G82" i="13"/>
  <c r="H82" i="13"/>
  <c r="K79" i="13"/>
  <c r="G79" i="13"/>
  <c r="H79" i="13"/>
  <c r="K78" i="13"/>
  <c r="G78" i="13"/>
  <c r="H78" i="13"/>
  <c r="K77" i="13"/>
  <c r="G77" i="13"/>
  <c r="H77" i="13"/>
  <c r="K76" i="13"/>
  <c r="G76" i="13"/>
  <c r="H76" i="13"/>
  <c r="K75" i="13"/>
  <c r="G75" i="13"/>
  <c r="H75" i="13"/>
  <c r="K74" i="13"/>
  <c r="G74" i="13"/>
  <c r="H74" i="13"/>
  <c r="K73" i="13"/>
  <c r="G73" i="13"/>
  <c r="H73" i="13"/>
  <c r="K72" i="13"/>
  <c r="G72" i="13"/>
  <c r="H72" i="13"/>
  <c r="K71" i="13"/>
  <c r="G71" i="13"/>
  <c r="H71" i="13"/>
  <c r="K70" i="13"/>
  <c r="G70" i="13"/>
  <c r="H70" i="13"/>
  <c r="K69" i="13"/>
  <c r="G69" i="13"/>
  <c r="H69" i="13"/>
  <c r="K68" i="13"/>
  <c r="G68" i="13"/>
  <c r="H68" i="13"/>
  <c r="K12" i="13"/>
  <c r="G12" i="13"/>
  <c r="H12" i="13"/>
  <c r="K13" i="13"/>
  <c r="G13" i="13"/>
  <c r="H13" i="13"/>
  <c r="K14" i="13"/>
  <c r="G14" i="13"/>
  <c r="H14" i="13"/>
  <c r="K15" i="13"/>
  <c r="G15" i="13"/>
  <c r="H15" i="13"/>
  <c r="K16" i="13"/>
  <c r="G16" i="13"/>
  <c r="H16" i="13"/>
  <c r="K17" i="13"/>
  <c r="G17" i="13"/>
  <c r="H17" i="13"/>
  <c r="K18" i="13"/>
  <c r="G18" i="13"/>
  <c r="H18" i="13"/>
  <c r="K19" i="13"/>
  <c r="G19" i="13"/>
  <c r="H19" i="13"/>
  <c r="K21" i="13"/>
  <c r="G21" i="13"/>
  <c r="H21" i="13"/>
  <c r="K22" i="13"/>
  <c r="G22" i="13"/>
  <c r="H22" i="13"/>
  <c r="K23" i="13"/>
  <c r="G23" i="13"/>
  <c r="H23" i="13"/>
  <c r="K24" i="13"/>
  <c r="G24" i="13"/>
  <c r="H24" i="13"/>
  <c r="K25" i="13"/>
  <c r="G25" i="13"/>
  <c r="H25" i="13"/>
  <c r="K26" i="13"/>
  <c r="G26" i="13"/>
  <c r="H26" i="13"/>
  <c r="K27" i="13"/>
  <c r="G27" i="13"/>
  <c r="H27" i="13"/>
  <c r="K28" i="13"/>
  <c r="G28" i="13"/>
  <c r="H28" i="13"/>
  <c r="K29" i="13"/>
  <c r="G29" i="13"/>
  <c r="H29" i="13"/>
  <c r="K30" i="13"/>
  <c r="G30" i="13"/>
  <c r="H30" i="13"/>
  <c r="K31" i="13"/>
  <c r="G31" i="13"/>
  <c r="H31" i="13"/>
  <c r="K32" i="13"/>
  <c r="G32" i="13"/>
  <c r="H32" i="13"/>
  <c r="K33" i="13"/>
  <c r="G33" i="13"/>
  <c r="H33" i="13"/>
  <c r="K34" i="13"/>
  <c r="G34" i="13"/>
  <c r="H34" i="13"/>
  <c r="K35" i="13"/>
  <c r="G35" i="13"/>
  <c r="H35" i="13"/>
  <c r="K36" i="13"/>
  <c r="G36" i="13"/>
  <c r="H36" i="13"/>
  <c r="K37" i="13"/>
  <c r="G37" i="13"/>
  <c r="H37" i="13"/>
  <c r="K38" i="13"/>
  <c r="G38" i="13"/>
  <c r="H38" i="13"/>
  <c r="K39" i="13"/>
  <c r="G39" i="13"/>
  <c r="H39" i="13"/>
  <c r="K40" i="13"/>
  <c r="G40" i="13"/>
  <c r="H40" i="13"/>
  <c r="K41" i="13"/>
  <c r="G41" i="13"/>
  <c r="H41" i="13"/>
  <c r="K42" i="13"/>
  <c r="G42" i="13"/>
  <c r="H42" i="13"/>
  <c r="K43" i="13"/>
  <c r="G43" i="13"/>
  <c r="H43" i="13"/>
  <c r="K44" i="13"/>
  <c r="G44" i="13"/>
  <c r="H44" i="13"/>
  <c r="K45" i="13"/>
  <c r="G45" i="13"/>
  <c r="H45" i="13"/>
  <c r="K46" i="13"/>
  <c r="G46" i="13"/>
  <c r="H46" i="13"/>
  <c r="K47" i="13"/>
  <c r="G47" i="13"/>
  <c r="H47" i="13"/>
  <c r="K48" i="13"/>
  <c r="G48" i="13"/>
  <c r="H48" i="13"/>
  <c r="K49" i="13"/>
  <c r="G49" i="13"/>
  <c r="H49" i="13"/>
  <c r="K50" i="13"/>
  <c r="G50" i="13"/>
  <c r="H50" i="13"/>
  <c r="K51" i="13"/>
  <c r="G51" i="13"/>
  <c r="H51" i="13"/>
  <c r="K52" i="13"/>
  <c r="G52" i="13"/>
  <c r="H52" i="13"/>
  <c r="K53" i="13"/>
  <c r="G53" i="13"/>
  <c r="H53" i="13"/>
  <c r="K54" i="13"/>
  <c r="G54" i="13"/>
  <c r="H54" i="13"/>
  <c r="K55" i="13"/>
  <c r="G55" i="13"/>
  <c r="H55" i="13"/>
  <c r="K56" i="13"/>
  <c r="G56" i="13"/>
  <c r="H56" i="13"/>
  <c r="K57" i="13"/>
  <c r="G57" i="13"/>
  <c r="H57" i="13"/>
  <c r="K58" i="13"/>
  <c r="G58" i="13"/>
  <c r="H58" i="13"/>
  <c r="K59" i="13"/>
  <c r="G59" i="13"/>
  <c r="H59" i="13"/>
  <c r="K60" i="13"/>
  <c r="G60" i="13"/>
  <c r="H60" i="13"/>
  <c r="K61" i="13"/>
  <c r="G61" i="13"/>
  <c r="H61" i="13"/>
  <c r="K62" i="13"/>
  <c r="G62" i="13"/>
  <c r="H62" i="13"/>
  <c r="K11" i="13"/>
  <c r="G11" i="13"/>
  <c r="H11" i="13"/>
  <c r="B3" i="13"/>
  <c r="H116" i="13"/>
  <c r="H253" i="13"/>
  <c r="H248" i="13"/>
  <c r="H254" i="13"/>
  <c r="H255" i="13"/>
  <c r="H256" i="13"/>
  <c r="I256" i="13"/>
  <c r="H257" i="13"/>
  <c r="I116" i="13"/>
  <c r="I253" i="13"/>
  <c r="I248" i="13"/>
  <c r="I254" i="13"/>
  <c r="I255" i="13"/>
  <c r="I257" i="13"/>
  <c r="J116" i="13"/>
  <c r="J253" i="13"/>
  <c r="J248" i="13"/>
  <c r="J254" i="13"/>
  <c r="J255" i="13"/>
  <c r="J257" i="13"/>
  <c r="J259" i="13"/>
  <c r="D115" i="11"/>
  <c r="E115" i="11"/>
  <c r="F115" i="11"/>
  <c r="H115" i="11"/>
  <c r="D168" i="11"/>
  <c r="E168" i="11"/>
  <c r="F168" i="11"/>
  <c r="H168" i="11"/>
  <c r="K103" i="13"/>
  <c r="F104" i="11"/>
  <c r="E104" i="11"/>
  <c r="J102" i="13"/>
  <c r="K102" i="13"/>
  <c r="F103" i="11"/>
  <c r="E103" i="11"/>
  <c r="D103" i="11"/>
  <c r="G102" i="13"/>
  <c r="C103" i="11"/>
  <c r="J101" i="13"/>
  <c r="K101" i="13"/>
  <c r="F102" i="11"/>
  <c r="E102" i="11"/>
  <c r="D102" i="11"/>
  <c r="G101" i="13"/>
  <c r="C102" i="11"/>
  <c r="K98" i="13"/>
  <c r="F98" i="11"/>
  <c r="E98" i="11"/>
  <c r="D98" i="11"/>
  <c r="G98" i="13"/>
  <c r="C98" i="11"/>
  <c r="K97" i="13"/>
  <c r="F97" i="11"/>
  <c r="E97" i="11"/>
  <c r="D97" i="11"/>
  <c r="G97" i="13"/>
  <c r="C97" i="11"/>
  <c r="K96" i="13"/>
  <c r="F96" i="11"/>
  <c r="E96" i="11"/>
  <c r="D96" i="11"/>
  <c r="G96" i="13"/>
  <c r="C96" i="11"/>
  <c r="K95" i="13"/>
  <c r="F95" i="11"/>
  <c r="E95" i="11"/>
  <c r="D95" i="11"/>
  <c r="G95" i="13"/>
  <c r="C95" i="11"/>
  <c r="F93" i="11"/>
  <c r="E93" i="11"/>
  <c r="D93" i="11"/>
  <c r="C93" i="11"/>
  <c r="F92" i="11"/>
  <c r="E92" i="11"/>
  <c r="D92" i="11"/>
  <c r="C92" i="11"/>
  <c r="F91" i="11"/>
  <c r="E91" i="11"/>
  <c r="D91" i="11"/>
  <c r="C91" i="11"/>
  <c r="F90" i="11"/>
  <c r="E90" i="11"/>
  <c r="D90" i="11"/>
  <c r="C90" i="11"/>
  <c r="F89" i="11"/>
  <c r="E89" i="11"/>
  <c r="D89" i="11"/>
  <c r="C89" i="11"/>
  <c r="F88" i="11"/>
  <c r="E88" i="11"/>
  <c r="D88" i="11"/>
  <c r="C88" i="11"/>
  <c r="F87" i="11"/>
  <c r="E87" i="11"/>
  <c r="D87" i="11"/>
  <c r="C87" i="11"/>
  <c r="F86" i="11"/>
  <c r="E86" i="11"/>
  <c r="D86" i="11"/>
  <c r="C86" i="11"/>
  <c r="F85" i="11"/>
  <c r="E85" i="11"/>
  <c r="D85" i="11"/>
  <c r="C85" i="11"/>
  <c r="F84" i="11"/>
  <c r="E84" i="11"/>
  <c r="D84" i="11"/>
  <c r="C84" i="11"/>
  <c r="F83" i="11"/>
  <c r="E83" i="11"/>
  <c r="D83" i="11"/>
  <c r="C83" i="11"/>
  <c r="F82" i="11"/>
  <c r="E82" i="11"/>
  <c r="D82" i="11"/>
  <c r="C82" i="11"/>
  <c r="K81" i="13"/>
  <c r="F81" i="11"/>
  <c r="E81" i="11"/>
  <c r="D81" i="11"/>
  <c r="G81" i="13"/>
  <c r="C81" i="11"/>
  <c r="K80" i="13"/>
  <c r="F80" i="11"/>
  <c r="E80" i="11"/>
  <c r="D80" i="11"/>
  <c r="G80" i="13"/>
  <c r="C80" i="11"/>
  <c r="F79" i="11"/>
  <c r="E79" i="11"/>
  <c r="D79" i="11"/>
  <c r="C79" i="11"/>
  <c r="F78" i="11"/>
  <c r="E78" i="11"/>
  <c r="D78" i="11"/>
  <c r="C78" i="11"/>
  <c r="F77" i="11"/>
  <c r="E77" i="11"/>
  <c r="D77" i="11"/>
  <c r="C77" i="11"/>
  <c r="F76" i="11"/>
  <c r="E76" i="11"/>
  <c r="D76" i="11"/>
  <c r="C76" i="11"/>
  <c r="F75" i="11"/>
  <c r="E75" i="11"/>
  <c r="D75" i="11"/>
  <c r="C75" i="11"/>
  <c r="F74" i="11"/>
  <c r="E74" i="11"/>
  <c r="D74" i="11"/>
  <c r="C74" i="11"/>
  <c r="F73" i="11"/>
  <c r="E73" i="11"/>
  <c r="D73" i="11"/>
  <c r="C73" i="11"/>
  <c r="F72" i="11"/>
  <c r="E72" i="11"/>
  <c r="D72" i="11"/>
  <c r="C72" i="11"/>
  <c r="F71" i="11"/>
  <c r="E71" i="11"/>
  <c r="D71" i="11"/>
  <c r="C71" i="11"/>
  <c r="F70" i="11"/>
  <c r="E70" i="11"/>
  <c r="D70" i="11"/>
  <c r="C70" i="11"/>
  <c r="F69" i="11"/>
  <c r="E69" i="11"/>
  <c r="D69" i="11"/>
  <c r="C69" i="11"/>
  <c r="F68" i="11"/>
  <c r="E68" i="11"/>
  <c r="D68" i="11"/>
  <c r="C68" i="11"/>
  <c r="K67" i="13"/>
  <c r="F67" i="11"/>
  <c r="E67" i="11"/>
  <c r="D67" i="11"/>
  <c r="G67" i="13"/>
  <c r="C67" i="11"/>
  <c r="K66" i="13"/>
  <c r="F66" i="11"/>
  <c r="E66" i="11"/>
  <c r="D66" i="11"/>
  <c r="G66" i="13"/>
  <c r="C66" i="11"/>
  <c r="K65" i="13"/>
  <c r="F65" i="11"/>
  <c r="E65" i="11"/>
  <c r="D65" i="11"/>
  <c r="G65" i="13"/>
  <c r="C65" i="11"/>
  <c r="K64" i="13"/>
  <c r="F64" i="11"/>
  <c r="E64" i="11"/>
  <c r="D64" i="11"/>
  <c r="G64" i="13"/>
  <c r="C64" i="11"/>
  <c r="F62" i="11"/>
  <c r="E62" i="11"/>
  <c r="D62" i="11"/>
  <c r="C62" i="11"/>
  <c r="F61" i="11"/>
  <c r="E61" i="11"/>
  <c r="D61" i="11"/>
  <c r="C61" i="11"/>
  <c r="F60" i="11"/>
  <c r="E60" i="11"/>
  <c r="D60" i="11"/>
  <c r="C60" i="11"/>
  <c r="F59" i="11"/>
  <c r="E59" i="11"/>
  <c r="D59" i="11"/>
  <c r="C59" i="11"/>
  <c r="F58" i="11"/>
  <c r="E58" i="11"/>
  <c r="D58" i="11"/>
  <c r="C58" i="11"/>
  <c r="F57" i="11"/>
  <c r="E57" i="11"/>
  <c r="D57" i="11"/>
  <c r="C57" i="11"/>
  <c r="F56" i="11"/>
  <c r="E56" i="11"/>
  <c r="D56" i="11"/>
  <c r="C56" i="11"/>
  <c r="F55" i="11"/>
  <c r="E55" i="11"/>
  <c r="D55" i="11"/>
  <c r="C55" i="11"/>
  <c r="F54" i="11"/>
  <c r="E54" i="11"/>
  <c r="D54" i="11"/>
  <c r="C54" i="11"/>
  <c r="F53" i="11"/>
  <c r="E53" i="11"/>
  <c r="D53" i="11"/>
  <c r="C53" i="11"/>
  <c r="F52" i="11"/>
  <c r="E52" i="11"/>
  <c r="D52" i="11"/>
  <c r="C52" i="11"/>
  <c r="F51" i="11"/>
  <c r="E51" i="11"/>
  <c r="D51" i="11"/>
  <c r="C51" i="11"/>
  <c r="F50" i="11"/>
  <c r="E50" i="11"/>
  <c r="D50" i="11"/>
  <c r="C50" i="11"/>
  <c r="F49" i="11"/>
  <c r="E49" i="11"/>
  <c r="D49" i="11"/>
  <c r="C49" i="11"/>
  <c r="F48" i="11"/>
  <c r="E48" i="11"/>
  <c r="D48" i="11"/>
  <c r="C48" i="11"/>
  <c r="F47" i="11"/>
  <c r="E47" i="11"/>
  <c r="D47" i="11"/>
  <c r="C47" i="11"/>
  <c r="F46" i="11"/>
  <c r="E46" i="11"/>
  <c r="D46" i="11"/>
  <c r="C46" i="11"/>
  <c r="F45" i="11"/>
  <c r="E45" i="11"/>
  <c r="D45" i="11"/>
  <c r="C45" i="11"/>
  <c r="F44" i="11"/>
  <c r="E44" i="11"/>
  <c r="D44" i="11"/>
  <c r="C44" i="11"/>
  <c r="F43" i="11"/>
  <c r="E43" i="11"/>
  <c r="D43" i="11"/>
  <c r="C43" i="11"/>
  <c r="F42" i="11"/>
  <c r="E42" i="11"/>
  <c r="D42" i="11"/>
  <c r="C42" i="11"/>
  <c r="F41" i="11"/>
  <c r="E41" i="11"/>
  <c r="D41" i="11"/>
  <c r="C41" i="11"/>
  <c r="F40" i="11"/>
  <c r="E40" i="11"/>
  <c r="D40" i="11"/>
  <c r="C40" i="11"/>
  <c r="F39" i="11"/>
  <c r="E39" i="11"/>
  <c r="D39" i="11"/>
  <c r="C39" i="11"/>
  <c r="F38" i="11"/>
  <c r="E38" i="11"/>
  <c r="D38" i="11"/>
  <c r="C38" i="11"/>
  <c r="F37" i="11"/>
  <c r="E37" i="11"/>
  <c r="D37" i="11"/>
  <c r="C37" i="11"/>
  <c r="F36" i="11"/>
  <c r="E36" i="11"/>
  <c r="D36" i="11"/>
  <c r="C36" i="11"/>
  <c r="F35" i="11"/>
  <c r="E35" i="11"/>
  <c r="D35" i="11"/>
  <c r="C35" i="11"/>
  <c r="F34" i="11"/>
  <c r="E34" i="11"/>
  <c r="D34" i="11"/>
  <c r="C34" i="11"/>
  <c r="F33" i="11"/>
  <c r="E33" i="11"/>
  <c r="D33" i="11"/>
  <c r="C33" i="11"/>
  <c r="F32" i="11"/>
  <c r="E32" i="11"/>
  <c r="D32" i="11"/>
  <c r="C32" i="11"/>
  <c r="F31" i="11"/>
  <c r="E31" i="11"/>
  <c r="D31" i="11"/>
  <c r="C31" i="11"/>
  <c r="F30" i="11"/>
  <c r="E30" i="11"/>
  <c r="D30" i="11"/>
  <c r="C30" i="11"/>
  <c r="F29" i="11"/>
  <c r="E29" i="11"/>
  <c r="D29" i="11"/>
  <c r="C29" i="11"/>
  <c r="F28" i="11"/>
  <c r="E28" i="11"/>
  <c r="D28" i="11"/>
  <c r="C28" i="11"/>
  <c r="F27" i="11"/>
  <c r="E27" i="11"/>
  <c r="D27" i="11"/>
  <c r="C27" i="11"/>
  <c r="F26" i="11"/>
  <c r="E26" i="11"/>
  <c r="D26" i="11"/>
  <c r="C26" i="11"/>
  <c r="F25" i="11"/>
  <c r="E25" i="11"/>
  <c r="D25" i="11"/>
  <c r="C25" i="11"/>
  <c r="F24" i="11"/>
  <c r="E24" i="11"/>
  <c r="D24" i="11"/>
  <c r="C24" i="11"/>
  <c r="F23" i="11"/>
  <c r="E23" i="11"/>
  <c r="D23" i="11"/>
  <c r="C23" i="11"/>
  <c r="F22" i="11"/>
  <c r="E22" i="11"/>
  <c r="D22" i="11"/>
  <c r="C22" i="11"/>
  <c r="F21" i="11"/>
  <c r="E21" i="11"/>
  <c r="D21" i="11"/>
  <c r="C21" i="11"/>
  <c r="K20" i="13"/>
  <c r="F20" i="11"/>
  <c r="E20" i="11"/>
  <c r="D20" i="11"/>
  <c r="G20" i="13"/>
  <c r="C20" i="11"/>
  <c r="F19" i="11"/>
  <c r="E19" i="11"/>
  <c r="D19" i="11"/>
  <c r="C19" i="11"/>
  <c r="F18" i="11"/>
  <c r="E18" i="11"/>
  <c r="D18" i="11"/>
  <c r="C18" i="11"/>
  <c r="F17" i="11"/>
  <c r="E17" i="11"/>
  <c r="D17" i="11"/>
  <c r="C17" i="11"/>
  <c r="F16" i="11"/>
  <c r="E16" i="11"/>
  <c r="D16" i="11"/>
  <c r="C16" i="11"/>
  <c r="F15" i="11"/>
  <c r="E15" i="11"/>
  <c r="D15" i="11"/>
  <c r="C15" i="11"/>
  <c r="F14" i="11"/>
  <c r="E14" i="11"/>
  <c r="D14" i="11"/>
  <c r="C14" i="11"/>
  <c r="F13" i="11"/>
  <c r="E13" i="11"/>
  <c r="D13" i="11"/>
  <c r="C13" i="11"/>
  <c r="F12" i="11"/>
  <c r="E12" i="11"/>
  <c r="D12" i="11"/>
  <c r="C12" i="11"/>
  <c r="F11" i="11"/>
  <c r="E11" i="11"/>
  <c r="D11" i="11"/>
  <c r="C11" i="11"/>
  <c r="D206" i="11"/>
  <c r="E206" i="11"/>
  <c r="F206" i="11"/>
  <c r="H206" i="11"/>
  <c r="D207" i="11"/>
  <c r="E207" i="11"/>
  <c r="F207" i="11"/>
  <c r="H207" i="11"/>
  <c r="D208" i="11"/>
  <c r="E208" i="11"/>
  <c r="F208" i="11"/>
  <c r="H208" i="11"/>
  <c r="D209" i="11"/>
  <c r="E209" i="11"/>
  <c r="F209" i="11"/>
  <c r="H209" i="11"/>
  <c r="D210" i="11"/>
  <c r="E210" i="11"/>
  <c r="F210" i="11"/>
  <c r="H210" i="11"/>
  <c r="H211" i="11"/>
  <c r="K226" i="13"/>
  <c r="N206" i="11"/>
  <c r="K227" i="13"/>
  <c r="N207" i="11"/>
  <c r="K228" i="13"/>
  <c r="N208" i="11"/>
  <c r="K229" i="13"/>
  <c r="N209" i="11"/>
  <c r="K230" i="13"/>
  <c r="N210" i="11"/>
  <c r="K233" i="13"/>
  <c r="O206" i="11"/>
  <c r="K234" i="13"/>
  <c r="O207" i="11"/>
  <c r="K235" i="13"/>
  <c r="O208" i="11"/>
  <c r="K236" i="13"/>
  <c r="O209" i="11"/>
  <c r="K237" i="13"/>
  <c r="O210" i="11"/>
  <c r="D116" i="11"/>
  <c r="E116" i="11"/>
  <c r="F116" i="11"/>
  <c r="H116" i="11"/>
  <c r="D117" i="11"/>
  <c r="E117" i="11"/>
  <c r="F117" i="11"/>
  <c r="H117" i="11"/>
  <c r="D118" i="11"/>
  <c r="E118" i="11"/>
  <c r="F118" i="11"/>
  <c r="H118" i="11"/>
  <c r="D119" i="11"/>
  <c r="E119" i="11"/>
  <c r="F119" i="11"/>
  <c r="H119" i="11"/>
  <c r="D120" i="11"/>
  <c r="E120" i="11"/>
  <c r="F120" i="11"/>
  <c r="H120" i="11"/>
  <c r="D121" i="11"/>
  <c r="E121" i="11"/>
  <c r="F121" i="11"/>
  <c r="H121" i="11"/>
  <c r="D122" i="11"/>
  <c r="E122" i="11"/>
  <c r="F122" i="11"/>
  <c r="H122" i="11"/>
  <c r="D123" i="11"/>
  <c r="E123" i="11"/>
  <c r="F123" i="11"/>
  <c r="H123" i="11"/>
  <c r="D124" i="11"/>
  <c r="E124" i="11"/>
  <c r="F124" i="11"/>
  <c r="H124" i="11"/>
  <c r="E125" i="11"/>
  <c r="F125" i="11"/>
  <c r="H125" i="11"/>
  <c r="E126" i="11"/>
  <c r="F126" i="11"/>
  <c r="H126" i="11"/>
  <c r="D127" i="11"/>
  <c r="E127" i="11"/>
  <c r="F127" i="11"/>
  <c r="H127" i="11"/>
  <c r="D128" i="11"/>
  <c r="E128" i="11"/>
  <c r="F128" i="11"/>
  <c r="H128" i="11"/>
  <c r="D129" i="11"/>
  <c r="E129" i="11"/>
  <c r="F129" i="11"/>
  <c r="H129" i="11"/>
  <c r="D130" i="11"/>
  <c r="E130" i="11"/>
  <c r="F130" i="11"/>
  <c r="H130" i="11"/>
  <c r="E131" i="11"/>
  <c r="F131" i="11"/>
  <c r="H131" i="11"/>
  <c r="D132" i="11"/>
  <c r="E132" i="11"/>
  <c r="F132" i="11"/>
  <c r="H132" i="11"/>
  <c r="D133" i="11"/>
  <c r="E133" i="11"/>
  <c r="F133" i="11"/>
  <c r="H133" i="11"/>
  <c r="D134" i="11"/>
  <c r="E134" i="11"/>
  <c r="F134" i="11"/>
  <c r="H134" i="11"/>
  <c r="D135" i="11"/>
  <c r="E135" i="11"/>
  <c r="F135" i="11"/>
  <c r="H135" i="11"/>
  <c r="E136" i="11"/>
  <c r="F136" i="11"/>
  <c r="H136" i="11"/>
  <c r="D137" i="11"/>
  <c r="E137" i="11"/>
  <c r="F137" i="11"/>
  <c r="H137" i="11"/>
  <c r="D138" i="11"/>
  <c r="E138" i="11"/>
  <c r="F138" i="11"/>
  <c r="H138" i="11"/>
  <c r="D139" i="11"/>
  <c r="E139" i="11"/>
  <c r="F139" i="11"/>
  <c r="H139" i="11"/>
  <c r="D140" i="11"/>
  <c r="E140" i="11"/>
  <c r="F140" i="11"/>
  <c r="H140" i="11"/>
  <c r="D141" i="11"/>
  <c r="E141" i="11"/>
  <c r="F141" i="11"/>
  <c r="H141" i="11"/>
  <c r="D142" i="11"/>
  <c r="E142" i="11"/>
  <c r="F142" i="11"/>
  <c r="H142" i="11"/>
  <c r="E143" i="11"/>
  <c r="F143" i="11"/>
  <c r="H143" i="11"/>
  <c r="E144" i="11"/>
  <c r="F144" i="11"/>
  <c r="H144" i="11"/>
  <c r="D145" i="11"/>
  <c r="E145" i="11"/>
  <c r="F145" i="11"/>
  <c r="H145" i="11"/>
  <c r="D146" i="11"/>
  <c r="E146" i="11"/>
  <c r="F146" i="11"/>
  <c r="H146" i="11"/>
  <c r="D147" i="11"/>
  <c r="E147" i="11"/>
  <c r="F147" i="11"/>
  <c r="H147" i="11"/>
  <c r="D148" i="11"/>
  <c r="E148" i="11"/>
  <c r="F148" i="11"/>
  <c r="H148" i="11"/>
  <c r="D149" i="11"/>
  <c r="E149" i="11"/>
  <c r="F149" i="11"/>
  <c r="H149" i="11"/>
  <c r="D150" i="11"/>
  <c r="E150" i="11"/>
  <c r="F150" i="11"/>
  <c r="H150" i="11"/>
  <c r="D151" i="11"/>
  <c r="E151" i="11"/>
  <c r="F151" i="11"/>
  <c r="H151" i="11"/>
  <c r="D152" i="11"/>
  <c r="E152" i="11"/>
  <c r="F152" i="11"/>
  <c r="H152" i="11"/>
  <c r="D153" i="11"/>
  <c r="E153" i="11"/>
  <c r="F153" i="11"/>
  <c r="H153" i="11"/>
  <c r="D154" i="11"/>
  <c r="E154" i="11"/>
  <c r="F154" i="11"/>
  <c r="H154" i="11"/>
  <c r="D155" i="11"/>
  <c r="E155" i="11"/>
  <c r="F155" i="11"/>
  <c r="H155" i="11"/>
  <c r="D156" i="11"/>
  <c r="E156" i="11"/>
  <c r="F156" i="11"/>
  <c r="H156" i="11"/>
  <c r="D157" i="11"/>
  <c r="E157" i="11"/>
  <c r="F157" i="11"/>
  <c r="H157" i="11"/>
  <c r="D158" i="11"/>
  <c r="E158" i="11"/>
  <c r="F158" i="11"/>
  <c r="H158" i="11"/>
  <c r="E159" i="11"/>
  <c r="F159" i="11"/>
  <c r="H159" i="11"/>
  <c r="D160" i="11"/>
  <c r="E160" i="11"/>
  <c r="F160" i="11"/>
  <c r="H160" i="11"/>
  <c r="D161" i="11"/>
  <c r="E161" i="11"/>
  <c r="F161" i="11"/>
  <c r="H161" i="11"/>
  <c r="D162" i="11"/>
  <c r="E162" i="11"/>
  <c r="F162" i="11"/>
  <c r="H162" i="11"/>
  <c r="D163" i="11"/>
  <c r="E163" i="11"/>
  <c r="F163" i="11"/>
  <c r="H163" i="11"/>
  <c r="D164" i="11"/>
  <c r="E164" i="11"/>
  <c r="F164" i="11"/>
  <c r="H164" i="11"/>
  <c r="D165" i="11"/>
  <c r="E165" i="11"/>
  <c r="F165" i="11"/>
  <c r="H165" i="11"/>
  <c r="D166" i="11"/>
  <c r="E166" i="11"/>
  <c r="F166" i="11"/>
  <c r="H166" i="11"/>
  <c r="D169" i="11"/>
  <c r="E169" i="11"/>
  <c r="F169" i="11"/>
  <c r="H169" i="11"/>
  <c r="D170" i="11"/>
  <c r="E170" i="11"/>
  <c r="F170" i="11"/>
  <c r="H170" i="11"/>
  <c r="D171" i="11"/>
  <c r="E171" i="11"/>
  <c r="F171" i="11"/>
  <c r="H171" i="11"/>
  <c r="D172" i="11"/>
  <c r="E172" i="11"/>
  <c r="F172" i="11"/>
  <c r="H172" i="11"/>
  <c r="D173" i="11"/>
  <c r="E173" i="11"/>
  <c r="F173" i="11"/>
  <c r="H173" i="11"/>
  <c r="D174" i="11"/>
  <c r="E174" i="11"/>
  <c r="F174" i="11"/>
  <c r="H174" i="11"/>
  <c r="D175" i="11"/>
  <c r="F175" i="11"/>
  <c r="H175" i="11"/>
  <c r="D176" i="11"/>
  <c r="E176" i="11"/>
  <c r="F176" i="11"/>
  <c r="H176" i="11"/>
  <c r="D177" i="11"/>
  <c r="E177" i="11"/>
  <c r="F177" i="11"/>
  <c r="H177" i="11"/>
  <c r="E178" i="11"/>
  <c r="F178" i="11"/>
  <c r="H178" i="11"/>
  <c r="D179" i="11"/>
  <c r="E179" i="11"/>
  <c r="F179" i="11"/>
  <c r="H179" i="11"/>
  <c r="D180" i="11"/>
  <c r="E180" i="11"/>
  <c r="F180" i="11"/>
  <c r="H180" i="11"/>
  <c r="D181" i="11"/>
  <c r="E181" i="11"/>
  <c r="F181" i="11"/>
  <c r="H181" i="11"/>
  <c r="D182" i="11"/>
  <c r="E182" i="11"/>
  <c r="F182" i="11"/>
  <c r="H182" i="11"/>
  <c r="D183" i="11"/>
  <c r="E183" i="11"/>
  <c r="F183" i="11"/>
  <c r="H183" i="11"/>
  <c r="D184" i="11"/>
  <c r="E184" i="11"/>
  <c r="F184" i="11"/>
  <c r="H184" i="11"/>
  <c r="D185" i="11"/>
  <c r="E185" i="11"/>
  <c r="F185" i="11"/>
  <c r="H185" i="11"/>
  <c r="D186" i="11"/>
  <c r="F186" i="11"/>
  <c r="H186" i="11"/>
  <c r="D187" i="11"/>
  <c r="E187" i="11"/>
  <c r="F187" i="11"/>
  <c r="H187" i="11"/>
  <c r="D188" i="11"/>
  <c r="E188" i="11"/>
  <c r="F188" i="11"/>
  <c r="H188" i="11"/>
  <c r="D189" i="11"/>
  <c r="E189" i="11"/>
  <c r="F189" i="11"/>
  <c r="H189" i="11"/>
  <c r="D190" i="11"/>
  <c r="E190" i="11"/>
  <c r="F190" i="11"/>
  <c r="H190" i="11"/>
  <c r="D191" i="11"/>
  <c r="E191" i="11"/>
  <c r="F191" i="11"/>
  <c r="H191" i="11"/>
  <c r="D192" i="11"/>
  <c r="E192" i="11"/>
  <c r="F192" i="11"/>
  <c r="H192" i="11"/>
  <c r="D193" i="11"/>
  <c r="E193" i="11"/>
  <c r="F193" i="11"/>
  <c r="H193" i="11"/>
  <c r="D194" i="11"/>
  <c r="E194" i="11"/>
  <c r="F194" i="11"/>
  <c r="H194" i="11"/>
  <c r="D195" i="11"/>
  <c r="E195" i="11"/>
  <c r="F195" i="11"/>
  <c r="H195" i="11"/>
  <c r="D196" i="11"/>
  <c r="E196" i="11"/>
  <c r="F196" i="11"/>
  <c r="H196" i="11"/>
  <c r="D197" i="11"/>
  <c r="E197" i="11"/>
  <c r="F197" i="11"/>
  <c r="H197" i="11"/>
  <c r="D199" i="11"/>
  <c r="E199" i="11"/>
  <c r="F199" i="11"/>
  <c r="H199" i="11"/>
  <c r="D200" i="11"/>
  <c r="E200" i="11"/>
  <c r="F200" i="11"/>
  <c r="H200" i="11"/>
  <c r="D201" i="11"/>
  <c r="E201" i="11"/>
  <c r="F201" i="11"/>
  <c r="H201" i="11"/>
  <c r="D202" i="11"/>
  <c r="E202" i="11"/>
  <c r="F202" i="11"/>
  <c r="H202" i="11"/>
  <c r="AC107" i="11"/>
  <c r="C34" i="8"/>
  <c r="I206" i="11"/>
  <c r="I207" i="11"/>
  <c r="I208" i="11"/>
  <c r="I209" i="11"/>
  <c r="I210" i="11"/>
  <c r="I211" i="11"/>
  <c r="I115" i="11"/>
  <c r="I116" i="11"/>
  <c r="I117" i="11"/>
  <c r="I118" i="11"/>
  <c r="I119" i="11"/>
  <c r="I120" i="11"/>
  <c r="I121" i="11"/>
  <c r="I122" i="11"/>
  <c r="I123" i="11"/>
  <c r="I124" i="11"/>
  <c r="I125" i="11"/>
  <c r="I126" i="11"/>
  <c r="I127" i="11"/>
  <c r="I128" i="11"/>
  <c r="I129" i="11"/>
  <c r="I130" i="11"/>
  <c r="I131" i="11"/>
  <c r="I132" i="11"/>
  <c r="I133" i="11"/>
  <c r="I134" i="11"/>
  <c r="I135" i="11"/>
  <c r="I136" i="11"/>
  <c r="I137" i="11"/>
  <c r="I138" i="11"/>
  <c r="I139" i="11"/>
  <c r="I140" i="11"/>
  <c r="I141" i="11"/>
  <c r="I142" i="11"/>
  <c r="I143" i="11"/>
  <c r="I144" i="11"/>
  <c r="I145" i="11"/>
  <c r="I146" i="11"/>
  <c r="I147" i="11"/>
  <c r="I148" i="11"/>
  <c r="I149" i="11"/>
  <c r="I150" i="11"/>
  <c r="I151" i="11"/>
  <c r="I152" i="11"/>
  <c r="I153" i="11"/>
  <c r="I154" i="11"/>
  <c r="I155" i="11"/>
  <c r="I156" i="11"/>
  <c r="I157" i="11"/>
  <c r="I158" i="11"/>
  <c r="I159" i="11"/>
  <c r="I160" i="11"/>
  <c r="I161" i="11"/>
  <c r="I162" i="11"/>
  <c r="I163" i="11"/>
  <c r="I164" i="11"/>
  <c r="I165" i="11"/>
  <c r="I166" i="11"/>
  <c r="I168" i="11"/>
  <c r="I169" i="11"/>
  <c r="I170" i="11"/>
  <c r="I171" i="11"/>
  <c r="I172" i="11"/>
  <c r="I173" i="11"/>
  <c r="I174" i="11"/>
  <c r="I175" i="11"/>
  <c r="I176" i="11"/>
  <c r="I177" i="11"/>
  <c r="I178" i="11"/>
  <c r="I179" i="11"/>
  <c r="I180" i="11"/>
  <c r="I181" i="11"/>
  <c r="I182" i="11"/>
  <c r="I183" i="11"/>
  <c r="I184" i="11"/>
  <c r="I185" i="11"/>
  <c r="I186" i="11"/>
  <c r="I187" i="11"/>
  <c r="I188" i="11"/>
  <c r="I189" i="11"/>
  <c r="I190" i="11"/>
  <c r="I191" i="11"/>
  <c r="I192" i="11"/>
  <c r="I193" i="11"/>
  <c r="I194" i="11"/>
  <c r="I195" i="11"/>
  <c r="I196" i="11"/>
  <c r="I197" i="11"/>
  <c r="I199" i="11"/>
  <c r="I200" i="11"/>
  <c r="I201" i="11"/>
  <c r="I202" i="11"/>
  <c r="AD99" i="11"/>
  <c r="AD107" i="11"/>
  <c r="D34" i="8"/>
  <c r="J206" i="11"/>
  <c r="J207" i="11"/>
  <c r="J208" i="11"/>
  <c r="J209" i="11"/>
  <c r="J210" i="11"/>
  <c r="J211" i="11"/>
  <c r="J115" i="11"/>
  <c r="J116" i="11"/>
  <c r="J117" i="11"/>
  <c r="J118" i="11"/>
  <c r="J119" i="11"/>
  <c r="J120" i="11"/>
  <c r="J121" i="11"/>
  <c r="J122" i="11"/>
  <c r="J123" i="11"/>
  <c r="J124" i="11"/>
  <c r="J125" i="11"/>
  <c r="J126" i="11"/>
  <c r="J127" i="11"/>
  <c r="J128" i="11"/>
  <c r="J129" i="11"/>
  <c r="J130" i="11"/>
  <c r="J131" i="11"/>
  <c r="J132" i="11"/>
  <c r="J133" i="11"/>
  <c r="J134" i="11"/>
  <c r="J135" i="11"/>
  <c r="J136" i="11"/>
  <c r="J137" i="11"/>
  <c r="J138" i="11"/>
  <c r="J139" i="11"/>
  <c r="J140" i="11"/>
  <c r="J141" i="11"/>
  <c r="J142" i="11"/>
  <c r="J143" i="11"/>
  <c r="J144" i="11"/>
  <c r="J145" i="11"/>
  <c r="J146" i="11"/>
  <c r="J147" i="11"/>
  <c r="J148" i="11"/>
  <c r="J149" i="11"/>
  <c r="J150" i="11"/>
  <c r="J151" i="11"/>
  <c r="J152" i="11"/>
  <c r="J153" i="11"/>
  <c r="J154" i="11"/>
  <c r="J155" i="11"/>
  <c r="J156" i="11"/>
  <c r="J157" i="11"/>
  <c r="J158" i="11"/>
  <c r="J159" i="11"/>
  <c r="J160" i="11"/>
  <c r="J161" i="11"/>
  <c r="J162" i="11"/>
  <c r="J163" i="11"/>
  <c r="J164" i="11"/>
  <c r="J165" i="11"/>
  <c r="J166" i="11"/>
  <c r="J168" i="11"/>
  <c r="J169" i="11"/>
  <c r="J170" i="11"/>
  <c r="J171" i="11"/>
  <c r="J172" i="11"/>
  <c r="J173" i="11"/>
  <c r="J174" i="11"/>
  <c r="J175" i="11"/>
  <c r="J176" i="11"/>
  <c r="J177" i="11"/>
  <c r="J178" i="11"/>
  <c r="J179" i="11"/>
  <c r="J180" i="11"/>
  <c r="J181" i="11"/>
  <c r="J182" i="11"/>
  <c r="J183" i="11"/>
  <c r="J184" i="11"/>
  <c r="J185" i="11"/>
  <c r="J186" i="11"/>
  <c r="J187" i="11"/>
  <c r="J188" i="11"/>
  <c r="J189" i="11"/>
  <c r="J190" i="11"/>
  <c r="J191" i="11"/>
  <c r="J192" i="11"/>
  <c r="J193" i="11"/>
  <c r="J194" i="11"/>
  <c r="J195" i="11"/>
  <c r="J196" i="11"/>
  <c r="J197" i="11"/>
  <c r="J199" i="11"/>
  <c r="J200" i="11"/>
  <c r="J201" i="11"/>
  <c r="J202" i="11"/>
  <c r="AE99" i="11"/>
  <c r="AE107" i="11"/>
  <c r="E34" i="8"/>
  <c r="K206" i="11"/>
  <c r="K207" i="11"/>
  <c r="K208" i="11"/>
  <c r="K209" i="11"/>
  <c r="K210" i="11"/>
  <c r="K211" i="11"/>
  <c r="K115" i="11"/>
  <c r="K116" i="11"/>
  <c r="K117" i="11"/>
  <c r="K118" i="11"/>
  <c r="K119" i="11"/>
  <c r="K120" i="11"/>
  <c r="K121" i="11"/>
  <c r="K122" i="11"/>
  <c r="K123" i="11"/>
  <c r="K124" i="11"/>
  <c r="K125" i="11"/>
  <c r="K126" i="11"/>
  <c r="K127" i="11"/>
  <c r="K128" i="11"/>
  <c r="K129" i="11"/>
  <c r="K130" i="11"/>
  <c r="K131" i="11"/>
  <c r="K132" i="11"/>
  <c r="K133" i="11"/>
  <c r="K134" i="11"/>
  <c r="K135" i="11"/>
  <c r="K136" i="11"/>
  <c r="K137" i="11"/>
  <c r="K138" i="11"/>
  <c r="K139" i="11"/>
  <c r="K140" i="11"/>
  <c r="K141" i="11"/>
  <c r="K142" i="11"/>
  <c r="K143" i="11"/>
  <c r="K144" i="11"/>
  <c r="K145" i="11"/>
  <c r="K146" i="11"/>
  <c r="K147" i="11"/>
  <c r="K148" i="11"/>
  <c r="K149" i="11"/>
  <c r="K150" i="11"/>
  <c r="K151" i="11"/>
  <c r="K152" i="11"/>
  <c r="K153" i="11"/>
  <c r="K154" i="11"/>
  <c r="K155" i="11"/>
  <c r="K156" i="11"/>
  <c r="K157" i="11"/>
  <c r="K158" i="11"/>
  <c r="K159" i="11"/>
  <c r="K160" i="11"/>
  <c r="K161" i="11"/>
  <c r="K162" i="11"/>
  <c r="K163" i="11"/>
  <c r="K164" i="11"/>
  <c r="K165" i="11"/>
  <c r="K166" i="11"/>
  <c r="K168" i="11"/>
  <c r="K169" i="11"/>
  <c r="K170" i="11"/>
  <c r="K171" i="11"/>
  <c r="K172" i="11"/>
  <c r="K173" i="11"/>
  <c r="K174" i="11"/>
  <c r="K175" i="11"/>
  <c r="K176" i="11"/>
  <c r="K177" i="11"/>
  <c r="K178" i="11"/>
  <c r="K179" i="11"/>
  <c r="K180" i="11"/>
  <c r="K181" i="11"/>
  <c r="K182" i="11"/>
  <c r="K183" i="11"/>
  <c r="K184" i="11"/>
  <c r="K185" i="11"/>
  <c r="K186" i="11"/>
  <c r="K187" i="11"/>
  <c r="K188" i="11"/>
  <c r="K189" i="11"/>
  <c r="K190" i="11"/>
  <c r="K191" i="11"/>
  <c r="K192" i="11"/>
  <c r="K193" i="11"/>
  <c r="K194" i="11"/>
  <c r="K195" i="11"/>
  <c r="K196" i="11"/>
  <c r="K197" i="11"/>
  <c r="K199" i="11"/>
  <c r="K200" i="11"/>
  <c r="K201" i="11"/>
  <c r="K202" i="11"/>
  <c r="AF99" i="11"/>
  <c r="AF107" i="11"/>
  <c r="F34" i="8"/>
  <c r="L206" i="11"/>
  <c r="L207" i="11"/>
  <c r="L208" i="11"/>
  <c r="L209" i="11"/>
  <c r="L210" i="11"/>
  <c r="L211" i="11"/>
  <c r="L115" i="11"/>
  <c r="L116" i="11"/>
  <c r="L117" i="11"/>
  <c r="L118" i="11"/>
  <c r="L119" i="11"/>
  <c r="L120" i="11"/>
  <c r="L121" i="11"/>
  <c r="L122" i="11"/>
  <c r="L123" i="11"/>
  <c r="L124" i="11"/>
  <c r="L125" i="11"/>
  <c r="L126" i="11"/>
  <c r="L127" i="11"/>
  <c r="L128" i="11"/>
  <c r="L129" i="11"/>
  <c r="L130" i="11"/>
  <c r="L131" i="11"/>
  <c r="L132" i="11"/>
  <c r="L133" i="11"/>
  <c r="L134" i="11"/>
  <c r="L135" i="11"/>
  <c r="L136" i="11"/>
  <c r="L137" i="11"/>
  <c r="L138" i="11"/>
  <c r="L139" i="11"/>
  <c r="L140" i="11"/>
  <c r="L141" i="11"/>
  <c r="L142" i="11"/>
  <c r="L143" i="11"/>
  <c r="L144" i="11"/>
  <c r="L145" i="11"/>
  <c r="L146" i="11"/>
  <c r="L147" i="11"/>
  <c r="L148" i="11"/>
  <c r="L149" i="11"/>
  <c r="L150" i="11"/>
  <c r="L151" i="11"/>
  <c r="L152" i="11"/>
  <c r="L153" i="11"/>
  <c r="L154" i="11"/>
  <c r="L155" i="11"/>
  <c r="L156" i="11"/>
  <c r="L157" i="11"/>
  <c r="L158" i="11"/>
  <c r="L159" i="11"/>
  <c r="L160" i="11"/>
  <c r="L161" i="11"/>
  <c r="L162" i="11"/>
  <c r="L163" i="11"/>
  <c r="L164" i="11"/>
  <c r="L165" i="11"/>
  <c r="L166" i="11"/>
  <c r="L168" i="11"/>
  <c r="L169" i="11"/>
  <c r="L170" i="11"/>
  <c r="L171" i="11"/>
  <c r="L172" i="11"/>
  <c r="L173" i="11"/>
  <c r="L174" i="11"/>
  <c r="L175" i="11"/>
  <c r="L176" i="11"/>
  <c r="L177" i="11"/>
  <c r="L178" i="11"/>
  <c r="L179" i="11"/>
  <c r="L180" i="11"/>
  <c r="L181" i="11"/>
  <c r="L182" i="11"/>
  <c r="L183" i="11"/>
  <c r="L184" i="11"/>
  <c r="L185" i="11"/>
  <c r="L186" i="11"/>
  <c r="L187" i="11"/>
  <c r="L188" i="11"/>
  <c r="L189" i="11"/>
  <c r="L190" i="11"/>
  <c r="L191" i="11"/>
  <c r="L192" i="11"/>
  <c r="L193" i="11"/>
  <c r="L194" i="11"/>
  <c r="L195" i="11"/>
  <c r="L196" i="11"/>
  <c r="L197" i="11"/>
  <c r="L199" i="11"/>
  <c r="L200" i="11"/>
  <c r="L201" i="11"/>
  <c r="L202" i="11"/>
  <c r="AG99" i="11"/>
  <c r="AG107" i="11"/>
  <c r="G34" i="8"/>
  <c r="H34" i="8"/>
  <c r="G99" i="12"/>
  <c r="F99" i="12"/>
  <c r="C99" i="12"/>
  <c r="G98" i="12"/>
  <c r="F98" i="12"/>
  <c r="C98" i="12"/>
  <c r="G97" i="12"/>
  <c r="F97" i="12"/>
  <c r="C97" i="12"/>
  <c r="G96" i="12"/>
  <c r="F96" i="12"/>
  <c r="C96" i="12"/>
  <c r="G94" i="12"/>
  <c r="F94" i="12"/>
  <c r="C94" i="12"/>
  <c r="G93" i="12"/>
  <c r="F93" i="12"/>
  <c r="C93" i="12"/>
  <c r="G92" i="12"/>
  <c r="F92" i="12"/>
  <c r="C92" i="12"/>
  <c r="G91" i="12"/>
  <c r="F91" i="12"/>
  <c r="C91" i="12"/>
  <c r="G90" i="12"/>
  <c r="F90" i="12"/>
  <c r="C90" i="12"/>
  <c r="G89" i="12"/>
  <c r="F89" i="12"/>
  <c r="C89" i="12"/>
  <c r="G88" i="12"/>
  <c r="F88" i="12"/>
  <c r="C88" i="12"/>
  <c r="G87" i="12"/>
  <c r="F87" i="12"/>
  <c r="C87" i="12"/>
  <c r="G86" i="12"/>
  <c r="F86" i="12"/>
  <c r="C86" i="12"/>
  <c r="G85" i="12"/>
  <c r="F85" i="12"/>
  <c r="C85" i="12"/>
  <c r="G84" i="12"/>
  <c r="F84" i="12"/>
  <c r="C84" i="12"/>
  <c r="G83" i="12"/>
  <c r="F83" i="12"/>
  <c r="C83" i="12"/>
  <c r="G82" i="12"/>
  <c r="F82" i="12"/>
  <c r="C82" i="12"/>
  <c r="G81" i="12"/>
  <c r="F81" i="12"/>
  <c r="C81" i="12"/>
  <c r="G80" i="12"/>
  <c r="F80" i="12"/>
  <c r="C80" i="12"/>
  <c r="G79" i="12"/>
  <c r="F79" i="12"/>
  <c r="C79" i="12"/>
  <c r="G78" i="12"/>
  <c r="F78" i="12"/>
  <c r="C78" i="12"/>
  <c r="G77" i="12"/>
  <c r="F77" i="12"/>
  <c r="C77" i="12"/>
  <c r="G76" i="12"/>
  <c r="F76" i="12"/>
  <c r="C76" i="12"/>
  <c r="G75" i="12"/>
  <c r="F75" i="12"/>
  <c r="C75" i="12"/>
  <c r="G74" i="12"/>
  <c r="F74" i="12"/>
  <c r="C74" i="12"/>
  <c r="G73" i="12"/>
  <c r="F73" i="12"/>
  <c r="C73" i="12"/>
  <c r="G72" i="12"/>
  <c r="F72" i="12"/>
  <c r="C72" i="12"/>
  <c r="G71" i="12"/>
  <c r="F71" i="12"/>
  <c r="C71" i="12"/>
  <c r="G70" i="12"/>
  <c r="F70" i="12"/>
  <c r="C70" i="12"/>
  <c r="G69" i="12"/>
  <c r="F69" i="12"/>
  <c r="C69" i="12"/>
  <c r="G68" i="12"/>
  <c r="F68" i="12"/>
  <c r="C68" i="12"/>
  <c r="G67" i="12"/>
  <c r="F67" i="12"/>
  <c r="C67" i="12"/>
  <c r="G66" i="12"/>
  <c r="F66" i="12"/>
  <c r="C66" i="12"/>
  <c r="G65" i="12"/>
  <c r="F65" i="12"/>
  <c r="C65" i="12"/>
  <c r="G63" i="12"/>
  <c r="F63" i="12"/>
  <c r="C63" i="12"/>
  <c r="G62" i="12"/>
  <c r="F62" i="12"/>
  <c r="C62" i="12"/>
  <c r="G61" i="12"/>
  <c r="F61" i="12"/>
  <c r="C61" i="12"/>
  <c r="G60" i="12"/>
  <c r="F60" i="12"/>
  <c r="C60" i="12"/>
  <c r="G59" i="12"/>
  <c r="F59" i="12"/>
  <c r="C59" i="12"/>
  <c r="G58" i="12"/>
  <c r="F58" i="12"/>
  <c r="C58" i="12"/>
  <c r="G57" i="12"/>
  <c r="F57" i="12"/>
  <c r="C57" i="12"/>
  <c r="G56" i="12"/>
  <c r="F56" i="12"/>
  <c r="C56" i="12"/>
  <c r="G55" i="12"/>
  <c r="F55" i="12"/>
  <c r="C55" i="12"/>
  <c r="G54" i="12"/>
  <c r="F54" i="12"/>
  <c r="C54" i="12"/>
  <c r="G53" i="12"/>
  <c r="F53" i="12"/>
  <c r="C53" i="12"/>
  <c r="G52" i="12"/>
  <c r="F52" i="12"/>
  <c r="C52" i="12"/>
  <c r="G51" i="12"/>
  <c r="F51" i="12"/>
  <c r="C51" i="12"/>
  <c r="G50" i="12"/>
  <c r="F50" i="12"/>
  <c r="C50" i="12"/>
  <c r="G49" i="12"/>
  <c r="F49" i="12"/>
  <c r="C49" i="12"/>
  <c r="G48" i="12"/>
  <c r="F48" i="12"/>
  <c r="C48" i="12"/>
  <c r="G47" i="12"/>
  <c r="F47" i="12"/>
  <c r="C47" i="12"/>
  <c r="G46" i="12"/>
  <c r="F46" i="12"/>
  <c r="C46" i="12"/>
  <c r="G45" i="12"/>
  <c r="F45" i="12"/>
  <c r="C45" i="12"/>
  <c r="G44" i="12"/>
  <c r="F44" i="12"/>
  <c r="C44" i="12"/>
  <c r="G43" i="12"/>
  <c r="F43" i="12"/>
  <c r="C43" i="12"/>
  <c r="G42" i="12"/>
  <c r="F42" i="12"/>
  <c r="C42" i="12"/>
  <c r="G41" i="12"/>
  <c r="F41" i="12"/>
  <c r="C41" i="12"/>
  <c r="G40" i="12"/>
  <c r="F40" i="12"/>
  <c r="C40" i="12"/>
  <c r="G39" i="12"/>
  <c r="F39" i="12"/>
  <c r="C39" i="12"/>
  <c r="G38" i="12"/>
  <c r="F38" i="12"/>
  <c r="C38" i="12"/>
  <c r="G37" i="12"/>
  <c r="F37" i="12"/>
  <c r="C37" i="12"/>
  <c r="G36" i="12"/>
  <c r="F36" i="12"/>
  <c r="C36" i="12"/>
  <c r="G35" i="12"/>
  <c r="F35" i="12"/>
  <c r="C35" i="12"/>
  <c r="G34" i="12"/>
  <c r="F34" i="12"/>
  <c r="C34" i="12"/>
  <c r="G33" i="12"/>
  <c r="F33" i="12"/>
  <c r="C33" i="12"/>
  <c r="G32" i="12"/>
  <c r="F32" i="12"/>
  <c r="C32" i="12"/>
  <c r="G31" i="12"/>
  <c r="F31" i="12"/>
  <c r="C31" i="12"/>
  <c r="G30" i="12"/>
  <c r="F30" i="12"/>
  <c r="C30" i="12"/>
  <c r="G29" i="12"/>
  <c r="F29" i="12"/>
  <c r="C29" i="12"/>
  <c r="G28" i="12"/>
  <c r="F28" i="12"/>
  <c r="C28" i="12"/>
  <c r="G27" i="12"/>
  <c r="F27" i="12"/>
  <c r="C27" i="12"/>
  <c r="G26" i="12"/>
  <c r="F26" i="12"/>
  <c r="C26" i="12"/>
  <c r="G25" i="12"/>
  <c r="F25" i="12"/>
  <c r="C25" i="12"/>
  <c r="G24" i="12"/>
  <c r="F24" i="12"/>
  <c r="C24" i="12"/>
  <c r="G23" i="12"/>
  <c r="F23" i="12"/>
  <c r="C23" i="12"/>
  <c r="G22" i="12"/>
  <c r="F22" i="12"/>
  <c r="C22" i="12"/>
  <c r="G21" i="12"/>
  <c r="F21" i="12"/>
  <c r="C21" i="12"/>
  <c r="G20" i="12"/>
  <c r="F20" i="12"/>
  <c r="C20" i="12"/>
  <c r="G19" i="12"/>
  <c r="F19" i="12"/>
  <c r="C19" i="12"/>
  <c r="G18" i="12"/>
  <c r="F18" i="12"/>
  <c r="C18" i="12"/>
  <c r="G17" i="12"/>
  <c r="F17" i="12"/>
  <c r="C17" i="12"/>
  <c r="G16" i="12"/>
  <c r="F16" i="12"/>
  <c r="C16" i="12"/>
  <c r="G15" i="12"/>
  <c r="F15" i="12"/>
  <c r="C15" i="12"/>
  <c r="G14" i="12"/>
  <c r="F14" i="12"/>
  <c r="C14" i="12"/>
  <c r="G13" i="12"/>
  <c r="F13" i="12"/>
  <c r="C13" i="12"/>
  <c r="G12" i="12"/>
  <c r="F12" i="12"/>
  <c r="C12" i="12"/>
  <c r="H269" i="13"/>
  <c r="I269" i="13"/>
  <c r="U99" i="12"/>
  <c r="U13" i="12"/>
  <c r="U14" i="12"/>
  <c r="U15" i="12"/>
  <c r="U16" i="12"/>
  <c r="U17" i="12"/>
  <c r="U18" i="12"/>
  <c r="U19" i="12"/>
  <c r="U20" i="12"/>
  <c r="U21" i="12"/>
  <c r="U22" i="12"/>
  <c r="U23" i="12"/>
  <c r="U24" i="12"/>
  <c r="U25" i="12"/>
  <c r="U26" i="12"/>
  <c r="U27" i="12"/>
  <c r="U28" i="12"/>
  <c r="U29" i="12"/>
  <c r="U30" i="12"/>
  <c r="U31" i="12"/>
  <c r="U32" i="12"/>
  <c r="U33" i="12"/>
  <c r="U34" i="12"/>
  <c r="U35" i="12"/>
  <c r="U36" i="12"/>
  <c r="U37" i="12"/>
  <c r="U38" i="12"/>
  <c r="U39" i="12"/>
  <c r="U40" i="12"/>
  <c r="U41" i="12"/>
  <c r="U42" i="12"/>
  <c r="U43" i="12"/>
  <c r="U44" i="12"/>
  <c r="U45" i="12"/>
  <c r="U46" i="12"/>
  <c r="U47" i="12"/>
  <c r="U48" i="12"/>
  <c r="U49" i="12"/>
  <c r="U50" i="12"/>
  <c r="U51" i="12"/>
  <c r="U52" i="12"/>
  <c r="U53" i="12"/>
  <c r="U54" i="12"/>
  <c r="U55" i="12"/>
  <c r="U56" i="12"/>
  <c r="U57" i="12"/>
  <c r="U58" i="12"/>
  <c r="U59" i="12"/>
  <c r="U60" i="12"/>
  <c r="U61" i="12"/>
  <c r="U62" i="12"/>
  <c r="U63" i="12"/>
  <c r="U65" i="12"/>
  <c r="U66" i="12"/>
  <c r="U67" i="12"/>
  <c r="U68" i="12"/>
  <c r="U69" i="12"/>
  <c r="U70" i="12"/>
  <c r="U71" i="12"/>
  <c r="U72" i="12"/>
  <c r="U73" i="12"/>
  <c r="U74" i="12"/>
  <c r="U75" i="12"/>
  <c r="U76" i="12"/>
  <c r="U77" i="12"/>
  <c r="U78" i="12"/>
  <c r="U79" i="12"/>
  <c r="U80" i="12"/>
  <c r="U81" i="12"/>
  <c r="U82" i="12"/>
  <c r="U83" i="12"/>
  <c r="U84" i="12"/>
  <c r="U85" i="12"/>
  <c r="U86" i="12"/>
  <c r="U87" i="12"/>
  <c r="U88" i="12"/>
  <c r="U89" i="12"/>
  <c r="U90" i="12"/>
  <c r="U91" i="12"/>
  <c r="U92" i="12"/>
  <c r="U93" i="12"/>
  <c r="U94" i="12"/>
  <c r="U96" i="12"/>
  <c r="U97" i="12"/>
  <c r="U98" i="12"/>
  <c r="G27" i="8"/>
  <c r="T99" i="12"/>
  <c r="T13" i="12"/>
  <c r="T14" i="12"/>
  <c r="T15" i="12"/>
  <c r="T16" i="12"/>
  <c r="T17" i="12"/>
  <c r="T18" i="12"/>
  <c r="T19" i="12"/>
  <c r="T20" i="12"/>
  <c r="T21" i="12"/>
  <c r="T22" i="12"/>
  <c r="T23" i="12"/>
  <c r="T24" i="12"/>
  <c r="T25" i="12"/>
  <c r="T26" i="12"/>
  <c r="T27" i="12"/>
  <c r="T28" i="12"/>
  <c r="T29" i="12"/>
  <c r="T30" i="12"/>
  <c r="T31" i="12"/>
  <c r="T32" i="12"/>
  <c r="T33" i="12"/>
  <c r="T34" i="12"/>
  <c r="T35" i="12"/>
  <c r="T36" i="12"/>
  <c r="T37" i="12"/>
  <c r="T38" i="12"/>
  <c r="T39" i="12"/>
  <c r="T40" i="12"/>
  <c r="T41" i="12"/>
  <c r="T42" i="12"/>
  <c r="T43" i="12"/>
  <c r="T44" i="12"/>
  <c r="T45" i="12"/>
  <c r="T46" i="12"/>
  <c r="T47" i="12"/>
  <c r="T48" i="12"/>
  <c r="T49" i="12"/>
  <c r="T50" i="12"/>
  <c r="T51" i="12"/>
  <c r="T52" i="12"/>
  <c r="T53" i="12"/>
  <c r="T54" i="12"/>
  <c r="T55" i="12"/>
  <c r="T56" i="12"/>
  <c r="T57" i="12"/>
  <c r="T58" i="12"/>
  <c r="T59" i="12"/>
  <c r="T60" i="12"/>
  <c r="T61" i="12"/>
  <c r="T62" i="12"/>
  <c r="T63" i="12"/>
  <c r="T65" i="12"/>
  <c r="T66" i="12"/>
  <c r="T67" i="12"/>
  <c r="T68" i="12"/>
  <c r="T69" i="12"/>
  <c r="T70" i="12"/>
  <c r="T71" i="12"/>
  <c r="T72" i="12"/>
  <c r="T73" i="12"/>
  <c r="T74" i="12"/>
  <c r="T75" i="12"/>
  <c r="T76" i="12"/>
  <c r="T77" i="12"/>
  <c r="T78" i="12"/>
  <c r="T79" i="12"/>
  <c r="T80" i="12"/>
  <c r="T81" i="12"/>
  <c r="T82" i="12"/>
  <c r="T83" i="12"/>
  <c r="T84" i="12"/>
  <c r="T85" i="12"/>
  <c r="T86" i="12"/>
  <c r="T87" i="12"/>
  <c r="T88" i="12"/>
  <c r="T89" i="12"/>
  <c r="T90" i="12"/>
  <c r="T91" i="12"/>
  <c r="T92" i="12"/>
  <c r="T93" i="12"/>
  <c r="T94" i="12"/>
  <c r="T96" i="12"/>
  <c r="T97" i="12"/>
  <c r="T98" i="12"/>
  <c r="F27" i="8"/>
  <c r="S99" i="12"/>
  <c r="S13" i="12"/>
  <c r="S14" i="12"/>
  <c r="S15" i="12"/>
  <c r="S16" i="12"/>
  <c r="S18" i="12"/>
  <c r="S19" i="12"/>
  <c r="S20" i="12"/>
  <c r="S21" i="12"/>
  <c r="S22" i="12"/>
  <c r="S23" i="12"/>
  <c r="S24" i="12"/>
  <c r="S25" i="12"/>
  <c r="S26" i="12"/>
  <c r="S27" i="12"/>
  <c r="S28" i="12"/>
  <c r="S29" i="12"/>
  <c r="S30" i="12"/>
  <c r="S31" i="12"/>
  <c r="S32" i="12"/>
  <c r="S33" i="12"/>
  <c r="S34" i="12"/>
  <c r="S35" i="12"/>
  <c r="S36" i="12"/>
  <c r="S37" i="12"/>
  <c r="S38" i="12"/>
  <c r="S39" i="12"/>
  <c r="S40" i="12"/>
  <c r="S41" i="12"/>
  <c r="S42" i="12"/>
  <c r="S43" i="12"/>
  <c r="S44" i="12"/>
  <c r="S45" i="12"/>
  <c r="S46" i="12"/>
  <c r="S47" i="12"/>
  <c r="S48" i="12"/>
  <c r="S49" i="12"/>
  <c r="S50" i="12"/>
  <c r="S51" i="12"/>
  <c r="S52" i="12"/>
  <c r="S53" i="12"/>
  <c r="S54" i="12"/>
  <c r="S55" i="12"/>
  <c r="S56" i="12"/>
  <c r="S57" i="12"/>
  <c r="S58" i="12"/>
  <c r="S59" i="12"/>
  <c r="S60" i="12"/>
  <c r="S61" i="12"/>
  <c r="S62" i="12"/>
  <c r="S63" i="12"/>
  <c r="S65" i="12"/>
  <c r="S66" i="12"/>
  <c r="S67" i="12"/>
  <c r="S68" i="12"/>
  <c r="S69" i="12"/>
  <c r="S70" i="12"/>
  <c r="S71" i="12"/>
  <c r="S72" i="12"/>
  <c r="S73" i="12"/>
  <c r="S74" i="12"/>
  <c r="S75" i="12"/>
  <c r="S76" i="12"/>
  <c r="S77" i="12"/>
  <c r="S78" i="12"/>
  <c r="S79" i="12"/>
  <c r="S80" i="12"/>
  <c r="S81" i="12"/>
  <c r="S82" i="12"/>
  <c r="S83" i="12"/>
  <c r="S84" i="12"/>
  <c r="S85" i="12"/>
  <c r="S86" i="12"/>
  <c r="S87" i="12"/>
  <c r="S88" i="12"/>
  <c r="S89" i="12"/>
  <c r="S90" i="12"/>
  <c r="S91" i="12"/>
  <c r="S92" i="12"/>
  <c r="S93" i="12"/>
  <c r="S94" i="12"/>
  <c r="S96" i="12"/>
  <c r="S97" i="12"/>
  <c r="S98" i="12"/>
  <c r="E27" i="8"/>
  <c r="C202" i="11"/>
  <c r="C201" i="11"/>
  <c r="C200" i="11"/>
  <c r="C199" i="11"/>
  <c r="C197" i="11"/>
  <c r="C196" i="11"/>
  <c r="C195" i="11"/>
  <c r="C194" i="11"/>
  <c r="C193" i="11"/>
  <c r="C192" i="11"/>
  <c r="C191" i="11"/>
  <c r="C190" i="11"/>
  <c r="C189" i="11"/>
  <c r="C188" i="11"/>
  <c r="C187" i="11"/>
  <c r="C186" i="11"/>
  <c r="C185" i="11"/>
  <c r="C184" i="11"/>
  <c r="C183" i="11"/>
  <c r="C182" i="11"/>
  <c r="C181" i="11"/>
  <c r="C180" i="11"/>
  <c r="C179" i="11"/>
  <c r="C178" i="11"/>
  <c r="C177" i="11"/>
  <c r="C176" i="11"/>
  <c r="C175" i="11"/>
  <c r="C174" i="11"/>
  <c r="C173" i="11"/>
  <c r="C172" i="11"/>
  <c r="C171" i="11"/>
  <c r="C170" i="11"/>
  <c r="C169" i="11"/>
  <c r="C168" i="11"/>
  <c r="C166" i="11"/>
  <c r="C165" i="11"/>
  <c r="C164" i="11"/>
  <c r="C163" i="11"/>
  <c r="C162" i="11"/>
  <c r="C161" i="11"/>
  <c r="C160" i="11"/>
  <c r="C159" i="11"/>
  <c r="C158" i="11"/>
  <c r="C157" i="11"/>
  <c r="C156" i="11"/>
  <c r="C155" i="11"/>
  <c r="C154" i="11"/>
  <c r="C153" i="11"/>
  <c r="C152" i="11"/>
  <c r="C151" i="11"/>
  <c r="C150" i="11"/>
  <c r="C149" i="11"/>
  <c r="C148" i="11"/>
  <c r="C147" i="11"/>
  <c r="C146" i="11"/>
  <c r="C145" i="11"/>
  <c r="C144" i="11"/>
  <c r="C143" i="11"/>
  <c r="C142" i="11"/>
  <c r="C141" i="11"/>
  <c r="C140" i="11"/>
  <c r="C139" i="11"/>
  <c r="C138" i="11"/>
  <c r="C137" i="11"/>
  <c r="C136" i="11"/>
  <c r="C135" i="11"/>
  <c r="C134" i="11"/>
  <c r="C133" i="11"/>
  <c r="C132" i="11"/>
  <c r="C131" i="11"/>
  <c r="C130" i="11"/>
  <c r="C129" i="11"/>
  <c r="C128" i="11"/>
  <c r="C127" i="11"/>
  <c r="C126" i="11"/>
  <c r="C125" i="11"/>
  <c r="C124" i="11"/>
  <c r="C123" i="11"/>
  <c r="C122" i="11"/>
  <c r="C121" i="11"/>
  <c r="C120" i="11"/>
  <c r="C119" i="11"/>
  <c r="C118" i="11"/>
  <c r="C117" i="11"/>
  <c r="C116" i="11"/>
  <c r="U101" i="12"/>
  <c r="T101" i="12"/>
  <c r="S101" i="12"/>
  <c r="L203" i="11"/>
  <c r="L213" i="11"/>
  <c r="K203" i="11"/>
  <c r="K213" i="11"/>
  <c r="J203" i="11"/>
  <c r="J213" i="11"/>
  <c r="I203" i="11"/>
  <c r="I213" i="11"/>
  <c r="H203" i="11"/>
  <c r="H213" i="11"/>
  <c r="J211" i="13"/>
  <c r="J219" i="13"/>
  <c r="J221" i="13"/>
  <c r="I211" i="13"/>
  <c r="I219" i="13"/>
  <c r="I221" i="13"/>
  <c r="H211" i="13"/>
  <c r="H219" i="13"/>
  <c r="H221" i="13"/>
  <c r="K310" i="13"/>
  <c r="H8" i="8"/>
  <c r="G8" i="8"/>
  <c r="F8" i="8"/>
  <c r="E8" i="8"/>
  <c r="D8" i="8"/>
  <c r="J291" i="13"/>
  <c r="I291" i="13"/>
  <c r="H291" i="13"/>
  <c r="G291" i="13"/>
  <c r="V13" i="12"/>
  <c r="L13" i="12"/>
  <c r="X13" i="12"/>
  <c r="V14" i="12"/>
  <c r="L14" i="12"/>
  <c r="X14" i="12"/>
  <c r="V15" i="12"/>
  <c r="L15" i="12"/>
  <c r="X15" i="12"/>
  <c r="V16" i="12"/>
  <c r="L16" i="12"/>
  <c r="X16" i="12"/>
  <c r="V17" i="12"/>
  <c r="L17" i="12"/>
  <c r="X17" i="12"/>
  <c r="V18" i="12"/>
  <c r="L18" i="12"/>
  <c r="X18" i="12"/>
  <c r="V19" i="12"/>
  <c r="X19" i="12"/>
  <c r="V20" i="12"/>
  <c r="L20" i="12"/>
  <c r="X20" i="12"/>
  <c r="V21" i="12"/>
  <c r="L21" i="12"/>
  <c r="X21" i="12"/>
  <c r="V22" i="12"/>
  <c r="L22" i="12"/>
  <c r="X22" i="12"/>
  <c r="V23" i="12"/>
  <c r="L23" i="12"/>
  <c r="X23" i="12"/>
  <c r="V24" i="12"/>
  <c r="L24" i="12"/>
  <c r="X24" i="12"/>
  <c r="V25" i="12"/>
  <c r="L25" i="12"/>
  <c r="X25" i="12"/>
  <c r="V26" i="12"/>
  <c r="L26" i="12"/>
  <c r="X26" i="12"/>
  <c r="V27" i="12"/>
  <c r="L27" i="12"/>
  <c r="X27" i="12"/>
  <c r="V28" i="12"/>
  <c r="L28" i="12"/>
  <c r="X28" i="12"/>
  <c r="V29" i="12"/>
  <c r="L29" i="12"/>
  <c r="X29" i="12"/>
  <c r="V30" i="12"/>
  <c r="L30" i="12"/>
  <c r="X30" i="12"/>
  <c r="V31" i="12"/>
  <c r="L31" i="12"/>
  <c r="X31" i="12"/>
  <c r="V32" i="12"/>
  <c r="L32" i="12"/>
  <c r="X32" i="12"/>
  <c r="V33" i="12"/>
  <c r="L33" i="12"/>
  <c r="X33" i="12"/>
  <c r="V34" i="12"/>
  <c r="L34" i="12"/>
  <c r="X34" i="12"/>
  <c r="V35" i="12"/>
  <c r="L35" i="12"/>
  <c r="X35" i="12"/>
  <c r="V36" i="12"/>
  <c r="L36" i="12"/>
  <c r="X36" i="12"/>
  <c r="V37" i="12"/>
  <c r="L37" i="12"/>
  <c r="X37" i="12"/>
  <c r="V38" i="12"/>
  <c r="L38" i="12"/>
  <c r="X38" i="12"/>
  <c r="V39" i="12"/>
  <c r="L39" i="12"/>
  <c r="X39" i="12"/>
  <c r="V40" i="12"/>
  <c r="L40" i="12"/>
  <c r="X40" i="12"/>
  <c r="V41" i="12"/>
  <c r="L41" i="12"/>
  <c r="X41" i="12"/>
  <c r="V42" i="12"/>
  <c r="L42" i="12"/>
  <c r="X42" i="12"/>
  <c r="V43" i="12"/>
  <c r="L43" i="12"/>
  <c r="X43" i="12"/>
  <c r="V44" i="12"/>
  <c r="L44" i="12"/>
  <c r="X44" i="12"/>
  <c r="V45" i="12"/>
  <c r="L45" i="12"/>
  <c r="X45" i="12"/>
  <c r="V46" i="12"/>
  <c r="L46" i="12"/>
  <c r="X46" i="12"/>
  <c r="V47" i="12"/>
  <c r="L47" i="12"/>
  <c r="X47" i="12"/>
  <c r="V48" i="12"/>
  <c r="L48" i="12"/>
  <c r="X48" i="12"/>
  <c r="V49" i="12"/>
  <c r="L49" i="12"/>
  <c r="X49" i="12"/>
  <c r="V50" i="12"/>
  <c r="L50" i="12"/>
  <c r="X50" i="12"/>
  <c r="V51" i="12"/>
  <c r="L51" i="12"/>
  <c r="X51" i="12"/>
  <c r="V52" i="12"/>
  <c r="L52" i="12"/>
  <c r="X52" i="12"/>
  <c r="V53" i="12"/>
  <c r="L53" i="12"/>
  <c r="X53" i="12"/>
  <c r="V54" i="12"/>
  <c r="L54" i="12"/>
  <c r="X54" i="12"/>
  <c r="V55" i="12"/>
  <c r="L55" i="12"/>
  <c r="X55" i="12"/>
  <c r="V56" i="12"/>
  <c r="L56" i="12"/>
  <c r="X56" i="12"/>
  <c r="V57" i="12"/>
  <c r="L57" i="12"/>
  <c r="X57" i="12"/>
  <c r="V58" i="12"/>
  <c r="L58" i="12"/>
  <c r="X58" i="12"/>
  <c r="V59" i="12"/>
  <c r="L59" i="12"/>
  <c r="X59" i="12"/>
  <c r="V60" i="12"/>
  <c r="L60" i="12"/>
  <c r="X60" i="12"/>
  <c r="V61" i="12"/>
  <c r="L61" i="12"/>
  <c r="X61" i="12"/>
  <c r="V62" i="12"/>
  <c r="L62" i="12"/>
  <c r="X62" i="12"/>
  <c r="V63" i="12"/>
  <c r="L63" i="12"/>
  <c r="X63" i="12"/>
  <c r="V65" i="12"/>
  <c r="L65" i="12"/>
  <c r="X65" i="12"/>
  <c r="V66" i="12"/>
  <c r="L66" i="12"/>
  <c r="X66" i="12"/>
  <c r="V67" i="12"/>
  <c r="L67" i="12"/>
  <c r="X67" i="12"/>
  <c r="V68" i="12"/>
  <c r="L68" i="12"/>
  <c r="X68" i="12"/>
  <c r="V69" i="12"/>
  <c r="L69" i="12"/>
  <c r="X69" i="12"/>
  <c r="V70" i="12"/>
  <c r="L70" i="12"/>
  <c r="X70" i="12"/>
  <c r="V71" i="12"/>
  <c r="L71" i="12"/>
  <c r="X71" i="12"/>
  <c r="V72" i="12"/>
  <c r="L72" i="12"/>
  <c r="X72" i="12"/>
  <c r="V73" i="12"/>
  <c r="L73" i="12"/>
  <c r="X73" i="12"/>
  <c r="V74" i="12"/>
  <c r="L74" i="12"/>
  <c r="X74" i="12"/>
  <c r="V75" i="12"/>
  <c r="L75" i="12"/>
  <c r="X75" i="12"/>
  <c r="V76" i="12"/>
  <c r="L76" i="12"/>
  <c r="X76" i="12"/>
  <c r="V77" i="12"/>
  <c r="L77" i="12"/>
  <c r="X77" i="12"/>
  <c r="V78" i="12"/>
  <c r="L78" i="12"/>
  <c r="X78" i="12"/>
  <c r="V79" i="12"/>
  <c r="L79" i="12"/>
  <c r="X79" i="12"/>
  <c r="V80" i="12"/>
  <c r="L80" i="12"/>
  <c r="X80" i="12"/>
  <c r="V81" i="12"/>
  <c r="L81" i="12"/>
  <c r="X81" i="12"/>
  <c r="V82" i="12"/>
  <c r="L82" i="12"/>
  <c r="X82" i="12"/>
  <c r="V83" i="12"/>
  <c r="L83" i="12"/>
  <c r="X83" i="12"/>
  <c r="V84" i="12"/>
  <c r="L84" i="12"/>
  <c r="X84" i="12"/>
  <c r="V85" i="12"/>
  <c r="L85" i="12"/>
  <c r="X85" i="12"/>
  <c r="V86" i="12"/>
  <c r="L86" i="12"/>
  <c r="X86" i="12"/>
  <c r="V87" i="12"/>
  <c r="L87" i="12"/>
  <c r="X87" i="12"/>
  <c r="V88" i="12"/>
  <c r="L88" i="12"/>
  <c r="X88" i="12"/>
  <c r="V89" i="12"/>
  <c r="L89" i="12"/>
  <c r="X89" i="12"/>
  <c r="V90" i="12"/>
  <c r="L90" i="12"/>
  <c r="X90" i="12"/>
  <c r="V91" i="12"/>
  <c r="L91" i="12"/>
  <c r="X91" i="12"/>
  <c r="V92" i="12"/>
  <c r="L92" i="12"/>
  <c r="X92" i="12"/>
  <c r="V93" i="12"/>
  <c r="L93" i="12"/>
  <c r="X93" i="12"/>
  <c r="V94" i="12"/>
  <c r="L94" i="12"/>
  <c r="X94" i="12"/>
  <c r="V96" i="12"/>
  <c r="L96" i="12"/>
  <c r="X96" i="12"/>
  <c r="V97" i="12"/>
  <c r="L97" i="12"/>
  <c r="X97" i="12"/>
  <c r="V98" i="12"/>
  <c r="L98" i="12"/>
  <c r="X98" i="12"/>
  <c r="V99" i="12"/>
  <c r="L99" i="12"/>
  <c r="X99" i="12"/>
  <c r="B5" i="11"/>
  <c r="G26" i="8"/>
  <c r="F26" i="8"/>
  <c r="E26" i="8"/>
  <c r="C210" i="11"/>
  <c r="C209" i="11"/>
  <c r="C208" i="11"/>
  <c r="C207" i="11"/>
  <c r="C206" i="11"/>
  <c r="Q99" i="12"/>
  <c r="Q98" i="12"/>
  <c r="Q97" i="12"/>
  <c r="Q96" i="12"/>
  <c r="Q91" i="12"/>
  <c r="Q90" i="12"/>
  <c r="Q89" i="12"/>
  <c r="Q88" i="12"/>
  <c r="Q87" i="12"/>
  <c r="Q86" i="12"/>
  <c r="Q85" i="12"/>
  <c r="Q84" i="12"/>
  <c r="Q83" i="12"/>
  <c r="Q82" i="12"/>
  <c r="Q81" i="12"/>
  <c r="Q77" i="12"/>
  <c r="Q76" i="12"/>
  <c r="Q75" i="12"/>
  <c r="Q74" i="12"/>
  <c r="Q73" i="12"/>
  <c r="Q72" i="12"/>
  <c r="Q71" i="12"/>
  <c r="Q70" i="12"/>
  <c r="Q69" i="12"/>
  <c r="Q68" i="12"/>
  <c r="Q67" i="12"/>
  <c r="Q66" i="12"/>
  <c r="Q65" i="12"/>
  <c r="Q63" i="12"/>
  <c r="Q62" i="12"/>
  <c r="Q61" i="12"/>
  <c r="Q60" i="12"/>
  <c r="Q59" i="12"/>
  <c r="Q58" i="12"/>
  <c r="Q57" i="12"/>
  <c r="Q56" i="12"/>
  <c r="Q55" i="12"/>
  <c r="Q53" i="12"/>
  <c r="Q52" i="12"/>
  <c r="Q51" i="12"/>
  <c r="Q49" i="12"/>
  <c r="Q48" i="12"/>
  <c r="Q47" i="12"/>
  <c r="Q45" i="12"/>
  <c r="Q44" i="12"/>
  <c r="Q43" i="12"/>
  <c r="Q41" i="12"/>
  <c r="Q40" i="12"/>
  <c r="Q39" i="12"/>
  <c r="Q37" i="12"/>
  <c r="Q36" i="12"/>
  <c r="Q35" i="12"/>
  <c r="Q33" i="12"/>
  <c r="Q32" i="12"/>
  <c r="Q31" i="12"/>
  <c r="Q30" i="12"/>
  <c r="Q29" i="12"/>
  <c r="Q28" i="12"/>
  <c r="Q27" i="12"/>
  <c r="Q26" i="12"/>
  <c r="Q25" i="12"/>
  <c r="Q24" i="12"/>
  <c r="Q23" i="12"/>
  <c r="Q22" i="12"/>
  <c r="Q21" i="12"/>
  <c r="Q20" i="12"/>
  <c r="Q19" i="12"/>
  <c r="Q18" i="12"/>
  <c r="Q17" i="12"/>
  <c r="Q16" i="12"/>
  <c r="Q15" i="12"/>
  <c r="Q14" i="12"/>
  <c r="Q13" i="12"/>
  <c r="Q12" i="12"/>
  <c r="Q94" i="12"/>
  <c r="Q93" i="12"/>
  <c r="Q92" i="12"/>
  <c r="Q80" i="12"/>
  <c r="Q79" i="12"/>
  <c r="Q78" i="12"/>
  <c r="Q54" i="12"/>
  <c r="Q50" i="12"/>
  <c r="Q46" i="12"/>
  <c r="Q42" i="12"/>
  <c r="Q38" i="12"/>
  <c r="Q34" i="12"/>
  <c r="AA99" i="12"/>
  <c r="AA98" i="12"/>
  <c r="AA97" i="12"/>
  <c r="AA96" i="12"/>
  <c r="AA94" i="12"/>
  <c r="AA93" i="12"/>
  <c r="AA92" i="12"/>
  <c r="AA91" i="12"/>
  <c r="AA90" i="12"/>
  <c r="AA89" i="12"/>
  <c r="AA88" i="12"/>
  <c r="AA87" i="12"/>
  <c r="AA86" i="12"/>
  <c r="AA85" i="12"/>
  <c r="AA84" i="12"/>
  <c r="AA83" i="12"/>
  <c r="AA82" i="12"/>
  <c r="AA81" i="12"/>
  <c r="AA80" i="12"/>
  <c r="AA79" i="12"/>
  <c r="AA78" i="12"/>
  <c r="AA77" i="12"/>
  <c r="AA76" i="12"/>
  <c r="AA75" i="12"/>
  <c r="AA74" i="12"/>
  <c r="AA73" i="12"/>
  <c r="AA72" i="12"/>
  <c r="AA71" i="12"/>
  <c r="AA70" i="12"/>
  <c r="AA69" i="12"/>
  <c r="AA68" i="12"/>
  <c r="AA67" i="12"/>
  <c r="AA66" i="12"/>
  <c r="AA65" i="12"/>
  <c r="AA63" i="12"/>
  <c r="AA62" i="12"/>
  <c r="AA61" i="12"/>
  <c r="AA60" i="12"/>
  <c r="AA59" i="12"/>
  <c r="AA58" i="12"/>
  <c r="AA57" i="12"/>
  <c r="AA56" i="12"/>
  <c r="AA55" i="12"/>
  <c r="AA54" i="12"/>
  <c r="AA53" i="12"/>
  <c r="AA52" i="12"/>
  <c r="AA51" i="12"/>
  <c r="AA50" i="12"/>
  <c r="AA49" i="12"/>
  <c r="AA48" i="12"/>
  <c r="AA47" i="12"/>
  <c r="AA46" i="12"/>
  <c r="AA45" i="12"/>
  <c r="AA44" i="12"/>
  <c r="AA43" i="12"/>
  <c r="AA42" i="12"/>
  <c r="AA41" i="12"/>
  <c r="AA40" i="12"/>
  <c r="AA39" i="12"/>
  <c r="AA38" i="12"/>
  <c r="AA37" i="12"/>
  <c r="AA36" i="12"/>
  <c r="AA35" i="12"/>
  <c r="AA34" i="12"/>
  <c r="AA33" i="12"/>
  <c r="AA32" i="12"/>
  <c r="AA31" i="12"/>
  <c r="AA30" i="12"/>
  <c r="AA29" i="12"/>
  <c r="AA28" i="12"/>
  <c r="AA27" i="12"/>
  <c r="AA26" i="12"/>
  <c r="AA25" i="12"/>
  <c r="AA24" i="12"/>
  <c r="AA23" i="12"/>
  <c r="AA22" i="12"/>
  <c r="AA21" i="12"/>
  <c r="AA20" i="12"/>
  <c r="AA18" i="12"/>
  <c r="AA17" i="12"/>
  <c r="AA16" i="12"/>
  <c r="AA15" i="12"/>
  <c r="AA14" i="12"/>
  <c r="AA13" i="12"/>
  <c r="AA12" i="12"/>
  <c r="AA101" i="12"/>
  <c r="V101" i="12"/>
  <c r="Q101" i="12"/>
  <c r="L101" i="12"/>
  <c r="K101" i="12"/>
  <c r="J101" i="12"/>
  <c r="I101" i="12"/>
  <c r="E28" i="8"/>
  <c r="C115" i="11"/>
  <c r="F203" i="11"/>
  <c r="F211" i="11"/>
  <c r="F213" i="11"/>
  <c r="E211" i="11"/>
  <c r="E203" i="11"/>
  <c r="E213" i="11"/>
  <c r="D211" i="11"/>
  <c r="D203" i="11"/>
  <c r="D213" i="11"/>
  <c r="C203" i="11"/>
  <c r="C211" i="11"/>
  <c r="C213" i="11"/>
  <c r="K219" i="13"/>
  <c r="K211" i="13"/>
  <c r="K221" i="13"/>
  <c r="G219" i="13"/>
  <c r="G211" i="13"/>
  <c r="G221" i="13"/>
  <c r="U102" i="12"/>
  <c r="T102" i="12"/>
  <c r="S102" i="12"/>
  <c r="B3" i="12"/>
  <c r="D40" i="8"/>
  <c r="E40" i="8"/>
  <c r="F40" i="8"/>
  <c r="G40" i="8"/>
  <c r="C40" i="8"/>
  <c r="D37" i="8"/>
  <c r="E37" i="8"/>
  <c r="F37" i="8"/>
  <c r="G37" i="8"/>
  <c r="C37" i="8"/>
  <c r="D36" i="8"/>
  <c r="E36" i="8"/>
  <c r="F36" i="8"/>
  <c r="G36" i="8"/>
  <c r="C36" i="8"/>
  <c r="F28" i="8"/>
  <c r="G28" i="8"/>
  <c r="H26" i="8"/>
  <c r="C3" i="11"/>
  <c r="K283" i="13"/>
  <c r="J283" i="13"/>
  <c r="I283" i="13"/>
  <c r="H283" i="13"/>
  <c r="H36" i="8"/>
  <c r="H37" i="8"/>
  <c r="H38" i="8"/>
  <c r="G38" i="8"/>
  <c r="F38" i="8"/>
  <c r="E38" i="8"/>
  <c r="D38" i="8"/>
  <c r="C38" i="8"/>
  <c r="C46" i="8"/>
  <c r="D46" i="8"/>
  <c r="E46" i="8"/>
  <c r="F46" i="8"/>
  <c r="G46" i="8"/>
  <c r="H46" i="8"/>
  <c r="H28" i="8"/>
  <c r="H27" i="8"/>
  <c r="H40" i="8"/>
  <c r="J256" i="13"/>
  <c r="G248" i="13"/>
  <c r="G116" i="13"/>
  <c r="D3" i="9"/>
</calcChain>
</file>

<file path=xl/comments1.xml><?xml version="1.0" encoding="utf-8"?>
<comments xmlns="http://schemas.openxmlformats.org/spreadsheetml/2006/main">
  <authors>
    <author>moorsc</author>
  </authors>
  <commentList>
    <comment ref="Y9" authorId="0">
      <text>
        <r>
          <rPr>
            <b/>
            <sz val="9"/>
            <color indexed="81"/>
            <rFont val="Tahoma"/>
            <family val="2"/>
          </rPr>
          <t>moorsc:</t>
        </r>
        <r>
          <rPr>
            <sz val="9"/>
            <color indexed="81"/>
            <rFont val="Tahoma"/>
            <family val="2"/>
          </rPr>
          <t xml:space="preserve">
Rounded to the nearest .05 of an hour.</t>
        </r>
      </text>
    </comment>
  </commentList>
</comments>
</file>

<file path=xl/comments2.xml><?xml version="1.0" encoding="utf-8"?>
<comments xmlns="http://schemas.openxmlformats.org/spreadsheetml/2006/main">
  <authors>
    <author>Jacob Muscat</author>
  </authors>
  <commentList>
    <comment ref="F112" authorId="0">
      <text>
        <r>
          <rPr>
            <b/>
            <sz val="9"/>
            <color indexed="81"/>
            <rFont val="Tahoma"/>
            <family val="2"/>
          </rPr>
          <t>Jacob Muscat:</t>
        </r>
        <r>
          <rPr>
            <sz val="9"/>
            <color indexed="81"/>
            <rFont val="Tahoma"/>
            <family val="2"/>
          </rPr>
          <t xml:space="preserve">
This represents the YTD May extrapolated figures for 2012/13 as the full 2012/13 year was not available when the forecast was developed.</t>
        </r>
      </text>
    </comment>
  </commentList>
</comments>
</file>

<file path=xl/sharedStrings.xml><?xml version="1.0" encoding="utf-8"?>
<sst xmlns="http://schemas.openxmlformats.org/spreadsheetml/2006/main" count="801" uniqueCount="257">
  <si>
    <t>Service:</t>
  </si>
  <si>
    <t>Total</t>
  </si>
  <si>
    <t>Historical Revenue</t>
  </si>
  <si>
    <t>Description</t>
  </si>
  <si>
    <t>Volumes</t>
  </si>
  <si>
    <t>Source</t>
  </si>
  <si>
    <t>Current Fee</t>
  </si>
  <si>
    <t>AER Framework and Approach paper March 2013</t>
  </si>
  <si>
    <t>Standard Hours</t>
  </si>
  <si>
    <t>Hourly</t>
  </si>
  <si>
    <t>Fee Type</t>
  </si>
  <si>
    <t>Not available</t>
  </si>
  <si>
    <t>2009/10</t>
  </si>
  <si>
    <t>2010/11</t>
  </si>
  <si>
    <t>2011/12</t>
  </si>
  <si>
    <t>2012/13</t>
  </si>
  <si>
    <t>2013/14</t>
  </si>
  <si>
    <t>2014/15</t>
  </si>
  <si>
    <t>2015/16</t>
  </si>
  <si>
    <t>2016/17</t>
  </si>
  <si>
    <t>2017/18</t>
  </si>
  <si>
    <t>2018/19</t>
  </si>
  <si>
    <t>Overhead Factor (Nominal)</t>
  </si>
  <si>
    <t>Average Conversion Factor From Real to Nominal</t>
  </si>
  <si>
    <t>Direct Costs (Nominal)</t>
  </si>
  <si>
    <t>Work Order</t>
  </si>
  <si>
    <t>Indirect Costs (Nominal)</t>
  </si>
  <si>
    <t>Type</t>
  </si>
  <si>
    <t>2010/11 Volumes</t>
  </si>
  <si>
    <t>2011/12 Volumes</t>
  </si>
  <si>
    <t>2012/13 Volumes</t>
  </si>
  <si>
    <t>Standard Hours
2010/11</t>
  </si>
  <si>
    <t>Standard Hours
2011/12</t>
  </si>
  <si>
    <t>Standard Hours
2012/13</t>
  </si>
  <si>
    <t>Total Standard Hours</t>
  </si>
  <si>
    <t>Actual Hours 2010/11</t>
  </si>
  <si>
    <t>Actual Hours 2011/12</t>
  </si>
  <si>
    <t>Actual Hours 2012/13</t>
  </si>
  <si>
    <t>Actual Hours per job</t>
  </si>
  <si>
    <t>Revised Standard Hours per job (Rounded)</t>
  </si>
  <si>
    <t>Work Order Description</t>
  </si>
  <si>
    <t>Historical Work Order Costs</t>
  </si>
  <si>
    <t>Average Hourly Rate (Nominal)</t>
  </si>
  <si>
    <t>Assumed annual labour growth</t>
  </si>
  <si>
    <t>Total Hours</t>
  </si>
  <si>
    <t>Historical Volumes</t>
  </si>
  <si>
    <t>Labour Growth</t>
  </si>
  <si>
    <t>Total Operating Expenditure</t>
  </si>
  <si>
    <t>N/A</t>
  </si>
  <si>
    <t>All unit rates have been calculated in real 12/13 dollars for comparison purposes. To estimate labour rates in real 12/13 dollars for prior years, the actual salary increases for award staff in those years has been used.</t>
  </si>
  <si>
    <t>Ancillary Network Services</t>
  </si>
  <si>
    <t>Data Input Work Sheet</t>
  </si>
  <si>
    <t>Hours were extracted from Ellipse work orders.</t>
  </si>
  <si>
    <t>This worksheet left blank intentionally</t>
  </si>
  <si>
    <t>Calculation of Overhead Factor</t>
  </si>
  <si>
    <t>Average Hourly Rate (Real 2012/13$)</t>
  </si>
  <si>
    <t>Overhead Factor</t>
  </si>
  <si>
    <t>Average Hourly Rate (2012/13$) - Incl OH</t>
  </si>
  <si>
    <t>Ancillary Network Services - Service Description</t>
  </si>
  <si>
    <t>Ancillary Network Services - Summary</t>
  </si>
  <si>
    <t>Ancillary Network Services - Fee Breakdown</t>
  </si>
  <si>
    <t>Fee
(Excluding GST)</t>
  </si>
  <si>
    <t>Hourly Rate
(Excluding GST)</t>
  </si>
  <si>
    <t>Historic Volumes</t>
  </si>
  <si>
    <t>Overheads</t>
  </si>
  <si>
    <t>Direct Operating Expenditure</t>
  </si>
  <si>
    <t>Hourly rate (excl overheads)</t>
  </si>
  <si>
    <t>Hourly rate (incl overheads)</t>
  </si>
  <si>
    <t>Framework &amp; Approach Service Description</t>
  </si>
  <si>
    <t>Network &amp; Corporate Overhead Factor</t>
  </si>
  <si>
    <t>Overhead Conversion Factor</t>
  </si>
  <si>
    <t>Average</t>
  </si>
  <si>
    <t>Total Costs</t>
  </si>
  <si>
    <t>Proposed Hourly Rates</t>
  </si>
  <si>
    <t>Fee
(Including GST)</t>
  </si>
  <si>
    <t>2012/13 YTD May Extrapolated</t>
  </si>
  <si>
    <t>Labour Growth Rates</t>
  </si>
  <si>
    <t>Average Hourly Rates - 2012/13 Dollars</t>
  </si>
  <si>
    <t>Average Hourly Rates - Forecast Nominal</t>
  </si>
  <si>
    <t>Growth</t>
  </si>
  <si>
    <t>Current Fees</t>
  </si>
  <si>
    <t>Estimated Hours Based on Standard Hours</t>
  </si>
  <si>
    <t>Actual Hours Booked to Work Orders - Pro Rata Based on Standard Hours</t>
  </si>
  <si>
    <t>Total Actual Hours for 3 Years</t>
  </si>
  <si>
    <t>Total Volumes</t>
  </si>
  <si>
    <t>Revised Standard Hours</t>
  </si>
  <si>
    <t>Total Hours Based on Revised Standard</t>
  </si>
  <si>
    <t>Proposed Fees (Nominal)</t>
  </si>
  <si>
    <t>Forecast Volumes</t>
  </si>
  <si>
    <t>Forecast Operating Expenditure</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</si>
  <si>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</si>
  <si>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</si>
  <si>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</si>
  <si>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</si>
  <si>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</si>
  <si>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</si>
  <si>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</si>
  <si>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CAM projects invoiced</t>
  </si>
  <si>
    <t xml:space="preserve">Existing Service Description (2009-14) </t>
  </si>
  <si>
    <t>Updated Service Description (2015-19)</t>
  </si>
  <si>
    <t>Inspection of Service Work (Level 1 work)</t>
  </si>
  <si>
    <t>Historical Revenue - Inspection of Service Work (Level) 1</t>
  </si>
  <si>
    <t>Historical Revenue - Inspections outisde of normal business hours</t>
  </si>
  <si>
    <t>NCI10008</t>
  </si>
  <si>
    <t>INSPECTION REINSPECTION OF L1 ASP WORK</t>
  </si>
  <si>
    <t>Revenue related to this service is billed through Endeavour Energy's Ellipse billing system and is extracted from the general ledger.</t>
  </si>
  <si>
    <t>Work orders relating to this service were identified and were extracted from the general ledger. These work orders capture the costs associated with performing this ancillary network service.</t>
  </si>
  <si>
    <t>Subdivision - URD - Underground - Per Lot (1 - 10) - Grade A</t>
  </si>
  <si>
    <t>Subdivision - URD - Underground - Per Lot (11 - 50) - Grade A</t>
  </si>
  <si>
    <t>Subdivision - URD - Underground - Per Lot (51 +) - Grade A</t>
  </si>
  <si>
    <t>Subdivision - URD - Underground - Per Lot (1 - 10) - Grade B</t>
  </si>
  <si>
    <t>Subdivision - URD - Underground - Per Lot (11 - 50) - Grade B</t>
  </si>
  <si>
    <t>Subdivision - URD - Underground - Per Lot (51 +) - Grade B</t>
  </si>
  <si>
    <t>Subdivision - URD - Underground - Per Lot (1 - 10) - Grade C</t>
  </si>
  <si>
    <t>Subdivision - URD - Underground - Per Lot (11 - 50) - Grade C</t>
  </si>
  <si>
    <t>Subdivision - URD - Underground - Per Lot (51 +) - Grade C</t>
  </si>
  <si>
    <t>Subdivision - URD - Underground - Per Hour + $44 travel time</t>
  </si>
  <si>
    <t>Subdivision - Non Urban - Underground - Per Lot (1 - 10) - Grade A</t>
  </si>
  <si>
    <t>Subdivision - Non Urban - Underground - Per Lot (11 - 50) - Grade A</t>
  </si>
  <si>
    <t>Subdivision - Non Urban - Underground - Per Lot (51+) - Grade A</t>
  </si>
  <si>
    <t>Subdivision - Non Urban - Underground - Per Lot (1 - 10) - Grade B</t>
  </si>
  <si>
    <t>Subdivision - Non Urban - Underground - Per Lot (11 - 50) - Grade B</t>
  </si>
  <si>
    <t>Subdivision - Non Urban - Underground - Per Lot (51+) - Grade B</t>
  </si>
  <si>
    <t>Subdivision - Non Urban - Underground - Per Lot (1 - 10) - Grade C</t>
  </si>
  <si>
    <t>Subdivision - Non Urban - Underground - Per Lot (11 - 50) - Grade C</t>
  </si>
  <si>
    <t>Subdivision - Non Urban - Underground - Per Lot (51+) - Grade C</t>
  </si>
  <si>
    <t>Subdivision - Non Urban - Overhead - Per Pole (1 - 5) - Grade A</t>
  </si>
  <si>
    <t>Subdivision - Non Urban - Overhead - Per Pole (6 - 10) - Grade A</t>
  </si>
  <si>
    <t>Subdivision - Non Urban - Overhead - Per Pole (11 +) - Grade A</t>
  </si>
  <si>
    <t>Subdivision - Non Urban - Overhead - Per Pole Sub - Grade A</t>
  </si>
  <si>
    <t>Subdivision - Non Urban - Overhead - Per Pole (1 - 5) - Grade B</t>
  </si>
  <si>
    <t>Subdivision - Non Urban - Overhead - Per Pole (6 - 10) - Grade B</t>
  </si>
  <si>
    <t>Subdivision - Non Urban - Overhead - Per Pole (11 +) - Grade B</t>
  </si>
  <si>
    <t>Subdivision - Non Urban - Overhead - Per Pole Sub - Grade B</t>
  </si>
  <si>
    <t>Subdivision - Non Urban - Overhead - Per Pole (1 - 5) - Grade C</t>
  </si>
  <si>
    <t>Subdivision - Non Urban - Overhead - Per Pole (6 - 10) - Grade C</t>
  </si>
  <si>
    <t>Subdivision - Non Urban - Overhead - Per Pole (11 +) - Grade C</t>
  </si>
  <si>
    <t>Subdivision - Non Urban - Overhead - Per Pole Sub - Grade C</t>
  </si>
  <si>
    <t>Subdivision - Industrial &amp; Commercial - Overhead - Per Pole (1 - 5) - Grade A</t>
  </si>
  <si>
    <t>Subdivision - Industrial &amp; Commercial - Overhead - Per Pole (6 - 10) - Grade A</t>
  </si>
  <si>
    <t>Subdivision - Industrial &amp; Commercial - Overhead - Per Pole (11 +) - Grade A</t>
  </si>
  <si>
    <t>Subdivision - Industrial &amp; Commercial - Overhead - Per Pole Sub - Grade A</t>
  </si>
  <si>
    <t>Subdivision - Industrial &amp; Commercial - Overhead - Per Pole (1 - 5) - Grade B</t>
  </si>
  <si>
    <t>Subdivision - Industrial &amp; Commercial - Overhead - Per Pole (6 - 10) - Grade B</t>
  </si>
  <si>
    <t>Subdivision - Industrial &amp; Commercial - Overhead - Per Pole (11 +) - Grade B</t>
  </si>
  <si>
    <t>Subdivision - Industrial &amp; Commercial - Overhead - Per Pole Sub - Grade B</t>
  </si>
  <si>
    <t>Subdivision - Industrial &amp; Commercial - Overhead - Per Pole (1 - 5) - Grade C</t>
  </si>
  <si>
    <t>Subdivision - Industrial &amp; Commercial - Overhead - Per Pole (6 - 10) - Grade C</t>
  </si>
  <si>
    <t>Subdivision - Industrial &amp; Commercial - Overhead - Per Pole (11 +) - Grade C</t>
  </si>
  <si>
    <t>Subdivision - Industrial &amp; Commercial - Overhead - Per Pole Sub - Grade C</t>
  </si>
  <si>
    <t>Subdivision - Industrial &amp; Commercial - Underground - Per Lot (1 - 10) - Grade A</t>
  </si>
  <si>
    <t>Subdivision - Industrial &amp; Commercial - Underground - Per Lot (11 - 50) - Grade A</t>
  </si>
  <si>
    <t>Subdivision - Industrial &amp; Commercial - Underground - Per Lot (51+) - Grade A</t>
  </si>
  <si>
    <t>Subdivision - Industrial &amp; Commercial - Underground - Per Lot (1 - 10) - Grade B</t>
  </si>
  <si>
    <t>Subdivision - Industrial &amp; Commercial - Underground - Per Lot (11 - 50) - Grade B</t>
  </si>
  <si>
    <t>Subdivision - Industrial &amp; Commercial - Underground - Per Lot (51+) - Grade B</t>
  </si>
  <si>
    <t>Subdivision - Industrial &amp; Commercial - Underground - Per Lot (1 - 10) - Grade C</t>
  </si>
  <si>
    <t>Subdivision - Industrial &amp; Commercial - Underground - Per Lot (11 - 50) - Grade C</t>
  </si>
  <si>
    <t>Subdivision - Industrial &amp; Commercial - Underground - Per Lot (51+) - Grade C</t>
  </si>
  <si>
    <t>Connection of Load - URD - Underground - Per hour (Inspector) + travel time</t>
  </si>
  <si>
    <t>Connection of Load - URD - Underground - Per hour (Engineer) + travel time</t>
  </si>
  <si>
    <t>Connection of Load - Non Urban - Underground - Per hour (Inspector) + travel time</t>
  </si>
  <si>
    <t>Connection of Load - Non Urban - Underground - Per hour (Engineer) + travel time</t>
  </si>
  <si>
    <t>Connection of Load - Non Urban - Overhead - Per Pole (1 - 5) - Grade A</t>
  </si>
  <si>
    <t>Connection of Load - Non Urban - Overhead - Per Pole (1 - 5) - Grade B</t>
  </si>
  <si>
    <t>Connection of Load - Non Urban - Overhead - Per Pole (1 - 5) - Grade C</t>
  </si>
  <si>
    <t>Connection of Load - Non Urban - Overhead - Per Pole (6 - 10) - Grade A</t>
  </si>
  <si>
    <t>Connection of Load - Non Urban - Overhead - Per Pole (6 - 10) - Grade B</t>
  </si>
  <si>
    <t>Connection of Load - Non Urban - Overhead - Per Pole (6 - 10) - Grade C</t>
  </si>
  <si>
    <t>Connection of Load - Non Urban - Overhead - Per Pole (11 +) - Grade A</t>
  </si>
  <si>
    <t>Connection of Load - Non Urban - Overhead - Per Pole (11 +) - Grade B</t>
  </si>
  <si>
    <t>Connection of Load - Non Urban - Overhead - Per Pole (11 +) - Grade C</t>
  </si>
  <si>
    <t>Connection of Load - Non Urban - Overhead - Per Pole Sub - Grade A</t>
  </si>
  <si>
    <t>Connection of Load - Non Urban - Overhead - Per Pole Sub - Grade B</t>
  </si>
  <si>
    <t>Connection of Load - Non Urban - Overhead - Per Pole Sub - Grade C</t>
  </si>
  <si>
    <t>Connection of Load - Industrial &amp; Commercial - Underground - Per Hour (Inspector) + travel time</t>
  </si>
  <si>
    <t>Connection of Load - Industrial &amp; Commercial - Underground - Per Hour (Engineer) + travel time</t>
  </si>
  <si>
    <t>Connection of Load - Industrial &amp; Commercial - Overhead - Per Pole (1 - 5) - Grade A</t>
  </si>
  <si>
    <t>Connection of Load - Industrial &amp; Commercial - Overhead - Per Pole (1 - 5) - Grade B</t>
  </si>
  <si>
    <t>Connection of Load - Industrial &amp; Commercial - Overhead - Per Pole (1 - 5) - Grade C</t>
  </si>
  <si>
    <t>Connection of Load - Industrial &amp; Commercial - Overhead - Per Pole (6 - 10) - Grade A</t>
  </si>
  <si>
    <t>Connection of Load - Industrial &amp; Commercial - Overhead - Per Pole (6 - 10) - Grade B</t>
  </si>
  <si>
    <t>Connection of Load - Industrial &amp; Commercial - Overhead - Per Pole (6 - 10) - Grade C</t>
  </si>
  <si>
    <t>Connection of Load - Industrial &amp; Commercial - Overhead - Per Pole (11+) - Grade A</t>
  </si>
  <si>
    <t>Connection of Load - Industrial &amp; Commercial - Overhead - Per Pole (11+) - Grade B</t>
  </si>
  <si>
    <t>Connection of Load - Industrial &amp; Commercial - Overhead - Per Pole (11+) - Grade C</t>
  </si>
  <si>
    <t>Connection of Load - Industrial &amp; Commercial - Overhead - Per Pole Sub - Grade A</t>
  </si>
  <si>
    <t>Connection of Load - Industrial &amp; Commercial - Overhead - Per Pole Sub - Grade B</t>
  </si>
  <si>
    <t>Connection of Load - Industrial &amp; Commercial - Overhead - Per Pole Sub - Grade C</t>
  </si>
  <si>
    <t>Asset Relocation - Asset Relocation - Underground - Per Hour (Inspector) + travel time</t>
  </si>
  <si>
    <t>Asset Relocation - Asset Relocation - Underground - Per Hour (Engineer) + travel time</t>
  </si>
  <si>
    <t>Public Lighting - Public Lighting - Underground - Per Hour (Inspector) + travel time</t>
  </si>
  <si>
    <t>Public Lighting - Public Lighting - Underground - Per Hour (Engineer) + travel time</t>
  </si>
  <si>
    <t>INSPECTION OF SERVICE WORK (Level 1 work)</t>
  </si>
  <si>
    <t>INSPECTIONS OUTSIDE NORMAL BUSINESS HOURS</t>
  </si>
  <si>
    <t>Industrial &amp; Commercial</t>
  </si>
  <si>
    <t>Non Urban</t>
  </si>
  <si>
    <t>URD</t>
  </si>
  <si>
    <t>Asset Relocation</t>
  </si>
  <si>
    <t>Public Lighting</t>
  </si>
  <si>
    <t>Average Hours/lots/poles per job</t>
  </si>
  <si>
    <t>Administration Fee</t>
  </si>
  <si>
    <t>Overtime Rate</t>
  </si>
  <si>
    <t>ASP Inspection Services - Inspection and re-inspection of contestable connection and relocation works performed by Accredited Service Providers (ASPs).</t>
  </si>
  <si>
    <t>The inspection by a DNSP in accordance with the DTIRIS Accredited of Service Provider Scheme of work undertaken by a Level 1 ASP, for the purpose of ensuring the quality of assets to be handed over to the DNSP.</t>
  </si>
  <si>
    <t>The inspection by a DNSP of work undertaken by an ASP accredited to perform level 1 work, for the purpose of ensuring the quality of assets to be handed over to the DNSP.</t>
  </si>
  <si>
    <t>Current Fee (Excl GST):</t>
  </si>
  <si>
    <t>Proposed Fee (Excl GST):</t>
  </si>
  <si>
    <t>Average Access Permits</t>
  </si>
  <si>
    <t>Average Hours &amp; Access Permits for Inspections outside normal business hours</t>
  </si>
  <si>
    <t>Average Hours for inspections outside normal business hours</t>
  </si>
  <si>
    <t>Average Access Permits for inspections outside normal business hours</t>
  </si>
  <si>
    <t>The average hours and quantity of Access Permits used for inspections outside normal business hours are derived from invoices raised in 2010/11, 2011/12 and 2012/13 YTD May.</t>
  </si>
  <si>
    <t>Admin Fee</t>
  </si>
  <si>
    <t>Access Permit</t>
  </si>
  <si>
    <t>Fees in relation to inspections outside normal business hours</t>
  </si>
  <si>
    <t>Inspections outside normal business hours - Administration Fee</t>
  </si>
  <si>
    <t>Inspections outside normal business hours - Overtime Rate</t>
  </si>
  <si>
    <t>Inspections outside normal business hours - Access Permits</t>
  </si>
  <si>
    <t>Based on the following average labour rates per hour for the 2015-19 regulatory period - Refer to the Fee Breakdown schedule for specific fees</t>
  </si>
  <si>
    <t>Proposed Revenue (Nominal)</t>
  </si>
  <si>
    <t>Average NOMINAL Overhead Factor for Regulatory Period</t>
  </si>
  <si>
    <t>2008/09</t>
  </si>
  <si>
    <t>2009-14 Current Fees</t>
  </si>
  <si>
    <t>Per job rate (excl overheads)</t>
  </si>
  <si>
    <t>Per job rate (incl overheads)</t>
  </si>
  <si>
    <t>Pricing Mechanism:</t>
  </si>
  <si>
    <t>Based on average rate of $80 per hour - Refer to the Fee Breakdown schedule for specific fees</t>
  </si>
  <si>
    <t>2015-19 Pricing Methodology for Service (Summary)</t>
  </si>
  <si>
    <t>2) Work orders used to capture the costs associated with the provision of this service were identified and extracted from the general ledger over a 3 year historic period (2010/11 to 2012/13). Adjustments were made to remove costs that were not relevant to the service.</t>
  </si>
  <si>
    <t xml:space="preserve">3) Historic work order data was used to derive an average hourly rate for each year in the historic analysis period. These hourly rates were converted to real 2012/13 dollars using actual award wage increases for the period, and an average 2012/13 hourly rate derived based on the 3 years data.  </t>
  </si>
  <si>
    <t>Work orders</t>
  </si>
  <si>
    <t>When inspections are done outside normal business hours the inspection component is charged as part of the normal inspection fee and then a separate invoice is raised for the overtime portion as well as an administration fee and any additional access permits that were required.
Previously, the administration fee allowed 30 minutes for administration matters undertaken by the Inspector and this assumption is maintained in the calculations for 2015-19.
The overtime rate is calculated by multiplying the Inspectors hourly rate by 1.75 and then subtracting the inspectors hourly rate. In total, Endeavour Energy charges the full overtime rate, but it is split across 2 invoices.
If any additional access permits are required the applicable rates relating to this fee are charged. Refer to the Access Permits Fee Methodology documents for these rates.</t>
  </si>
  <si>
    <r>
      <t>Additional Access Permits</t>
    </r>
    <r>
      <rPr>
        <sz val="8"/>
        <color theme="1"/>
        <rFont val="Calibri"/>
        <family val="2"/>
        <scheme val="minor"/>
      </rPr>
      <t xml:space="preserve"> </t>
    </r>
    <r>
      <rPr>
        <sz val="10"/>
        <color theme="1"/>
        <rFont val="Calibri"/>
        <family val="2"/>
        <scheme val="minor"/>
      </rPr>
      <t>(Refer to Access Permits Fee Methodology document)</t>
    </r>
  </si>
  <si>
    <t>Current Fees approved by the AER for the 2009-14 regulatory period.</t>
  </si>
  <si>
    <t>The calculation of individual fees relies on an hourly labour rate.  An hourly labour rate is calculated for the historic period by dividing historic costs by historic labour hours.  This is converted to 2012/13 real dollars and an average of the three years calculated.  This is inflated by the overhead factor derived from the CAM to calculate a fully loaded hourly labour rate for this service.</t>
  </si>
  <si>
    <t>The average hourly labour rate in 2012/13 real dollars is converted to nominal dollars for each year in the next regulatory period using the nominal conversion factor derived from the CAM.  These rates form the basis of the calculation of the individual service fees.</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</si>
  <si>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</si>
  <si>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</si>
  <si>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</si>
  <si>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</si>
  <si>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In order to calculate a fee for each service sub-category, revised standard hours are required to be calculated for the 2015-19 regulatory period.  Revised standard hours are calculated by pro-rating the total actual hours captured within the work orders and/or estimated by relevant stakeholders for the historic period, based on the standard hours approved by the Regulator for the 2009-14 regulatory period.  Total hours for the historic period are then divided by total volumes at the fee sub-category level to calculate revised standard hours for each fee sub-category. Where there is insufficient data to calculate revised standard hours (i.e. nil volumes over historic period) the standard hours approved for the 2009-14 regulatory period are used.</t>
  </si>
  <si>
    <t>Per lot, pole or per hour - Refer to the Fee Breakdown schedule for specific fees</t>
  </si>
  <si>
    <t>5) An overhead factor derived from Endeavour Energy's Cost Allocation Model ('CAM') was applied to the direct labour rate to calculate a labour rate inclusive of network and corporate overheads. In addition, a 2012/13 real to nominal conversion factor derived from the CAM was applied to the labour rate to calculate the forecast labour rates in nominal dollars over the 2015-19 regulatory period.</t>
  </si>
  <si>
    <t>6) Historic volumes were extracted from business systems and used in conjunction with current approved standard hours and actual historic hours to calculate revised standard hours for each fee sub category.</t>
  </si>
  <si>
    <t>7) Where the fee is charged on a fixed fee basis, the revised standard hours are multiplied by proposed fee labour rates to calculate a fixed fee for the fee sub category over the 2015-19 regulatory period.  Where the fee is charged on an hourly basis the fee for the 2015-19 regulatory period is equal to the proposed fee labour rates.</t>
  </si>
  <si>
    <t>Historic revenue was extracted from Endeavour Energy's general ledger via an account code combination specifically set up to capture this revenue (as defined in the 2009-14 regulatory period). As outlined above, historic costs were obtained from actual costs recorded to specific work orders. Historic volumes were derived based on the number of invoices that were raised throughout the year for this service.</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</si>
  <si>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</si>
  <si>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Historic Volumes (hourly = no. of jobs and lots/poles = no. of lots/poles)</t>
  </si>
  <si>
    <t>Volumes (number of jobs) were derived based on the number of invoices that were raised throughout the year. CAMS (Endeavour Energy's contestable work system) was used to split the fees within the different categories for this ancillary network service.
2012/13 YTD May extrapolated has been included as this  was used to forecast future volumes. At the time future volumes forecasts were being estimated, the full year for 2012/13 was not available, only YTD May. YTD May results were extrapolated for 2012/13 and used in conjunction with prior years to develop averages for forecast volumes.</t>
  </si>
  <si>
    <t>Average Hourly Rate (2012/13$) - Excl OH</t>
  </si>
  <si>
    <t>Proposed fees (including network and corporate overheads) were multiplied by forecast volumes at the fee sub category level to calculate forecast revenue. Forecast costs associated with the provision of the service were calculated by multiplying direct cost unit rates (per year) by the annual overhead factor and forecast volumes. Forecast revenue differs slightly to forecast costs, as the calculation of the proposed fees uses an average overhead factor for the regulatory period, whereas costs are forecast based on the actual overhead factor for the year in order to balance to CAM outcomes. Volumes were forecasted based on an average of historic data.</t>
  </si>
  <si>
    <t>Calculation of Real to Nominal Conversion Factor</t>
  </si>
  <si>
    <t>Conversion Real to Nominal</t>
  </si>
  <si>
    <t>Direct ANS (Nominal)</t>
  </si>
  <si>
    <t>Conversion Factor (Real 2012/13$ to Nominal)</t>
  </si>
  <si>
    <t>Endeavour initially derived forecast ANS opex in real 2012/13 dollars. In order to convert from real to nominal the CAM provides a nominal conversion factor. Refer to the CAM model output for the forecast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</si>
</sst>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_);_(* \(#,##0\);_(* &quot;-&quot;_);_(@_)"/>
    <numFmt numFmtId="165" formatCode="_(* #,##0.00_);_(* \(#,##0.00\);_(* &quot;-&quot;??_);_(@_)"/>
    <numFmt numFmtId="166" formatCode="_(&quot;$&quot;* #,##0.00_);_(&quot;$&quot;* \(#,##0.00\);_(&quot;$&quot;* &quot;-&quot;??_);_(@_)"/>
    <numFmt numFmtId="167" formatCode="_-&quot;$&quot;* #,##0_-;\-&quot;$&quot;* #,##0_-;_-&quot;$&quot;* &quot;-&quot;??_-;_-@_-"/>
    <numFmt numFmtId="168" formatCode="&quot;$&quot;#,##0.00"/>
    <numFmt numFmtId="169" formatCode="&quot;$&quot;#,##0"/>
    <numFmt numFmtId="170" formatCode="#,##0.00\ ;\(#,##0.00\);\-\ "/>
    <numFmt numFmtId="171" formatCode="#,##0\ ;\(#,##0\);\-\ "/>
    <numFmt numFmtId="172" formatCode="0.0%"/>
    <numFmt numFmtId="173" formatCode="_(* #,##0_);_(* \(#,##0\);_(* &quot;-&quot;??_);_(@_)"/>
  </numFmts>
  <fonts count="30"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10"/>
      <color rgb="FFFF0000"/>
      <name val="Calibri"/>
      <family val="2"/>
      <scheme val="minor"/>
    </font>
    <font>
      <b/>
      <sz val="10"/>
      <color rgb="FFFF0000"/>
      <name val="Calibri"/>
      <family val="2"/>
      <scheme val="minor"/>
    </font>
    <font>
      <sz val="8"/>
      <color theme="1"/>
      <name val="Calibri"/>
      <family val="2"/>
      <scheme val="minor"/>
    </font>
    <font>
      <b/>
      <u/>
      <sz val="10"/>
      <color theme="1"/>
      <name val="Calibri"/>
      <family val="2"/>
      <scheme val="minor"/>
    </font>
    <font>
      <sz val="9"/>
      <color indexed="81"/>
      <name val="Tahoma"/>
      <family val="2"/>
    </font>
    <font>
      <b/>
      <sz val="9"/>
      <color indexed="81"/>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
      <patternFill patternType="solid">
        <fgColor theme="0"/>
        <bgColor indexed="64"/>
      </patternFill>
    </fill>
  </fills>
  <borders count="27">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theme="0"/>
      </left>
      <right/>
      <top style="thin">
        <color theme="0"/>
      </top>
      <bottom style="thin">
        <color theme="0"/>
      </bottom>
      <diagonal/>
    </border>
  </borders>
  <cellStyleXfs count="17">
    <xf numFmtId="0" fontId="0" fillId="0" borderId="0"/>
    <xf numFmtId="9"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 fillId="0" borderId="0"/>
    <xf numFmtId="0" fontId="15" fillId="0" borderId="0"/>
  </cellStyleXfs>
  <cellXfs count="566">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70" fontId="0" fillId="0" borderId="0" xfId="0" applyNumberFormat="1"/>
    <xf numFmtId="167"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7" fillId="4" borderId="2" xfId="0" applyFont="1" applyFill="1" applyBorder="1" applyAlignment="1">
      <alignment horizontal="left"/>
    </xf>
    <xf numFmtId="0" fontId="14" fillId="4" borderId="2" xfId="0" applyFont="1" applyFill="1" applyBorder="1" applyAlignment="1">
      <alignment horizontal="left"/>
    </xf>
    <xf numFmtId="167" fontId="14" fillId="0" borderId="0" xfId="2" applyNumberFormat="1" applyFont="1"/>
    <xf numFmtId="171" fontId="11" fillId="0" borderId="11" xfId="0" applyNumberFormat="1" applyFont="1" applyBorder="1" applyAlignment="1">
      <alignment horizontal="right" vertical="center"/>
    </xf>
    <xf numFmtId="171" fontId="11" fillId="0" borderId="7" xfId="0" applyNumberFormat="1" applyFont="1" applyBorder="1" applyAlignment="1">
      <alignment horizontal="right" vertical="center"/>
    </xf>
    <xf numFmtId="171" fontId="11" fillId="0" borderId="12" xfId="0" applyNumberFormat="1" applyFont="1" applyBorder="1" applyAlignment="1">
      <alignment horizontal="right" vertical="center"/>
    </xf>
    <xf numFmtId="0" fontId="11" fillId="0" borderId="7" xfId="0" applyFont="1" applyFill="1" applyBorder="1" applyAlignment="1">
      <alignment horizontal="left" vertical="center"/>
    </xf>
    <xf numFmtId="171" fontId="11" fillId="0" borderId="7" xfId="0" applyNumberFormat="1" applyFont="1" applyFill="1" applyBorder="1" applyAlignment="1">
      <alignment horizontal="right" vertical="center"/>
    </xf>
    <xf numFmtId="171" fontId="11" fillId="0" borderId="17" xfId="0" applyNumberFormat="1" applyFont="1" applyBorder="1" applyAlignment="1">
      <alignment horizontal="right" vertical="center" wrapText="1"/>
    </xf>
    <xf numFmtId="171" fontId="11" fillId="2" borderId="7" xfId="0" applyNumberFormat="1" applyFont="1" applyFill="1" applyBorder="1" applyAlignment="1">
      <alignment horizontal="center" vertical="center"/>
    </xf>
    <xf numFmtId="0" fontId="11" fillId="0" borderId="0" xfId="0" applyFont="1" applyAlignment="1">
      <alignment vertical="center"/>
    </xf>
    <xf numFmtId="0" fontId="18" fillId="0" borderId="0" xfId="0" applyFont="1" applyAlignment="1">
      <alignment vertical="center"/>
    </xf>
    <xf numFmtId="171" fontId="11" fillId="0" borderId="0" xfId="0" applyNumberFormat="1" applyFont="1" applyAlignment="1">
      <alignment vertical="center"/>
    </xf>
    <xf numFmtId="0" fontId="11" fillId="0" borderId="0" xfId="0" applyFont="1" applyAlignment="1">
      <alignment horizontal="left" vertical="center"/>
    </xf>
    <xf numFmtId="0" fontId="16" fillId="0" borderId="0" xfId="0" applyFont="1" applyAlignment="1">
      <alignment vertical="center"/>
    </xf>
    <xf numFmtId="0" fontId="21" fillId="0" borderId="0" xfId="0" applyFont="1" applyAlignment="1">
      <alignment vertical="center"/>
    </xf>
    <xf numFmtId="0" fontId="22" fillId="7" borderId="0" xfId="0" applyFont="1" applyFill="1" applyAlignment="1">
      <alignment vertical="center"/>
    </xf>
    <xf numFmtId="0" fontId="23" fillId="7" borderId="0" xfId="0" applyFont="1" applyFill="1" applyAlignment="1">
      <alignment vertical="center"/>
    </xf>
    <xf numFmtId="171" fontId="23" fillId="7" borderId="0" xfId="0" applyNumberFormat="1" applyFont="1" applyFill="1" applyAlignment="1">
      <alignment vertical="center"/>
    </xf>
    <xf numFmtId="0" fontId="23" fillId="7" borderId="0" xfId="0" applyFont="1" applyFill="1" applyAlignment="1">
      <alignment horizontal="left" vertical="center"/>
    </xf>
    <xf numFmtId="171" fontId="18" fillId="5" borderId="11" xfId="0" quotePrefix="1" applyNumberFormat="1" applyFont="1" applyFill="1" applyBorder="1" applyAlignment="1">
      <alignment horizontal="center" vertical="center"/>
    </xf>
    <xf numFmtId="171" fontId="18" fillId="5" borderId="7" xfId="0" quotePrefix="1" applyNumberFormat="1" applyFont="1" applyFill="1" applyBorder="1" applyAlignment="1">
      <alignment horizontal="center" vertical="center"/>
    </xf>
    <xf numFmtId="171" fontId="18" fillId="5" borderId="12" xfId="0" quotePrefix="1" applyNumberFormat="1" applyFont="1" applyFill="1" applyBorder="1" applyAlignment="1">
      <alignment horizontal="center" vertical="center"/>
    </xf>
    <xf numFmtId="0" fontId="17" fillId="5" borderId="13" xfId="0" quotePrefix="1" applyFont="1" applyFill="1" applyBorder="1" applyAlignment="1">
      <alignment horizontal="center" vertical="center"/>
    </xf>
    <xf numFmtId="0" fontId="18" fillId="8" borderId="7" xfId="0" applyFont="1" applyFill="1" applyBorder="1" applyAlignment="1">
      <alignment horizontal="left" vertical="center"/>
    </xf>
    <xf numFmtId="171" fontId="11" fillId="0" borderId="14" xfId="0" applyNumberFormat="1" applyFont="1" applyBorder="1" applyAlignment="1">
      <alignment vertical="center"/>
    </xf>
    <xf numFmtId="171" fontId="11" fillId="0" borderId="8" xfId="0" applyNumberFormat="1" applyFont="1" applyBorder="1" applyAlignment="1">
      <alignment vertical="center"/>
    </xf>
    <xf numFmtId="171" fontId="11" fillId="0" borderId="15" xfId="0" applyNumberFormat="1" applyFont="1" applyBorder="1" applyAlignment="1">
      <alignment vertical="center"/>
    </xf>
    <xf numFmtId="171" fontId="11" fillId="0" borderId="16" xfId="0" applyNumberFormat="1" applyFont="1" applyBorder="1" applyAlignment="1">
      <alignment vertical="center"/>
    </xf>
    <xf numFmtId="171" fontId="11" fillId="0" borderId="9" xfId="0" applyNumberFormat="1" applyFont="1" applyBorder="1" applyAlignment="1">
      <alignment vertical="center"/>
    </xf>
    <xf numFmtId="171" fontId="11" fillId="0" borderId="0" xfId="0" applyNumberFormat="1" applyFont="1" applyBorder="1" applyAlignment="1">
      <alignment vertical="center"/>
    </xf>
    <xf numFmtId="171" fontId="11" fillId="0" borderId="19" xfId="0" applyNumberFormat="1" applyFont="1" applyBorder="1" applyAlignment="1">
      <alignment vertical="center"/>
    </xf>
    <xf numFmtId="171" fontId="18" fillId="5" borderId="25" xfId="0" applyNumberFormat="1" applyFont="1" applyFill="1" applyBorder="1" applyAlignment="1">
      <alignment vertical="center"/>
    </xf>
    <xf numFmtId="9" fontId="11" fillId="0" borderId="7" xfId="1" applyFont="1" applyBorder="1" applyAlignment="1">
      <alignment horizontal="left" vertical="center" wrapText="1"/>
    </xf>
    <xf numFmtId="171" fontId="17" fillId="5" borderId="7" xfId="0" applyNumberFormat="1" applyFont="1" applyFill="1" applyBorder="1" applyAlignment="1">
      <alignment horizontal="left" vertical="center"/>
    </xf>
    <xf numFmtId="0" fontId="17"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1" fontId="18" fillId="0" borderId="23" xfId="0" applyNumberFormat="1" applyFont="1" applyBorder="1" applyAlignment="1">
      <alignment horizontal="right" vertical="center"/>
    </xf>
    <xf numFmtId="171" fontId="11" fillId="0" borderId="0" xfId="0" applyNumberFormat="1" applyFont="1" applyAlignment="1">
      <alignment horizontal="left" vertical="center"/>
    </xf>
    <xf numFmtId="171" fontId="17" fillId="5" borderId="7" xfId="0" applyNumberFormat="1" applyFont="1" applyFill="1" applyBorder="1" applyAlignment="1">
      <alignment horizontal="center" vertical="center"/>
    </xf>
    <xf numFmtId="0" fontId="11" fillId="0" borderId="0" xfId="0" applyFont="1" applyAlignment="1">
      <alignment horizontal="center" vertical="center"/>
    </xf>
    <xf numFmtId="171" fontId="18" fillId="5" borderId="23" xfId="0" applyNumberFormat="1" applyFont="1" applyFill="1" applyBorder="1" applyAlignment="1">
      <alignment horizontal="right" vertical="center"/>
    </xf>
    <xf numFmtId="171" fontId="11" fillId="0" borderId="17" xfId="0" applyNumberFormat="1" applyFont="1" applyBorder="1" applyAlignment="1">
      <alignment vertical="center"/>
    </xf>
    <xf numFmtId="9" fontId="11" fillId="0" borderId="16" xfId="1" applyFont="1" applyBorder="1" applyAlignment="1">
      <alignment vertical="center"/>
    </xf>
    <xf numFmtId="9" fontId="11" fillId="0" borderId="17" xfId="1" applyFont="1" applyBorder="1" applyAlignment="1">
      <alignment vertical="center"/>
    </xf>
    <xf numFmtId="168" fontId="18" fillId="0" borderId="11" xfId="0" applyNumberFormat="1" applyFont="1" applyBorder="1" applyAlignment="1">
      <alignment vertical="center"/>
    </xf>
    <xf numFmtId="168" fontId="18" fillId="0" borderId="13" xfId="0" applyNumberFormat="1" applyFont="1" applyBorder="1" applyAlignment="1">
      <alignment vertical="center"/>
    </xf>
    <xf numFmtId="168" fontId="11" fillId="0" borderId="0" xfId="0" applyNumberFormat="1" applyFont="1" applyAlignment="1">
      <alignment vertical="center"/>
    </xf>
    <xf numFmtId="168" fontId="11" fillId="0" borderId="0" xfId="0" applyNumberFormat="1" applyFont="1" applyAlignment="1">
      <alignment horizontal="right" vertical="center"/>
    </xf>
    <xf numFmtId="0" fontId="11" fillId="0" borderId="0" xfId="0" applyFont="1" applyBorder="1" applyAlignment="1">
      <alignment vertical="center"/>
    </xf>
    <xf numFmtId="0" fontId="11" fillId="0" borderId="19" xfId="0" applyFont="1" applyBorder="1" applyAlignment="1">
      <alignment vertical="center"/>
    </xf>
    <xf numFmtId="170" fontId="18" fillId="0" borderId="13" xfId="0" applyNumberFormat="1" applyFont="1" applyBorder="1" applyAlignment="1">
      <alignment vertical="center"/>
    </xf>
    <xf numFmtId="170"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0" borderId="16" xfId="0" applyFont="1" applyBorder="1" applyAlignment="1">
      <alignment vertical="center"/>
    </xf>
    <xf numFmtId="0" fontId="11" fillId="2" borderId="13" xfId="0" applyFont="1" applyFill="1" applyBorder="1" applyAlignment="1">
      <alignment horizontal="right" vertical="center"/>
    </xf>
    <xf numFmtId="9" fontId="11" fillId="2" borderId="13" xfId="1" applyFont="1" applyFill="1" applyBorder="1" applyAlignment="1">
      <alignment horizontal="center" vertical="center"/>
    </xf>
    <xf numFmtId="0" fontId="11" fillId="2" borderId="7" xfId="0" applyFont="1" applyFill="1" applyBorder="1" applyAlignment="1">
      <alignment horizontal="center" vertical="center"/>
    </xf>
    <xf numFmtId="171" fontId="18" fillId="2" borderId="23" xfId="0" applyNumberFormat="1" applyFont="1" applyFill="1" applyBorder="1" applyAlignment="1">
      <alignment horizontal="right" vertical="center"/>
    </xf>
    <xf numFmtId="0" fontId="11" fillId="2" borderId="7" xfId="0" applyFont="1" applyFill="1" applyBorder="1" applyAlignment="1">
      <alignment horizontal="lef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70" fontId="11" fillId="0" borderId="0" xfId="0" applyNumberFormat="1" applyFont="1" applyAlignment="1">
      <alignment vertical="center"/>
    </xf>
    <xf numFmtId="171" fontId="11" fillId="0" borderId="0" xfId="0" applyNumberFormat="1" applyFont="1" applyAlignment="1">
      <alignment horizontal="center" vertical="center"/>
    </xf>
    <xf numFmtId="0" fontId="17" fillId="0" borderId="0" xfId="0" applyFont="1" applyFill="1" applyBorder="1" applyAlignment="1">
      <alignment horizontal="center" vertical="center"/>
    </xf>
    <xf numFmtId="0" fontId="17" fillId="3" borderId="7" xfId="0" applyFont="1" applyFill="1" applyBorder="1" applyAlignment="1">
      <alignment horizontal="left" vertical="center"/>
    </xf>
    <xf numFmtId="168" fontId="18" fillId="0" borderId="0" xfId="0" applyNumberFormat="1" applyFont="1" applyFill="1" applyBorder="1" applyAlignment="1">
      <alignment horizontal="center" vertical="center" wrapText="1"/>
    </xf>
    <xf numFmtId="171" fontId="18" fillId="4" borderId="14" xfId="0" quotePrefix="1" applyNumberFormat="1" applyFont="1" applyFill="1" applyBorder="1" applyAlignment="1">
      <alignment horizontal="center" vertical="center" wrapText="1"/>
    </xf>
    <xf numFmtId="171" fontId="18" fillId="4" borderId="15" xfId="0" quotePrefix="1" applyNumberFormat="1" applyFont="1" applyFill="1" applyBorder="1" applyAlignment="1">
      <alignment horizontal="center" vertical="center" wrapText="1"/>
    </xf>
    <xf numFmtId="171" fontId="18" fillId="4" borderId="21" xfId="0" quotePrefix="1" applyNumberFormat="1" applyFont="1" applyFill="1" applyBorder="1" applyAlignment="1">
      <alignment horizontal="center" vertical="center" wrapText="1"/>
    </xf>
    <xf numFmtId="171" fontId="18" fillId="4" borderId="15" xfId="0" quotePrefix="1" applyNumberFormat="1" applyFont="1" applyFill="1" applyBorder="1" applyAlignment="1">
      <alignment horizontal="right" vertical="center" wrapText="1"/>
    </xf>
    <xf numFmtId="171" fontId="18" fillId="4" borderId="21" xfId="0" quotePrefix="1" applyNumberFormat="1" applyFont="1" applyFill="1" applyBorder="1" applyAlignment="1">
      <alignment horizontal="right" vertical="center" wrapText="1"/>
    </xf>
    <xf numFmtId="0" fontId="11" fillId="0" borderId="14" xfId="0" applyFont="1" applyBorder="1" applyAlignment="1">
      <alignment vertical="center"/>
    </xf>
    <xf numFmtId="171" fontId="11" fillId="0" borderId="15" xfId="0" applyNumberFormat="1" applyFont="1" applyBorder="1" applyAlignment="1">
      <alignment horizontal="center" vertical="center"/>
    </xf>
    <xf numFmtId="168" fontId="11" fillId="0" borderId="0" xfId="0" applyNumberFormat="1" applyFont="1" applyFill="1" applyBorder="1" applyAlignment="1">
      <alignment horizontal="center" vertical="center"/>
    </xf>
    <xf numFmtId="170" fontId="11" fillId="0" borderId="0" xfId="0" applyNumberFormat="1" applyFont="1" applyBorder="1" applyAlignment="1">
      <alignment vertical="center"/>
    </xf>
    <xf numFmtId="171" fontId="11" fillId="0" borderId="14" xfId="0" applyNumberFormat="1" applyFont="1" applyBorder="1" applyAlignment="1">
      <alignment horizontal="center" vertical="center"/>
    </xf>
    <xf numFmtId="171" fontId="11" fillId="0" borderId="21" xfId="0" applyNumberFormat="1" applyFont="1" applyBorder="1" applyAlignment="1">
      <alignment horizontal="center"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8" fontId="11" fillId="0" borderId="0" xfId="0" applyNumberFormat="1" applyFont="1" applyBorder="1" applyAlignment="1">
      <alignment horizontal="center" vertical="center"/>
    </xf>
    <xf numFmtId="0" fontId="11" fillId="0" borderId="18" xfId="0" applyFont="1" applyBorder="1" applyAlignment="1">
      <alignment vertical="center"/>
    </xf>
    <xf numFmtId="168" fontId="11" fillId="0" borderId="0" xfId="0" applyNumberFormat="1" applyFont="1" applyAlignment="1">
      <alignment horizontal="center" vertical="center"/>
    </xf>
    <xf numFmtId="168" fontId="11" fillId="0" borderId="0" xfId="0" applyNumberFormat="1" applyFont="1" applyFill="1" applyAlignment="1">
      <alignment vertical="center"/>
    </xf>
    <xf numFmtId="0" fontId="18" fillId="4" borderId="11" xfId="0" applyFont="1" applyFill="1" applyBorder="1" applyAlignment="1">
      <alignment horizontal="center" vertical="center" wrapText="1"/>
    </xf>
    <xf numFmtId="0" fontId="18" fillId="4" borderId="13" xfId="0" applyFont="1" applyFill="1" applyBorder="1" applyAlignment="1">
      <alignment horizontal="center" vertical="center" wrapText="1"/>
    </xf>
    <xf numFmtId="169" fontId="11" fillId="0" borderId="17" xfId="0" applyNumberFormat="1" applyFont="1" applyFill="1" applyBorder="1" applyAlignment="1">
      <alignment horizontal="center" vertical="center"/>
    </xf>
    <xf numFmtId="169" fontId="11" fillId="0" borderId="0" xfId="0" applyNumberFormat="1" applyFont="1" applyBorder="1" applyAlignment="1">
      <alignment horizontal="center" vertical="center"/>
    </xf>
    <xf numFmtId="0" fontId="11" fillId="0" borderId="0" xfId="6" applyFont="1" applyAlignment="1">
      <alignment horizontal="center" vertical="top"/>
    </xf>
    <xf numFmtId="171" fontId="11" fillId="0" borderId="0" xfId="6" applyNumberFormat="1" applyFont="1" applyAlignment="1">
      <alignment horizontal="center" vertical="top"/>
    </xf>
    <xf numFmtId="169" fontId="11" fillId="0" borderId="0" xfId="6" applyNumberFormat="1" applyFont="1" applyFill="1" applyBorder="1" applyAlignment="1">
      <alignment horizontal="center" vertical="top"/>
    </xf>
    <xf numFmtId="170" fontId="11" fillId="0" borderId="0" xfId="6" applyNumberFormat="1" applyFont="1" applyFill="1" applyBorder="1" applyAlignment="1">
      <alignment horizontal="center" vertical="top"/>
    </xf>
    <xf numFmtId="0" fontId="11" fillId="0" borderId="0" xfId="6" applyFont="1" applyBorder="1" applyAlignment="1">
      <alignment horizontal="center" vertical="top"/>
    </xf>
    <xf numFmtId="171" fontId="11" fillId="0" borderId="9" xfId="6" applyNumberFormat="1" applyFont="1" applyFill="1" applyBorder="1" applyAlignment="1">
      <alignment horizontal="center" vertical="top"/>
    </xf>
    <xf numFmtId="171" fontId="11" fillId="0" borderId="0" xfId="6" applyNumberFormat="1" applyFont="1" applyFill="1" applyBorder="1" applyAlignment="1">
      <alignment horizontal="center" vertical="top"/>
    </xf>
    <xf numFmtId="171" fontId="11" fillId="0" borderId="0" xfId="6" applyNumberFormat="1" applyFont="1" applyBorder="1" applyAlignment="1">
      <alignment horizontal="center" vertical="top"/>
    </xf>
    <xf numFmtId="172" fontId="11" fillId="0" borderId="0" xfId="9" applyNumberFormat="1" applyFont="1" applyAlignment="1">
      <alignment horizontal="center" vertical="top"/>
    </xf>
    <xf numFmtId="0" fontId="18" fillId="0" borderId="0" xfId="0" applyFont="1" applyAlignment="1">
      <alignment horizontal="left" vertical="top"/>
    </xf>
    <xf numFmtId="170" fontId="11" fillId="0" borderId="0" xfId="6" applyNumberFormat="1" applyFont="1" applyAlignment="1">
      <alignment horizontal="center" vertical="top"/>
    </xf>
    <xf numFmtId="0" fontId="25" fillId="0" borderId="0" xfId="6" applyFont="1" applyAlignment="1">
      <alignment horizontal="center" vertical="top"/>
    </xf>
    <xf numFmtId="169" fontId="18" fillId="0" borderId="0" xfId="6" applyNumberFormat="1" applyFont="1" applyAlignment="1">
      <alignment horizontal="center" vertical="top"/>
    </xf>
    <xf numFmtId="0" fontId="18" fillId="0" borderId="0" xfId="6" applyFont="1" applyAlignment="1">
      <alignment horizontal="center" vertical="top"/>
    </xf>
    <xf numFmtId="9" fontId="11" fillId="0" borderId="0" xfId="9" applyFont="1" applyAlignment="1">
      <alignment horizontal="center" vertical="top"/>
    </xf>
    <xf numFmtId="171" fontId="0" fillId="0" borderId="0" xfId="1" applyNumberFormat="1" applyFont="1"/>
    <xf numFmtId="170" fontId="5" fillId="0" borderId="0" xfId="0" applyNumberFormat="1" applyFont="1"/>
    <xf numFmtId="171" fontId="14" fillId="0" borderId="0" xfId="2" applyNumberFormat="1" applyFont="1"/>
    <xf numFmtId="0" fontId="7" fillId="2" borderId="0" xfId="0" applyFont="1" applyFill="1"/>
    <xf numFmtId="0" fontId="5" fillId="0" borderId="24" xfId="0" applyFont="1" applyFill="1" applyBorder="1"/>
    <xf numFmtId="167"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8" fontId="11" fillId="0" borderId="0" xfId="0" applyNumberFormat="1" applyFont="1" applyFill="1" applyBorder="1" applyAlignment="1">
      <alignment vertical="center" wrapText="1"/>
    </xf>
    <xf numFmtId="168" fontId="11" fillId="0" borderId="17" xfId="0" applyNumberFormat="1" applyFont="1" applyFill="1" applyBorder="1" applyAlignment="1">
      <alignment vertical="center" wrapText="1"/>
    </xf>
    <xf numFmtId="168" fontId="11" fillId="0" borderId="19" xfId="0" applyNumberFormat="1" applyFont="1" applyFill="1" applyBorder="1" applyAlignment="1">
      <alignment vertical="center" wrapText="1"/>
    </xf>
    <xf numFmtId="168" fontId="11" fillId="0" borderId="20" xfId="0" applyNumberFormat="1" applyFont="1" applyFill="1" applyBorder="1" applyAlignment="1">
      <alignment vertical="center" wrapText="1"/>
    </xf>
    <xf numFmtId="0" fontId="14" fillId="3" borderId="0" xfId="0" applyFont="1" applyFill="1" applyBorder="1" applyAlignment="1">
      <alignment vertical="top"/>
    </xf>
    <xf numFmtId="0" fontId="18" fillId="4" borderId="7" xfId="0" applyFont="1" applyFill="1" applyBorder="1" applyAlignment="1">
      <alignment horizontal="center" vertical="center" wrapText="1"/>
    </xf>
    <xf numFmtId="168" fontId="11" fillId="0" borderId="16" xfId="0" applyNumberFormat="1" applyFont="1" applyFill="1" applyBorder="1" applyAlignment="1">
      <alignment vertical="center" wrapText="1"/>
    </xf>
    <xf numFmtId="168" fontId="11" fillId="0" borderId="18" xfId="0" applyNumberFormat="1" applyFont="1" applyFill="1" applyBorder="1" applyAlignment="1">
      <alignment vertical="center" wrapText="1"/>
    </xf>
    <xf numFmtId="171" fontId="18" fillId="4" borderId="11" xfId="0" quotePrefix="1" applyNumberFormat="1" applyFont="1" applyFill="1" applyBorder="1" applyAlignment="1">
      <alignment horizontal="center" vertical="center" wrapText="1"/>
    </xf>
    <xf numFmtId="171" fontId="18" fillId="4" borderId="12" xfId="0" quotePrefix="1" applyNumberFormat="1" applyFont="1" applyFill="1" applyBorder="1" applyAlignment="1">
      <alignment horizontal="center" vertical="center" wrapText="1"/>
    </xf>
    <xf numFmtId="171" fontId="18" fillId="4" borderId="13" xfId="0" quotePrefix="1" applyNumberFormat="1" applyFont="1" applyFill="1" applyBorder="1" applyAlignment="1">
      <alignment horizontal="center" vertical="center" wrapText="1"/>
    </xf>
    <xf numFmtId="171" fontId="18"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171" fontId="18" fillId="0" borderId="0" xfId="0" quotePrefix="1" applyNumberFormat="1" applyFont="1" applyFill="1" applyBorder="1" applyAlignment="1">
      <alignment horizontal="center" vertical="center" wrapText="1"/>
    </xf>
    <xf numFmtId="171" fontId="11" fillId="0" borderId="0" xfId="0" applyNumberFormat="1" applyFont="1" applyFill="1" applyBorder="1" applyAlignment="1">
      <alignment horizontal="center" vertical="center"/>
    </xf>
    <xf numFmtId="171" fontId="17" fillId="0" borderId="0" xfId="0" applyNumberFormat="1" applyFont="1" applyFill="1" applyBorder="1" applyAlignment="1">
      <alignment horizontal="center" vertical="center"/>
    </xf>
    <xf numFmtId="171" fontId="18" fillId="4" borderId="14" xfId="0" quotePrefix="1" applyNumberFormat="1" applyFont="1" applyFill="1" applyBorder="1" applyAlignment="1">
      <alignment horizontal="right" vertical="center" wrapText="1"/>
    </xf>
    <xf numFmtId="0" fontId="12" fillId="7" borderId="0" xfId="0" applyFont="1" applyFill="1" applyAlignment="1">
      <alignment vertical="center"/>
    </xf>
    <xf numFmtId="0" fontId="20" fillId="7" borderId="0" xfId="0" applyFont="1" applyFill="1" applyAlignment="1">
      <alignment vertical="center"/>
    </xf>
    <xf numFmtId="168" fontId="20" fillId="7" borderId="0" xfId="0" applyNumberFormat="1" applyFont="1" applyFill="1" applyAlignment="1">
      <alignment vertical="center"/>
    </xf>
    <xf numFmtId="0" fontId="11" fillId="2" borderId="9" xfId="0" applyFont="1" applyFill="1" applyBorder="1" applyAlignment="1">
      <alignment vertical="center"/>
    </xf>
    <xf numFmtId="168" fontId="11" fillId="2" borderId="9" xfId="0" applyNumberFormat="1" applyFont="1" applyFill="1" applyBorder="1" applyAlignment="1">
      <alignment vertical="center"/>
    </xf>
    <xf numFmtId="0" fontId="11" fillId="2" borderId="10" xfId="0" applyFont="1" applyFill="1" applyBorder="1" applyAlignment="1">
      <alignment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8" fillId="0" borderId="12" xfId="0" applyFont="1" applyBorder="1" applyAlignment="1">
      <alignment vertical="center"/>
    </xf>
    <xf numFmtId="10" fontId="18" fillId="0" borderId="12" xfId="1" applyNumberFormat="1" applyFont="1" applyBorder="1" applyAlignment="1">
      <alignment vertical="center"/>
    </xf>
    <xf numFmtId="170" fontId="11" fillId="0" borderId="0" xfId="0" applyNumberFormat="1" applyFont="1" applyAlignment="1">
      <alignment horizontal="right" vertical="center"/>
    </xf>
    <xf numFmtId="168" fontId="18" fillId="5" borderId="7" xfId="0" applyNumberFormat="1" applyFont="1" applyFill="1" applyBorder="1" applyAlignment="1">
      <alignment vertical="center"/>
    </xf>
    <xf numFmtId="9" fontId="18" fillId="5" borderId="7" xfId="1" applyFont="1" applyFill="1" applyBorder="1" applyAlignment="1">
      <alignment vertical="center"/>
    </xf>
    <xf numFmtId="171" fontId="11" fillId="0" borderId="9" xfId="6" applyNumberFormat="1" applyFont="1" applyFill="1" applyBorder="1" applyAlignment="1">
      <alignment horizontal="right" vertical="top"/>
    </xf>
    <xf numFmtId="171" fontId="11" fillId="0" borderId="10" xfId="6" applyNumberFormat="1" applyFont="1" applyFill="1" applyBorder="1" applyAlignment="1">
      <alignment horizontal="right" vertical="top"/>
    </xf>
    <xf numFmtId="170" fontId="11" fillId="0" borderId="10" xfId="6" applyNumberFormat="1" applyFont="1" applyBorder="1" applyAlignment="1">
      <alignment horizontal="right" vertical="top"/>
    </xf>
    <xf numFmtId="171" fontId="18" fillId="3" borderId="23" xfId="6" applyNumberFormat="1" applyFont="1" applyFill="1" applyBorder="1" applyAlignment="1">
      <alignment horizontal="right" vertical="top"/>
    </xf>
    <xf numFmtId="171" fontId="11" fillId="0" borderId="10" xfId="6" applyNumberFormat="1" applyFont="1" applyBorder="1" applyAlignment="1">
      <alignment horizontal="right" vertical="top"/>
    </xf>
    <xf numFmtId="0" fontId="18" fillId="0" borderId="10" xfId="6" applyFont="1" applyBorder="1" applyAlignment="1">
      <alignment horizontal="left" vertical="top" wrapText="1"/>
    </xf>
    <xf numFmtId="0" fontId="18" fillId="0" borderId="18" xfId="6" applyFont="1" applyBorder="1" applyAlignment="1">
      <alignment horizontal="left" vertical="top" wrapText="1"/>
    </xf>
    <xf numFmtId="0" fontId="18" fillId="0" borderId="20" xfId="6" applyFont="1" applyBorder="1" applyAlignment="1">
      <alignment horizontal="left" vertical="top" wrapText="1"/>
    </xf>
    <xf numFmtId="0" fontId="16" fillId="0" borderId="0" xfId="0" applyFont="1" applyAlignment="1">
      <alignment vertical="top"/>
    </xf>
    <xf numFmtId="0" fontId="18" fillId="0" borderId="0" xfId="0" applyFont="1" applyAlignment="1">
      <alignment vertical="top"/>
    </xf>
    <xf numFmtId="0" fontId="21" fillId="0" borderId="0" xfId="0" applyFont="1" applyAlignment="1">
      <alignment vertical="top"/>
    </xf>
    <xf numFmtId="0" fontId="11" fillId="0" borderId="0" xfId="0" applyFont="1" applyAlignment="1">
      <alignment vertical="top"/>
    </xf>
    <xf numFmtId="0" fontId="11" fillId="0" borderId="14" xfId="0" applyFont="1" applyBorder="1" applyAlignment="1">
      <alignment vertical="top"/>
    </xf>
    <xf numFmtId="169" fontId="11" fillId="0" borderId="14" xfId="0" applyNumberFormat="1" applyFont="1" applyBorder="1" applyAlignment="1">
      <alignment horizontal="center" vertical="top"/>
    </xf>
    <xf numFmtId="169" fontId="11" fillId="0" borderId="16" xfId="0" applyNumberFormat="1" applyFont="1" applyBorder="1" applyAlignment="1">
      <alignment horizontal="center" vertical="top"/>
    </xf>
    <xf numFmtId="0" fontId="11" fillId="0" borderId="0" xfId="6" applyFont="1" applyAlignment="1">
      <alignment horizontal="center" vertical="center" wrapText="1"/>
    </xf>
    <xf numFmtId="0" fontId="11" fillId="0" borderId="0" xfId="6" applyFont="1" applyAlignment="1">
      <alignment horizontal="center" vertical="center"/>
    </xf>
    <xf numFmtId="171" fontId="18" fillId="4" borderId="7" xfId="6" quotePrefix="1" applyNumberFormat="1" applyFont="1" applyFill="1" applyBorder="1" applyAlignment="1">
      <alignment horizontal="center" vertical="center" wrapText="1"/>
    </xf>
    <xf numFmtId="171" fontId="11" fillId="0" borderId="8" xfId="0" applyNumberFormat="1" applyFont="1" applyBorder="1" applyAlignment="1">
      <alignment horizontal="center" vertical="top"/>
    </xf>
    <xf numFmtId="171" fontId="11" fillId="0" borderId="9" xfId="0" applyNumberFormat="1" applyFont="1" applyBorder="1" applyAlignment="1">
      <alignment horizontal="center" vertical="top"/>
    </xf>
    <xf numFmtId="170" fontId="18" fillId="4" borderId="7" xfId="7" applyNumberFormat="1" applyFont="1" applyFill="1" applyBorder="1" applyAlignment="1">
      <alignment horizontal="center" vertical="center" wrapText="1"/>
    </xf>
    <xf numFmtId="171" fontId="18" fillId="4" borderId="7" xfId="7" applyNumberFormat="1" applyFont="1" applyFill="1" applyBorder="1" applyAlignment="1">
      <alignment horizontal="center" vertical="center" wrapText="1"/>
    </xf>
    <xf numFmtId="171" fontId="18" fillId="0" borderId="9" xfId="6" applyNumberFormat="1" applyFont="1" applyFill="1" applyBorder="1" applyAlignment="1">
      <alignment horizontal="right" vertical="top"/>
    </xf>
    <xf numFmtId="171" fontId="18" fillId="4" borderId="10" xfId="6" quotePrefix="1" applyNumberFormat="1" applyFont="1" applyFill="1" applyBorder="1" applyAlignment="1">
      <alignment horizontal="center" vertical="center" wrapText="1"/>
    </xf>
    <xf numFmtId="0" fontId="18" fillId="0" borderId="0" xfId="6" quotePrefix="1" applyFont="1" applyBorder="1" applyAlignment="1">
      <alignment horizontal="center" vertical="top"/>
    </xf>
    <xf numFmtId="9" fontId="11" fillId="0" borderId="0" xfId="8" applyNumberFormat="1" applyFont="1" applyBorder="1" applyAlignment="1">
      <alignment horizontal="center" vertical="top"/>
    </xf>
    <xf numFmtId="170" fontId="11" fillId="0" borderId="9" xfId="6" applyNumberFormat="1" applyFont="1" applyFill="1" applyBorder="1" applyAlignment="1">
      <alignment horizontal="right" vertical="top"/>
    </xf>
    <xf numFmtId="171" fontId="11" fillId="0" borderId="0" xfId="6" applyNumberFormat="1" applyFont="1" applyAlignment="1">
      <alignment horizontal="right" vertical="top"/>
    </xf>
    <xf numFmtId="168" fontId="11" fillId="0" borderId="14" xfId="0" applyNumberFormat="1" applyFont="1" applyBorder="1" applyAlignment="1">
      <alignment horizontal="right" vertical="center"/>
    </xf>
    <xf numFmtId="168" fontId="11" fillId="0" borderId="15" xfId="0" applyNumberFormat="1" applyFont="1" applyBorder="1" applyAlignment="1">
      <alignment horizontal="right" vertical="center"/>
    </xf>
    <xf numFmtId="168" fontId="11" fillId="0" borderId="21" xfId="0" applyNumberFormat="1" applyFont="1" applyBorder="1" applyAlignment="1">
      <alignment horizontal="right" vertical="center"/>
    </xf>
    <xf numFmtId="168" fontId="11" fillId="0" borderId="16" xfId="0" applyNumberFormat="1" applyFont="1" applyBorder="1" applyAlignment="1">
      <alignment horizontal="right" vertical="center"/>
    </xf>
    <xf numFmtId="168" fontId="11" fillId="0" borderId="0" xfId="0" applyNumberFormat="1" applyFont="1" applyBorder="1" applyAlignment="1">
      <alignment horizontal="right" vertical="center"/>
    </xf>
    <xf numFmtId="168" fontId="11" fillId="0" borderId="17" xfId="0" applyNumberFormat="1" applyFont="1" applyBorder="1" applyAlignment="1">
      <alignment horizontal="right" vertical="center"/>
    </xf>
    <xf numFmtId="168" fontId="11" fillId="0" borderId="18" xfId="0" applyNumberFormat="1" applyFont="1" applyBorder="1" applyAlignment="1">
      <alignment horizontal="right" vertical="center"/>
    </xf>
    <xf numFmtId="168" fontId="11" fillId="0" borderId="19" xfId="0" applyNumberFormat="1" applyFont="1" applyBorder="1" applyAlignment="1">
      <alignment horizontal="right" vertical="center"/>
    </xf>
    <xf numFmtId="168" fontId="11" fillId="0" borderId="20" xfId="0" applyNumberFormat="1" applyFont="1" applyBorder="1" applyAlignment="1">
      <alignment horizontal="right" vertical="center"/>
    </xf>
    <xf numFmtId="173" fontId="7" fillId="0" borderId="0" xfId="3" applyNumberFormat="1" applyFont="1"/>
    <xf numFmtId="173" fontId="14" fillId="0" borderId="0" xfId="3" applyNumberFormat="1" applyFont="1"/>
    <xf numFmtId="0" fontId="14" fillId="3" borderId="6" xfId="0" applyFont="1" applyFill="1" applyBorder="1" applyAlignment="1">
      <alignment horizontal="center"/>
    </xf>
    <xf numFmtId="170" fontId="18" fillId="0" borderId="7" xfId="0" applyNumberFormat="1" applyFont="1" applyBorder="1" applyAlignment="1">
      <alignment vertical="center"/>
    </xf>
    <xf numFmtId="170" fontId="18" fillId="4" borderId="7" xfId="0" quotePrefix="1" applyNumberFormat="1" applyFont="1" applyFill="1" applyBorder="1" applyAlignment="1">
      <alignment horizontal="right" vertical="center"/>
    </xf>
    <xf numFmtId="171" fontId="11" fillId="0" borderId="9" xfId="0" applyNumberFormat="1" applyFont="1" applyBorder="1" applyAlignment="1">
      <alignment horizontal="right" vertical="center" wrapText="1"/>
    </xf>
    <xf numFmtId="169" fontId="11" fillId="0" borderId="8" xfId="0" applyNumberFormat="1" applyFont="1" applyBorder="1" applyAlignment="1">
      <alignment horizontal="center" vertical="center"/>
    </xf>
    <xf numFmtId="169" fontId="11" fillId="0" borderId="21" xfId="0" applyNumberFormat="1" applyFont="1" applyFill="1" applyBorder="1" applyAlignment="1">
      <alignment horizontal="center" vertical="center"/>
    </xf>
    <xf numFmtId="169" fontId="11" fillId="0" borderId="9" xfId="0" applyNumberFormat="1" applyFont="1" applyBorder="1" applyAlignment="1">
      <alignment horizontal="center" vertical="center"/>
    </xf>
    <xf numFmtId="0" fontId="11" fillId="0" borderId="16" xfId="0" applyFont="1" applyBorder="1" applyAlignment="1">
      <alignment horizontal="left"/>
    </xf>
    <xf numFmtId="0" fontId="11" fillId="0" borderId="0" xfId="0" applyFont="1" applyBorder="1" applyAlignment="1">
      <alignment horizontal="left"/>
    </xf>
    <xf numFmtId="0" fontId="11" fillId="0" borderId="17" xfId="0" applyFont="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0" fontId="11" fillId="0" borderId="20" xfId="0" applyFont="1" applyBorder="1" applyAlignment="1">
      <alignment horizontal="left"/>
    </xf>
    <xf numFmtId="0" fontId="11" fillId="0" borderId="16" xfId="0" applyFont="1" applyBorder="1"/>
    <xf numFmtId="0" fontId="11" fillId="2" borderId="11" xfId="0" applyFont="1" applyFill="1" applyBorder="1" applyAlignment="1">
      <alignment horizontal="left"/>
    </xf>
    <xf numFmtId="0" fontId="11" fillId="2" borderId="12" xfId="0" applyFont="1" applyFill="1" applyBorder="1" applyAlignment="1">
      <alignment horizontal="left"/>
    </xf>
    <xf numFmtId="0" fontId="11" fillId="2" borderId="13" xfId="0" applyFont="1" applyFill="1" applyBorder="1" applyAlignment="1">
      <alignment horizontal="left"/>
    </xf>
    <xf numFmtId="171" fontId="18" fillId="2" borderId="7" xfId="0" applyNumberFormat="1" applyFont="1" applyFill="1" applyBorder="1" applyAlignment="1">
      <alignment vertical="center"/>
    </xf>
    <xf numFmtId="171" fontId="11" fillId="0" borderId="18" xfId="0" applyNumberFormat="1" applyFont="1" applyBorder="1" applyAlignment="1">
      <alignment vertical="center"/>
    </xf>
    <xf numFmtId="171" fontId="11" fillId="0" borderId="10" xfId="0" applyNumberFormat="1" applyFont="1" applyBorder="1" applyAlignment="1">
      <alignment vertical="center"/>
    </xf>
    <xf numFmtId="171" fontId="18" fillId="0" borderId="9" xfId="6" applyNumberFormat="1" applyFont="1" applyFill="1" applyBorder="1" applyAlignment="1">
      <alignment horizontal="right"/>
    </xf>
    <xf numFmtId="170" fontId="11" fillId="0" borderId="0" xfId="6" applyNumberFormat="1" applyFont="1" applyAlignment="1">
      <alignment horizontal="right"/>
    </xf>
    <xf numFmtId="0" fontId="11" fillId="0" borderId="0" xfId="0" applyFont="1" applyBorder="1" applyAlignment="1">
      <alignment horizontal="center" vertical="top"/>
    </xf>
    <xf numFmtId="169" fontId="11" fillId="0" borderId="15" xfId="0" applyNumberFormat="1" applyFont="1" applyBorder="1" applyAlignment="1">
      <alignment horizontal="center" vertical="center"/>
    </xf>
    <xf numFmtId="0" fontId="18" fillId="4" borderId="14" xfId="0" applyFont="1" applyFill="1" applyBorder="1" applyAlignment="1">
      <alignment horizontal="center" vertical="center" wrapText="1"/>
    </xf>
    <xf numFmtId="0" fontId="18" fillId="4" borderId="15" xfId="0" applyFont="1" applyFill="1" applyBorder="1" applyAlignment="1">
      <alignment horizontal="center" vertical="center" wrapText="1"/>
    </xf>
    <xf numFmtId="0" fontId="18" fillId="4" borderId="21" xfId="0" applyFont="1" applyFill="1" applyBorder="1" applyAlignment="1">
      <alignment horizontal="center" vertical="center" wrapText="1"/>
    </xf>
    <xf numFmtId="169" fontId="11" fillId="0" borderId="14" xfId="0" applyNumberFormat="1" applyFont="1" applyBorder="1" applyAlignment="1">
      <alignment horizontal="center" vertical="center"/>
    </xf>
    <xf numFmtId="170" fontId="11" fillId="0" borderId="0" xfId="0" applyNumberFormat="1" applyFont="1" applyFill="1" applyBorder="1" applyAlignment="1">
      <alignment horizontal="center" vertical="center"/>
    </xf>
    <xf numFmtId="0" fontId="11" fillId="2" borderId="21" xfId="0" applyFont="1" applyFill="1" applyBorder="1" applyAlignment="1">
      <alignment vertical="center"/>
    </xf>
    <xf numFmtId="0" fontId="11" fillId="2" borderId="17" xfId="0" applyFont="1" applyFill="1" applyBorder="1" applyAlignment="1">
      <alignment vertical="center"/>
    </xf>
    <xf numFmtId="171" fontId="18" fillId="5" borderId="8" xfId="0" quotePrefix="1" applyNumberFormat="1" applyFont="1" applyFill="1" applyBorder="1" applyAlignment="1">
      <alignment horizontal="center" vertical="center"/>
    </xf>
    <xf numFmtId="168" fontId="11" fillId="0" borderId="18" xfId="0" applyNumberFormat="1" applyFont="1" applyBorder="1" applyAlignment="1">
      <alignment vertical="center"/>
    </xf>
    <xf numFmtId="168" fontId="11" fillId="0" borderId="20" xfId="0" applyNumberFormat="1" applyFont="1" applyBorder="1" applyAlignment="1">
      <alignment vertical="center"/>
    </xf>
    <xf numFmtId="171" fontId="11" fillId="0" borderId="21" xfId="0" applyNumberFormat="1" applyFont="1" applyBorder="1" applyAlignment="1">
      <alignment vertical="center"/>
    </xf>
    <xf numFmtId="171" fontId="11" fillId="0" borderId="20" xfId="0" applyNumberFormat="1" applyFont="1" applyBorder="1" applyAlignment="1">
      <alignment vertical="center"/>
    </xf>
    <xf numFmtId="0" fontId="11" fillId="0" borderId="7" xfId="0" applyFont="1" applyBorder="1" applyAlignment="1">
      <alignment horizontal="left" vertical="center"/>
    </xf>
    <xf numFmtId="170" fontId="18" fillId="0" borderId="0" xfId="0" applyNumberFormat="1" applyFont="1" applyAlignment="1">
      <alignment vertical="top"/>
    </xf>
    <xf numFmtId="170" fontId="11" fillId="0" borderId="0" xfId="0" applyNumberFormat="1" applyFont="1" applyAlignment="1">
      <alignment vertical="top"/>
    </xf>
    <xf numFmtId="170" fontId="18" fillId="0" borderId="0" xfId="0" applyNumberFormat="1" applyFont="1" applyAlignment="1">
      <alignment horizontal="left" vertical="top"/>
    </xf>
    <xf numFmtId="170" fontId="18" fillId="4" borderId="7" xfId="0" applyNumberFormat="1" applyFont="1" applyFill="1" applyBorder="1" applyAlignment="1">
      <alignment horizontal="center" vertical="center" wrapText="1"/>
    </xf>
    <xf numFmtId="170" fontId="11" fillId="0" borderId="8" xfId="0" applyNumberFormat="1" applyFont="1" applyBorder="1" applyAlignment="1">
      <alignment horizontal="center" vertical="top"/>
    </xf>
    <xf numFmtId="170" fontId="11" fillId="0" borderId="9" xfId="0" applyNumberFormat="1" applyFont="1" applyBorder="1" applyAlignment="1">
      <alignment horizontal="center" vertical="top"/>
    </xf>
    <xf numFmtId="170" fontId="18" fillId="0" borderId="10" xfId="6" applyNumberFormat="1" applyFont="1" applyBorder="1" applyAlignment="1">
      <alignment horizontal="left" vertical="top" wrapText="1"/>
    </xf>
    <xf numFmtId="170" fontId="11" fillId="0" borderId="9" xfId="6" applyNumberFormat="1" applyFont="1" applyFill="1" applyBorder="1" applyAlignment="1">
      <alignment horizontal="center" vertical="top"/>
    </xf>
    <xf numFmtId="0" fontId="19" fillId="0" borderId="0" xfId="6" applyFont="1" applyAlignment="1">
      <alignment horizontal="center" vertical="top"/>
    </xf>
    <xf numFmtId="0" fontId="19" fillId="0" borderId="0" xfId="6" applyFont="1" applyAlignment="1">
      <alignment horizontal="center" vertical="center" wrapText="1"/>
    </xf>
    <xf numFmtId="170" fontId="19" fillId="0" borderId="0" xfId="6" applyNumberFormat="1" applyFont="1" applyAlignment="1">
      <alignment horizontal="center" vertical="top"/>
    </xf>
    <xf numFmtId="170" fontId="17" fillId="0" borderId="0" xfId="6" applyNumberFormat="1" applyFont="1" applyAlignment="1">
      <alignment horizontal="center" vertical="top"/>
    </xf>
    <xf numFmtId="170" fontId="19" fillId="0" borderId="0" xfId="6" applyNumberFormat="1" applyFont="1" applyBorder="1" applyAlignment="1">
      <alignment horizontal="center" vertical="top"/>
    </xf>
    <xf numFmtId="170" fontId="19" fillId="0" borderId="0" xfId="6" applyNumberFormat="1" applyFont="1" applyBorder="1" applyAlignment="1">
      <alignment horizontal="center" vertical="top" wrapText="1"/>
    </xf>
    <xf numFmtId="0" fontId="11" fillId="0" borderId="16" xfId="0" applyFont="1" applyFill="1" applyBorder="1"/>
    <xf numFmtId="169" fontId="11" fillId="0" borderId="16" xfId="0" applyNumberFormat="1" applyFont="1" applyFill="1" applyBorder="1" applyAlignment="1">
      <alignment horizontal="center" vertical="top"/>
    </xf>
    <xf numFmtId="170" fontId="11" fillId="0" borderId="9" xfId="0" applyNumberFormat="1" applyFont="1" applyFill="1" applyBorder="1" applyAlignment="1">
      <alignment horizontal="center" vertical="top"/>
    </xf>
    <xf numFmtId="171" fontId="11" fillId="0" borderId="9" xfId="0" applyNumberFormat="1" applyFont="1" applyFill="1" applyBorder="1" applyAlignment="1">
      <alignment horizontal="center" vertical="top"/>
    </xf>
    <xf numFmtId="169" fontId="11" fillId="0" borderId="9" xfId="0" applyNumberFormat="1" applyFont="1" applyFill="1" applyBorder="1" applyAlignment="1">
      <alignment horizontal="center" vertical="center"/>
    </xf>
    <xf numFmtId="0" fontId="11" fillId="0" borderId="0" xfId="6" applyFont="1" applyFill="1" applyAlignment="1">
      <alignment horizontal="center" vertical="top"/>
    </xf>
    <xf numFmtId="170" fontId="19" fillId="0" borderId="0" xfId="6" applyNumberFormat="1" applyFont="1" applyFill="1" applyAlignment="1">
      <alignment horizontal="center" vertical="top"/>
    </xf>
    <xf numFmtId="171" fontId="11" fillId="0" borderId="0" xfId="6" applyNumberFormat="1" applyFont="1" applyFill="1" applyAlignment="1">
      <alignment horizontal="center" vertical="top"/>
    </xf>
    <xf numFmtId="170" fontId="11" fillId="0" borderId="0" xfId="6" applyNumberFormat="1" applyFont="1" applyFill="1" applyAlignment="1">
      <alignment horizontal="center" vertical="top"/>
    </xf>
    <xf numFmtId="170" fontId="11" fillId="0" borderId="0" xfId="0" applyNumberFormat="1" applyFont="1" applyBorder="1" applyAlignment="1">
      <alignment horizontal="center" vertical="top"/>
    </xf>
    <xf numFmtId="170" fontId="11" fillId="0" borderId="9" xfId="0" applyNumberFormat="1" applyFont="1" applyBorder="1" applyAlignment="1">
      <alignment horizontal="center" vertical="center"/>
    </xf>
    <xf numFmtId="170" fontId="11" fillId="0" borderId="10" xfId="0" applyNumberFormat="1" applyFont="1" applyBorder="1" applyAlignment="1">
      <alignment horizontal="center" vertical="center"/>
    </xf>
    <xf numFmtId="170" fontId="14" fillId="2" borderId="0" xfId="0" applyNumberFormat="1" applyFont="1" applyFill="1"/>
    <xf numFmtId="170" fontId="11" fillId="0" borderId="0" xfId="0" applyNumberFormat="1" applyFont="1" applyFill="1" applyAlignment="1">
      <alignment vertical="center"/>
    </xf>
    <xf numFmtId="170" fontId="11" fillId="0" borderId="8" xfId="0" applyNumberFormat="1" applyFont="1" applyBorder="1" applyAlignment="1">
      <alignment horizontal="center" vertical="center"/>
    </xf>
    <xf numFmtId="170" fontId="20" fillId="7" borderId="0" xfId="0" applyNumberFormat="1" applyFont="1" applyFill="1" applyAlignment="1">
      <alignment vertical="center"/>
    </xf>
    <xf numFmtId="170" fontId="5" fillId="4" borderId="0" xfId="0" applyNumberFormat="1" applyFont="1" applyFill="1" applyBorder="1" applyAlignment="1">
      <alignment vertical="center"/>
    </xf>
    <xf numFmtId="170" fontId="17" fillId="0" borderId="0" xfId="0" applyNumberFormat="1" applyFont="1" applyFill="1" applyBorder="1" applyAlignment="1">
      <alignment horizontal="center" vertical="center"/>
    </xf>
    <xf numFmtId="170" fontId="18" fillId="4" borderId="8" xfId="0" applyNumberFormat="1" applyFont="1" applyFill="1" applyBorder="1" applyAlignment="1">
      <alignment horizontal="center" vertical="center" wrapText="1"/>
    </xf>
    <xf numFmtId="171" fontId="18" fillId="0" borderId="0" xfId="0" applyNumberFormat="1" applyFont="1" applyAlignment="1">
      <alignment vertical="top"/>
    </xf>
    <xf numFmtId="171" fontId="11" fillId="0" borderId="0" xfId="0" applyNumberFormat="1" applyFont="1" applyAlignment="1">
      <alignment vertical="top"/>
    </xf>
    <xf numFmtId="171" fontId="18" fillId="0" borderId="0" xfId="0" applyNumberFormat="1" applyFont="1" applyAlignment="1">
      <alignment horizontal="left" vertical="top"/>
    </xf>
    <xf numFmtId="171" fontId="18" fillId="4" borderId="7" xfId="0" applyNumberFormat="1" applyFont="1" applyFill="1" applyBorder="1" applyAlignment="1">
      <alignment horizontal="center" vertical="center" wrapText="1"/>
    </xf>
    <xf numFmtId="171" fontId="18" fillId="0" borderId="10" xfId="6" applyNumberFormat="1" applyFont="1" applyBorder="1" applyAlignment="1">
      <alignment horizontal="left" vertical="top" wrapText="1"/>
    </xf>
    <xf numFmtId="0" fontId="7" fillId="4" borderId="0" xfId="0" applyFont="1" applyFill="1" applyBorder="1" applyAlignment="1">
      <alignment horizontal="left" vertical="top" wrapText="1"/>
    </xf>
    <xf numFmtId="0" fontId="7" fillId="0" borderId="0" xfId="0" applyFont="1" applyFill="1" applyBorder="1" applyAlignment="1">
      <alignment vertical="top" wrapText="1"/>
    </xf>
    <xf numFmtId="0" fontId="20" fillId="7" borderId="16" xfId="0" applyFont="1" applyFill="1" applyBorder="1" applyAlignment="1">
      <alignment vertical="center"/>
    </xf>
    <xf numFmtId="0" fontId="20" fillId="7" borderId="0" xfId="0" applyFont="1" applyFill="1" applyBorder="1" applyAlignment="1">
      <alignment vertical="center"/>
    </xf>
    <xf numFmtId="0" fontId="20" fillId="7" borderId="17" xfId="0" applyFont="1" applyFill="1" applyBorder="1" applyAlignment="1">
      <alignment vertical="center"/>
    </xf>
    <xf numFmtId="168" fontId="23" fillId="7" borderId="16" xfId="0" applyNumberFormat="1" applyFont="1" applyFill="1" applyBorder="1" applyAlignment="1">
      <alignment vertical="center" wrapText="1"/>
    </xf>
    <xf numFmtId="168" fontId="23" fillId="7" borderId="0" xfId="0" applyNumberFormat="1" applyFont="1" applyFill="1" applyBorder="1" applyAlignment="1">
      <alignment vertical="center" wrapText="1"/>
    </xf>
    <xf numFmtId="168" fontId="23" fillId="7" borderId="17" xfId="0" applyNumberFormat="1" applyFont="1" applyFill="1" applyBorder="1" applyAlignment="1">
      <alignment vertical="center" wrapText="1"/>
    </xf>
    <xf numFmtId="170" fontId="23" fillId="7" borderId="9" xfId="0" applyNumberFormat="1" applyFont="1" applyFill="1" applyBorder="1" applyAlignment="1">
      <alignment horizontal="center" vertical="center"/>
    </xf>
    <xf numFmtId="168" fontId="23" fillId="7" borderId="16" xfId="0" applyNumberFormat="1" applyFont="1" applyFill="1" applyBorder="1" applyAlignment="1">
      <alignment horizontal="right" vertical="center"/>
    </xf>
    <xf numFmtId="168" fontId="23" fillId="7" borderId="0" xfId="0" applyNumberFormat="1" applyFont="1" applyFill="1" applyBorder="1" applyAlignment="1">
      <alignment horizontal="right" vertical="center"/>
    </xf>
    <xf numFmtId="168" fontId="23" fillId="7" borderId="17" xfId="0" applyNumberFormat="1" applyFont="1" applyFill="1" applyBorder="1" applyAlignment="1">
      <alignment horizontal="right" vertical="center"/>
    </xf>
    <xf numFmtId="0" fontId="11" fillId="0" borderId="7" xfId="0" applyFont="1" applyBorder="1" applyAlignment="1">
      <alignment horizontal="left" vertical="center" wrapText="1"/>
    </xf>
    <xf numFmtId="171" fontId="23" fillId="7" borderId="16" xfId="0" applyNumberFormat="1" applyFont="1" applyFill="1" applyBorder="1" applyAlignment="1">
      <alignment vertical="center"/>
    </xf>
    <xf numFmtId="171" fontId="23" fillId="7" borderId="9" xfId="0" applyNumberFormat="1" applyFont="1" applyFill="1" applyBorder="1" applyAlignment="1">
      <alignment vertical="center"/>
    </xf>
    <xf numFmtId="171" fontId="23" fillId="7" borderId="0" xfId="0" applyNumberFormat="1" applyFont="1" applyFill="1" applyBorder="1" applyAlignment="1">
      <alignment vertical="center"/>
    </xf>
    <xf numFmtId="0" fontId="14" fillId="3" borderId="0" xfId="0" applyFont="1" applyFill="1" applyBorder="1" applyAlignment="1">
      <alignment horizontal="center"/>
    </xf>
    <xf numFmtId="166" fontId="7" fillId="4" borderId="0" xfId="2" applyFont="1" applyFill="1" applyBorder="1" applyAlignment="1">
      <alignment horizontal="left" vertical="top" wrapText="1"/>
    </xf>
    <xf numFmtId="0" fontId="14" fillId="0" borderId="0" xfId="0" applyFont="1" applyFill="1" applyBorder="1" applyAlignment="1">
      <alignment horizontal="left"/>
    </xf>
    <xf numFmtId="0" fontId="14" fillId="0" borderId="0" xfId="0" applyFont="1" applyFill="1" applyBorder="1" applyAlignment="1">
      <alignment horizontal="center"/>
    </xf>
    <xf numFmtId="168" fontId="11" fillId="0" borderId="10" xfId="0" applyNumberFormat="1" applyFont="1" applyBorder="1" applyAlignment="1">
      <alignment vertical="center"/>
    </xf>
    <xf numFmtId="9" fontId="11" fillId="0" borderId="9" xfId="1" applyFont="1" applyBorder="1" applyAlignment="1">
      <alignment vertical="center"/>
    </xf>
    <xf numFmtId="168" fontId="18" fillId="0" borderId="7" xfId="0" applyNumberFormat="1" applyFont="1" applyBorder="1" applyAlignment="1">
      <alignment vertical="center"/>
    </xf>
    <xf numFmtId="0" fontId="20" fillId="7" borderId="9" xfId="0" applyFont="1" applyFill="1" applyBorder="1" applyAlignment="1">
      <alignment vertical="center"/>
    </xf>
    <xf numFmtId="0" fontId="20" fillId="7" borderId="17" xfId="0" applyFont="1" applyFill="1" applyBorder="1" applyAlignment="1">
      <alignment horizontal="left"/>
    </xf>
    <xf numFmtId="171" fontId="23" fillId="7" borderId="9" xfId="6" applyNumberFormat="1" applyFont="1" applyFill="1" applyBorder="1" applyAlignment="1">
      <alignment horizontal="center" vertical="top"/>
    </xf>
    <xf numFmtId="171" fontId="20" fillId="7" borderId="9" xfId="6" applyNumberFormat="1" applyFont="1" applyFill="1" applyBorder="1" applyAlignment="1">
      <alignment horizontal="right" vertical="top"/>
    </xf>
    <xf numFmtId="171" fontId="23" fillId="7" borderId="9" xfId="6" applyNumberFormat="1" applyFont="1" applyFill="1" applyBorder="1" applyAlignment="1">
      <alignment horizontal="right" vertical="top"/>
    </xf>
    <xf numFmtId="170" fontId="23" fillId="7" borderId="9" xfId="6" applyNumberFormat="1" applyFont="1" applyFill="1" applyBorder="1" applyAlignment="1">
      <alignment horizontal="right" vertical="top"/>
    </xf>
    <xf numFmtId="168" fontId="18" fillId="2" borderId="7" xfId="0" applyNumberFormat="1" applyFont="1" applyFill="1" applyBorder="1" applyAlignment="1">
      <alignment horizontal="left" vertical="center"/>
    </xf>
    <xf numFmtId="170" fontId="11" fillId="0" borderId="0" xfId="0" applyNumberFormat="1" applyFont="1" applyBorder="1" applyAlignment="1">
      <alignment horizontal="center" vertical="center"/>
    </xf>
    <xf numFmtId="0" fontId="11" fillId="0" borderId="0" xfId="0" applyFont="1" applyBorder="1"/>
    <xf numFmtId="0" fontId="11" fillId="0" borderId="15" xfId="0" applyFont="1" applyBorder="1"/>
    <xf numFmtId="0" fontId="11" fillId="0" borderId="15" xfId="0" applyFont="1" applyBorder="1" applyAlignment="1">
      <alignment vertical="center"/>
    </xf>
    <xf numFmtId="0" fontId="11" fillId="0" borderId="19" xfId="0" applyFont="1" applyBorder="1"/>
    <xf numFmtId="170" fontId="11" fillId="0" borderId="9" xfId="0" applyNumberFormat="1" applyFont="1" applyBorder="1" applyAlignment="1">
      <alignment horizontal="center"/>
    </xf>
    <xf numFmtId="170" fontId="11" fillId="0" borderId="10" xfId="0" applyNumberFormat="1" applyFont="1" applyBorder="1" applyAlignment="1">
      <alignment horizontal="center"/>
    </xf>
    <xf numFmtId="171" fontId="18" fillId="5" borderId="13" xfId="0" quotePrefix="1" applyNumberFormat="1" applyFont="1" applyFill="1" applyBorder="1" applyAlignment="1">
      <alignment horizontal="center" vertical="center"/>
    </xf>
    <xf numFmtId="170" fontId="11" fillId="0" borderId="17" xfId="0" applyNumberFormat="1" applyFont="1" applyBorder="1" applyAlignment="1">
      <alignment horizontal="center"/>
    </xf>
    <xf numFmtId="170" fontId="11" fillId="0" borderId="20" xfId="0" applyNumberFormat="1" applyFont="1" applyBorder="1" applyAlignment="1">
      <alignment horizontal="center"/>
    </xf>
    <xf numFmtId="171" fontId="18" fillId="3" borderId="13" xfId="0" quotePrefix="1" applyNumberFormat="1" applyFont="1" applyFill="1" applyBorder="1" applyAlignment="1">
      <alignment horizontal="center" vertical="center"/>
    </xf>
    <xf numFmtId="0" fontId="27" fillId="0" borderId="0" xfId="0" applyFont="1" applyAlignment="1">
      <alignment horizontal="left"/>
    </xf>
    <xf numFmtId="168" fontId="18" fillId="0" borderId="7" xfId="0" applyNumberFormat="1" applyFont="1" applyFill="1" applyBorder="1" applyAlignment="1">
      <alignment vertical="center"/>
    </xf>
    <xf numFmtId="9" fontId="18" fillId="0" borderId="7" xfId="1" applyFont="1" applyFill="1" applyBorder="1" applyAlignment="1">
      <alignment vertical="center"/>
    </xf>
    <xf numFmtId="171" fontId="18" fillId="0" borderId="0" xfId="0" applyNumberFormat="1" applyFont="1" applyAlignment="1">
      <alignment vertical="center"/>
    </xf>
    <xf numFmtId="171" fontId="17" fillId="5" borderId="11" xfId="0" applyNumberFormat="1" applyFont="1" applyFill="1" applyBorder="1" applyAlignment="1">
      <alignment horizontal="center" vertical="center"/>
    </xf>
    <xf numFmtId="169" fontId="11" fillId="9" borderId="16" xfId="0" applyNumberFormat="1" applyFont="1" applyFill="1" applyBorder="1" applyAlignment="1">
      <alignment horizontal="center" vertical="top"/>
    </xf>
    <xf numFmtId="0" fontId="11" fillId="9" borderId="0" xfId="0" applyFont="1" applyFill="1" applyBorder="1" applyAlignment="1">
      <alignment horizontal="center" vertical="top"/>
    </xf>
    <xf numFmtId="169" fontId="11" fillId="9" borderId="0" xfId="0" applyNumberFormat="1" applyFont="1" applyFill="1" applyBorder="1" applyAlignment="1">
      <alignment horizontal="center" vertical="center"/>
    </xf>
    <xf numFmtId="169" fontId="11" fillId="9" borderId="17" xfId="0" applyNumberFormat="1" applyFont="1" applyFill="1" applyBorder="1" applyAlignment="1">
      <alignment horizontal="center" vertical="center"/>
    </xf>
    <xf numFmtId="0" fontId="24" fillId="9" borderId="16" xfId="0" applyFont="1" applyFill="1" applyBorder="1"/>
    <xf numFmtId="0" fontId="24" fillId="9" borderId="18" xfId="0" applyFont="1" applyFill="1" applyBorder="1"/>
    <xf numFmtId="169" fontId="11" fillId="9" borderId="18" xfId="0" applyNumberFormat="1" applyFont="1" applyFill="1" applyBorder="1" applyAlignment="1">
      <alignment horizontal="center" vertical="top"/>
    </xf>
    <xf numFmtId="0" fontId="11" fillId="9" borderId="19" xfId="0" applyFont="1" applyFill="1" applyBorder="1" applyAlignment="1">
      <alignment horizontal="center" vertical="top"/>
    </xf>
    <xf numFmtId="169" fontId="11" fillId="9" borderId="19" xfId="0" applyNumberFormat="1" applyFont="1" applyFill="1" applyBorder="1" applyAlignment="1">
      <alignment horizontal="center" vertical="center"/>
    </xf>
    <xf numFmtId="169" fontId="11" fillId="9" borderId="20" xfId="0" applyNumberFormat="1" applyFont="1" applyFill="1" applyBorder="1" applyAlignment="1">
      <alignment horizontal="center" vertical="center"/>
    </xf>
    <xf numFmtId="169" fontId="11" fillId="0" borderId="0" xfId="0" applyNumberFormat="1" applyFont="1" applyAlignment="1">
      <alignment vertical="center"/>
    </xf>
    <xf numFmtId="169" fontId="20" fillId="7" borderId="0" xfId="0" applyNumberFormat="1" applyFont="1" applyFill="1" applyAlignment="1">
      <alignment vertical="center"/>
    </xf>
    <xf numFmtId="169" fontId="5" fillId="4" borderId="0" xfId="0" applyNumberFormat="1" applyFont="1" applyFill="1" applyBorder="1" applyAlignment="1">
      <alignment vertical="center"/>
    </xf>
    <xf numFmtId="169" fontId="14" fillId="2" borderId="0" xfId="0" applyNumberFormat="1" applyFont="1" applyFill="1"/>
    <xf numFmtId="169" fontId="18" fillId="4" borderId="14" xfId="0" quotePrefix="1" applyNumberFormat="1" applyFont="1" applyFill="1" applyBorder="1" applyAlignment="1">
      <alignment horizontal="center" vertical="center" wrapText="1"/>
    </xf>
    <xf numFmtId="169" fontId="18" fillId="4" borderId="15" xfId="0" quotePrefix="1" applyNumberFormat="1" applyFont="1" applyFill="1" applyBorder="1" applyAlignment="1">
      <alignment horizontal="center" vertical="center" wrapText="1"/>
    </xf>
    <xf numFmtId="169" fontId="18" fillId="4" borderId="21" xfId="0" quotePrefix="1" applyNumberFormat="1" applyFont="1" applyFill="1" applyBorder="1" applyAlignment="1">
      <alignment horizontal="center" vertical="center" wrapText="1"/>
    </xf>
    <xf numFmtId="169" fontId="17" fillId="0" borderId="0" xfId="0" applyNumberFormat="1" applyFont="1" applyFill="1" applyBorder="1" applyAlignment="1">
      <alignment horizontal="center" vertical="center"/>
    </xf>
    <xf numFmtId="169" fontId="18" fillId="4" borderId="14" xfId="0" quotePrefix="1" applyNumberFormat="1" applyFont="1" applyFill="1" applyBorder="1" applyAlignment="1">
      <alignment horizontal="right" vertical="center" wrapText="1"/>
    </xf>
    <xf numFmtId="169" fontId="18" fillId="4" borderId="15" xfId="0" quotePrefix="1" applyNumberFormat="1" applyFont="1" applyFill="1" applyBorder="1" applyAlignment="1">
      <alignment horizontal="right" vertical="center" wrapText="1"/>
    </xf>
    <xf numFmtId="169" fontId="18" fillId="4" borderId="21" xfId="0" quotePrefix="1" applyNumberFormat="1" applyFont="1" applyFill="1" applyBorder="1" applyAlignment="1">
      <alignment horizontal="right" vertical="center" wrapText="1"/>
    </xf>
    <xf numFmtId="171" fontId="11" fillId="0" borderId="0" xfId="0" applyNumberFormat="1" applyFont="1" applyAlignment="1">
      <alignment horizontal="righ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2" xfId="0" applyFont="1" applyBorder="1" applyAlignment="1">
      <alignment horizontal="left"/>
    </xf>
    <xf numFmtId="171" fontId="17" fillId="5" borderId="11" xfId="0" applyNumberFormat="1" applyFont="1" applyFill="1" applyBorder="1" applyAlignment="1">
      <alignment vertical="center"/>
    </xf>
    <xf numFmtId="171" fontId="17" fillId="5" borderId="12" xfId="0" applyNumberFormat="1" applyFont="1" applyFill="1" applyBorder="1" applyAlignment="1">
      <alignmen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0" fontId="11" fillId="0" borderId="16" xfId="0" applyFont="1" applyFill="1" applyBorder="1" applyAlignment="1">
      <alignment vertical="center"/>
    </xf>
    <xf numFmtId="0" fontId="11" fillId="0" borderId="0" xfId="0" applyFont="1" applyBorder="1" applyAlignment="1">
      <alignment horizontal="right" vertical="center"/>
    </xf>
    <xf numFmtId="0" fontId="11" fillId="0" borderId="0" xfId="0" applyFont="1" applyFill="1" applyAlignment="1">
      <alignment vertical="center"/>
    </xf>
    <xf numFmtId="0" fontId="11" fillId="0" borderId="0" xfId="0" applyFont="1" applyFill="1" applyBorder="1" applyAlignment="1">
      <alignment horizontal="left"/>
    </xf>
    <xf numFmtId="0" fontId="11" fillId="0" borderId="17" xfId="0" applyFont="1" applyFill="1" applyBorder="1" applyAlignment="1">
      <alignment horizontal="left"/>
    </xf>
    <xf numFmtId="171" fontId="11" fillId="0" borderId="16" xfId="0" applyNumberFormat="1" applyFont="1" applyFill="1" applyBorder="1" applyAlignment="1">
      <alignment vertical="center"/>
    </xf>
    <xf numFmtId="171" fontId="11" fillId="0" borderId="9" xfId="0" applyNumberFormat="1" applyFont="1" applyFill="1" applyBorder="1" applyAlignment="1">
      <alignment vertical="center"/>
    </xf>
    <xf numFmtId="171" fontId="11" fillId="0" borderId="0" xfId="0" applyNumberFormat="1" applyFont="1" applyFill="1" applyBorder="1" applyAlignment="1">
      <alignment vertical="center"/>
    </xf>
    <xf numFmtId="171" fontId="18" fillId="3" borderId="7" xfId="0" quotePrefix="1" applyNumberFormat="1" applyFont="1" applyFill="1" applyBorder="1" applyAlignment="1">
      <alignment horizontal="center" vertical="center"/>
    </xf>
    <xf numFmtId="9" fontId="11" fillId="0" borderId="0" xfId="1" applyFont="1" applyAlignment="1">
      <alignment horizontal="center" vertical="top"/>
    </xf>
    <xf numFmtId="170" fontId="11" fillId="0" borderId="16" xfId="0" applyNumberFormat="1" applyFont="1" applyFill="1" applyBorder="1" applyAlignment="1">
      <alignment horizontal="right" vertical="center"/>
    </xf>
    <xf numFmtId="170" fontId="11" fillId="0" borderId="0" xfId="0" applyNumberFormat="1" applyFont="1" applyFill="1" applyBorder="1" applyAlignment="1">
      <alignment horizontal="right" vertical="center"/>
    </xf>
    <xf numFmtId="170" fontId="11" fillId="0" borderId="17" xfId="0" applyNumberFormat="1" applyFont="1" applyFill="1" applyBorder="1" applyAlignment="1">
      <alignment horizontal="right" vertical="center"/>
    </xf>
    <xf numFmtId="0" fontId="11" fillId="0" borderId="0" xfId="0" applyFont="1" applyFill="1" applyBorder="1" applyAlignment="1">
      <alignment horizontal="right" vertical="center"/>
    </xf>
    <xf numFmtId="171" fontId="11" fillId="0" borderId="16" xfId="0" applyNumberFormat="1" applyFont="1" applyFill="1" applyBorder="1" applyAlignment="1">
      <alignment horizontal="right" vertical="center"/>
    </xf>
    <xf numFmtId="171" fontId="11" fillId="0" borderId="0" xfId="0" applyNumberFormat="1" applyFont="1" applyFill="1" applyBorder="1" applyAlignment="1">
      <alignment horizontal="right" vertical="center"/>
    </xf>
    <xf numFmtId="171" fontId="11" fillId="0" borderId="17" xfId="0" applyNumberFormat="1" applyFont="1" applyFill="1" applyBorder="1" applyAlignment="1">
      <alignment horizontal="right" vertical="center"/>
    </xf>
    <xf numFmtId="171" fontId="11" fillId="0" borderId="18" xfId="0" applyNumberFormat="1" applyFont="1" applyFill="1" applyBorder="1" applyAlignment="1">
      <alignment horizontal="right" vertical="center"/>
    </xf>
    <xf numFmtId="171" fontId="11" fillId="0" borderId="19" xfId="0" applyNumberFormat="1" applyFont="1" applyFill="1" applyBorder="1" applyAlignment="1">
      <alignment horizontal="right" vertical="center"/>
    </xf>
    <xf numFmtId="171" fontId="11" fillId="0" borderId="20" xfId="0" applyNumberFormat="1" applyFont="1" applyFill="1" applyBorder="1" applyAlignment="1">
      <alignment horizontal="right" vertical="center"/>
    </xf>
    <xf numFmtId="171" fontId="18" fillId="2" borderId="11" xfId="0" applyNumberFormat="1" applyFont="1" applyFill="1" applyBorder="1" applyAlignment="1">
      <alignment horizontal="right" vertical="center"/>
    </xf>
    <xf numFmtId="171" fontId="18" fillId="2" borderId="12" xfId="0" applyNumberFormat="1" applyFont="1" applyFill="1" applyBorder="1" applyAlignment="1">
      <alignment horizontal="right" vertical="center"/>
    </xf>
    <xf numFmtId="171" fontId="18" fillId="2" borderId="13" xfId="0" applyNumberFormat="1" applyFont="1" applyFill="1" applyBorder="1" applyAlignment="1">
      <alignment horizontal="right" vertical="center"/>
    </xf>
    <xf numFmtId="171" fontId="18" fillId="2" borderId="18" xfId="0" applyNumberFormat="1" applyFont="1" applyFill="1" applyBorder="1" applyAlignment="1">
      <alignment horizontal="right" vertical="center"/>
    </xf>
    <xf numFmtId="171" fontId="18" fillId="2" borderId="19" xfId="0" applyNumberFormat="1" applyFont="1" applyFill="1" applyBorder="1" applyAlignment="1">
      <alignment horizontal="right" vertical="center"/>
    </xf>
    <xf numFmtId="171" fontId="18" fillId="2" borderId="20" xfId="0" applyNumberFormat="1" applyFont="1" applyFill="1" applyBorder="1" applyAlignment="1">
      <alignment horizontal="right" vertical="center"/>
    </xf>
    <xf numFmtId="171" fontId="11" fillId="0" borderId="16" xfId="0" applyNumberFormat="1" applyFont="1" applyBorder="1" applyAlignment="1">
      <alignment horizontal="right" vertical="center"/>
    </xf>
    <xf numFmtId="171" fontId="11" fillId="0" borderId="0" xfId="0" applyNumberFormat="1" applyFont="1" applyBorder="1" applyAlignment="1">
      <alignment horizontal="right" vertical="center"/>
    </xf>
    <xf numFmtId="171" fontId="11" fillId="0" borderId="17" xfId="0" applyNumberFormat="1" applyFont="1" applyBorder="1" applyAlignment="1">
      <alignment horizontal="right" vertical="center"/>
    </xf>
    <xf numFmtId="0" fontId="20" fillId="7" borderId="16" xfId="0" applyFont="1" applyFill="1" applyBorder="1" applyAlignment="1">
      <alignment horizontal="right" vertical="center"/>
    </xf>
    <xf numFmtId="0" fontId="20" fillId="7" borderId="0" xfId="0" applyFont="1" applyFill="1" applyBorder="1" applyAlignment="1">
      <alignment horizontal="right" vertical="center"/>
    </xf>
    <xf numFmtId="0" fontId="20" fillId="7" borderId="17" xfId="0" applyFont="1" applyFill="1" applyBorder="1" applyAlignment="1">
      <alignment horizontal="right" vertical="center"/>
    </xf>
    <xf numFmtId="0" fontId="11" fillId="0" borderId="0" xfId="0" quotePrefix="1" applyFont="1" applyBorder="1" applyAlignment="1">
      <alignment horizontal="right" vertical="center"/>
    </xf>
    <xf numFmtId="168" fontId="23" fillId="7" borderId="16" xfId="0" applyNumberFormat="1" applyFont="1" applyFill="1" applyBorder="1" applyAlignment="1">
      <alignment horizontal="right" vertical="center" wrapText="1"/>
    </xf>
    <xf numFmtId="168" fontId="23" fillId="7" borderId="0" xfId="0" applyNumberFormat="1" applyFont="1" applyFill="1" applyBorder="1" applyAlignment="1">
      <alignment horizontal="right" vertical="center" wrapText="1"/>
    </xf>
    <xf numFmtId="168" fontId="23" fillId="7" borderId="17" xfId="0" applyNumberFormat="1" applyFont="1" applyFill="1" applyBorder="1" applyAlignment="1">
      <alignment horizontal="right" vertical="center" wrapText="1"/>
    </xf>
    <xf numFmtId="171" fontId="17" fillId="3" borderId="11" xfId="0" applyNumberFormat="1" applyFont="1" applyFill="1" applyBorder="1" applyAlignment="1">
      <alignment horizontal="right" vertical="center"/>
    </xf>
    <xf numFmtId="171" fontId="17" fillId="3" borderId="12" xfId="0" applyNumberFormat="1" applyFont="1" applyFill="1" applyBorder="1" applyAlignment="1">
      <alignment horizontal="right" vertical="center"/>
    </xf>
    <xf numFmtId="171" fontId="17" fillId="3" borderId="13" xfId="0" applyNumberFormat="1" applyFont="1" applyFill="1" applyBorder="1" applyAlignment="1">
      <alignment horizontal="right" vertical="center"/>
    </xf>
    <xf numFmtId="0" fontId="11" fillId="0" borderId="0" xfId="0" applyFont="1" applyAlignment="1">
      <alignment horizontal="right" vertical="center"/>
    </xf>
    <xf numFmtId="0" fontId="11" fillId="0" borderId="14" xfId="0" applyFont="1" applyBorder="1"/>
    <xf numFmtId="0" fontId="11" fillId="0" borderId="15" xfId="0" applyFont="1" applyBorder="1" applyAlignment="1">
      <alignment horizontal="left"/>
    </xf>
    <xf numFmtId="169" fontId="11" fillId="0" borderId="8" xfId="0" applyNumberFormat="1" applyFont="1" applyBorder="1" applyAlignment="1">
      <alignment horizontal="center" vertical="top"/>
    </xf>
    <xf numFmtId="169" fontId="11" fillId="0" borderId="9" xfId="0" applyNumberFormat="1" applyFont="1" applyBorder="1" applyAlignment="1">
      <alignment horizontal="center" vertical="top"/>
    </xf>
    <xf numFmtId="173" fontId="11" fillId="0" borderId="14" xfId="0" applyNumberFormat="1" applyFont="1" applyBorder="1" applyAlignment="1">
      <alignment horizontal="right" vertical="center"/>
    </xf>
    <xf numFmtId="173" fontId="11" fillId="0" borderId="15" xfId="0" applyNumberFormat="1" applyFont="1" applyBorder="1" applyAlignment="1">
      <alignment horizontal="right" vertical="center"/>
    </xf>
    <xf numFmtId="173" fontId="11" fillId="0" borderId="21" xfId="0" applyNumberFormat="1" applyFont="1" applyBorder="1" applyAlignment="1">
      <alignment horizontal="right" vertical="center"/>
    </xf>
    <xf numFmtId="173" fontId="11" fillId="0" borderId="0" xfId="0" applyNumberFormat="1" applyFont="1" applyAlignment="1">
      <alignment vertical="center"/>
    </xf>
    <xf numFmtId="173" fontId="23" fillId="7" borderId="16" xfId="0" applyNumberFormat="1" applyFont="1" applyFill="1" applyBorder="1" applyAlignment="1">
      <alignment horizontal="right" vertical="center"/>
    </xf>
    <xf numFmtId="173" fontId="23" fillId="7" borderId="0" xfId="0" applyNumberFormat="1" applyFont="1" applyFill="1" applyBorder="1" applyAlignment="1">
      <alignment horizontal="right" vertical="center"/>
    </xf>
    <xf numFmtId="173" fontId="23" fillId="7" borderId="17" xfId="0" applyNumberFormat="1" applyFont="1" applyFill="1" applyBorder="1" applyAlignment="1">
      <alignment horizontal="right" vertical="center"/>
    </xf>
    <xf numFmtId="173" fontId="11" fillId="0" borderId="0" xfId="0" applyNumberFormat="1" applyFont="1" applyBorder="1" applyAlignment="1">
      <alignment vertical="center"/>
    </xf>
    <xf numFmtId="173" fontId="11" fillId="0" borderId="0" xfId="0" applyNumberFormat="1" applyFont="1" applyFill="1" applyBorder="1" applyAlignment="1">
      <alignment vertical="center"/>
    </xf>
    <xf numFmtId="173" fontId="11" fillId="0" borderId="16" xfId="0" applyNumberFormat="1" applyFont="1" applyFill="1" applyBorder="1" applyAlignment="1">
      <alignment horizontal="right" vertical="center"/>
    </xf>
    <xf numFmtId="173" fontId="11" fillId="0" borderId="0" xfId="0" applyNumberFormat="1" applyFont="1" applyFill="1" applyBorder="1" applyAlignment="1">
      <alignment horizontal="right" vertical="center"/>
    </xf>
    <xf numFmtId="173" fontId="11" fillId="0" borderId="17" xfId="0" applyNumberFormat="1" applyFont="1" applyFill="1" applyBorder="1" applyAlignment="1">
      <alignment horizontal="right" vertical="center"/>
    </xf>
    <xf numFmtId="173" fontId="11" fillId="0" borderId="0" xfId="0" applyNumberFormat="1" applyFont="1" applyFill="1" applyAlignment="1">
      <alignment vertical="center"/>
    </xf>
    <xf numFmtId="173" fontId="18" fillId="2" borderId="11" xfId="0" applyNumberFormat="1" applyFont="1" applyFill="1" applyBorder="1" applyAlignment="1">
      <alignment horizontal="right"/>
    </xf>
    <xf numFmtId="173" fontId="18" fillId="2" borderId="12" xfId="0" applyNumberFormat="1" applyFont="1" applyFill="1" applyBorder="1" applyAlignment="1">
      <alignment horizontal="right"/>
    </xf>
    <xf numFmtId="173" fontId="18" fillId="2" borderId="13" xfId="0" applyNumberFormat="1" applyFont="1" applyFill="1" applyBorder="1" applyAlignment="1">
      <alignment horizontal="right"/>
    </xf>
    <xf numFmtId="173" fontId="11" fillId="0" borderId="16" xfId="0" applyNumberFormat="1" applyFont="1" applyBorder="1" applyAlignment="1">
      <alignment horizontal="right" vertical="center"/>
    </xf>
    <xf numFmtId="173" fontId="11" fillId="0" borderId="0" xfId="0" applyNumberFormat="1" applyFont="1" applyBorder="1" applyAlignment="1">
      <alignment horizontal="right" vertical="center"/>
    </xf>
    <xf numFmtId="173" fontId="11" fillId="0" borderId="17" xfId="0" applyNumberFormat="1" applyFont="1" applyBorder="1" applyAlignment="1">
      <alignment horizontal="right" vertical="center"/>
    </xf>
    <xf numFmtId="173" fontId="18" fillId="2" borderId="11" xfId="0" applyNumberFormat="1" applyFont="1" applyFill="1" applyBorder="1" applyAlignment="1">
      <alignment horizontal="right" vertical="center"/>
    </xf>
    <xf numFmtId="173" fontId="18" fillId="2" borderId="12" xfId="0" applyNumberFormat="1" applyFont="1" applyFill="1" applyBorder="1" applyAlignment="1">
      <alignment horizontal="right" vertical="center"/>
    </xf>
    <xf numFmtId="173" fontId="18" fillId="2" borderId="13" xfId="0" applyNumberFormat="1" applyFont="1" applyFill="1" applyBorder="1" applyAlignment="1">
      <alignment horizontal="right" vertical="center"/>
    </xf>
    <xf numFmtId="173" fontId="17" fillId="3" borderId="11" xfId="0" applyNumberFormat="1" applyFont="1" applyFill="1" applyBorder="1" applyAlignment="1">
      <alignment horizontal="right"/>
    </xf>
    <xf numFmtId="173" fontId="17" fillId="3" borderId="12" xfId="0" applyNumberFormat="1" applyFont="1" applyFill="1" applyBorder="1" applyAlignment="1">
      <alignment horizontal="right"/>
    </xf>
    <xf numFmtId="173" fontId="17" fillId="3" borderId="13" xfId="0" applyNumberFormat="1" applyFont="1" applyFill="1" applyBorder="1" applyAlignment="1">
      <alignment horizontal="right"/>
    </xf>
    <xf numFmtId="171" fontId="11" fillId="0" borderId="9" xfId="0" applyNumberFormat="1" applyFont="1" applyFill="1" applyBorder="1" applyAlignment="1">
      <alignment horizontal="right" vertical="center"/>
    </xf>
    <xf numFmtId="171" fontId="11" fillId="0" borderId="9" xfId="0" applyNumberFormat="1" applyFont="1" applyBorder="1" applyAlignment="1">
      <alignment horizontal="right" vertical="center"/>
    </xf>
    <xf numFmtId="171" fontId="23" fillId="7" borderId="9" xfId="0" applyNumberFormat="1" applyFont="1" applyFill="1" applyBorder="1" applyAlignment="1">
      <alignment horizontal="right" vertical="center"/>
    </xf>
    <xf numFmtId="173" fontId="11" fillId="7" borderId="16" xfId="0" applyNumberFormat="1" applyFont="1" applyFill="1" applyBorder="1" applyAlignment="1">
      <alignment horizontal="center" vertical="center"/>
    </xf>
    <xf numFmtId="173" fontId="11" fillId="7" borderId="0" xfId="0" applyNumberFormat="1" applyFont="1" applyFill="1" applyBorder="1" applyAlignment="1">
      <alignment horizontal="center" vertical="center"/>
    </xf>
    <xf numFmtId="173" fontId="11" fillId="7" borderId="17" xfId="0" applyNumberFormat="1" applyFont="1" applyFill="1" applyBorder="1" applyAlignment="1">
      <alignment horizontal="center" vertical="center"/>
    </xf>
    <xf numFmtId="171" fontId="11" fillId="0" borderId="10" xfId="6" applyNumberFormat="1" applyFont="1" applyBorder="1" applyAlignment="1">
      <alignment horizontal="center" vertical="top"/>
    </xf>
    <xf numFmtId="164" fontId="11" fillId="0" borderId="16" xfId="0" applyNumberFormat="1" applyFont="1" applyBorder="1" applyAlignment="1">
      <alignment horizontal="right" vertical="center"/>
    </xf>
    <xf numFmtId="164" fontId="11" fillId="0" borderId="0" xfId="0" applyNumberFormat="1" applyFont="1" applyBorder="1" applyAlignment="1">
      <alignment horizontal="right" vertical="center"/>
    </xf>
    <xf numFmtId="164" fontId="11" fillId="0" borderId="17" xfId="0" applyNumberFormat="1" applyFont="1" applyBorder="1" applyAlignment="1">
      <alignment horizontal="right" vertical="center"/>
    </xf>
    <xf numFmtId="170" fontId="11" fillId="0" borderId="0" xfId="0" applyNumberFormat="1" applyFont="1" applyFill="1" applyBorder="1" applyAlignment="1">
      <alignment horizontal="center" vertical="top"/>
    </xf>
    <xf numFmtId="169" fontId="11" fillId="0" borderId="0" xfId="0" applyNumberFormat="1" applyFont="1" applyFill="1" applyBorder="1" applyAlignment="1">
      <alignment horizontal="center" vertical="center"/>
    </xf>
    <xf numFmtId="0" fontId="11" fillId="0" borderId="0" xfId="0" quotePrefix="1" applyFont="1" applyFill="1" applyBorder="1" applyAlignment="1">
      <alignment horizontal="center" vertical="center"/>
    </xf>
    <xf numFmtId="170" fontId="11" fillId="0" borderId="9" xfId="0" applyNumberFormat="1" applyFont="1" applyFill="1" applyBorder="1" applyAlignment="1">
      <alignment horizontal="center" vertical="center"/>
    </xf>
    <xf numFmtId="168" fontId="11" fillId="0" borderId="16" xfId="0" applyNumberFormat="1" applyFont="1" applyFill="1" applyBorder="1" applyAlignment="1">
      <alignment horizontal="right" vertical="center"/>
    </xf>
    <xf numFmtId="168" fontId="11" fillId="0" borderId="0" xfId="0" applyNumberFormat="1" applyFont="1" applyFill="1" applyBorder="1" applyAlignment="1">
      <alignment horizontal="right" vertical="center"/>
    </xf>
    <xf numFmtId="168" fontId="11" fillId="0" borderId="17" xfId="0" applyNumberFormat="1" applyFont="1" applyFill="1" applyBorder="1" applyAlignment="1">
      <alignment horizontal="right" vertical="center"/>
    </xf>
    <xf numFmtId="170" fontId="11" fillId="0" borderId="0" xfId="0" applyNumberFormat="1" applyFont="1" applyFill="1" applyBorder="1" applyAlignment="1">
      <alignment vertical="center"/>
    </xf>
    <xf numFmtId="164" fontId="11" fillId="0" borderId="16" xfId="0" applyNumberFormat="1" applyFont="1" applyFill="1" applyBorder="1" applyAlignment="1">
      <alignment horizontal="right" vertical="center"/>
    </xf>
    <xf numFmtId="164" fontId="11" fillId="0" borderId="0" xfId="0" applyNumberFormat="1" applyFont="1" applyFill="1" applyBorder="1" applyAlignment="1">
      <alignment horizontal="right" vertical="center"/>
    </xf>
    <xf numFmtId="164" fontId="11" fillId="0" borderId="17" xfId="0" applyNumberFormat="1" applyFont="1" applyFill="1" applyBorder="1" applyAlignment="1">
      <alignment horizontal="right" vertical="center"/>
    </xf>
    <xf numFmtId="0" fontId="11" fillId="0" borderId="0" xfId="0" applyFont="1" applyFill="1" applyBorder="1" applyAlignment="1">
      <alignment horizontal="center" vertical="top"/>
    </xf>
    <xf numFmtId="173" fontId="18" fillId="0" borderId="11" xfId="0" applyNumberFormat="1" applyFont="1" applyFill="1" applyBorder="1" applyAlignment="1">
      <alignment horizontal="right"/>
    </xf>
    <xf numFmtId="173" fontId="18" fillId="0" borderId="12" xfId="0" applyNumberFormat="1" applyFont="1" applyFill="1" applyBorder="1" applyAlignment="1">
      <alignment horizontal="right"/>
    </xf>
    <xf numFmtId="173" fontId="18" fillId="0" borderId="13" xfId="0" applyNumberFormat="1" applyFont="1" applyFill="1" applyBorder="1" applyAlignment="1">
      <alignment horizontal="right"/>
    </xf>
    <xf numFmtId="171" fontId="18" fillId="0" borderId="0" xfId="0" applyNumberFormat="1" applyFont="1" applyFill="1" applyBorder="1" applyAlignment="1">
      <alignment horizontal="center" vertical="center"/>
    </xf>
    <xf numFmtId="0" fontId="18" fillId="8" borderId="8" xfId="0" applyFont="1" applyFill="1" applyBorder="1" applyAlignment="1">
      <alignment horizontal="left" vertical="center"/>
    </xf>
    <xf numFmtId="0" fontId="11" fillId="0" borderId="0" xfId="0" applyFont="1" applyBorder="1" applyAlignment="1">
      <alignment vertical="top" wrapText="1"/>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171" fontId="17" fillId="5" borderId="11" xfId="0" applyNumberFormat="1" applyFont="1" applyFill="1" applyBorder="1" applyAlignment="1">
      <alignment horizontal="left" vertical="center"/>
    </xf>
    <xf numFmtId="171" fontId="17" fillId="5" borderId="12" xfId="0" applyNumberFormat="1" applyFont="1" applyFill="1" applyBorder="1" applyAlignment="1">
      <alignment horizontal="left" vertical="center"/>
    </xf>
    <xf numFmtId="171" fontId="17" fillId="5" borderId="13" xfId="0" applyNumberFormat="1" applyFont="1" applyFill="1" applyBorder="1" applyAlignment="1">
      <alignment horizontal="left" vertical="center"/>
    </xf>
    <xf numFmtId="0" fontId="11" fillId="0" borderId="14" xfId="0" applyFont="1" applyBorder="1" applyAlignment="1">
      <alignment horizontal="left" vertical="center"/>
    </xf>
    <xf numFmtId="0" fontId="11" fillId="0" borderId="15" xfId="0" applyFont="1" applyBorder="1" applyAlignment="1">
      <alignment horizontal="left" vertical="center"/>
    </xf>
    <xf numFmtId="0" fontId="11" fillId="0" borderId="21" xfId="0" applyFont="1" applyBorder="1" applyAlignment="1">
      <alignment horizontal="left" vertical="center"/>
    </xf>
    <xf numFmtId="0" fontId="20" fillId="7" borderId="16" xfId="0" applyFont="1" applyFill="1" applyBorder="1" applyAlignment="1">
      <alignment horizontal="left" vertical="center"/>
    </xf>
    <xf numFmtId="0" fontId="20" fillId="7" borderId="0" xfId="0" applyFont="1" applyFill="1" applyBorder="1" applyAlignment="1">
      <alignment horizontal="left" vertical="center"/>
    </xf>
    <xf numFmtId="0" fontId="20" fillId="7" borderId="17" xfId="0" applyFont="1" applyFill="1" applyBorder="1" applyAlignment="1">
      <alignment horizontal="left" vertical="center"/>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9" fillId="0" borderId="8" xfId="0" applyFont="1" applyBorder="1" applyAlignment="1">
      <alignment horizontal="left" vertical="center" wrapText="1"/>
    </xf>
    <xf numFmtId="0" fontId="19" fillId="0" borderId="10" xfId="0" applyFont="1" applyBorder="1" applyAlignment="1">
      <alignment horizontal="left" vertical="center" wrapText="1"/>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171" fontId="11" fillId="2" borderId="8" xfId="0" applyNumberFormat="1" applyFont="1" applyFill="1" applyBorder="1" applyAlignment="1">
      <alignment horizontal="center" vertical="center"/>
    </xf>
    <xf numFmtId="171" fontId="11" fillId="2" borderId="9" xfId="0" applyNumberFormat="1" applyFont="1" applyFill="1" applyBorder="1" applyAlignment="1">
      <alignment horizontal="center" vertical="center"/>
    </xf>
    <xf numFmtId="171" fontId="11" fillId="2" borderId="10" xfId="0" applyNumberFormat="1" applyFont="1" applyFill="1" applyBorder="1" applyAlignment="1">
      <alignment horizontal="center" vertical="center"/>
    </xf>
    <xf numFmtId="171" fontId="17" fillId="5" borderId="14" xfId="0" applyNumberFormat="1" applyFont="1" applyFill="1" applyBorder="1" applyAlignment="1">
      <alignment horizontal="left" vertical="center"/>
    </xf>
    <xf numFmtId="171" fontId="17" fillId="5" borderId="15" xfId="0" applyNumberFormat="1" applyFont="1" applyFill="1" applyBorder="1" applyAlignment="1">
      <alignment horizontal="left" vertical="center"/>
    </xf>
    <xf numFmtId="171" fontId="17" fillId="5" borderId="21" xfId="0" applyNumberFormat="1" applyFont="1" applyFill="1" applyBorder="1" applyAlignment="1">
      <alignment horizontal="left" vertical="center"/>
    </xf>
    <xf numFmtId="9" fontId="11" fillId="0" borderId="8" xfId="1" applyFont="1" applyBorder="1" applyAlignment="1">
      <alignment horizontal="left" vertical="center" wrapText="1"/>
    </xf>
    <xf numFmtId="9" fontId="11" fillId="0" borderId="9" xfId="1" applyFont="1" applyBorder="1" applyAlignment="1">
      <alignment horizontal="left" vertical="center" wrapText="1"/>
    </xf>
    <xf numFmtId="9" fontId="11" fillId="0" borderId="10" xfId="1" applyFont="1" applyBorder="1" applyAlignment="1">
      <alignment horizontal="left" vertical="center" wrapText="1"/>
    </xf>
    <xf numFmtId="168" fontId="18" fillId="2" borderId="7" xfId="0" applyNumberFormat="1" applyFont="1" applyFill="1" applyBorder="1" applyAlignment="1">
      <alignment horizontal="left" vertical="center"/>
    </xf>
    <xf numFmtId="171" fontId="17" fillId="5" borderId="11" xfId="0" applyNumberFormat="1" applyFont="1" applyFill="1" applyBorder="1" applyAlignment="1">
      <alignment horizontal="center" vertical="center"/>
    </xf>
    <xf numFmtId="171" fontId="17" fillId="5" borderId="12" xfId="0" applyNumberFormat="1" applyFont="1" applyFill="1" applyBorder="1" applyAlignment="1">
      <alignment horizontal="center" vertical="center"/>
    </xf>
    <xf numFmtId="171" fontId="17" fillId="5" borderId="13" xfId="0" applyNumberFormat="1" applyFont="1" applyFill="1" applyBorder="1" applyAlignment="1">
      <alignment horizontal="center" vertical="center"/>
    </xf>
    <xf numFmtId="0" fontId="11" fillId="0" borderId="18" xfId="0" applyFont="1" applyBorder="1" applyAlignment="1">
      <alignment horizontal="left" vertical="center"/>
    </xf>
    <xf numFmtId="0" fontId="11" fillId="0" borderId="19" xfId="0" applyFont="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171" fontId="17" fillId="5" borderId="7" xfId="0" applyNumberFormat="1" applyFont="1" applyFill="1" applyBorder="1" applyAlignment="1">
      <alignment horizontal="left" vertical="center"/>
    </xf>
    <xf numFmtId="168" fontId="18" fillId="2" borderId="11" xfId="0" applyNumberFormat="1" applyFont="1" applyFill="1" applyBorder="1" applyAlignment="1">
      <alignment horizontal="left" vertical="center"/>
    </xf>
    <xf numFmtId="168" fontId="18" fillId="2" borderId="12" xfId="0" applyNumberFormat="1" applyFont="1" applyFill="1" applyBorder="1" applyAlignment="1">
      <alignment horizontal="left" vertical="center"/>
    </xf>
    <xf numFmtId="168" fontId="18" fillId="2" borderId="13" xfId="0" applyNumberFormat="1" applyFont="1" applyFill="1" applyBorder="1" applyAlignment="1">
      <alignment horizontal="left" vertical="center"/>
    </xf>
    <xf numFmtId="171" fontId="17" fillId="5" borderId="11" xfId="0" applyNumberFormat="1" applyFont="1" applyFill="1" applyBorder="1" applyAlignment="1">
      <alignment horizontal="right"/>
    </xf>
    <xf numFmtId="171" fontId="17" fillId="5" borderId="12" xfId="0" applyNumberFormat="1" applyFont="1" applyFill="1" applyBorder="1" applyAlignment="1">
      <alignment horizontal="right"/>
    </xf>
    <xf numFmtId="171" fontId="17" fillId="5" borderId="13"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8" fillId="0" borderId="11" xfId="0" applyFont="1" applyBorder="1" applyAlignment="1">
      <alignment horizontal="right"/>
    </xf>
    <xf numFmtId="0" fontId="18" fillId="0" borderId="12" xfId="0" applyFont="1" applyBorder="1" applyAlignment="1">
      <alignment horizontal="right"/>
    </xf>
    <xf numFmtId="0" fontId="18" fillId="0" borderId="13" xfId="0" applyFont="1" applyBorder="1" applyAlignment="1">
      <alignment horizontal="right"/>
    </xf>
    <xf numFmtId="171" fontId="17" fillId="2" borderId="11" xfId="0" applyNumberFormat="1" applyFont="1" applyFill="1" applyBorder="1" applyAlignment="1">
      <alignment horizontal="left" vertical="center"/>
    </xf>
    <xf numFmtId="171" fontId="17" fillId="2" borderId="12" xfId="0" applyNumberFormat="1" applyFont="1" applyFill="1" applyBorder="1" applyAlignment="1">
      <alignment horizontal="left" vertical="center"/>
    </xf>
    <xf numFmtId="171" fontId="17" fillId="2" borderId="13" xfId="0" applyNumberFormat="1" applyFont="1" applyFill="1" applyBorder="1" applyAlignment="1">
      <alignment horizontal="left" vertical="center"/>
    </xf>
    <xf numFmtId="171" fontId="17" fillId="5" borderId="11" xfId="0" applyNumberFormat="1" applyFont="1" applyFill="1" applyBorder="1" applyAlignment="1">
      <alignment horizontal="right" vertical="center"/>
    </xf>
    <xf numFmtId="171" fontId="17" fillId="5" borderId="12" xfId="0" applyNumberFormat="1" applyFont="1" applyFill="1" applyBorder="1" applyAlignment="1">
      <alignment horizontal="right" vertical="center"/>
    </xf>
    <xf numFmtId="171" fontId="17" fillId="5" borderId="13" xfId="0" applyNumberFormat="1" applyFont="1" applyFill="1" applyBorder="1" applyAlignment="1">
      <alignment horizontal="right" vertical="center"/>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8" fillId="0" borderId="11" xfId="0" applyFont="1" applyBorder="1" applyAlignment="1">
      <alignment horizontal="right" vertical="center"/>
    </xf>
    <xf numFmtId="0" fontId="18" fillId="0" borderId="12" xfId="0" applyFont="1" applyBorder="1" applyAlignment="1">
      <alignment horizontal="right" vertical="center"/>
    </xf>
    <xf numFmtId="0" fontId="18" fillId="0" borderId="13" xfId="0" applyFont="1" applyBorder="1" applyAlignment="1">
      <alignment horizontal="right" vertical="center"/>
    </xf>
    <xf numFmtId="0" fontId="18" fillId="0" borderId="18" xfId="0" applyFont="1" applyBorder="1" applyAlignment="1">
      <alignment horizontal="left" vertical="center"/>
    </xf>
    <xf numFmtId="0" fontId="18" fillId="0" borderId="19" xfId="0" applyFont="1" applyBorder="1" applyAlignment="1">
      <alignment horizontal="left" vertical="center"/>
    </xf>
    <xf numFmtId="0" fontId="18" fillId="0" borderId="20" xfId="0" applyFont="1" applyBorder="1" applyAlignment="1">
      <alignment horizontal="left" vertical="center"/>
    </xf>
    <xf numFmtId="0" fontId="11" fillId="0" borderId="11" xfId="6" applyFont="1" applyBorder="1" applyAlignment="1">
      <alignment horizontal="left" vertical="top" wrapText="1"/>
    </xf>
    <xf numFmtId="0" fontId="11" fillId="0" borderId="12" xfId="6" applyFont="1" applyBorder="1" applyAlignment="1">
      <alignment horizontal="left" vertical="top" wrapText="1"/>
    </xf>
    <xf numFmtId="0" fontId="11" fillId="0" borderId="13" xfId="6" applyFont="1" applyBorder="1" applyAlignment="1">
      <alignment horizontal="left" vertical="top" wrapText="1"/>
    </xf>
    <xf numFmtId="0" fontId="18" fillId="3" borderId="11" xfId="6" applyFont="1" applyFill="1" applyBorder="1" applyAlignment="1">
      <alignment horizontal="center" vertical="top"/>
    </xf>
    <xf numFmtId="0" fontId="18" fillId="3" borderId="12" xfId="6" applyFont="1" applyFill="1" applyBorder="1" applyAlignment="1">
      <alignment horizontal="center" vertical="top"/>
    </xf>
    <xf numFmtId="0" fontId="18" fillId="3" borderId="13" xfId="6" applyFont="1" applyFill="1" applyBorder="1" applyAlignment="1">
      <alignment horizontal="center" vertical="top"/>
    </xf>
    <xf numFmtId="171" fontId="18" fillId="3" borderId="11" xfId="6" applyNumberFormat="1" applyFont="1" applyFill="1" applyBorder="1" applyAlignment="1">
      <alignment horizontal="center" vertical="top" wrapText="1"/>
    </xf>
    <xf numFmtId="171" fontId="18" fillId="3" borderId="12" xfId="6" applyNumberFormat="1" applyFont="1" applyFill="1" applyBorder="1" applyAlignment="1">
      <alignment horizontal="center" vertical="top" wrapText="1"/>
    </xf>
    <xf numFmtId="171" fontId="18" fillId="3" borderId="13" xfId="6" applyNumberFormat="1" applyFont="1" applyFill="1" applyBorder="1" applyAlignment="1">
      <alignment horizontal="center" vertical="top" wrapText="1"/>
    </xf>
    <xf numFmtId="169" fontId="18" fillId="3" borderId="11" xfId="6" applyNumberFormat="1" applyFont="1" applyFill="1" applyBorder="1" applyAlignment="1">
      <alignment horizontal="center" vertical="top"/>
    </xf>
    <xf numFmtId="169" fontId="18" fillId="3" borderId="12" xfId="6" applyNumberFormat="1" applyFont="1" applyFill="1" applyBorder="1" applyAlignment="1">
      <alignment horizontal="center" vertical="top"/>
    </xf>
    <xf numFmtId="169" fontId="18" fillId="3" borderId="13" xfId="6" applyNumberFormat="1" applyFont="1" applyFill="1" applyBorder="1" applyAlignment="1">
      <alignment horizontal="center" vertical="top"/>
    </xf>
    <xf numFmtId="171" fontId="17" fillId="3" borderId="11" xfId="6" applyNumberFormat="1" applyFont="1" applyFill="1" applyBorder="1" applyAlignment="1">
      <alignment horizontal="center" vertical="top" wrapText="1"/>
    </xf>
    <xf numFmtId="171" fontId="17" fillId="3" borderId="12" xfId="6" applyNumberFormat="1" applyFont="1" applyFill="1" applyBorder="1" applyAlignment="1">
      <alignment horizontal="center" vertical="top" wrapText="1"/>
    </xf>
    <xf numFmtId="171" fontId="17" fillId="3" borderId="13" xfId="6" applyNumberFormat="1" applyFont="1" applyFill="1" applyBorder="1" applyAlignment="1">
      <alignment horizontal="center" vertical="top" wrapText="1"/>
    </xf>
    <xf numFmtId="171" fontId="17" fillId="3" borderId="11" xfId="6" applyNumberFormat="1" applyFont="1" applyFill="1" applyBorder="1" applyAlignment="1">
      <alignment horizontal="center" vertical="top"/>
    </xf>
    <xf numFmtId="171" fontId="17" fillId="3" borderId="12" xfId="6" applyNumberFormat="1" applyFont="1" applyFill="1" applyBorder="1" applyAlignment="1">
      <alignment horizontal="center" vertical="top"/>
    </xf>
    <xf numFmtId="171" fontId="17" fillId="3" borderId="13" xfId="6" applyNumberFormat="1" applyFont="1" applyFill="1" applyBorder="1" applyAlignment="1">
      <alignment horizontal="center" vertical="top"/>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7" fillId="0" borderId="0" xfId="2" applyNumberFormat="1" applyFont="1" applyAlignment="1">
      <alignment horizontal="left" vertical="top"/>
    </xf>
    <xf numFmtId="0" fontId="7" fillId="4" borderId="26" xfId="0" applyFont="1" applyFill="1" applyBorder="1" applyAlignment="1">
      <alignment horizontal="left"/>
    </xf>
    <xf numFmtId="0" fontId="7" fillId="4" borderId="2" xfId="0" applyFont="1" applyFill="1" applyBorder="1" applyAlignment="1">
      <alignment horizontal="left"/>
    </xf>
    <xf numFmtId="0" fontId="7" fillId="4" borderId="1" xfId="0" applyFont="1" applyFill="1" applyBorder="1" applyAlignment="1">
      <alignment horizontal="left" vertical="top" wrapText="1"/>
    </xf>
    <xf numFmtId="0" fontId="5" fillId="4" borderId="6" xfId="0" applyFont="1" applyFill="1" applyBorder="1" applyAlignment="1">
      <alignment horizontal="left"/>
    </xf>
    <xf numFmtId="0" fontId="5" fillId="4" borderId="0" xfId="0" applyFont="1" applyFill="1" applyBorder="1" applyAlignment="1">
      <alignment horizontal="left"/>
    </xf>
    <xf numFmtId="0" fontId="0" fillId="4" borderId="1" xfId="0" applyFill="1" applyBorder="1" applyAlignment="1">
      <alignment horizontal="left" wrapText="1"/>
    </xf>
    <xf numFmtId="169" fontId="17" fillId="3" borderId="11" xfId="0" applyNumberFormat="1" applyFont="1" applyFill="1" applyBorder="1" applyAlignment="1">
      <alignment horizontal="center" vertical="center"/>
    </xf>
    <xf numFmtId="169" fontId="17" fillId="3" borderId="12" xfId="0" applyNumberFormat="1" applyFont="1" applyFill="1" applyBorder="1" applyAlignment="1">
      <alignment horizontal="center" vertical="center"/>
    </xf>
    <xf numFmtId="169" fontId="17" fillId="3" borderId="13" xfId="0" applyNumberFormat="1" applyFont="1" applyFill="1" applyBorder="1" applyAlignment="1">
      <alignment horizontal="center" vertical="center"/>
    </xf>
    <xf numFmtId="171" fontId="17" fillId="3" borderId="11" xfId="0" applyNumberFormat="1" applyFont="1" applyFill="1" applyBorder="1" applyAlignment="1">
      <alignment horizontal="center" vertical="center"/>
    </xf>
    <xf numFmtId="171" fontId="17" fillId="3" borderId="12" xfId="0" applyNumberFormat="1" applyFont="1" applyFill="1" applyBorder="1" applyAlignment="1">
      <alignment horizontal="center" vertical="center"/>
    </xf>
    <xf numFmtId="171" fontId="17" fillId="3" borderId="13" xfId="0" applyNumberFormat="1" applyFont="1" applyFill="1" applyBorder="1" applyAlignment="1">
      <alignment horizontal="center" vertical="center"/>
    </xf>
    <xf numFmtId="171" fontId="17" fillId="3" borderId="14" xfId="0" applyNumberFormat="1" applyFont="1" applyFill="1" applyBorder="1" applyAlignment="1">
      <alignment horizontal="center"/>
    </xf>
    <xf numFmtId="171" fontId="17" fillId="3" borderId="15" xfId="0" applyNumberFormat="1" applyFont="1" applyFill="1" applyBorder="1" applyAlignment="1">
      <alignment horizontal="center"/>
    </xf>
    <xf numFmtId="171" fontId="17" fillId="3" borderId="21" xfId="0" applyNumberFormat="1" applyFont="1" applyFill="1" applyBorder="1" applyAlignment="1">
      <alignment horizontal="center"/>
    </xf>
    <xf numFmtId="0" fontId="17" fillId="3" borderId="14" xfId="0" applyFont="1" applyFill="1" applyBorder="1" applyAlignment="1">
      <alignment horizontal="center" vertical="center"/>
    </xf>
    <xf numFmtId="0" fontId="17" fillId="3" borderId="15"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1"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13" xfId="0" applyFont="1" applyFill="1" applyBorder="1" applyAlignment="1">
      <alignment horizontal="center" vertical="center"/>
    </xf>
    <xf numFmtId="171" fontId="17" fillId="0" borderId="0" xfId="0" applyNumberFormat="1" applyFont="1" applyFill="1" applyBorder="1" applyAlignment="1">
      <alignment horizontal="center" vertical="center"/>
    </xf>
    <xf numFmtId="171" fontId="17" fillId="3" borderId="14" xfId="0" applyNumberFormat="1" applyFont="1" applyFill="1" applyBorder="1" applyAlignment="1">
      <alignment horizontal="center" vertical="center"/>
    </xf>
    <xf numFmtId="171" fontId="17" fillId="3" borderId="15" xfId="0" applyNumberFormat="1" applyFont="1" applyFill="1" applyBorder="1" applyAlignment="1">
      <alignment horizontal="center" vertical="center"/>
    </xf>
    <xf numFmtId="171" fontId="17" fillId="3" borderId="21" xfId="0" applyNumberFormat="1" applyFont="1" applyFill="1" applyBorder="1" applyAlignment="1">
      <alignment horizontal="center" vertical="center"/>
    </xf>
  </cellXfs>
  <cellStyles count="17">
    <cellStyle name="Comma" xfId="3" builtinId="3"/>
    <cellStyle name="Comma 2" xfId="10"/>
    <cellStyle name="Comma 3" xfId="11"/>
    <cellStyle name="Currency" xfId="2" builtinId="4"/>
    <cellStyle name="Currency 2" xfId="4"/>
    <cellStyle name="Normal" xfId="0" builtinId="0"/>
    <cellStyle name="Normal 15" xfId="16"/>
    <cellStyle name="Normal 2" xfId="5"/>
    <cellStyle name="Normal 2 2" xfId="6"/>
    <cellStyle name="Normal 2 2 2" xfId="12"/>
    <cellStyle name="Normal 3" xfId="7"/>
    <cellStyle name="Normal 4" xfId="13"/>
    <cellStyle name="Normal 5"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ee%20Methodology%20-%20Access%20Permi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Documents --&gt;"/>
      <sheetName val="Input Sheet"/>
      <sheetName val="Methodology Statements --&gt;"/>
      <sheetName val="AER Summary"/>
      <sheetName val="Service Description"/>
      <sheetName val="Fee Breakdown"/>
      <sheetName val="RIN Template --&gt;"/>
      <sheetName val="RIN Template Workings"/>
    </sheetNames>
    <sheetDataSet>
      <sheetData sheetId="0"/>
      <sheetData sheetId="1">
        <row r="141">
          <cell r="J141">
            <v>1482.4963518442783</v>
          </cell>
        </row>
        <row r="152">
          <cell r="G152">
            <v>3590.1364594094384</v>
          </cell>
          <cell r="H152">
            <v>3746.7731075318661</v>
          </cell>
          <cell r="I152">
            <v>3873.6302249432488</v>
          </cell>
          <cell r="J152">
            <v>4010.0910823706977</v>
          </cell>
        </row>
      </sheetData>
      <sheetData sheetId="2"/>
      <sheetData sheetId="3"/>
      <sheetData sheetId="4"/>
      <sheetData sheetId="5"/>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53</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83"/>
  <sheetViews>
    <sheetView showGridLines="0" zoomScaleNormal="100" workbookViewId="0"/>
  </sheetViews>
  <sheetFormatPr defaultColWidth="9.140625" defaultRowHeight="12.75" zeroHeight="1" x14ac:dyDescent="0.25"/>
  <cols>
    <col min="1" max="1" width="2.85546875" style="26" customWidth="1"/>
    <col min="2" max="2" width="21.140625" style="26" bestFit="1" customWidth="1"/>
    <col min="3" max="3" width="16.85546875" style="26" customWidth="1"/>
    <col min="4" max="4" width="13.42578125" style="26" bestFit="1" customWidth="1"/>
    <col min="5" max="5" width="13.42578125" style="26" customWidth="1"/>
    <col min="6" max="6" width="12.7109375" style="26" customWidth="1"/>
    <col min="7" max="10" width="12.85546875" style="28" customWidth="1"/>
    <col min="11" max="11" width="12.85546875" style="26" customWidth="1"/>
    <col min="12" max="12" width="2.85546875" style="26" customWidth="1"/>
    <col min="13" max="13" width="49.85546875" style="29" customWidth="1"/>
    <col min="14" max="14" width="2.85546875" style="26" customWidth="1"/>
    <col min="15" max="17" width="9.140625" style="26" customWidth="1"/>
    <col min="18" max="16384" width="9.140625" style="26"/>
  </cols>
  <sheetData>
    <row r="1" spans="2:13" x14ac:dyDescent="0.25">
      <c r="B1" s="27"/>
    </row>
    <row r="2" spans="2:13" ht="21" x14ac:dyDescent="0.25">
      <c r="B2" s="30" t="s">
        <v>50</v>
      </c>
    </row>
    <row r="3" spans="2:13" ht="21" x14ac:dyDescent="0.25">
      <c r="B3" s="30" t="str">
        <f>+'AER Summary'!C3</f>
        <v>Inspection of Service Work (Level 1 work)</v>
      </c>
    </row>
    <row r="4" spans="2:13" ht="18.75" x14ac:dyDescent="0.25">
      <c r="B4" s="31" t="s">
        <v>51</v>
      </c>
    </row>
    <row r="5" spans="2:13" x14ac:dyDescent="0.25"/>
    <row r="6" spans="2:13" ht="15.75" x14ac:dyDescent="0.25">
      <c r="B6" s="32" t="s">
        <v>223</v>
      </c>
      <c r="C6" s="33"/>
      <c r="D6" s="33"/>
      <c r="E6" s="33"/>
      <c r="F6" s="33"/>
      <c r="G6" s="34"/>
      <c r="H6" s="34"/>
      <c r="I6" s="34"/>
      <c r="J6" s="34"/>
      <c r="K6" s="33"/>
      <c r="M6" s="35"/>
    </row>
    <row r="7" spans="2:13" x14ac:dyDescent="0.25"/>
    <row r="8" spans="2:13" ht="38.25" x14ac:dyDescent="0.25">
      <c r="B8" s="449" t="s">
        <v>10</v>
      </c>
      <c r="C8" s="450"/>
      <c r="D8" s="450"/>
      <c r="E8" s="450"/>
      <c r="F8" s="451"/>
      <c r="G8" s="101" t="s">
        <v>62</v>
      </c>
      <c r="H8" s="239" t="s">
        <v>8</v>
      </c>
      <c r="I8" s="272" t="s">
        <v>200</v>
      </c>
      <c r="J8" s="135" t="s">
        <v>74</v>
      </c>
      <c r="K8" s="102" t="s">
        <v>61</v>
      </c>
      <c r="M8" s="40" t="s">
        <v>5</v>
      </c>
    </row>
    <row r="9" spans="2:13" ht="12.75" customHeight="1" x14ac:dyDescent="0.25">
      <c r="B9" s="452"/>
      <c r="C9" s="453"/>
      <c r="D9" s="453"/>
      <c r="E9" s="453"/>
      <c r="F9" s="454"/>
      <c r="G9" s="41"/>
      <c r="H9" s="42"/>
      <c r="I9" s="43"/>
      <c r="J9" s="42"/>
      <c r="K9" s="42"/>
      <c r="M9" s="458" t="s">
        <v>234</v>
      </c>
    </row>
    <row r="10" spans="2:13" x14ac:dyDescent="0.25">
      <c r="B10" s="455" t="s">
        <v>193</v>
      </c>
      <c r="C10" s="456"/>
      <c r="D10" s="456"/>
      <c r="E10" s="456"/>
      <c r="F10" s="457"/>
      <c r="G10" s="287"/>
      <c r="H10" s="288"/>
      <c r="I10" s="289"/>
      <c r="J10" s="288"/>
      <c r="K10" s="288"/>
      <c r="M10" s="459"/>
    </row>
    <row r="11" spans="2:13" x14ac:dyDescent="0.2">
      <c r="B11" s="212" t="s">
        <v>107</v>
      </c>
      <c r="C11" s="207"/>
      <c r="D11" s="207"/>
      <c r="E11" s="207"/>
      <c r="F11" s="208"/>
      <c r="G11" s="174">
        <f>88/11*10</f>
        <v>80</v>
      </c>
      <c r="H11" s="241">
        <f>+K11/G11</f>
        <v>0.5</v>
      </c>
      <c r="I11" s="179">
        <v>5</v>
      </c>
      <c r="J11" s="205">
        <v>44</v>
      </c>
      <c r="K11" s="205">
        <f>+J11/11*10</f>
        <v>40</v>
      </c>
      <c r="M11" s="459"/>
    </row>
    <row r="12" spans="2:13" x14ac:dyDescent="0.2">
      <c r="B12" s="212" t="s">
        <v>108</v>
      </c>
      <c r="C12" s="207"/>
      <c r="D12" s="207"/>
      <c r="E12" s="207"/>
      <c r="F12" s="208"/>
      <c r="G12" s="174">
        <f t="shared" ref="G12:G62" si="0">88/11*10</f>
        <v>80</v>
      </c>
      <c r="H12" s="241">
        <f t="shared" ref="H12:H62" si="1">+K12/G12</f>
        <v>0.29545454545454547</v>
      </c>
      <c r="I12" s="179">
        <v>29</v>
      </c>
      <c r="J12" s="205">
        <v>26</v>
      </c>
      <c r="K12" s="205">
        <f t="shared" ref="K12:K62" si="2">+J12/11*10</f>
        <v>23.636363636363637</v>
      </c>
      <c r="M12" s="459"/>
    </row>
    <row r="13" spans="2:13" x14ac:dyDescent="0.2">
      <c r="B13" s="212" t="s">
        <v>109</v>
      </c>
      <c r="C13" s="207"/>
      <c r="D13" s="207"/>
      <c r="E13" s="207"/>
      <c r="F13" s="208"/>
      <c r="G13" s="174">
        <f t="shared" si="0"/>
        <v>80</v>
      </c>
      <c r="H13" s="241">
        <f t="shared" si="1"/>
        <v>0.10227272727272727</v>
      </c>
      <c r="I13" s="179">
        <v>81</v>
      </c>
      <c r="J13" s="205">
        <v>9</v>
      </c>
      <c r="K13" s="205">
        <f t="shared" si="2"/>
        <v>8.1818181818181817</v>
      </c>
      <c r="M13" s="459"/>
    </row>
    <row r="14" spans="2:13" x14ac:dyDescent="0.2">
      <c r="B14" s="212" t="s">
        <v>110</v>
      </c>
      <c r="C14" s="207"/>
      <c r="D14" s="207"/>
      <c r="E14" s="207"/>
      <c r="F14" s="208"/>
      <c r="G14" s="174">
        <f t="shared" si="0"/>
        <v>80</v>
      </c>
      <c r="H14" s="241">
        <f t="shared" si="1"/>
        <v>1.2045454545454546</v>
      </c>
      <c r="I14" s="179">
        <v>5</v>
      </c>
      <c r="J14" s="205">
        <v>106</v>
      </c>
      <c r="K14" s="205">
        <f t="shared" si="2"/>
        <v>96.363636363636374</v>
      </c>
      <c r="M14" s="459"/>
    </row>
    <row r="15" spans="2:13" x14ac:dyDescent="0.2">
      <c r="B15" s="212" t="s">
        <v>111</v>
      </c>
      <c r="C15" s="207"/>
      <c r="D15" s="207"/>
      <c r="E15" s="207"/>
      <c r="F15" s="208"/>
      <c r="G15" s="174">
        <f t="shared" si="0"/>
        <v>80</v>
      </c>
      <c r="H15" s="241">
        <f t="shared" si="1"/>
        <v>0.70454545454545459</v>
      </c>
      <c r="I15" s="179">
        <v>26</v>
      </c>
      <c r="J15" s="205">
        <v>62</v>
      </c>
      <c r="K15" s="205">
        <f t="shared" si="2"/>
        <v>56.363636363636367</v>
      </c>
      <c r="M15" s="459"/>
    </row>
    <row r="16" spans="2:13" x14ac:dyDescent="0.2">
      <c r="B16" s="212" t="s">
        <v>112</v>
      </c>
      <c r="C16" s="207"/>
      <c r="D16" s="207"/>
      <c r="E16" s="207"/>
      <c r="F16" s="208"/>
      <c r="G16" s="174">
        <f t="shared" si="0"/>
        <v>80</v>
      </c>
      <c r="H16" s="241">
        <f t="shared" si="1"/>
        <v>0.39772727272727271</v>
      </c>
      <c r="I16" s="179">
        <v>85</v>
      </c>
      <c r="J16" s="205">
        <v>35</v>
      </c>
      <c r="K16" s="205">
        <f t="shared" si="2"/>
        <v>31.818181818181817</v>
      </c>
      <c r="M16" s="459"/>
    </row>
    <row r="17" spans="2:13" x14ac:dyDescent="0.2">
      <c r="B17" s="212" t="s">
        <v>113</v>
      </c>
      <c r="C17" s="207"/>
      <c r="D17" s="207"/>
      <c r="E17" s="207"/>
      <c r="F17" s="208"/>
      <c r="G17" s="174">
        <f t="shared" si="0"/>
        <v>80</v>
      </c>
      <c r="H17" s="241">
        <f t="shared" si="1"/>
        <v>2.5</v>
      </c>
      <c r="I17" s="179">
        <v>5</v>
      </c>
      <c r="J17" s="205">
        <v>220</v>
      </c>
      <c r="K17" s="205">
        <f t="shared" si="2"/>
        <v>200</v>
      </c>
      <c r="M17" s="459"/>
    </row>
    <row r="18" spans="2:13" x14ac:dyDescent="0.2">
      <c r="B18" s="212" t="s">
        <v>114</v>
      </c>
      <c r="C18" s="207"/>
      <c r="D18" s="207"/>
      <c r="E18" s="207"/>
      <c r="F18" s="208"/>
      <c r="G18" s="174">
        <f t="shared" si="0"/>
        <v>80</v>
      </c>
      <c r="H18" s="241">
        <f t="shared" si="1"/>
        <v>1.5</v>
      </c>
      <c r="I18" s="179">
        <v>29</v>
      </c>
      <c r="J18" s="205">
        <v>132</v>
      </c>
      <c r="K18" s="205">
        <f t="shared" si="2"/>
        <v>120</v>
      </c>
      <c r="M18" s="459"/>
    </row>
    <row r="19" spans="2:13" x14ac:dyDescent="0.2">
      <c r="B19" s="212" t="s">
        <v>115</v>
      </c>
      <c r="C19" s="207"/>
      <c r="D19" s="207"/>
      <c r="E19" s="207"/>
      <c r="F19" s="208"/>
      <c r="G19" s="174">
        <f t="shared" si="0"/>
        <v>80</v>
      </c>
      <c r="H19" s="241">
        <f t="shared" si="1"/>
        <v>0.70454545454545459</v>
      </c>
      <c r="I19" s="179">
        <v>39</v>
      </c>
      <c r="J19" s="205">
        <v>62</v>
      </c>
      <c r="K19" s="205">
        <f t="shared" si="2"/>
        <v>56.363636363636367</v>
      </c>
      <c r="M19" s="459"/>
    </row>
    <row r="20" spans="2:13" x14ac:dyDescent="0.2">
      <c r="B20" s="212" t="s">
        <v>116</v>
      </c>
      <c r="C20" s="207"/>
      <c r="D20" s="207"/>
      <c r="E20" s="207"/>
      <c r="F20" s="208"/>
      <c r="G20" s="174">
        <f t="shared" si="0"/>
        <v>80</v>
      </c>
      <c r="H20" s="241" t="s">
        <v>9</v>
      </c>
      <c r="I20" s="179">
        <v>16</v>
      </c>
      <c r="J20" s="205">
        <v>88</v>
      </c>
      <c r="K20" s="205">
        <f t="shared" si="2"/>
        <v>80</v>
      </c>
      <c r="M20" s="459"/>
    </row>
    <row r="21" spans="2:13" x14ac:dyDescent="0.2">
      <c r="B21" s="212" t="s">
        <v>117</v>
      </c>
      <c r="C21" s="207"/>
      <c r="D21" s="207"/>
      <c r="E21" s="207"/>
      <c r="F21" s="208"/>
      <c r="G21" s="174">
        <f t="shared" si="0"/>
        <v>80</v>
      </c>
      <c r="H21" s="241">
        <f t="shared" si="1"/>
        <v>0.5</v>
      </c>
      <c r="I21" s="179">
        <v>3</v>
      </c>
      <c r="J21" s="205">
        <v>44</v>
      </c>
      <c r="K21" s="205">
        <f t="shared" si="2"/>
        <v>40</v>
      </c>
      <c r="M21" s="459"/>
    </row>
    <row r="22" spans="2:13" x14ac:dyDescent="0.2">
      <c r="B22" s="212" t="s">
        <v>118</v>
      </c>
      <c r="C22" s="207"/>
      <c r="D22" s="207"/>
      <c r="E22" s="207"/>
      <c r="F22" s="208"/>
      <c r="G22" s="174">
        <f t="shared" si="0"/>
        <v>80</v>
      </c>
      <c r="H22" s="241">
        <f t="shared" si="1"/>
        <v>0.29545454545454547</v>
      </c>
      <c r="I22" s="179">
        <v>11</v>
      </c>
      <c r="J22" s="205">
        <v>26</v>
      </c>
      <c r="K22" s="205">
        <f t="shared" si="2"/>
        <v>23.636363636363637</v>
      </c>
      <c r="M22" s="459"/>
    </row>
    <row r="23" spans="2:13" x14ac:dyDescent="0.2">
      <c r="B23" s="212" t="s">
        <v>119</v>
      </c>
      <c r="C23" s="207"/>
      <c r="D23" s="207"/>
      <c r="E23" s="207"/>
      <c r="F23" s="208"/>
      <c r="G23" s="174">
        <f t="shared" si="0"/>
        <v>80</v>
      </c>
      <c r="H23" s="241">
        <f t="shared" si="1"/>
        <v>0.10227272727272727</v>
      </c>
      <c r="I23" s="179">
        <v>0</v>
      </c>
      <c r="J23" s="205">
        <v>9</v>
      </c>
      <c r="K23" s="205">
        <f t="shared" si="2"/>
        <v>8.1818181818181817</v>
      </c>
      <c r="M23" s="459"/>
    </row>
    <row r="24" spans="2:13" x14ac:dyDescent="0.2">
      <c r="B24" s="212" t="s">
        <v>120</v>
      </c>
      <c r="C24" s="207"/>
      <c r="D24" s="207"/>
      <c r="E24" s="207"/>
      <c r="F24" s="208"/>
      <c r="G24" s="174">
        <f t="shared" si="0"/>
        <v>80</v>
      </c>
      <c r="H24" s="241">
        <f t="shared" si="1"/>
        <v>1.2045454545454546</v>
      </c>
      <c r="I24" s="179">
        <v>4</v>
      </c>
      <c r="J24" s="205">
        <v>106</v>
      </c>
      <c r="K24" s="205">
        <f t="shared" si="2"/>
        <v>96.363636363636374</v>
      </c>
      <c r="M24" s="459"/>
    </row>
    <row r="25" spans="2:13" x14ac:dyDescent="0.2">
      <c r="B25" s="212" t="s">
        <v>121</v>
      </c>
      <c r="C25" s="207"/>
      <c r="D25" s="207"/>
      <c r="E25" s="207"/>
      <c r="F25" s="208"/>
      <c r="G25" s="174">
        <f t="shared" si="0"/>
        <v>80</v>
      </c>
      <c r="H25" s="241">
        <f t="shared" si="1"/>
        <v>0.70454545454545459</v>
      </c>
      <c r="I25" s="179">
        <v>4</v>
      </c>
      <c r="J25" s="205">
        <v>62</v>
      </c>
      <c r="K25" s="205">
        <f t="shared" si="2"/>
        <v>56.363636363636367</v>
      </c>
      <c r="M25" s="459"/>
    </row>
    <row r="26" spans="2:13" x14ac:dyDescent="0.2">
      <c r="B26" s="212" t="s">
        <v>122</v>
      </c>
      <c r="C26" s="207"/>
      <c r="D26" s="207"/>
      <c r="E26" s="207"/>
      <c r="F26" s="208"/>
      <c r="G26" s="174">
        <f t="shared" si="0"/>
        <v>80</v>
      </c>
      <c r="H26" s="241">
        <f t="shared" si="1"/>
        <v>0.39772727272727271</v>
      </c>
      <c r="I26" s="179">
        <v>0</v>
      </c>
      <c r="J26" s="205">
        <v>35</v>
      </c>
      <c r="K26" s="205">
        <f t="shared" si="2"/>
        <v>31.818181818181817</v>
      </c>
      <c r="M26" s="459"/>
    </row>
    <row r="27" spans="2:13" x14ac:dyDescent="0.2">
      <c r="B27" s="212" t="s">
        <v>123</v>
      </c>
      <c r="C27" s="207"/>
      <c r="D27" s="207"/>
      <c r="E27" s="207"/>
      <c r="F27" s="208"/>
      <c r="G27" s="174">
        <f t="shared" si="0"/>
        <v>80</v>
      </c>
      <c r="H27" s="241">
        <f t="shared" si="1"/>
        <v>2.5</v>
      </c>
      <c r="I27" s="179">
        <v>3</v>
      </c>
      <c r="J27" s="205">
        <v>220</v>
      </c>
      <c r="K27" s="205">
        <f t="shared" si="2"/>
        <v>200</v>
      </c>
      <c r="M27" s="459"/>
    </row>
    <row r="28" spans="2:13" x14ac:dyDescent="0.2">
      <c r="B28" s="212" t="s">
        <v>124</v>
      </c>
      <c r="C28" s="207"/>
      <c r="D28" s="207"/>
      <c r="E28" s="207"/>
      <c r="F28" s="208"/>
      <c r="G28" s="174">
        <f t="shared" si="0"/>
        <v>80</v>
      </c>
      <c r="H28" s="241">
        <f t="shared" si="1"/>
        <v>1.5</v>
      </c>
      <c r="I28" s="179">
        <v>0</v>
      </c>
      <c r="J28" s="205">
        <v>132</v>
      </c>
      <c r="K28" s="205">
        <f t="shared" si="2"/>
        <v>120</v>
      </c>
      <c r="M28" s="459"/>
    </row>
    <row r="29" spans="2:13" x14ac:dyDescent="0.2">
      <c r="B29" s="212" t="s">
        <v>125</v>
      </c>
      <c r="C29" s="207"/>
      <c r="D29" s="207"/>
      <c r="E29" s="207"/>
      <c r="F29" s="208"/>
      <c r="G29" s="174">
        <f t="shared" si="0"/>
        <v>80</v>
      </c>
      <c r="H29" s="241">
        <f t="shared" si="1"/>
        <v>0.70454545454545459</v>
      </c>
      <c r="I29" s="179">
        <v>0</v>
      </c>
      <c r="J29" s="205">
        <v>62</v>
      </c>
      <c r="K29" s="205">
        <f t="shared" si="2"/>
        <v>56.363636363636367</v>
      </c>
      <c r="M29" s="459"/>
    </row>
    <row r="30" spans="2:13" x14ac:dyDescent="0.2">
      <c r="B30" s="212" t="s">
        <v>126</v>
      </c>
      <c r="C30" s="207"/>
      <c r="D30" s="207"/>
      <c r="E30" s="207"/>
      <c r="F30" s="208"/>
      <c r="G30" s="174">
        <f t="shared" si="0"/>
        <v>80</v>
      </c>
      <c r="H30" s="241">
        <f t="shared" si="1"/>
        <v>0.60227272727272729</v>
      </c>
      <c r="I30" s="179">
        <v>2</v>
      </c>
      <c r="J30" s="205">
        <v>53</v>
      </c>
      <c r="K30" s="205">
        <f t="shared" si="2"/>
        <v>48.181818181818187</v>
      </c>
      <c r="M30" s="459"/>
    </row>
    <row r="31" spans="2:13" x14ac:dyDescent="0.2">
      <c r="B31" s="212" t="s">
        <v>127</v>
      </c>
      <c r="C31" s="207"/>
      <c r="D31" s="207"/>
      <c r="E31" s="207"/>
      <c r="F31" s="208"/>
      <c r="G31" s="174">
        <f t="shared" si="0"/>
        <v>80</v>
      </c>
      <c r="H31" s="241">
        <f t="shared" si="1"/>
        <v>0.5</v>
      </c>
      <c r="I31" s="179">
        <v>5</v>
      </c>
      <c r="J31" s="205">
        <v>44</v>
      </c>
      <c r="K31" s="205">
        <f t="shared" si="2"/>
        <v>40</v>
      </c>
      <c r="M31" s="459"/>
    </row>
    <row r="32" spans="2:13" x14ac:dyDescent="0.2">
      <c r="B32" s="212" t="s">
        <v>128</v>
      </c>
      <c r="C32" s="207"/>
      <c r="D32" s="207"/>
      <c r="E32" s="207"/>
      <c r="F32" s="208"/>
      <c r="G32" s="174">
        <f t="shared" si="0"/>
        <v>80</v>
      </c>
      <c r="H32" s="241">
        <f t="shared" si="1"/>
        <v>0.39772727272727271</v>
      </c>
      <c r="I32" s="179">
        <v>6</v>
      </c>
      <c r="J32" s="205">
        <v>35</v>
      </c>
      <c r="K32" s="205">
        <f t="shared" si="2"/>
        <v>31.818181818181817</v>
      </c>
      <c r="M32" s="459"/>
    </row>
    <row r="33" spans="2:13" s="351" customFormat="1" x14ac:dyDescent="0.2">
      <c r="B33" s="250" t="s">
        <v>129</v>
      </c>
      <c r="C33" s="352"/>
      <c r="D33" s="352"/>
      <c r="E33" s="352"/>
      <c r="F33" s="353"/>
      <c r="G33" s="251">
        <f t="shared" si="0"/>
        <v>80</v>
      </c>
      <c r="H33" s="252">
        <f t="shared" si="1"/>
        <v>3.5</v>
      </c>
      <c r="I33" s="253">
        <v>3</v>
      </c>
      <c r="J33" s="254">
        <v>308</v>
      </c>
      <c r="K33" s="254">
        <f t="shared" si="2"/>
        <v>280</v>
      </c>
      <c r="M33" s="459"/>
    </row>
    <row r="34" spans="2:13" s="351" customFormat="1" x14ac:dyDescent="0.2">
      <c r="B34" s="250" t="s">
        <v>130</v>
      </c>
      <c r="C34" s="352"/>
      <c r="D34" s="352"/>
      <c r="E34" s="352"/>
      <c r="F34" s="353"/>
      <c r="G34" s="251">
        <f t="shared" si="0"/>
        <v>80</v>
      </c>
      <c r="H34" s="252">
        <f t="shared" si="1"/>
        <v>1.2045454545454546</v>
      </c>
      <c r="I34" s="253">
        <v>2</v>
      </c>
      <c r="J34" s="254">
        <v>106</v>
      </c>
      <c r="K34" s="254">
        <f t="shared" si="2"/>
        <v>96.363636363636374</v>
      </c>
      <c r="M34" s="459"/>
    </row>
    <row r="35" spans="2:13" s="351" customFormat="1" x14ac:dyDescent="0.2">
      <c r="B35" s="250" t="s">
        <v>131</v>
      </c>
      <c r="C35" s="352"/>
      <c r="D35" s="352"/>
      <c r="E35" s="352"/>
      <c r="F35" s="353"/>
      <c r="G35" s="251">
        <f t="shared" si="0"/>
        <v>80</v>
      </c>
      <c r="H35" s="252">
        <f t="shared" si="1"/>
        <v>1</v>
      </c>
      <c r="I35" s="253">
        <v>8</v>
      </c>
      <c r="J35" s="254">
        <v>88</v>
      </c>
      <c r="K35" s="254">
        <f t="shared" si="2"/>
        <v>80</v>
      </c>
      <c r="M35" s="459"/>
    </row>
    <row r="36" spans="2:13" s="351" customFormat="1" x14ac:dyDescent="0.2">
      <c r="B36" s="250" t="s">
        <v>132</v>
      </c>
      <c r="C36" s="352"/>
      <c r="D36" s="352"/>
      <c r="E36" s="352"/>
      <c r="F36" s="353"/>
      <c r="G36" s="251">
        <f t="shared" si="0"/>
        <v>80</v>
      </c>
      <c r="H36" s="252">
        <f t="shared" si="1"/>
        <v>0.70454545454545459</v>
      </c>
      <c r="I36" s="253">
        <v>5</v>
      </c>
      <c r="J36" s="254">
        <v>62</v>
      </c>
      <c r="K36" s="254">
        <f t="shared" si="2"/>
        <v>56.363636363636367</v>
      </c>
      <c r="M36" s="459"/>
    </row>
    <row r="37" spans="2:13" s="351" customFormat="1" x14ac:dyDescent="0.2">
      <c r="B37" s="250" t="s">
        <v>133</v>
      </c>
      <c r="C37" s="352"/>
      <c r="D37" s="352"/>
      <c r="E37" s="352"/>
      <c r="F37" s="353"/>
      <c r="G37" s="251">
        <f t="shared" si="0"/>
        <v>80</v>
      </c>
      <c r="H37" s="252">
        <f t="shared" si="1"/>
        <v>7</v>
      </c>
      <c r="I37" s="253">
        <v>5</v>
      </c>
      <c r="J37" s="254">
        <v>616</v>
      </c>
      <c r="K37" s="254">
        <f t="shared" si="2"/>
        <v>560</v>
      </c>
      <c r="M37" s="459"/>
    </row>
    <row r="38" spans="2:13" s="351" customFormat="1" x14ac:dyDescent="0.2">
      <c r="B38" s="250" t="s">
        <v>134</v>
      </c>
      <c r="C38" s="352"/>
      <c r="D38" s="352"/>
      <c r="E38" s="352"/>
      <c r="F38" s="353"/>
      <c r="G38" s="251">
        <f t="shared" si="0"/>
        <v>80</v>
      </c>
      <c r="H38" s="252">
        <f t="shared" si="1"/>
        <v>2.2045454545454546</v>
      </c>
      <c r="I38" s="253">
        <v>2</v>
      </c>
      <c r="J38" s="254">
        <v>194</v>
      </c>
      <c r="K38" s="254">
        <f t="shared" si="2"/>
        <v>176.36363636363637</v>
      </c>
      <c r="M38" s="459"/>
    </row>
    <row r="39" spans="2:13" s="351" customFormat="1" x14ac:dyDescent="0.2">
      <c r="B39" s="250" t="s">
        <v>135</v>
      </c>
      <c r="C39" s="352"/>
      <c r="D39" s="352"/>
      <c r="E39" s="352"/>
      <c r="F39" s="353"/>
      <c r="G39" s="251">
        <f t="shared" si="0"/>
        <v>80</v>
      </c>
      <c r="H39" s="252">
        <f t="shared" si="1"/>
        <v>1.9886363636363638</v>
      </c>
      <c r="I39" s="253">
        <v>2</v>
      </c>
      <c r="J39" s="254">
        <v>175</v>
      </c>
      <c r="K39" s="254">
        <f t="shared" si="2"/>
        <v>159.09090909090909</v>
      </c>
      <c r="M39" s="459"/>
    </row>
    <row r="40" spans="2:13" s="351" customFormat="1" x14ac:dyDescent="0.2">
      <c r="B40" s="250" t="s">
        <v>136</v>
      </c>
      <c r="C40" s="352"/>
      <c r="D40" s="352"/>
      <c r="E40" s="352"/>
      <c r="F40" s="353"/>
      <c r="G40" s="251">
        <f t="shared" si="0"/>
        <v>80</v>
      </c>
      <c r="H40" s="252">
        <f t="shared" si="1"/>
        <v>1.5</v>
      </c>
      <c r="I40" s="253">
        <v>5</v>
      </c>
      <c r="J40" s="254">
        <v>132</v>
      </c>
      <c r="K40" s="254">
        <f t="shared" si="2"/>
        <v>120</v>
      </c>
      <c r="M40" s="459"/>
    </row>
    <row r="41" spans="2:13" s="351" customFormat="1" x14ac:dyDescent="0.2">
      <c r="B41" s="250" t="s">
        <v>137</v>
      </c>
      <c r="C41" s="352"/>
      <c r="D41" s="352"/>
      <c r="E41" s="352"/>
      <c r="F41" s="353"/>
      <c r="G41" s="251">
        <f t="shared" si="0"/>
        <v>80</v>
      </c>
      <c r="H41" s="252">
        <f t="shared" si="1"/>
        <v>8.795454545454545</v>
      </c>
      <c r="I41" s="253">
        <v>1</v>
      </c>
      <c r="J41" s="254">
        <v>774</v>
      </c>
      <c r="K41" s="254">
        <f t="shared" si="2"/>
        <v>703.63636363636363</v>
      </c>
      <c r="M41" s="459"/>
    </row>
    <row r="42" spans="2:13" s="351" customFormat="1" x14ac:dyDescent="0.2">
      <c r="B42" s="250" t="s">
        <v>138</v>
      </c>
      <c r="C42" s="352"/>
      <c r="D42" s="352"/>
      <c r="E42" s="352"/>
      <c r="F42" s="353"/>
      <c r="G42" s="251">
        <f t="shared" si="0"/>
        <v>80</v>
      </c>
      <c r="H42" s="252">
        <f t="shared" si="1"/>
        <v>0.60227272727272729</v>
      </c>
      <c r="I42" s="253">
        <v>0</v>
      </c>
      <c r="J42" s="254">
        <v>53</v>
      </c>
      <c r="K42" s="254">
        <f t="shared" si="2"/>
        <v>48.181818181818187</v>
      </c>
      <c r="M42" s="459"/>
    </row>
    <row r="43" spans="2:13" s="351" customFormat="1" x14ac:dyDescent="0.2">
      <c r="B43" s="250" t="s">
        <v>139</v>
      </c>
      <c r="C43" s="352"/>
      <c r="D43" s="352"/>
      <c r="E43" s="352"/>
      <c r="F43" s="353"/>
      <c r="G43" s="251">
        <f t="shared" si="0"/>
        <v>80</v>
      </c>
      <c r="H43" s="252">
        <f t="shared" si="1"/>
        <v>0.5</v>
      </c>
      <c r="I43" s="253">
        <v>0</v>
      </c>
      <c r="J43" s="254">
        <v>44</v>
      </c>
      <c r="K43" s="254">
        <f t="shared" si="2"/>
        <v>40</v>
      </c>
      <c r="M43" s="459"/>
    </row>
    <row r="44" spans="2:13" s="351" customFormat="1" x14ac:dyDescent="0.2">
      <c r="B44" s="250" t="s">
        <v>140</v>
      </c>
      <c r="C44" s="352"/>
      <c r="D44" s="352"/>
      <c r="E44" s="352"/>
      <c r="F44" s="353"/>
      <c r="G44" s="251">
        <f t="shared" si="0"/>
        <v>80</v>
      </c>
      <c r="H44" s="252">
        <f t="shared" si="1"/>
        <v>0.39772727272727271</v>
      </c>
      <c r="I44" s="253">
        <v>0</v>
      </c>
      <c r="J44" s="254">
        <v>35</v>
      </c>
      <c r="K44" s="254">
        <f t="shared" si="2"/>
        <v>31.818181818181817</v>
      </c>
      <c r="M44" s="459"/>
    </row>
    <row r="45" spans="2:13" s="351" customFormat="1" x14ac:dyDescent="0.2">
      <c r="B45" s="250" t="s">
        <v>141</v>
      </c>
      <c r="C45" s="352"/>
      <c r="D45" s="352"/>
      <c r="E45" s="352"/>
      <c r="F45" s="353"/>
      <c r="G45" s="251">
        <f t="shared" si="0"/>
        <v>80</v>
      </c>
      <c r="H45" s="252">
        <f t="shared" si="1"/>
        <v>3.5</v>
      </c>
      <c r="I45" s="253">
        <v>0</v>
      </c>
      <c r="J45" s="254">
        <v>308</v>
      </c>
      <c r="K45" s="254">
        <f t="shared" si="2"/>
        <v>280</v>
      </c>
      <c r="M45" s="459"/>
    </row>
    <row r="46" spans="2:13" s="351" customFormat="1" x14ac:dyDescent="0.2">
      <c r="B46" s="250" t="s">
        <v>142</v>
      </c>
      <c r="C46" s="352"/>
      <c r="D46" s="352"/>
      <c r="E46" s="352"/>
      <c r="F46" s="353"/>
      <c r="G46" s="251">
        <f t="shared" si="0"/>
        <v>80</v>
      </c>
      <c r="H46" s="252">
        <f t="shared" si="1"/>
        <v>1.2045454545454546</v>
      </c>
      <c r="I46" s="253">
        <v>1</v>
      </c>
      <c r="J46" s="254">
        <v>106</v>
      </c>
      <c r="K46" s="254">
        <f t="shared" si="2"/>
        <v>96.363636363636374</v>
      </c>
      <c r="M46" s="459"/>
    </row>
    <row r="47" spans="2:13" s="351" customFormat="1" x14ac:dyDescent="0.2">
      <c r="B47" s="250" t="s">
        <v>143</v>
      </c>
      <c r="C47" s="352"/>
      <c r="D47" s="352"/>
      <c r="E47" s="352"/>
      <c r="F47" s="353"/>
      <c r="G47" s="251">
        <f t="shared" si="0"/>
        <v>80</v>
      </c>
      <c r="H47" s="252">
        <f t="shared" si="1"/>
        <v>1</v>
      </c>
      <c r="I47" s="253">
        <v>0</v>
      </c>
      <c r="J47" s="254">
        <v>88</v>
      </c>
      <c r="K47" s="254">
        <f t="shared" si="2"/>
        <v>80</v>
      </c>
      <c r="M47" s="459"/>
    </row>
    <row r="48" spans="2:13" s="351" customFormat="1" x14ac:dyDescent="0.2">
      <c r="B48" s="250" t="s">
        <v>144</v>
      </c>
      <c r="C48" s="352"/>
      <c r="D48" s="352"/>
      <c r="E48" s="352"/>
      <c r="F48" s="353"/>
      <c r="G48" s="251">
        <f t="shared" si="0"/>
        <v>80</v>
      </c>
      <c r="H48" s="252">
        <f t="shared" si="1"/>
        <v>0.70454545454545459</v>
      </c>
      <c r="I48" s="253">
        <v>0</v>
      </c>
      <c r="J48" s="254">
        <v>62</v>
      </c>
      <c r="K48" s="254">
        <f t="shared" si="2"/>
        <v>56.363636363636367</v>
      </c>
      <c r="M48" s="459"/>
    </row>
    <row r="49" spans="2:13" s="351" customFormat="1" x14ac:dyDescent="0.2">
      <c r="B49" s="250" t="s">
        <v>145</v>
      </c>
      <c r="C49" s="352"/>
      <c r="D49" s="352"/>
      <c r="E49" s="352"/>
      <c r="F49" s="353"/>
      <c r="G49" s="251">
        <f t="shared" si="0"/>
        <v>80</v>
      </c>
      <c r="H49" s="252">
        <f t="shared" si="1"/>
        <v>7</v>
      </c>
      <c r="I49" s="253">
        <v>0</v>
      </c>
      <c r="J49" s="254">
        <v>616</v>
      </c>
      <c r="K49" s="254">
        <f t="shared" si="2"/>
        <v>560</v>
      </c>
      <c r="M49" s="459"/>
    </row>
    <row r="50" spans="2:13" s="351" customFormat="1" x14ac:dyDescent="0.2">
      <c r="B50" s="250" t="s">
        <v>146</v>
      </c>
      <c r="C50" s="352"/>
      <c r="D50" s="352"/>
      <c r="E50" s="352"/>
      <c r="F50" s="353"/>
      <c r="G50" s="251">
        <f t="shared" si="0"/>
        <v>80</v>
      </c>
      <c r="H50" s="252">
        <f t="shared" si="1"/>
        <v>2.2045454545454546</v>
      </c>
      <c r="I50" s="253">
        <v>0</v>
      </c>
      <c r="J50" s="254">
        <v>194</v>
      </c>
      <c r="K50" s="254">
        <f t="shared" si="2"/>
        <v>176.36363636363637</v>
      </c>
      <c r="M50" s="459"/>
    </row>
    <row r="51" spans="2:13" s="351" customFormat="1" x14ac:dyDescent="0.2">
      <c r="B51" s="250" t="s">
        <v>147</v>
      </c>
      <c r="C51" s="352"/>
      <c r="D51" s="352"/>
      <c r="E51" s="352"/>
      <c r="F51" s="353"/>
      <c r="G51" s="251">
        <f t="shared" si="0"/>
        <v>80</v>
      </c>
      <c r="H51" s="252">
        <f t="shared" si="1"/>
        <v>1.9886363636363638</v>
      </c>
      <c r="I51" s="253">
        <v>0</v>
      </c>
      <c r="J51" s="254">
        <v>175</v>
      </c>
      <c r="K51" s="254">
        <f t="shared" si="2"/>
        <v>159.09090909090909</v>
      </c>
      <c r="M51" s="459"/>
    </row>
    <row r="52" spans="2:13" s="351" customFormat="1" x14ac:dyDescent="0.2">
      <c r="B52" s="250" t="s">
        <v>148</v>
      </c>
      <c r="C52" s="352"/>
      <c r="D52" s="352"/>
      <c r="E52" s="352"/>
      <c r="F52" s="353"/>
      <c r="G52" s="251">
        <f t="shared" si="0"/>
        <v>80</v>
      </c>
      <c r="H52" s="252">
        <f t="shared" si="1"/>
        <v>1.5</v>
      </c>
      <c r="I52" s="253">
        <v>0</v>
      </c>
      <c r="J52" s="254">
        <v>132</v>
      </c>
      <c r="K52" s="254">
        <f t="shared" si="2"/>
        <v>120</v>
      </c>
      <c r="M52" s="459"/>
    </row>
    <row r="53" spans="2:13" s="351" customFormat="1" x14ac:dyDescent="0.2">
      <c r="B53" s="250" t="s">
        <v>149</v>
      </c>
      <c r="C53" s="352"/>
      <c r="D53" s="352"/>
      <c r="E53" s="352"/>
      <c r="F53" s="353"/>
      <c r="G53" s="251">
        <f t="shared" si="0"/>
        <v>80</v>
      </c>
      <c r="H53" s="252">
        <f t="shared" si="1"/>
        <v>8.795454545454545</v>
      </c>
      <c r="I53" s="253">
        <v>0</v>
      </c>
      <c r="J53" s="254">
        <v>774</v>
      </c>
      <c r="K53" s="254">
        <f t="shared" si="2"/>
        <v>703.63636363636363</v>
      </c>
      <c r="M53" s="459"/>
    </row>
    <row r="54" spans="2:13" s="351" customFormat="1" x14ac:dyDescent="0.2">
      <c r="B54" s="250" t="s">
        <v>150</v>
      </c>
      <c r="C54" s="352"/>
      <c r="D54" s="352"/>
      <c r="E54" s="352"/>
      <c r="F54" s="353"/>
      <c r="G54" s="251">
        <f t="shared" si="0"/>
        <v>80</v>
      </c>
      <c r="H54" s="252">
        <f t="shared" si="1"/>
        <v>0.5</v>
      </c>
      <c r="I54" s="253">
        <v>4</v>
      </c>
      <c r="J54" s="254">
        <v>44</v>
      </c>
      <c r="K54" s="254">
        <f t="shared" si="2"/>
        <v>40</v>
      </c>
      <c r="M54" s="459"/>
    </row>
    <row r="55" spans="2:13" s="351" customFormat="1" x14ac:dyDescent="0.2">
      <c r="B55" s="250" t="s">
        <v>151</v>
      </c>
      <c r="C55" s="352"/>
      <c r="D55" s="352"/>
      <c r="E55" s="352"/>
      <c r="F55" s="353"/>
      <c r="G55" s="251">
        <f t="shared" si="0"/>
        <v>80</v>
      </c>
      <c r="H55" s="252">
        <f t="shared" si="1"/>
        <v>0.5</v>
      </c>
      <c r="I55" s="253">
        <v>4</v>
      </c>
      <c r="J55" s="254">
        <v>44</v>
      </c>
      <c r="K55" s="254">
        <f t="shared" si="2"/>
        <v>40</v>
      </c>
      <c r="M55" s="459"/>
    </row>
    <row r="56" spans="2:13" s="351" customFormat="1" x14ac:dyDescent="0.2">
      <c r="B56" s="250" t="s">
        <v>152</v>
      </c>
      <c r="C56" s="352"/>
      <c r="D56" s="352"/>
      <c r="E56" s="352"/>
      <c r="F56" s="353"/>
      <c r="G56" s="251">
        <f t="shared" si="0"/>
        <v>80</v>
      </c>
      <c r="H56" s="252">
        <f t="shared" si="1"/>
        <v>0.5</v>
      </c>
      <c r="I56" s="253">
        <v>0</v>
      </c>
      <c r="J56" s="254">
        <v>44</v>
      </c>
      <c r="K56" s="254">
        <f t="shared" si="2"/>
        <v>40</v>
      </c>
      <c r="M56" s="459"/>
    </row>
    <row r="57" spans="2:13" s="351" customFormat="1" x14ac:dyDescent="0.2">
      <c r="B57" s="250" t="s">
        <v>153</v>
      </c>
      <c r="C57" s="352"/>
      <c r="D57" s="352"/>
      <c r="E57" s="352"/>
      <c r="F57" s="353"/>
      <c r="G57" s="251">
        <f t="shared" si="0"/>
        <v>80</v>
      </c>
      <c r="H57" s="252">
        <f t="shared" si="1"/>
        <v>1.2045454545454546</v>
      </c>
      <c r="I57" s="253">
        <v>4</v>
      </c>
      <c r="J57" s="254">
        <v>106</v>
      </c>
      <c r="K57" s="254">
        <f t="shared" si="2"/>
        <v>96.363636363636374</v>
      </c>
      <c r="M57" s="459"/>
    </row>
    <row r="58" spans="2:13" s="351" customFormat="1" x14ac:dyDescent="0.2">
      <c r="B58" s="250" t="s">
        <v>154</v>
      </c>
      <c r="C58" s="352"/>
      <c r="D58" s="352"/>
      <c r="E58" s="352"/>
      <c r="F58" s="353"/>
      <c r="G58" s="251">
        <f t="shared" si="0"/>
        <v>80</v>
      </c>
      <c r="H58" s="252">
        <f t="shared" si="1"/>
        <v>1.2045454545454546</v>
      </c>
      <c r="I58" s="253">
        <v>0</v>
      </c>
      <c r="J58" s="254">
        <v>106</v>
      </c>
      <c r="K58" s="254">
        <f t="shared" si="2"/>
        <v>96.363636363636374</v>
      </c>
      <c r="M58" s="459"/>
    </row>
    <row r="59" spans="2:13" s="351" customFormat="1" x14ac:dyDescent="0.2">
      <c r="B59" s="250" t="s">
        <v>155</v>
      </c>
      <c r="C59" s="352"/>
      <c r="D59" s="352"/>
      <c r="E59" s="352"/>
      <c r="F59" s="353"/>
      <c r="G59" s="251">
        <f t="shared" si="0"/>
        <v>80</v>
      </c>
      <c r="H59" s="252">
        <f t="shared" si="1"/>
        <v>1.2045454545454546</v>
      </c>
      <c r="I59" s="253">
        <v>0</v>
      </c>
      <c r="J59" s="254">
        <v>106</v>
      </c>
      <c r="K59" s="254">
        <f t="shared" si="2"/>
        <v>96.363636363636374</v>
      </c>
      <c r="M59" s="459"/>
    </row>
    <row r="60" spans="2:13" s="351" customFormat="1" x14ac:dyDescent="0.2">
      <c r="B60" s="250" t="s">
        <v>156</v>
      </c>
      <c r="C60" s="352"/>
      <c r="D60" s="352"/>
      <c r="E60" s="352"/>
      <c r="F60" s="353"/>
      <c r="G60" s="251">
        <f t="shared" si="0"/>
        <v>80</v>
      </c>
      <c r="H60" s="252">
        <f t="shared" si="1"/>
        <v>2.5</v>
      </c>
      <c r="I60" s="253">
        <v>4</v>
      </c>
      <c r="J60" s="254">
        <v>220</v>
      </c>
      <c r="K60" s="254">
        <f t="shared" si="2"/>
        <v>200</v>
      </c>
      <c r="M60" s="459"/>
    </row>
    <row r="61" spans="2:13" s="351" customFormat="1" x14ac:dyDescent="0.2">
      <c r="B61" s="250" t="s">
        <v>157</v>
      </c>
      <c r="C61" s="352"/>
      <c r="D61" s="352"/>
      <c r="E61" s="352"/>
      <c r="F61" s="353"/>
      <c r="G61" s="251">
        <f t="shared" si="0"/>
        <v>80</v>
      </c>
      <c r="H61" s="252">
        <f t="shared" si="1"/>
        <v>2.5</v>
      </c>
      <c r="I61" s="253">
        <v>0</v>
      </c>
      <c r="J61" s="254">
        <v>220</v>
      </c>
      <c r="K61" s="254">
        <f t="shared" si="2"/>
        <v>200</v>
      </c>
      <c r="M61" s="459"/>
    </row>
    <row r="62" spans="2:13" s="351" customFormat="1" x14ac:dyDescent="0.2">
      <c r="B62" s="250" t="s">
        <v>158</v>
      </c>
      <c r="C62" s="352"/>
      <c r="D62" s="352"/>
      <c r="E62" s="352"/>
      <c r="F62" s="353"/>
      <c r="G62" s="251">
        <f t="shared" si="0"/>
        <v>80</v>
      </c>
      <c r="H62" s="252">
        <f t="shared" si="1"/>
        <v>2.5</v>
      </c>
      <c r="I62" s="253">
        <v>0</v>
      </c>
      <c r="J62" s="254">
        <v>220</v>
      </c>
      <c r="K62" s="254">
        <f t="shared" si="2"/>
        <v>200</v>
      </c>
      <c r="M62" s="459"/>
    </row>
    <row r="63" spans="2:13" s="351" customFormat="1" x14ac:dyDescent="0.2">
      <c r="B63" s="250"/>
      <c r="C63" s="352"/>
      <c r="D63" s="352"/>
      <c r="E63" s="352"/>
      <c r="F63" s="353"/>
      <c r="G63" s="251"/>
      <c r="H63" s="252"/>
      <c r="I63" s="253"/>
      <c r="J63" s="254"/>
      <c r="K63" s="254"/>
      <c r="M63" s="459"/>
    </row>
    <row r="64" spans="2:13" s="351" customFormat="1" x14ac:dyDescent="0.2">
      <c r="B64" s="250" t="s">
        <v>159</v>
      </c>
      <c r="C64" s="352"/>
      <c r="D64" s="352"/>
      <c r="E64" s="352"/>
      <c r="F64" s="353"/>
      <c r="G64" s="251">
        <f t="shared" ref="G64:G93" si="3">88/11*10</f>
        <v>80</v>
      </c>
      <c r="H64" s="252" t="s">
        <v>9</v>
      </c>
      <c r="I64" s="253">
        <v>11</v>
      </c>
      <c r="J64" s="254">
        <v>88</v>
      </c>
      <c r="K64" s="254">
        <f t="shared" ref="K64:K98" si="4">+J64/11*10</f>
        <v>80</v>
      </c>
      <c r="M64" s="459"/>
    </row>
    <row r="65" spans="2:13" s="351" customFormat="1" x14ac:dyDescent="0.2">
      <c r="B65" s="250" t="s">
        <v>160</v>
      </c>
      <c r="C65" s="352"/>
      <c r="D65" s="352"/>
      <c r="E65" s="352"/>
      <c r="F65" s="353"/>
      <c r="G65" s="251">
        <f>96/11*10</f>
        <v>87.272727272727266</v>
      </c>
      <c r="H65" s="252" t="s">
        <v>9</v>
      </c>
      <c r="I65" s="253">
        <v>13</v>
      </c>
      <c r="J65" s="254">
        <v>106</v>
      </c>
      <c r="K65" s="254">
        <f t="shared" si="4"/>
        <v>96.363636363636374</v>
      </c>
      <c r="M65" s="459"/>
    </row>
    <row r="66" spans="2:13" s="351" customFormat="1" x14ac:dyDescent="0.2">
      <c r="B66" s="250" t="s">
        <v>161</v>
      </c>
      <c r="C66" s="352"/>
      <c r="D66" s="352"/>
      <c r="E66" s="352"/>
      <c r="F66" s="353"/>
      <c r="G66" s="251">
        <f t="shared" si="3"/>
        <v>80</v>
      </c>
      <c r="H66" s="252" t="s">
        <v>9</v>
      </c>
      <c r="I66" s="253">
        <v>15</v>
      </c>
      <c r="J66" s="254">
        <v>88</v>
      </c>
      <c r="K66" s="254">
        <f t="shared" si="4"/>
        <v>80</v>
      </c>
      <c r="M66" s="459"/>
    </row>
    <row r="67" spans="2:13" s="351" customFormat="1" x14ac:dyDescent="0.2">
      <c r="B67" s="250" t="s">
        <v>162</v>
      </c>
      <c r="C67" s="352"/>
      <c r="D67" s="352"/>
      <c r="E67" s="352"/>
      <c r="F67" s="353"/>
      <c r="G67" s="251">
        <f>96/11*10</f>
        <v>87.272727272727266</v>
      </c>
      <c r="H67" s="252" t="s">
        <v>9</v>
      </c>
      <c r="I67" s="253">
        <v>2</v>
      </c>
      <c r="J67" s="254">
        <v>106</v>
      </c>
      <c r="K67" s="254">
        <f t="shared" si="4"/>
        <v>96.363636363636374</v>
      </c>
      <c r="M67" s="459"/>
    </row>
    <row r="68" spans="2:13" s="351" customFormat="1" x14ac:dyDescent="0.2">
      <c r="B68" s="250" t="s">
        <v>163</v>
      </c>
      <c r="C68" s="352"/>
      <c r="D68" s="352"/>
      <c r="E68" s="352"/>
      <c r="F68" s="353"/>
      <c r="G68" s="251">
        <f t="shared" si="3"/>
        <v>80</v>
      </c>
      <c r="H68" s="252">
        <f t="shared" ref="H68:H79" si="5">+K68/G68</f>
        <v>0.60227272727272729</v>
      </c>
      <c r="I68" s="253">
        <v>2</v>
      </c>
      <c r="J68" s="254">
        <v>53</v>
      </c>
      <c r="K68" s="254">
        <f t="shared" si="4"/>
        <v>48.181818181818187</v>
      </c>
      <c r="M68" s="459"/>
    </row>
    <row r="69" spans="2:13" s="351" customFormat="1" x14ac:dyDescent="0.2">
      <c r="B69" s="250" t="s">
        <v>164</v>
      </c>
      <c r="C69" s="352"/>
      <c r="D69" s="352"/>
      <c r="E69" s="352"/>
      <c r="F69" s="353"/>
      <c r="G69" s="251">
        <f t="shared" si="3"/>
        <v>80</v>
      </c>
      <c r="H69" s="252">
        <f t="shared" si="5"/>
        <v>1.2045454545454546</v>
      </c>
      <c r="I69" s="253">
        <v>2</v>
      </c>
      <c r="J69" s="254">
        <v>106</v>
      </c>
      <c r="K69" s="254">
        <f t="shared" si="4"/>
        <v>96.363636363636374</v>
      </c>
      <c r="M69" s="459"/>
    </row>
    <row r="70" spans="2:13" s="351" customFormat="1" x14ac:dyDescent="0.2">
      <c r="B70" s="250" t="s">
        <v>165</v>
      </c>
      <c r="C70" s="352"/>
      <c r="D70" s="352"/>
      <c r="E70" s="352"/>
      <c r="F70" s="353"/>
      <c r="G70" s="251">
        <f t="shared" si="3"/>
        <v>80</v>
      </c>
      <c r="H70" s="252">
        <f t="shared" si="5"/>
        <v>2.2045454545454546</v>
      </c>
      <c r="I70" s="253">
        <v>2</v>
      </c>
      <c r="J70" s="254">
        <v>194</v>
      </c>
      <c r="K70" s="254">
        <f t="shared" si="4"/>
        <v>176.36363636363637</v>
      </c>
      <c r="M70" s="459"/>
    </row>
    <row r="71" spans="2:13" s="351" customFormat="1" x14ac:dyDescent="0.2">
      <c r="B71" s="250" t="s">
        <v>166</v>
      </c>
      <c r="C71" s="352"/>
      <c r="D71" s="352"/>
      <c r="E71" s="352"/>
      <c r="F71" s="353"/>
      <c r="G71" s="251">
        <f t="shared" si="3"/>
        <v>80</v>
      </c>
      <c r="H71" s="252">
        <f t="shared" si="5"/>
        <v>0.5</v>
      </c>
      <c r="I71" s="253">
        <v>6</v>
      </c>
      <c r="J71" s="254">
        <v>44</v>
      </c>
      <c r="K71" s="254">
        <f t="shared" si="4"/>
        <v>40</v>
      </c>
      <c r="M71" s="459"/>
    </row>
    <row r="72" spans="2:13" s="351" customFormat="1" x14ac:dyDescent="0.2">
      <c r="B72" s="250" t="s">
        <v>167</v>
      </c>
      <c r="C72" s="352"/>
      <c r="D72" s="352"/>
      <c r="E72" s="352"/>
      <c r="F72" s="353"/>
      <c r="G72" s="251">
        <f t="shared" si="3"/>
        <v>80</v>
      </c>
      <c r="H72" s="252">
        <f t="shared" si="5"/>
        <v>1</v>
      </c>
      <c r="I72" s="253">
        <v>7</v>
      </c>
      <c r="J72" s="254">
        <v>88</v>
      </c>
      <c r="K72" s="254">
        <f t="shared" si="4"/>
        <v>80</v>
      </c>
      <c r="M72" s="459"/>
    </row>
    <row r="73" spans="2:13" s="351" customFormat="1" x14ac:dyDescent="0.2">
      <c r="B73" s="250" t="s">
        <v>168</v>
      </c>
      <c r="C73" s="352"/>
      <c r="D73" s="352"/>
      <c r="E73" s="352"/>
      <c r="F73" s="353"/>
      <c r="G73" s="251">
        <f t="shared" si="3"/>
        <v>80</v>
      </c>
      <c r="H73" s="252">
        <f t="shared" si="5"/>
        <v>1.9886363636363638</v>
      </c>
      <c r="I73" s="253">
        <v>0</v>
      </c>
      <c r="J73" s="254">
        <v>175</v>
      </c>
      <c r="K73" s="254">
        <f t="shared" si="4"/>
        <v>159.09090909090909</v>
      </c>
      <c r="M73" s="459"/>
    </row>
    <row r="74" spans="2:13" s="351" customFormat="1" x14ac:dyDescent="0.2">
      <c r="B74" s="250" t="s">
        <v>169</v>
      </c>
      <c r="C74" s="352"/>
      <c r="D74" s="352"/>
      <c r="E74" s="352"/>
      <c r="F74" s="353"/>
      <c r="G74" s="251">
        <f t="shared" si="3"/>
        <v>80</v>
      </c>
      <c r="H74" s="252">
        <f t="shared" si="5"/>
        <v>0.39772727272727271</v>
      </c>
      <c r="I74" s="253">
        <v>5</v>
      </c>
      <c r="J74" s="254">
        <v>35</v>
      </c>
      <c r="K74" s="254">
        <f t="shared" si="4"/>
        <v>31.818181818181817</v>
      </c>
      <c r="M74" s="459"/>
    </row>
    <row r="75" spans="2:13" s="351" customFormat="1" x14ac:dyDescent="0.2">
      <c r="B75" s="250" t="s">
        <v>170</v>
      </c>
      <c r="C75" s="352"/>
      <c r="D75" s="352"/>
      <c r="E75" s="352"/>
      <c r="F75" s="353"/>
      <c r="G75" s="251">
        <f t="shared" si="3"/>
        <v>80</v>
      </c>
      <c r="H75" s="252">
        <f t="shared" si="5"/>
        <v>0.70454545454545459</v>
      </c>
      <c r="I75" s="253">
        <v>15</v>
      </c>
      <c r="J75" s="254">
        <v>62</v>
      </c>
      <c r="K75" s="254">
        <f t="shared" si="4"/>
        <v>56.363636363636367</v>
      </c>
      <c r="M75" s="459"/>
    </row>
    <row r="76" spans="2:13" s="351" customFormat="1" x14ac:dyDescent="0.2">
      <c r="B76" s="250" t="s">
        <v>171</v>
      </c>
      <c r="C76" s="352"/>
      <c r="D76" s="352"/>
      <c r="E76" s="352"/>
      <c r="F76" s="353"/>
      <c r="G76" s="251">
        <f t="shared" si="3"/>
        <v>80</v>
      </c>
      <c r="H76" s="252">
        <f t="shared" si="5"/>
        <v>1.5</v>
      </c>
      <c r="I76" s="253">
        <v>0</v>
      </c>
      <c r="J76" s="254">
        <v>132</v>
      </c>
      <c r="K76" s="254">
        <f t="shared" si="4"/>
        <v>120</v>
      </c>
      <c r="M76" s="459"/>
    </row>
    <row r="77" spans="2:13" s="351" customFormat="1" x14ac:dyDescent="0.2">
      <c r="B77" s="250" t="s">
        <v>172</v>
      </c>
      <c r="C77" s="352"/>
      <c r="D77" s="352"/>
      <c r="E77" s="352"/>
      <c r="F77" s="353"/>
      <c r="G77" s="251">
        <f t="shared" si="3"/>
        <v>80</v>
      </c>
      <c r="H77" s="252">
        <f t="shared" si="5"/>
        <v>3.5</v>
      </c>
      <c r="I77" s="253">
        <v>13</v>
      </c>
      <c r="J77" s="254">
        <v>308</v>
      </c>
      <c r="K77" s="254">
        <f t="shared" si="4"/>
        <v>280</v>
      </c>
      <c r="M77" s="459"/>
    </row>
    <row r="78" spans="2:13" s="351" customFormat="1" x14ac:dyDescent="0.2">
      <c r="B78" s="250" t="s">
        <v>173</v>
      </c>
      <c r="C78" s="352"/>
      <c r="D78" s="352"/>
      <c r="E78" s="352"/>
      <c r="F78" s="353"/>
      <c r="G78" s="251">
        <f t="shared" si="3"/>
        <v>80</v>
      </c>
      <c r="H78" s="252">
        <f t="shared" si="5"/>
        <v>7</v>
      </c>
      <c r="I78" s="253">
        <v>17</v>
      </c>
      <c r="J78" s="254">
        <v>616</v>
      </c>
      <c r="K78" s="254">
        <f t="shared" si="4"/>
        <v>560</v>
      </c>
      <c r="M78" s="459"/>
    </row>
    <row r="79" spans="2:13" s="351" customFormat="1" x14ac:dyDescent="0.2">
      <c r="B79" s="250" t="s">
        <v>174</v>
      </c>
      <c r="C79" s="352"/>
      <c r="D79" s="352"/>
      <c r="E79" s="352"/>
      <c r="F79" s="353"/>
      <c r="G79" s="251">
        <f t="shared" si="3"/>
        <v>80</v>
      </c>
      <c r="H79" s="252">
        <f t="shared" si="5"/>
        <v>8.795454545454545</v>
      </c>
      <c r="I79" s="253">
        <v>10</v>
      </c>
      <c r="J79" s="254">
        <v>774</v>
      </c>
      <c r="K79" s="254">
        <f t="shared" si="4"/>
        <v>703.63636363636363</v>
      </c>
      <c r="M79" s="459"/>
    </row>
    <row r="80" spans="2:13" s="351" customFormat="1" x14ac:dyDescent="0.2">
      <c r="B80" s="250" t="s">
        <v>175</v>
      </c>
      <c r="C80" s="352"/>
      <c r="D80" s="352"/>
      <c r="E80" s="352"/>
      <c r="F80" s="353"/>
      <c r="G80" s="251">
        <f t="shared" si="3"/>
        <v>80</v>
      </c>
      <c r="H80" s="252" t="s">
        <v>9</v>
      </c>
      <c r="I80" s="253">
        <v>13</v>
      </c>
      <c r="J80" s="254">
        <v>88</v>
      </c>
      <c r="K80" s="254">
        <f t="shared" si="4"/>
        <v>80</v>
      </c>
      <c r="M80" s="459"/>
    </row>
    <row r="81" spans="2:13" s="351" customFormat="1" x14ac:dyDescent="0.2">
      <c r="B81" s="250" t="s">
        <v>176</v>
      </c>
      <c r="C81" s="352"/>
      <c r="D81" s="352"/>
      <c r="E81" s="352"/>
      <c r="F81" s="353"/>
      <c r="G81" s="251">
        <f>96/11*10</f>
        <v>87.272727272727266</v>
      </c>
      <c r="H81" s="252" t="s">
        <v>9</v>
      </c>
      <c r="I81" s="253">
        <v>15</v>
      </c>
      <c r="J81" s="254">
        <v>106</v>
      </c>
      <c r="K81" s="254">
        <f t="shared" si="4"/>
        <v>96.363636363636374</v>
      </c>
      <c r="M81" s="459"/>
    </row>
    <row r="82" spans="2:13" s="351" customFormat="1" x14ac:dyDescent="0.2">
      <c r="B82" s="250" t="s">
        <v>177</v>
      </c>
      <c r="C82" s="352"/>
      <c r="D82" s="352"/>
      <c r="E82" s="352"/>
      <c r="F82" s="353"/>
      <c r="G82" s="251">
        <f t="shared" si="3"/>
        <v>80</v>
      </c>
      <c r="H82" s="252">
        <f t="shared" ref="H82:H93" si="6">+K82/G82</f>
        <v>0.60227272727272729</v>
      </c>
      <c r="I82" s="253">
        <v>1</v>
      </c>
      <c r="J82" s="254">
        <v>53</v>
      </c>
      <c r="K82" s="254">
        <f t="shared" si="4"/>
        <v>48.181818181818187</v>
      </c>
      <c r="M82" s="459"/>
    </row>
    <row r="83" spans="2:13" s="351" customFormat="1" x14ac:dyDescent="0.2">
      <c r="B83" s="250" t="s">
        <v>178</v>
      </c>
      <c r="C83" s="352"/>
      <c r="D83" s="352"/>
      <c r="E83" s="352"/>
      <c r="F83" s="353"/>
      <c r="G83" s="251">
        <f t="shared" si="3"/>
        <v>80</v>
      </c>
      <c r="H83" s="252">
        <f t="shared" si="6"/>
        <v>1.2045454545454546</v>
      </c>
      <c r="I83" s="253">
        <v>2</v>
      </c>
      <c r="J83" s="254">
        <v>106</v>
      </c>
      <c r="K83" s="254">
        <f t="shared" si="4"/>
        <v>96.363636363636374</v>
      </c>
      <c r="M83" s="459"/>
    </row>
    <row r="84" spans="2:13" s="351" customFormat="1" x14ac:dyDescent="0.2">
      <c r="B84" s="250" t="s">
        <v>179</v>
      </c>
      <c r="C84" s="352"/>
      <c r="D84" s="352"/>
      <c r="E84" s="352"/>
      <c r="F84" s="353"/>
      <c r="G84" s="251">
        <f t="shared" si="3"/>
        <v>80</v>
      </c>
      <c r="H84" s="252">
        <f t="shared" si="6"/>
        <v>2.2045454545454546</v>
      </c>
      <c r="I84" s="253">
        <v>0</v>
      </c>
      <c r="J84" s="254">
        <v>194</v>
      </c>
      <c r="K84" s="254">
        <f t="shared" si="4"/>
        <v>176.36363636363637</v>
      </c>
      <c r="M84" s="459"/>
    </row>
    <row r="85" spans="2:13" s="351" customFormat="1" x14ac:dyDescent="0.2">
      <c r="B85" s="250" t="s">
        <v>180</v>
      </c>
      <c r="C85" s="352"/>
      <c r="D85" s="352"/>
      <c r="E85" s="352"/>
      <c r="F85" s="353"/>
      <c r="G85" s="251">
        <f t="shared" si="3"/>
        <v>80</v>
      </c>
      <c r="H85" s="252">
        <f t="shared" si="6"/>
        <v>0.5</v>
      </c>
      <c r="I85" s="253">
        <v>0</v>
      </c>
      <c r="J85" s="254">
        <v>44</v>
      </c>
      <c r="K85" s="254">
        <f t="shared" si="4"/>
        <v>40</v>
      </c>
      <c r="M85" s="459"/>
    </row>
    <row r="86" spans="2:13" s="351" customFormat="1" x14ac:dyDescent="0.2">
      <c r="B86" s="250" t="s">
        <v>181</v>
      </c>
      <c r="C86" s="352"/>
      <c r="D86" s="352"/>
      <c r="E86" s="352"/>
      <c r="F86" s="353"/>
      <c r="G86" s="251">
        <f t="shared" si="3"/>
        <v>80</v>
      </c>
      <c r="H86" s="252">
        <f t="shared" si="6"/>
        <v>1</v>
      </c>
      <c r="I86" s="253">
        <v>0</v>
      </c>
      <c r="J86" s="254">
        <v>88</v>
      </c>
      <c r="K86" s="254">
        <f t="shared" si="4"/>
        <v>80</v>
      </c>
      <c r="M86" s="459"/>
    </row>
    <row r="87" spans="2:13" s="351" customFormat="1" x14ac:dyDescent="0.2">
      <c r="B87" s="250" t="s">
        <v>182</v>
      </c>
      <c r="C87" s="352"/>
      <c r="D87" s="352"/>
      <c r="E87" s="352"/>
      <c r="F87" s="353"/>
      <c r="G87" s="251">
        <f t="shared" si="3"/>
        <v>80</v>
      </c>
      <c r="H87" s="252">
        <f t="shared" si="6"/>
        <v>1.9886363636363638</v>
      </c>
      <c r="I87" s="253">
        <v>0</v>
      </c>
      <c r="J87" s="254">
        <v>175</v>
      </c>
      <c r="K87" s="254">
        <f t="shared" si="4"/>
        <v>159.09090909090909</v>
      </c>
      <c r="M87" s="459"/>
    </row>
    <row r="88" spans="2:13" s="351" customFormat="1" x14ac:dyDescent="0.2">
      <c r="B88" s="250" t="s">
        <v>183</v>
      </c>
      <c r="C88" s="352"/>
      <c r="D88" s="352"/>
      <c r="E88" s="352"/>
      <c r="F88" s="353"/>
      <c r="G88" s="251">
        <f t="shared" si="3"/>
        <v>80</v>
      </c>
      <c r="H88" s="252">
        <f t="shared" si="6"/>
        <v>0.39772727272727271</v>
      </c>
      <c r="I88" s="253">
        <v>0</v>
      </c>
      <c r="J88" s="254">
        <v>35</v>
      </c>
      <c r="K88" s="254">
        <f t="shared" si="4"/>
        <v>31.818181818181817</v>
      </c>
      <c r="M88" s="459"/>
    </row>
    <row r="89" spans="2:13" s="351" customFormat="1" x14ac:dyDescent="0.2">
      <c r="B89" s="250" t="s">
        <v>184</v>
      </c>
      <c r="C89" s="352"/>
      <c r="D89" s="352"/>
      <c r="E89" s="352"/>
      <c r="F89" s="353"/>
      <c r="G89" s="251">
        <f t="shared" si="3"/>
        <v>80</v>
      </c>
      <c r="H89" s="252">
        <f t="shared" si="6"/>
        <v>0.70454545454545459</v>
      </c>
      <c r="I89" s="253">
        <v>0</v>
      </c>
      <c r="J89" s="254">
        <v>62</v>
      </c>
      <c r="K89" s="254">
        <f t="shared" si="4"/>
        <v>56.363636363636367</v>
      </c>
      <c r="M89" s="459"/>
    </row>
    <row r="90" spans="2:13" s="351" customFormat="1" x14ac:dyDescent="0.2">
      <c r="B90" s="250" t="s">
        <v>185</v>
      </c>
      <c r="C90" s="352"/>
      <c r="D90" s="352"/>
      <c r="E90" s="352"/>
      <c r="F90" s="353"/>
      <c r="G90" s="251">
        <f t="shared" si="3"/>
        <v>80</v>
      </c>
      <c r="H90" s="252">
        <f t="shared" si="6"/>
        <v>1.5</v>
      </c>
      <c r="I90" s="253">
        <v>0</v>
      </c>
      <c r="J90" s="254">
        <v>132</v>
      </c>
      <c r="K90" s="254">
        <f t="shared" si="4"/>
        <v>120</v>
      </c>
      <c r="M90" s="459"/>
    </row>
    <row r="91" spans="2:13" s="351" customFormat="1" x14ac:dyDescent="0.2">
      <c r="B91" s="250" t="s">
        <v>186</v>
      </c>
      <c r="C91" s="352"/>
      <c r="D91" s="352"/>
      <c r="E91" s="352"/>
      <c r="F91" s="353"/>
      <c r="G91" s="251">
        <f t="shared" si="3"/>
        <v>80</v>
      </c>
      <c r="H91" s="252">
        <f t="shared" si="6"/>
        <v>3.5</v>
      </c>
      <c r="I91" s="253">
        <v>0</v>
      </c>
      <c r="J91" s="254">
        <v>308</v>
      </c>
      <c r="K91" s="254">
        <f t="shared" si="4"/>
        <v>280</v>
      </c>
      <c r="M91" s="459"/>
    </row>
    <row r="92" spans="2:13" s="351" customFormat="1" x14ac:dyDescent="0.2">
      <c r="B92" s="250" t="s">
        <v>187</v>
      </c>
      <c r="C92" s="352"/>
      <c r="D92" s="352"/>
      <c r="E92" s="352"/>
      <c r="F92" s="353"/>
      <c r="G92" s="251">
        <f t="shared" si="3"/>
        <v>80</v>
      </c>
      <c r="H92" s="252">
        <f t="shared" si="6"/>
        <v>7</v>
      </c>
      <c r="I92" s="253">
        <v>1</v>
      </c>
      <c r="J92" s="254">
        <v>616</v>
      </c>
      <c r="K92" s="254">
        <f t="shared" si="4"/>
        <v>560</v>
      </c>
      <c r="M92" s="459"/>
    </row>
    <row r="93" spans="2:13" s="351" customFormat="1" x14ac:dyDescent="0.2">
      <c r="B93" s="250" t="s">
        <v>188</v>
      </c>
      <c r="C93" s="352"/>
      <c r="D93" s="352"/>
      <c r="E93" s="352"/>
      <c r="F93" s="353"/>
      <c r="G93" s="251">
        <f t="shared" si="3"/>
        <v>80</v>
      </c>
      <c r="H93" s="252">
        <f t="shared" si="6"/>
        <v>8.795454545454545</v>
      </c>
      <c r="I93" s="253">
        <v>0</v>
      </c>
      <c r="J93" s="254">
        <v>774</v>
      </c>
      <c r="K93" s="254">
        <f t="shared" si="4"/>
        <v>703.63636363636363</v>
      </c>
      <c r="M93" s="459"/>
    </row>
    <row r="94" spans="2:13" s="351" customFormat="1" x14ac:dyDescent="0.2">
      <c r="B94" s="250"/>
      <c r="C94" s="352"/>
      <c r="D94" s="352"/>
      <c r="E94" s="352"/>
      <c r="F94" s="353"/>
      <c r="G94" s="174"/>
      <c r="H94" s="241"/>
      <c r="I94" s="179"/>
      <c r="J94" s="205"/>
      <c r="K94" s="205"/>
      <c r="M94" s="459"/>
    </row>
    <row r="95" spans="2:13" x14ac:dyDescent="0.2">
      <c r="B95" s="212" t="s">
        <v>189</v>
      </c>
      <c r="C95" s="207"/>
      <c r="D95" s="207"/>
      <c r="E95" s="207"/>
      <c r="F95" s="208"/>
      <c r="G95" s="174">
        <f t="shared" ref="G95:G97" si="7">88/11*10</f>
        <v>80</v>
      </c>
      <c r="H95" s="241" t="s">
        <v>9</v>
      </c>
      <c r="I95" s="179">
        <v>15</v>
      </c>
      <c r="J95" s="205">
        <v>88</v>
      </c>
      <c r="K95" s="205">
        <f t="shared" si="4"/>
        <v>80</v>
      </c>
      <c r="M95" s="459"/>
    </row>
    <row r="96" spans="2:13" x14ac:dyDescent="0.2">
      <c r="B96" s="212" t="s">
        <v>190</v>
      </c>
      <c r="C96" s="207"/>
      <c r="D96" s="207"/>
      <c r="E96" s="207"/>
      <c r="F96" s="208"/>
      <c r="G96" s="174">
        <f>96/11*10</f>
        <v>87.272727272727266</v>
      </c>
      <c r="H96" s="241" t="s">
        <v>9</v>
      </c>
      <c r="I96" s="179">
        <v>24</v>
      </c>
      <c r="J96" s="205">
        <v>106</v>
      </c>
      <c r="K96" s="205">
        <f t="shared" si="4"/>
        <v>96.363636363636374</v>
      </c>
      <c r="M96" s="459"/>
    </row>
    <row r="97" spans="2:13" x14ac:dyDescent="0.2">
      <c r="B97" s="212" t="s">
        <v>191</v>
      </c>
      <c r="C97" s="207"/>
      <c r="D97" s="207"/>
      <c r="E97" s="207"/>
      <c r="F97" s="208"/>
      <c r="G97" s="174">
        <f t="shared" si="7"/>
        <v>80</v>
      </c>
      <c r="H97" s="241" t="s">
        <v>9</v>
      </c>
      <c r="I97" s="179">
        <v>10</v>
      </c>
      <c r="J97" s="205">
        <v>88</v>
      </c>
      <c r="K97" s="205">
        <f t="shared" si="4"/>
        <v>80</v>
      </c>
      <c r="M97" s="459"/>
    </row>
    <row r="98" spans="2:13" x14ac:dyDescent="0.2">
      <c r="B98" s="212" t="s">
        <v>192</v>
      </c>
      <c r="C98" s="207"/>
      <c r="D98" s="207"/>
      <c r="E98" s="207"/>
      <c r="F98" s="208"/>
      <c r="G98" s="174">
        <f>96/11*10</f>
        <v>87.272727272727266</v>
      </c>
      <c r="H98" s="241" t="s">
        <v>9</v>
      </c>
      <c r="I98" s="179">
        <v>7</v>
      </c>
      <c r="J98" s="205">
        <v>106</v>
      </c>
      <c r="K98" s="205">
        <f t="shared" si="4"/>
        <v>96.363636363636374</v>
      </c>
      <c r="M98" s="459"/>
    </row>
    <row r="99" spans="2:13" x14ac:dyDescent="0.2">
      <c r="B99" s="209"/>
      <c r="C99" s="210"/>
      <c r="D99" s="210"/>
      <c r="E99" s="210"/>
      <c r="F99" s="211"/>
      <c r="G99" s="217"/>
      <c r="H99" s="218"/>
      <c r="I99" s="47"/>
      <c r="J99" s="218"/>
      <c r="K99" s="218"/>
      <c r="M99" s="459"/>
    </row>
    <row r="100" spans="2:13" x14ac:dyDescent="0.25">
      <c r="B100" s="455" t="s">
        <v>194</v>
      </c>
      <c r="C100" s="456"/>
      <c r="D100" s="456"/>
      <c r="E100" s="456"/>
      <c r="F100" s="457"/>
      <c r="G100" s="287"/>
      <c r="H100" s="288"/>
      <c r="I100" s="289"/>
      <c r="J100" s="288"/>
      <c r="K100" s="288"/>
      <c r="M100" s="459"/>
    </row>
    <row r="101" spans="2:13" x14ac:dyDescent="0.2">
      <c r="B101" s="389" t="s">
        <v>201</v>
      </c>
      <c r="C101" s="390"/>
      <c r="D101" s="390"/>
      <c r="E101" s="390"/>
      <c r="F101" s="390"/>
      <c r="G101" s="391">
        <f>6.36363636363636*10</f>
        <v>63.636363636363598</v>
      </c>
      <c r="H101" s="240">
        <v>0.5</v>
      </c>
      <c r="I101" s="42"/>
      <c r="J101" s="203">
        <f>(70*0.5)</f>
        <v>35</v>
      </c>
      <c r="K101" s="204">
        <f t="shared" ref="K101:K103" si="8">+J101/11*10</f>
        <v>31.818181818181817</v>
      </c>
      <c r="M101" s="459"/>
    </row>
    <row r="102" spans="2:13" x14ac:dyDescent="0.2">
      <c r="B102" s="212" t="s">
        <v>202</v>
      </c>
      <c r="C102" s="207"/>
      <c r="D102" s="207"/>
      <c r="E102" s="207"/>
      <c r="F102" s="207"/>
      <c r="G102" s="392">
        <f>(80*1.75)-80</f>
        <v>60</v>
      </c>
      <c r="H102" s="241" t="s">
        <v>9</v>
      </c>
      <c r="I102" s="45"/>
      <c r="J102" s="205">
        <f>(88*1.75)-88</f>
        <v>66</v>
      </c>
      <c r="K102" s="103">
        <f t="shared" si="8"/>
        <v>60</v>
      </c>
      <c r="M102" s="459"/>
    </row>
    <row r="103" spans="2:13" x14ac:dyDescent="0.2">
      <c r="B103" s="212" t="s">
        <v>233</v>
      </c>
      <c r="C103" s="207"/>
      <c r="D103" s="207"/>
      <c r="E103" s="207"/>
      <c r="F103" s="207"/>
      <c r="G103" s="45"/>
      <c r="H103" s="45"/>
      <c r="I103" s="45"/>
      <c r="J103" s="205">
        <v>1299</v>
      </c>
      <c r="K103" s="103">
        <f t="shared" si="8"/>
        <v>1180.909090909091</v>
      </c>
      <c r="M103" s="459"/>
    </row>
    <row r="104" spans="2:13" x14ac:dyDescent="0.2">
      <c r="B104" s="209"/>
      <c r="C104" s="210"/>
      <c r="D104" s="210"/>
      <c r="E104" s="210"/>
      <c r="F104" s="210"/>
      <c r="G104" s="218"/>
      <c r="H104" s="218"/>
      <c r="I104" s="218"/>
      <c r="J104" s="218"/>
      <c r="K104" s="234"/>
      <c r="M104" s="460"/>
    </row>
    <row r="105" spans="2:13" x14ac:dyDescent="0.25"/>
    <row r="106" spans="2:13" ht="15.75" x14ac:dyDescent="0.25">
      <c r="B106" s="32" t="s">
        <v>2</v>
      </c>
      <c r="C106" s="33"/>
      <c r="D106" s="33"/>
      <c r="E106" s="33"/>
      <c r="F106" s="33"/>
      <c r="G106" s="34"/>
      <c r="H106" s="34"/>
      <c r="I106" s="34"/>
      <c r="J106" s="34"/>
      <c r="K106" s="33"/>
      <c r="M106" s="35"/>
    </row>
    <row r="107" spans="2:13" x14ac:dyDescent="0.25"/>
    <row r="108" spans="2:13" x14ac:dyDescent="0.25">
      <c r="B108" s="449" t="s">
        <v>27</v>
      </c>
      <c r="C108" s="450"/>
      <c r="D108" s="450"/>
      <c r="E108" s="450"/>
      <c r="F108" s="451"/>
      <c r="G108" s="36" t="s">
        <v>12</v>
      </c>
      <c r="H108" s="37" t="s">
        <v>13</v>
      </c>
      <c r="I108" s="38" t="s">
        <v>14</v>
      </c>
      <c r="J108" s="37" t="s">
        <v>15</v>
      </c>
      <c r="K108" s="39" t="s">
        <v>16</v>
      </c>
      <c r="M108" s="40" t="s">
        <v>5</v>
      </c>
    </row>
    <row r="109" spans="2:13" ht="20.25" customHeight="1" x14ac:dyDescent="0.25">
      <c r="B109" s="481" t="s">
        <v>101</v>
      </c>
      <c r="C109" s="482"/>
      <c r="D109" s="482"/>
      <c r="E109" s="482"/>
      <c r="F109" s="483"/>
      <c r="G109" s="19">
        <v>872134.43999999936</v>
      </c>
      <c r="H109" s="20">
        <v>853046.26999999932</v>
      </c>
      <c r="I109" s="21">
        <v>720994.48999999941</v>
      </c>
      <c r="J109" s="20">
        <v>903900.01999999932</v>
      </c>
      <c r="K109" s="72"/>
      <c r="M109" s="461" t="s">
        <v>105</v>
      </c>
    </row>
    <row r="110" spans="2:13" ht="20.25" customHeight="1" x14ac:dyDescent="0.25">
      <c r="B110" s="481" t="s">
        <v>102</v>
      </c>
      <c r="C110" s="482"/>
      <c r="D110" s="482"/>
      <c r="E110" s="482"/>
      <c r="F110" s="483"/>
      <c r="G110" s="19">
        <v>106816.51000000001</v>
      </c>
      <c r="H110" s="20">
        <v>152495.82999999999</v>
      </c>
      <c r="I110" s="21">
        <v>124929.61</v>
      </c>
      <c r="J110" s="20">
        <v>121297.01000000065</v>
      </c>
      <c r="K110" s="72"/>
      <c r="M110" s="462"/>
    </row>
    <row r="111" spans="2:13" x14ac:dyDescent="0.25"/>
    <row r="112" spans="2:13" ht="15.75" x14ac:dyDescent="0.25">
      <c r="B112" s="32" t="s">
        <v>41</v>
      </c>
      <c r="C112" s="33"/>
      <c r="D112" s="33"/>
      <c r="E112" s="33"/>
      <c r="F112" s="33"/>
      <c r="G112" s="34"/>
      <c r="H112" s="34"/>
      <c r="I112" s="34"/>
      <c r="J112" s="34"/>
      <c r="K112" s="33"/>
      <c r="M112" s="35"/>
    </row>
    <row r="113" spans="2:13" x14ac:dyDescent="0.25"/>
    <row r="114" spans="2:13" x14ac:dyDescent="0.25">
      <c r="B114" s="50" t="s">
        <v>25</v>
      </c>
      <c r="C114" s="487" t="s">
        <v>40</v>
      </c>
      <c r="D114" s="487"/>
      <c r="E114" s="487"/>
      <c r="F114" s="487"/>
      <c r="G114" s="37" t="s">
        <v>12</v>
      </c>
      <c r="H114" s="37" t="s">
        <v>13</v>
      </c>
      <c r="I114" s="37" t="s">
        <v>14</v>
      </c>
      <c r="J114" s="37" t="s">
        <v>15</v>
      </c>
      <c r="K114" s="51" t="s">
        <v>16</v>
      </c>
      <c r="M114" s="40" t="s">
        <v>5</v>
      </c>
    </row>
    <row r="115" spans="2:13" ht="51" x14ac:dyDescent="0.25">
      <c r="B115" s="22" t="s">
        <v>103</v>
      </c>
      <c r="C115" s="463" t="s">
        <v>104</v>
      </c>
      <c r="D115" s="464"/>
      <c r="E115" s="464"/>
      <c r="F115" s="465"/>
      <c r="G115" s="25" t="s">
        <v>11</v>
      </c>
      <c r="H115" s="23">
        <v>700142.52950444596</v>
      </c>
      <c r="I115" s="20">
        <v>722288.02491656516</v>
      </c>
      <c r="J115" s="20">
        <v>698189.57546967524</v>
      </c>
      <c r="K115" s="74"/>
      <c r="M115" s="286" t="s">
        <v>106</v>
      </c>
    </row>
    <row r="116" spans="2:13" ht="13.5" thickBot="1" x14ac:dyDescent="0.3">
      <c r="B116" s="52"/>
      <c r="C116" s="52"/>
      <c r="D116" s="52"/>
      <c r="E116" s="52"/>
      <c r="F116" s="52"/>
      <c r="G116" s="53">
        <f>SUM(G115:G115)</f>
        <v>0</v>
      </c>
      <c r="H116" s="53">
        <f>SUM(H115:H115)</f>
        <v>700142.52950444596</v>
      </c>
      <c r="I116" s="53">
        <f>SUM(I115:I115)</f>
        <v>722288.02491656516</v>
      </c>
      <c r="J116" s="53">
        <f>SUM(J115:J115)</f>
        <v>698189.57546967524</v>
      </c>
      <c r="K116" s="75"/>
    </row>
    <row r="117" spans="2:13" x14ac:dyDescent="0.25">
      <c r="B117" s="52"/>
      <c r="C117" s="52"/>
      <c r="D117" s="52"/>
      <c r="E117" s="52"/>
      <c r="F117" s="52"/>
      <c r="G117" s="54"/>
      <c r="H117" s="54"/>
      <c r="I117" s="54"/>
      <c r="J117" s="54"/>
      <c r="K117" s="29"/>
    </row>
    <row r="118" spans="2:13" ht="15.75" x14ac:dyDescent="0.25">
      <c r="B118" s="32" t="s">
        <v>45</v>
      </c>
      <c r="C118" s="33"/>
      <c r="D118" s="33"/>
      <c r="E118" s="33"/>
      <c r="F118" s="33"/>
      <c r="G118" s="34"/>
      <c r="H118" s="34"/>
      <c r="I118" s="34"/>
      <c r="J118" s="34"/>
      <c r="K118" s="33"/>
      <c r="M118" s="35"/>
    </row>
    <row r="119" spans="2:13" x14ac:dyDescent="0.25"/>
    <row r="120" spans="2:13" ht="38.25" x14ac:dyDescent="0.25">
      <c r="B120" s="449" t="s">
        <v>27</v>
      </c>
      <c r="C120" s="450"/>
      <c r="D120" s="450"/>
      <c r="E120" s="450"/>
      <c r="F120" s="451"/>
      <c r="G120" s="36" t="s">
        <v>12</v>
      </c>
      <c r="H120" s="37" t="s">
        <v>13</v>
      </c>
      <c r="I120" s="37" t="s">
        <v>14</v>
      </c>
      <c r="J120" s="37" t="s">
        <v>15</v>
      </c>
      <c r="K120" s="141" t="s">
        <v>75</v>
      </c>
      <c r="M120" s="40" t="s">
        <v>5</v>
      </c>
    </row>
    <row r="121" spans="2:13" ht="12.75" customHeight="1" x14ac:dyDescent="0.25">
      <c r="B121" s="452"/>
      <c r="C121" s="453"/>
      <c r="D121" s="453"/>
      <c r="E121" s="453"/>
      <c r="F121" s="454"/>
      <c r="G121" s="41"/>
      <c r="H121" s="42"/>
      <c r="I121" s="43"/>
      <c r="J121" s="42"/>
      <c r="K121" s="42"/>
      <c r="M121" s="458" t="s">
        <v>249</v>
      </c>
    </row>
    <row r="122" spans="2:13" x14ac:dyDescent="0.25">
      <c r="B122" s="455" t="s">
        <v>193</v>
      </c>
      <c r="C122" s="456"/>
      <c r="D122" s="456"/>
      <c r="E122" s="456"/>
      <c r="F122" s="457"/>
      <c r="G122" s="287"/>
      <c r="H122" s="288"/>
      <c r="I122" s="289"/>
      <c r="J122" s="288"/>
      <c r="K122" s="288"/>
      <c r="M122" s="459"/>
    </row>
    <row r="123" spans="2:13" x14ac:dyDescent="0.2">
      <c r="B123" s="212" t="s">
        <v>107</v>
      </c>
      <c r="C123" s="207"/>
      <c r="D123" s="207"/>
      <c r="E123" s="207"/>
      <c r="F123" s="208"/>
      <c r="G123" s="44"/>
      <c r="H123" s="45">
        <v>32</v>
      </c>
      <c r="I123" s="46">
        <v>58</v>
      </c>
      <c r="J123" s="45">
        <v>48</v>
      </c>
      <c r="K123" s="45">
        <v>50</v>
      </c>
      <c r="M123" s="459"/>
    </row>
    <row r="124" spans="2:13" x14ac:dyDescent="0.2">
      <c r="B124" s="212" t="s">
        <v>108</v>
      </c>
      <c r="C124" s="207"/>
      <c r="D124" s="207"/>
      <c r="E124" s="207"/>
      <c r="F124" s="208"/>
      <c r="G124" s="44"/>
      <c r="H124" s="45">
        <v>69</v>
      </c>
      <c r="I124" s="46">
        <v>73</v>
      </c>
      <c r="J124" s="45">
        <v>73</v>
      </c>
      <c r="K124" s="45">
        <v>79</v>
      </c>
      <c r="M124" s="459"/>
    </row>
    <row r="125" spans="2:13" x14ac:dyDescent="0.2">
      <c r="B125" s="212" t="s">
        <v>109</v>
      </c>
      <c r="C125" s="207"/>
      <c r="D125" s="207"/>
      <c r="E125" s="207"/>
      <c r="F125" s="208"/>
      <c r="G125" s="44"/>
      <c r="H125" s="45">
        <v>24</v>
      </c>
      <c r="I125" s="46">
        <v>41</v>
      </c>
      <c r="J125" s="45">
        <v>40</v>
      </c>
      <c r="K125" s="45">
        <v>44</v>
      </c>
      <c r="M125" s="459"/>
    </row>
    <row r="126" spans="2:13" x14ac:dyDescent="0.2">
      <c r="B126" s="212" t="s">
        <v>110</v>
      </c>
      <c r="C126" s="207"/>
      <c r="D126" s="207"/>
      <c r="E126" s="207"/>
      <c r="F126" s="208"/>
      <c r="G126" s="44"/>
      <c r="H126" s="45">
        <v>19</v>
      </c>
      <c r="I126" s="46">
        <v>24</v>
      </c>
      <c r="J126" s="45">
        <v>56</v>
      </c>
      <c r="K126" s="45">
        <v>55</v>
      </c>
      <c r="M126" s="459"/>
    </row>
    <row r="127" spans="2:13" x14ac:dyDescent="0.2">
      <c r="B127" s="212" t="s">
        <v>111</v>
      </c>
      <c r="C127" s="207"/>
      <c r="D127" s="207"/>
      <c r="E127" s="207"/>
      <c r="F127" s="208"/>
      <c r="G127" s="44"/>
      <c r="H127" s="45">
        <v>28</v>
      </c>
      <c r="I127" s="46">
        <v>18</v>
      </c>
      <c r="J127" s="45">
        <v>36</v>
      </c>
      <c r="K127" s="45">
        <v>38</v>
      </c>
      <c r="M127" s="459"/>
    </row>
    <row r="128" spans="2:13" x14ac:dyDescent="0.2">
      <c r="B128" s="212" t="s">
        <v>112</v>
      </c>
      <c r="C128" s="207"/>
      <c r="D128" s="207"/>
      <c r="E128" s="207"/>
      <c r="F128" s="208"/>
      <c r="G128" s="44"/>
      <c r="H128" s="45">
        <v>5</v>
      </c>
      <c r="I128" s="46">
        <v>6</v>
      </c>
      <c r="J128" s="45">
        <v>11</v>
      </c>
      <c r="K128" s="45">
        <v>12</v>
      </c>
      <c r="M128" s="459"/>
    </row>
    <row r="129" spans="2:13" x14ac:dyDescent="0.2">
      <c r="B129" s="212" t="s">
        <v>113</v>
      </c>
      <c r="C129" s="207"/>
      <c r="D129" s="207"/>
      <c r="E129" s="207"/>
      <c r="F129" s="208"/>
      <c r="G129" s="44"/>
      <c r="H129" s="45">
        <v>11</v>
      </c>
      <c r="I129" s="46">
        <v>18</v>
      </c>
      <c r="J129" s="45">
        <v>8</v>
      </c>
      <c r="K129" s="45">
        <v>8</v>
      </c>
      <c r="M129" s="459"/>
    </row>
    <row r="130" spans="2:13" x14ac:dyDescent="0.2">
      <c r="B130" s="212" t="s">
        <v>114</v>
      </c>
      <c r="C130" s="207"/>
      <c r="D130" s="207"/>
      <c r="E130" s="207"/>
      <c r="F130" s="208"/>
      <c r="G130" s="44"/>
      <c r="H130" s="45">
        <v>1</v>
      </c>
      <c r="I130" s="46">
        <v>2</v>
      </c>
      <c r="J130" s="45">
        <v>6</v>
      </c>
      <c r="K130" s="45">
        <v>7</v>
      </c>
      <c r="M130" s="459"/>
    </row>
    <row r="131" spans="2:13" x14ac:dyDescent="0.2">
      <c r="B131" s="212" t="s">
        <v>115</v>
      </c>
      <c r="C131" s="207"/>
      <c r="D131" s="207"/>
      <c r="E131" s="207"/>
      <c r="F131" s="208"/>
      <c r="G131" s="44"/>
      <c r="H131" s="45">
        <v>1</v>
      </c>
      <c r="I131" s="46">
        <v>0</v>
      </c>
      <c r="J131" s="45">
        <v>1</v>
      </c>
      <c r="K131" s="45">
        <v>1</v>
      </c>
      <c r="M131" s="459"/>
    </row>
    <row r="132" spans="2:13" x14ac:dyDescent="0.2">
      <c r="B132" s="212" t="s">
        <v>116</v>
      </c>
      <c r="C132" s="207"/>
      <c r="D132" s="207"/>
      <c r="E132" s="207"/>
      <c r="F132" s="208"/>
      <c r="G132" s="44"/>
      <c r="H132" s="45">
        <v>4</v>
      </c>
      <c r="I132" s="46">
        <v>2</v>
      </c>
      <c r="J132" s="45">
        <v>1</v>
      </c>
      <c r="K132" s="45">
        <v>1</v>
      </c>
      <c r="M132" s="459"/>
    </row>
    <row r="133" spans="2:13" x14ac:dyDescent="0.2">
      <c r="B133" s="212" t="s">
        <v>117</v>
      </c>
      <c r="C133" s="207"/>
      <c r="D133" s="207"/>
      <c r="E133" s="207"/>
      <c r="F133" s="208"/>
      <c r="G133" s="44"/>
      <c r="H133" s="45">
        <v>0</v>
      </c>
      <c r="I133" s="46">
        <v>1</v>
      </c>
      <c r="J133" s="45">
        <v>5</v>
      </c>
      <c r="K133" s="45">
        <v>3</v>
      </c>
      <c r="M133" s="459"/>
    </row>
    <row r="134" spans="2:13" x14ac:dyDescent="0.2">
      <c r="B134" s="212" t="s">
        <v>118</v>
      </c>
      <c r="C134" s="207"/>
      <c r="D134" s="207"/>
      <c r="E134" s="207"/>
      <c r="F134" s="208"/>
      <c r="G134" s="44"/>
      <c r="H134" s="45">
        <v>0</v>
      </c>
      <c r="I134" s="46">
        <v>1</v>
      </c>
      <c r="J134" s="45">
        <v>0</v>
      </c>
      <c r="K134" s="45">
        <v>0</v>
      </c>
      <c r="M134" s="459"/>
    </row>
    <row r="135" spans="2:13" x14ac:dyDescent="0.2">
      <c r="B135" s="212" t="s">
        <v>119</v>
      </c>
      <c r="C135" s="207"/>
      <c r="D135" s="207"/>
      <c r="E135" s="207"/>
      <c r="F135" s="208"/>
      <c r="G135" s="44"/>
      <c r="H135" s="45">
        <v>0</v>
      </c>
      <c r="I135" s="46">
        <v>0</v>
      </c>
      <c r="J135" s="45">
        <v>0</v>
      </c>
      <c r="K135" s="45">
        <v>0</v>
      </c>
      <c r="M135" s="459"/>
    </row>
    <row r="136" spans="2:13" x14ac:dyDescent="0.2">
      <c r="B136" s="212" t="s">
        <v>120</v>
      </c>
      <c r="C136" s="207"/>
      <c r="D136" s="207"/>
      <c r="E136" s="207"/>
      <c r="F136" s="208"/>
      <c r="G136" s="44"/>
      <c r="H136" s="45">
        <v>4</v>
      </c>
      <c r="I136" s="46">
        <v>5</v>
      </c>
      <c r="J136" s="45">
        <v>4</v>
      </c>
      <c r="K136" s="45">
        <v>4</v>
      </c>
      <c r="M136" s="459"/>
    </row>
    <row r="137" spans="2:13" x14ac:dyDescent="0.2">
      <c r="B137" s="212" t="s">
        <v>121</v>
      </c>
      <c r="C137" s="207"/>
      <c r="D137" s="207"/>
      <c r="E137" s="207"/>
      <c r="F137" s="208"/>
      <c r="G137" s="44"/>
      <c r="H137" s="45">
        <v>2</v>
      </c>
      <c r="I137" s="46">
        <v>0</v>
      </c>
      <c r="J137" s="45">
        <v>0</v>
      </c>
      <c r="K137" s="45">
        <v>0</v>
      </c>
      <c r="M137" s="459"/>
    </row>
    <row r="138" spans="2:13" x14ac:dyDescent="0.2">
      <c r="B138" s="212" t="s">
        <v>122</v>
      </c>
      <c r="C138" s="207"/>
      <c r="D138" s="207"/>
      <c r="E138" s="207"/>
      <c r="F138" s="208"/>
      <c r="G138" s="44"/>
      <c r="H138" s="45">
        <v>0</v>
      </c>
      <c r="I138" s="46">
        <v>0</v>
      </c>
      <c r="J138" s="45">
        <v>0</v>
      </c>
      <c r="K138" s="45">
        <v>0</v>
      </c>
      <c r="M138" s="459"/>
    </row>
    <row r="139" spans="2:13" x14ac:dyDescent="0.2">
      <c r="B139" s="212" t="s">
        <v>123</v>
      </c>
      <c r="C139" s="207"/>
      <c r="D139" s="207"/>
      <c r="E139" s="207"/>
      <c r="F139" s="208"/>
      <c r="G139" s="44"/>
      <c r="H139" s="45">
        <v>0</v>
      </c>
      <c r="I139" s="46">
        <v>7</v>
      </c>
      <c r="J139" s="45">
        <v>2</v>
      </c>
      <c r="K139" s="45">
        <v>2</v>
      </c>
      <c r="M139" s="459"/>
    </row>
    <row r="140" spans="2:13" x14ac:dyDescent="0.2">
      <c r="B140" s="212" t="s">
        <v>124</v>
      </c>
      <c r="C140" s="207"/>
      <c r="D140" s="207"/>
      <c r="E140" s="207"/>
      <c r="F140" s="208"/>
      <c r="G140" s="44"/>
      <c r="H140" s="45">
        <v>0</v>
      </c>
      <c r="I140" s="46">
        <v>0</v>
      </c>
      <c r="J140" s="45">
        <v>0</v>
      </c>
      <c r="K140" s="45">
        <v>0</v>
      </c>
      <c r="M140" s="459"/>
    </row>
    <row r="141" spans="2:13" x14ac:dyDescent="0.2">
      <c r="B141" s="212" t="s">
        <v>125</v>
      </c>
      <c r="C141" s="207"/>
      <c r="D141" s="207"/>
      <c r="E141" s="207"/>
      <c r="F141" s="208"/>
      <c r="G141" s="44"/>
      <c r="H141" s="45">
        <v>0</v>
      </c>
      <c r="I141" s="46">
        <v>0</v>
      </c>
      <c r="J141" s="45">
        <v>0</v>
      </c>
      <c r="K141" s="45">
        <v>0</v>
      </c>
      <c r="M141" s="459"/>
    </row>
    <row r="142" spans="2:13" x14ac:dyDescent="0.2">
      <c r="B142" s="212" t="s">
        <v>126</v>
      </c>
      <c r="C142" s="207"/>
      <c r="D142" s="207"/>
      <c r="E142" s="207"/>
      <c r="F142" s="208"/>
      <c r="G142" s="44"/>
      <c r="H142" s="45">
        <v>3</v>
      </c>
      <c r="I142" s="46">
        <v>6</v>
      </c>
      <c r="J142" s="45">
        <v>5</v>
      </c>
      <c r="K142" s="45">
        <v>5</v>
      </c>
      <c r="M142" s="459"/>
    </row>
    <row r="143" spans="2:13" x14ac:dyDescent="0.2">
      <c r="B143" s="212" t="s">
        <v>127</v>
      </c>
      <c r="C143" s="207"/>
      <c r="D143" s="207"/>
      <c r="E143" s="207"/>
      <c r="F143" s="208"/>
      <c r="G143" s="44"/>
      <c r="H143" s="45">
        <v>0</v>
      </c>
      <c r="I143" s="46">
        <v>1</v>
      </c>
      <c r="J143" s="45">
        <v>1</v>
      </c>
      <c r="K143" s="45">
        <v>1</v>
      </c>
      <c r="M143" s="459"/>
    </row>
    <row r="144" spans="2:13" x14ac:dyDescent="0.2">
      <c r="B144" s="212" t="s">
        <v>128</v>
      </c>
      <c r="C144" s="207"/>
      <c r="D144" s="207"/>
      <c r="E144" s="207"/>
      <c r="F144" s="208"/>
      <c r="G144" s="44"/>
      <c r="H144" s="45">
        <v>0</v>
      </c>
      <c r="I144" s="46">
        <v>1</v>
      </c>
      <c r="J144" s="45">
        <v>0</v>
      </c>
      <c r="K144" s="45">
        <v>0</v>
      </c>
      <c r="M144" s="459"/>
    </row>
    <row r="145" spans="2:13" s="351" customFormat="1" x14ac:dyDescent="0.2">
      <c r="B145" s="250" t="s">
        <v>129</v>
      </c>
      <c r="C145" s="352"/>
      <c r="D145" s="352"/>
      <c r="E145" s="352"/>
      <c r="F145" s="353"/>
      <c r="G145" s="354"/>
      <c r="H145" s="355">
        <v>3</v>
      </c>
      <c r="I145" s="356">
        <v>3</v>
      </c>
      <c r="J145" s="355">
        <v>3</v>
      </c>
      <c r="K145" s="355">
        <v>3</v>
      </c>
      <c r="M145" s="459"/>
    </row>
    <row r="146" spans="2:13" s="351" customFormat="1" x14ac:dyDescent="0.2">
      <c r="B146" s="250" t="s">
        <v>130</v>
      </c>
      <c r="C146" s="352"/>
      <c r="D146" s="352"/>
      <c r="E146" s="352"/>
      <c r="F146" s="353"/>
      <c r="G146" s="354"/>
      <c r="H146" s="355">
        <v>3</v>
      </c>
      <c r="I146" s="356">
        <v>8</v>
      </c>
      <c r="J146" s="355">
        <v>3</v>
      </c>
      <c r="K146" s="355">
        <v>3</v>
      </c>
      <c r="M146" s="459"/>
    </row>
    <row r="147" spans="2:13" s="351" customFormat="1" x14ac:dyDescent="0.2">
      <c r="B147" s="250" t="s">
        <v>131</v>
      </c>
      <c r="C147" s="352"/>
      <c r="D147" s="352"/>
      <c r="E147" s="352"/>
      <c r="F147" s="353"/>
      <c r="G147" s="354"/>
      <c r="H147" s="355">
        <v>3</v>
      </c>
      <c r="I147" s="356">
        <v>2</v>
      </c>
      <c r="J147" s="355">
        <v>4</v>
      </c>
      <c r="K147" s="355">
        <v>4</v>
      </c>
      <c r="M147" s="459"/>
    </row>
    <row r="148" spans="2:13" s="351" customFormat="1" x14ac:dyDescent="0.2">
      <c r="B148" s="250" t="s">
        <v>132</v>
      </c>
      <c r="C148" s="352"/>
      <c r="D148" s="352"/>
      <c r="E148" s="352"/>
      <c r="F148" s="353"/>
      <c r="G148" s="354"/>
      <c r="H148" s="355">
        <v>2</v>
      </c>
      <c r="I148" s="356">
        <v>0</v>
      </c>
      <c r="J148" s="355">
        <v>2</v>
      </c>
      <c r="K148" s="355">
        <v>0</v>
      </c>
      <c r="M148" s="459"/>
    </row>
    <row r="149" spans="2:13" s="351" customFormat="1" x14ac:dyDescent="0.2">
      <c r="B149" s="250" t="s">
        <v>133</v>
      </c>
      <c r="C149" s="352"/>
      <c r="D149" s="352"/>
      <c r="E149" s="352"/>
      <c r="F149" s="353"/>
      <c r="G149" s="354"/>
      <c r="H149" s="355">
        <v>5</v>
      </c>
      <c r="I149" s="356">
        <v>5</v>
      </c>
      <c r="J149" s="355">
        <v>5</v>
      </c>
      <c r="K149" s="355">
        <v>5</v>
      </c>
      <c r="M149" s="459"/>
    </row>
    <row r="150" spans="2:13" s="351" customFormat="1" x14ac:dyDescent="0.2">
      <c r="B150" s="250" t="s">
        <v>134</v>
      </c>
      <c r="C150" s="352"/>
      <c r="D150" s="352"/>
      <c r="E150" s="352"/>
      <c r="F150" s="353"/>
      <c r="G150" s="354"/>
      <c r="H150" s="355">
        <v>3</v>
      </c>
      <c r="I150" s="356">
        <v>0</v>
      </c>
      <c r="J150" s="355">
        <v>3</v>
      </c>
      <c r="K150" s="355">
        <v>2</v>
      </c>
      <c r="M150" s="459"/>
    </row>
    <row r="151" spans="2:13" s="351" customFormat="1" x14ac:dyDescent="0.2">
      <c r="B151" s="250" t="s">
        <v>135</v>
      </c>
      <c r="C151" s="352"/>
      <c r="D151" s="352"/>
      <c r="E151" s="352"/>
      <c r="F151" s="353"/>
      <c r="G151" s="354"/>
      <c r="H151" s="355">
        <v>0</v>
      </c>
      <c r="I151" s="356">
        <v>0</v>
      </c>
      <c r="J151" s="355">
        <v>1</v>
      </c>
      <c r="K151" s="355">
        <v>1</v>
      </c>
      <c r="M151" s="459"/>
    </row>
    <row r="152" spans="2:13" s="351" customFormat="1" x14ac:dyDescent="0.2">
      <c r="B152" s="250" t="s">
        <v>136</v>
      </c>
      <c r="C152" s="352"/>
      <c r="D152" s="352"/>
      <c r="E152" s="352"/>
      <c r="F152" s="353"/>
      <c r="G152" s="354"/>
      <c r="H152" s="355">
        <v>0</v>
      </c>
      <c r="I152" s="356">
        <v>0</v>
      </c>
      <c r="J152" s="355">
        <v>1</v>
      </c>
      <c r="K152" s="355">
        <v>1</v>
      </c>
      <c r="M152" s="459"/>
    </row>
    <row r="153" spans="2:13" s="351" customFormat="1" x14ac:dyDescent="0.2">
      <c r="B153" s="250" t="s">
        <v>137</v>
      </c>
      <c r="C153" s="352"/>
      <c r="D153" s="352"/>
      <c r="E153" s="352"/>
      <c r="F153" s="353"/>
      <c r="G153" s="354"/>
      <c r="H153" s="355">
        <v>1</v>
      </c>
      <c r="I153" s="356">
        <v>1</v>
      </c>
      <c r="J153" s="355">
        <v>1</v>
      </c>
      <c r="K153" s="355">
        <v>1</v>
      </c>
      <c r="M153" s="459"/>
    </row>
    <row r="154" spans="2:13" s="351" customFormat="1" x14ac:dyDescent="0.2">
      <c r="B154" s="250" t="s">
        <v>138</v>
      </c>
      <c r="C154" s="352"/>
      <c r="D154" s="352"/>
      <c r="E154" s="352"/>
      <c r="F154" s="353"/>
      <c r="G154" s="354"/>
      <c r="H154" s="355">
        <v>0</v>
      </c>
      <c r="I154" s="356">
        <v>0</v>
      </c>
      <c r="J154" s="355">
        <v>0</v>
      </c>
      <c r="K154" s="355">
        <v>0</v>
      </c>
      <c r="M154" s="459"/>
    </row>
    <row r="155" spans="2:13" s="351" customFormat="1" x14ac:dyDescent="0.2">
      <c r="B155" s="250" t="s">
        <v>139</v>
      </c>
      <c r="C155" s="352"/>
      <c r="D155" s="352"/>
      <c r="E155" s="352"/>
      <c r="F155" s="353"/>
      <c r="G155" s="354"/>
      <c r="H155" s="355">
        <v>0</v>
      </c>
      <c r="I155" s="356">
        <v>0</v>
      </c>
      <c r="J155" s="355">
        <v>0</v>
      </c>
      <c r="K155" s="355">
        <v>0</v>
      </c>
      <c r="M155" s="459"/>
    </row>
    <row r="156" spans="2:13" s="351" customFormat="1" x14ac:dyDescent="0.2">
      <c r="B156" s="250" t="s">
        <v>140</v>
      </c>
      <c r="C156" s="352"/>
      <c r="D156" s="352"/>
      <c r="E156" s="352"/>
      <c r="F156" s="353"/>
      <c r="G156" s="354"/>
      <c r="H156" s="355">
        <v>0</v>
      </c>
      <c r="I156" s="356">
        <v>0</v>
      </c>
      <c r="J156" s="355">
        <v>0</v>
      </c>
      <c r="K156" s="355">
        <v>0</v>
      </c>
      <c r="M156" s="459"/>
    </row>
    <row r="157" spans="2:13" s="351" customFormat="1" x14ac:dyDescent="0.2">
      <c r="B157" s="250" t="s">
        <v>141</v>
      </c>
      <c r="C157" s="352"/>
      <c r="D157" s="352"/>
      <c r="E157" s="352"/>
      <c r="F157" s="353"/>
      <c r="G157" s="354"/>
      <c r="H157" s="355">
        <v>0</v>
      </c>
      <c r="I157" s="356">
        <v>0</v>
      </c>
      <c r="J157" s="355">
        <v>0</v>
      </c>
      <c r="K157" s="355">
        <v>0</v>
      </c>
      <c r="M157" s="459"/>
    </row>
    <row r="158" spans="2:13" s="351" customFormat="1" x14ac:dyDescent="0.2">
      <c r="B158" s="250" t="s">
        <v>142</v>
      </c>
      <c r="C158" s="352"/>
      <c r="D158" s="352"/>
      <c r="E158" s="352"/>
      <c r="F158" s="353"/>
      <c r="G158" s="354"/>
      <c r="H158" s="355">
        <v>0</v>
      </c>
      <c r="I158" s="356">
        <v>0</v>
      </c>
      <c r="J158" s="355">
        <v>2</v>
      </c>
      <c r="K158" s="355">
        <v>2</v>
      </c>
      <c r="M158" s="459"/>
    </row>
    <row r="159" spans="2:13" s="351" customFormat="1" x14ac:dyDescent="0.2">
      <c r="B159" s="250" t="s">
        <v>143</v>
      </c>
      <c r="C159" s="352"/>
      <c r="D159" s="352"/>
      <c r="E159" s="352"/>
      <c r="F159" s="353"/>
      <c r="G159" s="354"/>
      <c r="H159" s="355">
        <v>0</v>
      </c>
      <c r="I159" s="356">
        <v>0</v>
      </c>
      <c r="J159" s="355">
        <v>0</v>
      </c>
      <c r="K159" s="355">
        <v>0</v>
      </c>
      <c r="M159" s="459"/>
    </row>
    <row r="160" spans="2:13" s="351" customFormat="1" x14ac:dyDescent="0.2">
      <c r="B160" s="250" t="s">
        <v>144</v>
      </c>
      <c r="C160" s="352"/>
      <c r="D160" s="352"/>
      <c r="E160" s="352"/>
      <c r="F160" s="353"/>
      <c r="G160" s="354"/>
      <c r="H160" s="355">
        <v>0</v>
      </c>
      <c r="I160" s="356">
        <v>0</v>
      </c>
      <c r="J160" s="355">
        <v>0</v>
      </c>
      <c r="K160" s="355">
        <v>0</v>
      </c>
      <c r="M160" s="459"/>
    </row>
    <row r="161" spans="2:13" s="351" customFormat="1" x14ac:dyDescent="0.2">
      <c r="B161" s="250" t="s">
        <v>145</v>
      </c>
      <c r="C161" s="352"/>
      <c r="D161" s="352"/>
      <c r="E161" s="352"/>
      <c r="F161" s="353"/>
      <c r="G161" s="354"/>
      <c r="H161" s="355">
        <v>0</v>
      </c>
      <c r="I161" s="356">
        <v>0</v>
      </c>
      <c r="J161" s="355">
        <v>0</v>
      </c>
      <c r="K161" s="355">
        <v>0</v>
      </c>
      <c r="M161" s="459"/>
    </row>
    <row r="162" spans="2:13" s="351" customFormat="1" x14ac:dyDescent="0.2">
      <c r="B162" s="250" t="s">
        <v>146</v>
      </c>
      <c r="C162" s="352"/>
      <c r="D162" s="352"/>
      <c r="E162" s="352"/>
      <c r="F162" s="353"/>
      <c r="G162" s="354"/>
      <c r="H162" s="355">
        <v>0</v>
      </c>
      <c r="I162" s="356">
        <v>0</v>
      </c>
      <c r="J162" s="355">
        <v>0</v>
      </c>
      <c r="K162" s="355">
        <v>0</v>
      </c>
      <c r="M162" s="459"/>
    </row>
    <row r="163" spans="2:13" s="351" customFormat="1" x14ac:dyDescent="0.2">
      <c r="B163" s="250" t="s">
        <v>147</v>
      </c>
      <c r="C163" s="352"/>
      <c r="D163" s="352"/>
      <c r="E163" s="352"/>
      <c r="F163" s="353"/>
      <c r="G163" s="354"/>
      <c r="H163" s="355">
        <v>0</v>
      </c>
      <c r="I163" s="356">
        <v>0</v>
      </c>
      <c r="J163" s="355">
        <v>0</v>
      </c>
      <c r="K163" s="355">
        <v>0</v>
      </c>
      <c r="M163" s="459"/>
    </row>
    <row r="164" spans="2:13" s="351" customFormat="1" x14ac:dyDescent="0.2">
      <c r="B164" s="250" t="s">
        <v>148</v>
      </c>
      <c r="C164" s="352"/>
      <c r="D164" s="352"/>
      <c r="E164" s="352"/>
      <c r="F164" s="353"/>
      <c r="G164" s="354"/>
      <c r="H164" s="355">
        <v>0</v>
      </c>
      <c r="I164" s="356">
        <v>0</v>
      </c>
      <c r="J164" s="355">
        <v>0</v>
      </c>
      <c r="K164" s="355">
        <v>0</v>
      </c>
      <c r="M164" s="459"/>
    </row>
    <row r="165" spans="2:13" s="351" customFormat="1" x14ac:dyDescent="0.2">
      <c r="B165" s="250" t="s">
        <v>149</v>
      </c>
      <c r="C165" s="352"/>
      <c r="D165" s="352"/>
      <c r="E165" s="352"/>
      <c r="F165" s="353"/>
      <c r="G165" s="354"/>
      <c r="H165" s="355">
        <v>0</v>
      </c>
      <c r="I165" s="356">
        <v>0</v>
      </c>
      <c r="J165" s="355">
        <v>0</v>
      </c>
      <c r="K165" s="355">
        <v>0</v>
      </c>
      <c r="M165" s="459"/>
    </row>
    <row r="166" spans="2:13" x14ac:dyDescent="0.2">
      <c r="B166" s="212" t="s">
        <v>150</v>
      </c>
      <c r="C166" s="207"/>
      <c r="D166" s="207"/>
      <c r="E166" s="207"/>
      <c r="F166" s="208"/>
      <c r="G166" s="44"/>
      <c r="H166" s="45">
        <v>3</v>
      </c>
      <c r="I166" s="46">
        <v>5</v>
      </c>
      <c r="J166" s="45">
        <v>4</v>
      </c>
      <c r="K166" s="45">
        <v>4</v>
      </c>
      <c r="M166" s="459"/>
    </row>
    <row r="167" spans="2:13" x14ac:dyDescent="0.2">
      <c r="B167" s="212" t="s">
        <v>151</v>
      </c>
      <c r="C167" s="207"/>
      <c r="D167" s="207"/>
      <c r="E167" s="207"/>
      <c r="F167" s="208"/>
      <c r="G167" s="44"/>
      <c r="H167" s="45">
        <v>0</v>
      </c>
      <c r="I167" s="46">
        <v>1</v>
      </c>
      <c r="J167" s="45">
        <v>0</v>
      </c>
      <c r="K167" s="45">
        <v>0</v>
      </c>
      <c r="M167" s="459"/>
    </row>
    <row r="168" spans="2:13" x14ac:dyDescent="0.2">
      <c r="B168" s="212" t="s">
        <v>152</v>
      </c>
      <c r="C168" s="207"/>
      <c r="D168" s="207"/>
      <c r="E168" s="207"/>
      <c r="F168" s="208"/>
      <c r="G168" s="44"/>
      <c r="H168" s="45">
        <v>0</v>
      </c>
      <c r="I168" s="46">
        <v>0</v>
      </c>
      <c r="J168" s="45">
        <v>0</v>
      </c>
      <c r="K168" s="45">
        <v>0</v>
      </c>
      <c r="M168" s="459"/>
    </row>
    <row r="169" spans="2:13" x14ac:dyDescent="0.2">
      <c r="B169" s="212" t="s">
        <v>153</v>
      </c>
      <c r="C169" s="207"/>
      <c r="D169" s="207"/>
      <c r="E169" s="207"/>
      <c r="F169" s="208"/>
      <c r="G169" s="44"/>
      <c r="H169" s="45">
        <v>3</v>
      </c>
      <c r="I169" s="46">
        <v>4</v>
      </c>
      <c r="J169" s="45">
        <v>2</v>
      </c>
      <c r="K169" s="45">
        <v>2</v>
      </c>
      <c r="M169" s="459"/>
    </row>
    <row r="170" spans="2:13" x14ac:dyDescent="0.2">
      <c r="B170" s="212" t="s">
        <v>154</v>
      </c>
      <c r="C170" s="207"/>
      <c r="D170" s="207"/>
      <c r="E170" s="207"/>
      <c r="F170" s="208"/>
      <c r="G170" s="44"/>
      <c r="H170" s="45">
        <v>0</v>
      </c>
      <c r="I170" s="46">
        <v>0</v>
      </c>
      <c r="J170" s="45">
        <v>0</v>
      </c>
      <c r="K170" s="45">
        <v>0</v>
      </c>
      <c r="M170" s="459"/>
    </row>
    <row r="171" spans="2:13" x14ac:dyDescent="0.2">
      <c r="B171" s="212" t="s">
        <v>155</v>
      </c>
      <c r="C171" s="207"/>
      <c r="D171" s="207"/>
      <c r="E171" s="207"/>
      <c r="F171" s="208"/>
      <c r="G171" s="44"/>
      <c r="H171" s="45">
        <v>0</v>
      </c>
      <c r="I171" s="46">
        <v>0</v>
      </c>
      <c r="J171" s="45">
        <v>0</v>
      </c>
      <c r="K171" s="45">
        <v>0</v>
      </c>
      <c r="M171" s="459"/>
    </row>
    <row r="172" spans="2:13" x14ac:dyDescent="0.2">
      <c r="B172" s="212" t="s">
        <v>156</v>
      </c>
      <c r="C172" s="207"/>
      <c r="D172" s="207"/>
      <c r="E172" s="207"/>
      <c r="F172" s="208"/>
      <c r="G172" s="44"/>
      <c r="H172" s="45">
        <v>4</v>
      </c>
      <c r="I172" s="46">
        <v>2</v>
      </c>
      <c r="J172" s="45">
        <v>1</v>
      </c>
      <c r="K172" s="45">
        <v>1</v>
      </c>
      <c r="M172" s="459"/>
    </row>
    <row r="173" spans="2:13" x14ac:dyDescent="0.2">
      <c r="B173" s="212" t="s">
        <v>157</v>
      </c>
      <c r="C173" s="207"/>
      <c r="D173" s="207"/>
      <c r="E173" s="207"/>
      <c r="F173" s="208"/>
      <c r="G173" s="44"/>
      <c r="H173" s="45">
        <v>0</v>
      </c>
      <c r="I173" s="46">
        <v>0</v>
      </c>
      <c r="J173" s="45">
        <v>0</v>
      </c>
      <c r="K173" s="45">
        <v>0</v>
      </c>
      <c r="M173" s="459"/>
    </row>
    <row r="174" spans="2:13" x14ac:dyDescent="0.2">
      <c r="B174" s="212" t="s">
        <v>158</v>
      </c>
      <c r="C174" s="207"/>
      <c r="D174" s="207"/>
      <c r="E174" s="207"/>
      <c r="F174" s="208"/>
      <c r="G174" s="44"/>
      <c r="H174" s="45">
        <v>0</v>
      </c>
      <c r="I174" s="46">
        <v>0</v>
      </c>
      <c r="J174" s="45">
        <v>0</v>
      </c>
      <c r="K174" s="45">
        <v>0</v>
      </c>
      <c r="M174" s="459"/>
    </row>
    <row r="175" spans="2:13" x14ac:dyDescent="0.2">
      <c r="B175" s="212"/>
      <c r="C175" s="207"/>
      <c r="D175" s="207"/>
      <c r="E175" s="207"/>
      <c r="F175" s="208"/>
      <c r="G175" s="44"/>
      <c r="H175" s="45"/>
      <c r="I175" s="46"/>
      <c r="J175" s="45"/>
      <c r="K175" s="45"/>
      <c r="M175" s="459"/>
    </row>
    <row r="176" spans="2:13" x14ac:dyDescent="0.2">
      <c r="B176" s="212" t="s">
        <v>159</v>
      </c>
      <c r="C176" s="207"/>
      <c r="D176" s="207"/>
      <c r="E176" s="207"/>
      <c r="F176" s="208"/>
      <c r="G176" s="44"/>
      <c r="H176" s="45">
        <v>101</v>
      </c>
      <c r="I176" s="46">
        <v>54</v>
      </c>
      <c r="J176" s="45">
        <v>89</v>
      </c>
      <c r="K176" s="45">
        <v>95</v>
      </c>
      <c r="M176" s="459"/>
    </row>
    <row r="177" spans="2:13" x14ac:dyDescent="0.2">
      <c r="B177" s="212" t="s">
        <v>160</v>
      </c>
      <c r="C177" s="207"/>
      <c r="D177" s="207"/>
      <c r="E177" s="207"/>
      <c r="F177" s="208"/>
      <c r="G177" s="44"/>
      <c r="H177" s="45">
        <v>6</v>
      </c>
      <c r="I177" s="46">
        <v>3</v>
      </c>
      <c r="J177" s="45">
        <v>2</v>
      </c>
      <c r="K177" s="45">
        <v>2</v>
      </c>
      <c r="M177" s="459"/>
    </row>
    <row r="178" spans="2:13" x14ac:dyDescent="0.2">
      <c r="B178" s="212" t="s">
        <v>161</v>
      </c>
      <c r="C178" s="207"/>
      <c r="D178" s="207"/>
      <c r="E178" s="207"/>
      <c r="F178" s="208"/>
      <c r="G178" s="44"/>
      <c r="H178" s="45">
        <v>13</v>
      </c>
      <c r="I178" s="46">
        <v>19</v>
      </c>
      <c r="J178" s="45">
        <v>18</v>
      </c>
      <c r="K178" s="45">
        <v>17</v>
      </c>
      <c r="M178" s="459"/>
    </row>
    <row r="179" spans="2:13" x14ac:dyDescent="0.2">
      <c r="B179" s="212" t="s">
        <v>162</v>
      </c>
      <c r="C179" s="207"/>
      <c r="D179" s="207"/>
      <c r="E179" s="207"/>
      <c r="F179" s="208"/>
      <c r="G179" s="44"/>
      <c r="H179" s="45">
        <v>7</v>
      </c>
      <c r="I179" s="46">
        <v>2</v>
      </c>
      <c r="J179" s="45">
        <v>1</v>
      </c>
      <c r="K179" s="45">
        <v>0</v>
      </c>
      <c r="M179" s="459"/>
    </row>
    <row r="180" spans="2:13" x14ac:dyDescent="0.2">
      <c r="B180" s="212" t="s">
        <v>163</v>
      </c>
      <c r="C180" s="207"/>
      <c r="D180" s="207"/>
      <c r="E180" s="207"/>
      <c r="F180" s="208"/>
      <c r="G180" s="44"/>
      <c r="H180" s="45">
        <v>13</v>
      </c>
      <c r="I180" s="46">
        <v>17</v>
      </c>
      <c r="J180" s="45">
        <v>16</v>
      </c>
      <c r="K180" s="45">
        <v>15</v>
      </c>
      <c r="M180" s="459"/>
    </row>
    <row r="181" spans="2:13" x14ac:dyDescent="0.2">
      <c r="B181" s="212" t="s">
        <v>164</v>
      </c>
      <c r="C181" s="207"/>
      <c r="D181" s="207"/>
      <c r="E181" s="207"/>
      <c r="F181" s="208"/>
      <c r="G181" s="44"/>
      <c r="H181" s="45">
        <v>24</v>
      </c>
      <c r="I181" s="46">
        <v>20</v>
      </c>
      <c r="J181" s="45">
        <v>19</v>
      </c>
      <c r="K181" s="45">
        <v>21</v>
      </c>
      <c r="M181" s="459"/>
    </row>
    <row r="182" spans="2:13" x14ac:dyDescent="0.2">
      <c r="B182" s="212" t="s">
        <v>165</v>
      </c>
      <c r="C182" s="207"/>
      <c r="D182" s="207"/>
      <c r="E182" s="207"/>
      <c r="F182" s="208"/>
      <c r="G182" s="44"/>
      <c r="H182" s="45">
        <v>7</v>
      </c>
      <c r="I182" s="46">
        <v>18</v>
      </c>
      <c r="J182" s="45">
        <v>16</v>
      </c>
      <c r="K182" s="45">
        <v>15</v>
      </c>
      <c r="M182" s="459"/>
    </row>
    <row r="183" spans="2:13" x14ac:dyDescent="0.2">
      <c r="B183" s="212" t="s">
        <v>166</v>
      </c>
      <c r="C183" s="207"/>
      <c r="D183" s="207"/>
      <c r="E183" s="207"/>
      <c r="F183" s="208"/>
      <c r="G183" s="44"/>
      <c r="H183" s="45">
        <v>1</v>
      </c>
      <c r="I183" s="46">
        <v>0</v>
      </c>
      <c r="J183" s="45">
        <v>3</v>
      </c>
      <c r="K183" s="45">
        <v>3</v>
      </c>
      <c r="M183" s="459"/>
    </row>
    <row r="184" spans="2:13" x14ac:dyDescent="0.2">
      <c r="B184" s="212" t="s">
        <v>167</v>
      </c>
      <c r="C184" s="207"/>
      <c r="D184" s="207"/>
      <c r="E184" s="207"/>
      <c r="F184" s="208"/>
      <c r="G184" s="44"/>
      <c r="H184" s="45">
        <v>1</v>
      </c>
      <c r="I184" s="46">
        <v>2</v>
      </c>
      <c r="J184" s="45">
        <v>6</v>
      </c>
      <c r="K184" s="45">
        <v>7</v>
      </c>
      <c r="M184" s="459"/>
    </row>
    <row r="185" spans="2:13" x14ac:dyDescent="0.2">
      <c r="B185" s="212" t="s">
        <v>168</v>
      </c>
      <c r="C185" s="207"/>
      <c r="D185" s="207"/>
      <c r="E185" s="207"/>
      <c r="F185" s="208"/>
      <c r="G185" s="44"/>
      <c r="H185" s="45">
        <v>0</v>
      </c>
      <c r="I185" s="46">
        <v>0</v>
      </c>
      <c r="J185" s="45">
        <v>0</v>
      </c>
      <c r="K185" s="45">
        <v>0</v>
      </c>
      <c r="M185" s="459"/>
    </row>
    <row r="186" spans="2:13" x14ac:dyDescent="0.2">
      <c r="B186" s="212" t="s">
        <v>169</v>
      </c>
      <c r="C186" s="207"/>
      <c r="D186" s="207"/>
      <c r="E186" s="207"/>
      <c r="F186" s="208"/>
      <c r="G186" s="44"/>
      <c r="H186" s="45">
        <v>0</v>
      </c>
      <c r="I186" s="46">
        <v>1</v>
      </c>
      <c r="J186" s="45">
        <v>0</v>
      </c>
      <c r="K186" s="45">
        <v>0</v>
      </c>
      <c r="M186" s="459"/>
    </row>
    <row r="187" spans="2:13" x14ac:dyDescent="0.2">
      <c r="B187" s="212" t="s">
        <v>170</v>
      </c>
      <c r="C187" s="207"/>
      <c r="D187" s="207"/>
      <c r="E187" s="207"/>
      <c r="F187" s="208"/>
      <c r="G187" s="44"/>
      <c r="H187" s="45">
        <v>1</v>
      </c>
      <c r="I187" s="46">
        <v>1</v>
      </c>
      <c r="J187" s="45">
        <v>1</v>
      </c>
      <c r="K187" s="45">
        <v>1</v>
      </c>
      <c r="M187" s="459"/>
    </row>
    <row r="188" spans="2:13" x14ac:dyDescent="0.2">
      <c r="B188" s="212" t="s">
        <v>171</v>
      </c>
      <c r="C188" s="207"/>
      <c r="D188" s="207"/>
      <c r="E188" s="207"/>
      <c r="F188" s="208"/>
      <c r="G188" s="44"/>
      <c r="H188" s="45">
        <v>0</v>
      </c>
      <c r="I188" s="46">
        <v>0</v>
      </c>
      <c r="J188" s="45">
        <v>0</v>
      </c>
      <c r="K188" s="45">
        <v>0</v>
      </c>
      <c r="M188" s="459"/>
    </row>
    <row r="189" spans="2:13" s="351" customFormat="1" x14ac:dyDescent="0.2">
      <c r="B189" s="250" t="s">
        <v>172</v>
      </c>
      <c r="C189" s="352"/>
      <c r="D189" s="352"/>
      <c r="E189" s="352"/>
      <c r="F189" s="353"/>
      <c r="G189" s="354"/>
      <c r="H189" s="355">
        <v>13</v>
      </c>
      <c r="I189" s="356">
        <v>13</v>
      </c>
      <c r="J189" s="355">
        <v>13</v>
      </c>
      <c r="K189" s="355">
        <v>13</v>
      </c>
      <c r="M189" s="459"/>
    </row>
    <row r="190" spans="2:13" s="351" customFormat="1" x14ac:dyDescent="0.2">
      <c r="B190" s="250" t="s">
        <v>173</v>
      </c>
      <c r="C190" s="352"/>
      <c r="D190" s="352"/>
      <c r="E190" s="352"/>
      <c r="F190" s="353"/>
      <c r="G190" s="354"/>
      <c r="H190" s="355">
        <v>17</v>
      </c>
      <c r="I190" s="356">
        <v>17</v>
      </c>
      <c r="J190" s="355">
        <v>17</v>
      </c>
      <c r="K190" s="355">
        <v>17</v>
      </c>
      <c r="M190" s="459"/>
    </row>
    <row r="191" spans="2:13" s="351" customFormat="1" x14ac:dyDescent="0.2">
      <c r="B191" s="250" t="s">
        <v>174</v>
      </c>
      <c r="C191" s="352"/>
      <c r="D191" s="352"/>
      <c r="E191" s="352"/>
      <c r="F191" s="353"/>
      <c r="G191" s="354"/>
      <c r="H191" s="355">
        <v>10</v>
      </c>
      <c r="I191" s="356">
        <v>10</v>
      </c>
      <c r="J191" s="355">
        <v>10</v>
      </c>
      <c r="K191" s="355">
        <v>10</v>
      </c>
      <c r="M191" s="459"/>
    </row>
    <row r="192" spans="2:13" x14ac:dyDescent="0.2">
      <c r="B192" s="212" t="s">
        <v>175</v>
      </c>
      <c r="C192" s="207"/>
      <c r="D192" s="207"/>
      <c r="E192" s="207"/>
      <c r="F192" s="208"/>
      <c r="G192" s="44"/>
      <c r="H192" s="45">
        <v>255</v>
      </c>
      <c r="I192" s="46">
        <v>173</v>
      </c>
      <c r="J192" s="45">
        <v>158</v>
      </c>
      <c r="K192" s="45">
        <v>151</v>
      </c>
      <c r="M192" s="459"/>
    </row>
    <row r="193" spans="2:13" x14ac:dyDescent="0.2">
      <c r="B193" s="212" t="s">
        <v>176</v>
      </c>
      <c r="C193" s="207"/>
      <c r="D193" s="207"/>
      <c r="E193" s="207"/>
      <c r="F193" s="208"/>
      <c r="G193" s="44"/>
      <c r="H193" s="45">
        <v>13</v>
      </c>
      <c r="I193" s="46">
        <v>11</v>
      </c>
      <c r="J193" s="45">
        <v>3</v>
      </c>
      <c r="K193" s="45">
        <v>2</v>
      </c>
      <c r="M193" s="459"/>
    </row>
    <row r="194" spans="2:13" x14ac:dyDescent="0.2">
      <c r="B194" s="212" t="s">
        <v>177</v>
      </c>
      <c r="C194" s="207"/>
      <c r="D194" s="207"/>
      <c r="E194" s="207"/>
      <c r="F194" s="208"/>
      <c r="G194" s="44"/>
      <c r="H194" s="45">
        <v>1</v>
      </c>
      <c r="I194" s="46">
        <v>0</v>
      </c>
      <c r="J194" s="45">
        <v>0</v>
      </c>
      <c r="K194" s="45">
        <v>0</v>
      </c>
      <c r="M194" s="459"/>
    </row>
    <row r="195" spans="2:13" x14ac:dyDescent="0.2">
      <c r="B195" s="212" t="s">
        <v>178</v>
      </c>
      <c r="C195" s="207"/>
      <c r="D195" s="207"/>
      <c r="E195" s="207"/>
      <c r="F195" s="208"/>
      <c r="G195" s="44"/>
      <c r="H195" s="45">
        <v>2</v>
      </c>
      <c r="I195" s="46">
        <v>1</v>
      </c>
      <c r="J195" s="45">
        <v>1</v>
      </c>
      <c r="K195" s="45">
        <v>1</v>
      </c>
      <c r="M195" s="459"/>
    </row>
    <row r="196" spans="2:13" x14ac:dyDescent="0.2">
      <c r="B196" s="212" t="s">
        <v>179</v>
      </c>
      <c r="C196" s="207"/>
      <c r="D196" s="207"/>
      <c r="E196" s="207"/>
      <c r="F196" s="208"/>
      <c r="G196" s="44"/>
      <c r="H196" s="45">
        <v>0</v>
      </c>
      <c r="I196" s="46">
        <v>0</v>
      </c>
      <c r="J196" s="45">
        <v>0</v>
      </c>
      <c r="K196" s="45">
        <v>0</v>
      </c>
      <c r="M196" s="459"/>
    </row>
    <row r="197" spans="2:13" x14ac:dyDescent="0.2">
      <c r="B197" s="212" t="s">
        <v>180</v>
      </c>
      <c r="C197" s="207"/>
      <c r="D197" s="207"/>
      <c r="E197" s="207"/>
      <c r="F197" s="208"/>
      <c r="G197" s="44"/>
      <c r="H197" s="45">
        <v>0</v>
      </c>
      <c r="I197" s="46">
        <v>0</v>
      </c>
      <c r="J197" s="45">
        <v>0</v>
      </c>
      <c r="K197" s="45">
        <v>0</v>
      </c>
      <c r="M197" s="459"/>
    </row>
    <row r="198" spans="2:13" x14ac:dyDescent="0.2">
      <c r="B198" s="212" t="s">
        <v>181</v>
      </c>
      <c r="C198" s="207"/>
      <c r="D198" s="207"/>
      <c r="E198" s="207"/>
      <c r="F198" s="208"/>
      <c r="G198" s="44"/>
      <c r="H198" s="45">
        <v>0</v>
      </c>
      <c r="I198" s="46">
        <v>0</v>
      </c>
      <c r="J198" s="45">
        <v>0</v>
      </c>
      <c r="K198" s="45">
        <v>0</v>
      </c>
      <c r="M198" s="459"/>
    </row>
    <row r="199" spans="2:13" x14ac:dyDescent="0.2">
      <c r="B199" s="212" t="s">
        <v>182</v>
      </c>
      <c r="C199" s="207"/>
      <c r="D199" s="207"/>
      <c r="E199" s="207"/>
      <c r="F199" s="208"/>
      <c r="G199" s="44"/>
      <c r="H199" s="45">
        <v>0</v>
      </c>
      <c r="I199" s="46">
        <v>0</v>
      </c>
      <c r="J199" s="45">
        <v>0</v>
      </c>
      <c r="K199" s="45">
        <v>0</v>
      </c>
      <c r="M199" s="459"/>
    </row>
    <row r="200" spans="2:13" x14ac:dyDescent="0.2">
      <c r="B200" s="212" t="s">
        <v>183</v>
      </c>
      <c r="C200" s="207"/>
      <c r="D200" s="207"/>
      <c r="E200" s="207"/>
      <c r="F200" s="208"/>
      <c r="G200" s="44"/>
      <c r="H200" s="45">
        <v>0</v>
      </c>
      <c r="I200" s="46">
        <v>0</v>
      </c>
      <c r="J200" s="45">
        <v>0</v>
      </c>
      <c r="K200" s="45">
        <v>0</v>
      </c>
      <c r="M200" s="459"/>
    </row>
    <row r="201" spans="2:13" x14ac:dyDescent="0.2">
      <c r="B201" s="212" t="s">
        <v>184</v>
      </c>
      <c r="C201" s="207"/>
      <c r="D201" s="207"/>
      <c r="E201" s="207"/>
      <c r="F201" s="208"/>
      <c r="G201" s="44"/>
      <c r="H201" s="45">
        <v>0</v>
      </c>
      <c r="I201" s="46">
        <v>0</v>
      </c>
      <c r="J201" s="45">
        <v>0</v>
      </c>
      <c r="K201" s="45">
        <v>0</v>
      </c>
      <c r="M201" s="459"/>
    </row>
    <row r="202" spans="2:13" x14ac:dyDescent="0.2">
      <c r="B202" s="212" t="s">
        <v>185</v>
      </c>
      <c r="C202" s="207"/>
      <c r="D202" s="207"/>
      <c r="E202" s="207"/>
      <c r="F202" s="208"/>
      <c r="G202" s="44"/>
      <c r="H202" s="45">
        <v>0</v>
      </c>
      <c r="I202" s="46">
        <v>0</v>
      </c>
      <c r="J202" s="45">
        <v>0</v>
      </c>
      <c r="K202" s="45">
        <v>0</v>
      </c>
      <c r="M202" s="459"/>
    </row>
    <row r="203" spans="2:13" s="351" customFormat="1" x14ac:dyDescent="0.2">
      <c r="B203" s="250" t="s">
        <v>186</v>
      </c>
      <c r="C203" s="352"/>
      <c r="D203" s="352"/>
      <c r="E203" s="352"/>
      <c r="F203" s="353"/>
      <c r="G203" s="354"/>
      <c r="H203" s="355">
        <v>0</v>
      </c>
      <c r="I203" s="356">
        <v>0</v>
      </c>
      <c r="J203" s="355">
        <v>0</v>
      </c>
      <c r="K203" s="355">
        <v>0</v>
      </c>
      <c r="M203" s="459"/>
    </row>
    <row r="204" spans="2:13" s="351" customFormat="1" x14ac:dyDescent="0.2">
      <c r="B204" s="250" t="s">
        <v>187</v>
      </c>
      <c r="C204" s="352"/>
      <c r="D204" s="352"/>
      <c r="E204" s="352"/>
      <c r="F204" s="353"/>
      <c r="G204" s="354"/>
      <c r="H204" s="355">
        <v>1</v>
      </c>
      <c r="I204" s="356">
        <v>1</v>
      </c>
      <c r="J204" s="355">
        <v>1</v>
      </c>
      <c r="K204" s="355">
        <v>1</v>
      </c>
      <c r="M204" s="459"/>
    </row>
    <row r="205" spans="2:13" s="351" customFormat="1" x14ac:dyDescent="0.2">
      <c r="B205" s="250" t="s">
        <v>188</v>
      </c>
      <c r="C205" s="352"/>
      <c r="D205" s="352"/>
      <c r="E205" s="352"/>
      <c r="F205" s="353"/>
      <c r="G205" s="354"/>
      <c r="H205" s="355">
        <v>0</v>
      </c>
      <c r="I205" s="356">
        <v>0</v>
      </c>
      <c r="J205" s="355">
        <v>0</v>
      </c>
      <c r="K205" s="355">
        <v>0</v>
      </c>
      <c r="M205" s="459"/>
    </row>
    <row r="206" spans="2:13" s="351" customFormat="1" x14ac:dyDescent="0.2">
      <c r="B206" s="250"/>
      <c r="C206" s="352"/>
      <c r="D206" s="352"/>
      <c r="E206" s="352"/>
      <c r="F206" s="353"/>
      <c r="G206" s="354"/>
      <c r="H206" s="355"/>
      <c r="I206" s="356"/>
      <c r="J206" s="355"/>
      <c r="K206" s="355"/>
      <c r="M206" s="459"/>
    </row>
    <row r="207" spans="2:13" x14ac:dyDescent="0.2">
      <c r="B207" s="212" t="s">
        <v>189</v>
      </c>
      <c r="C207" s="207"/>
      <c r="D207" s="207"/>
      <c r="E207" s="207"/>
      <c r="F207" s="208"/>
      <c r="G207" s="44"/>
      <c r="H207" s="45">
        <v>94</v>
      </c>
      <c r="I207" s="46">
        <v>108</v>
      </c>
      <c r="J207" s="45">
        <v>138</v>
      </c>
      <c r="K207" s="45">
        <v>139</v>
      </c>
      <c r="M207" s="459"/>
    </row>
    <row r="208" spans="2:13" x14ac:dyDescent="0.2">
      <c r="B208" s="212" t="s">
        <v>190</v>
      </c>
      <c r="C208" s="207"/>
      <c r="D208" s="207"/>
      <c r="E208" s="207"/>
      <c r="F208" s="208"/>
      <c r="G208" s="44"/>
      <c r="H208" s="45">
        <v>10</v>
      </c>
      <c r="I208" s="46">
        <v>6</v>
      </c>
      <c r="J208" s="45">
        <v>3</v>
      </c>
      <c r="K208" s="45">
        <v>1</v>
      </c>
      <c r="M208" s="459"/>
    </row>
    <row r="209" spans="2:13" x14ac:dyDescent="0.2">
      <c r="B209" s="212" t="s">
        <v>191</v>
      </c>
      <c r="C209" s="207"/>
      <c r="D209" s="207"/>
      <c r="E209" s="207"/>
      <c r="F209" s="208"/>
      <c r="G209" s="44"/>
      <c r="H209" s="45">
        <v>48</v>
      </c>
      <c r="I209" s="46">
        <v>48</v>
      </c>
      <c r="J209" s="45">
        <v>38</v>
      </c>
      <c r="K209" s="45">
        <v>38</v>
      </c>
      <c r="M209" s="459"/>
    </row>
    <row r="210" spans="2:13" x14ac:dyDescent="0.2">
      <c r="B210" s="212" t="s">
        <v>192</v>
      </c>
      <c r="C210" s="207"/>
      <c r="D210" s="207"/>
      <c r="E210" s="207"/>
      <c r="F210" s="208"/>
      <c r="G210" s="44"/>
      <c r="H210" s="45">
        <v>1</v>
      </c>
      <c r="I210" s="46">
        <v>2</v>
      </c>
      <c r="J210" s="45">
        <v>1</v>
      </c>
      <c r="K210" s="45">
        <v>1</v>
      </c>
      <c r="M210" s="459"/>
    </row>
    <row r="211" spans="2:13" x14ac:dyDescent="0.2">
      <c r="B211" s="213"/>
      <c r="C211" s="214"/>
      <c r="D211" s="214"/>
      <c r="E211" s="214"/>
      <c r="F211" s="215"/>
      <c r="G211" s="216">
        <f>SUM(G123:G210)</f>
        <v>0</v>
      </c>
      <c r="H211" s="216">
        <f>SUM(H123:H210)</f>
        <v>872</v>
      </c>
      <c r="I211" s="216">
        <f>SUM(I123:I210)</f>
        <v>822</v>
      </c>
      <c r="J211" s="216">
        <f>SUM(J123:J210)</f>
        <v>883</v>
      </c>
      <c r="K211" s="216">
        <f>SUM(K123:K210)</f>
        <v>889</v>
      </c>
      <c r="M211" s="459"/>
    </row>
    <row r="212" spans="2:13" x14ac:dyDescent="0.2">
      <c r="B212" s="206"/>
      <c r="C212" s="207"/>
      <c r="D212" s="207"/>
      <c r="E212" s="207"/>
      <c r="F212" s="208"/>
      <c r="G212" s="44"/>
      <c r="H212" s="45"/>
      <c r="I212" s="46"/>
      <c r="J212" s="45"/>
      <c r="K212" s="45"/>
      <c r="M212" s="459"/>
    </row>
    <row r="213" spans="2:13" x14ac:dyDescent="0.25">
      <c r="B213" s="455" t="s">
        <v>194</v>
      </c>
      <c r="C213" s="456"/>
      <c r="D213" s="456"/>
      <c r="E213" s="456"/>
      <c r="F213" s="457"/>
      <c r="G213" s="287"/>
      <c r="H213" s="288"/>
      <c r="I213" s="289"/>
      <c r="J213" s="288"/>
      <c r="K213" s="288"/>
      <c r="M213" s="459"/>
    </row>
    <row r="214" spans="2:13" x14ac:dyDescent="0.2">
      <c r="B214" s="206" t="s">
        <v>195</v>
      </c>
      <c r="C214" s="207"/>
      <c r="D214" s="207"/>
      <c r="E214" s="207"/>
      <c r="F214" s="208"/>
      <c r="G214" s="44"/>
      <c r="H214" s="45">
        <v>181</v>
      </c>
      <c r="I214" s="46">
        <v>134</v>
      </c>
      <c r="J214" s="45">
        <v>101</v>
      </c>
      <c r="K214" s="45">
        <v>110</v>
      </c>
      <c r="M214" s="459"/>
    </row>
    <row r="215" spans="2:13" x14ac:dyDescent="0.2">
      <c r="B215" s="206" t="s">
        <v>196</v>
      </c>
      <c r="C215" s="207"/>
      <c r="D215" s="207"/>
      <c r="E215" s="207"/>
      <c r="F215" s="208"/>
      <c r="G215" s="44"/>
      <c r="H215" s="45">
        <v>22</v>
      </c>
      <c r="I215" s="46">
        <v>15</v>
      </c>
      <c r="J215" s="45">
        <v>14</v>
      </c>
      <c r="K215" s="45">
        <v>15</v>
      </c>
      <c r="M215" s="459"/>
    </row>
    <row r="216" spans="2:13" x14ac:dyDescent="0.2">
      <c r="B216" s="206" t="s">
        <v>197</v>
      </c>
      <c r="C216" s="207"/>
      <c r="D216" s="207"/>
      <c r="E216" s="207"/>
      <c r="F216" s="208"/>
      <c r="G216" s="44"/>
      <c r="H216" s="45">
        <v>67</v>
      </c>
      <c r="I216" s="46">
        <v>67</v>
      </c>
      <c r="J216" s="45">
        <v>68</v>
      </c>
      <c r="K216" s="45">
        <v>74</v>
      </c>
      <c r="M216" s="459"/>
    </row>
    <row r="217" spans="2:13" x14ac:dyDescent="0.2">
      <c r="B217" s="206" t="s">
        <v>198</v>
      </c>
      <c r="C217" s="207"/>
      <c r="D217" s="207"/>
      <c r="E217" s="207"/>
      <c r="F217" s="208"/>
      <c r="G217" s="44"/>
      <c r="H217" s="45">
        <v>88</v>
      </c>
      <c r="I217" s="46">
        <v>49</v>
      </c>
      <c r="J217" s="45">
        <v>78</v>
      </c>
      <c r="K217" s="45">
        <v>85</v>
      </c>
      <c r="M217" s="459"/>
    </row>
    <row r="218" spans="2:13" x14ac:dyDescent="0.2">
      <c r="B218" s="206" t="s">
        <v>199</v>
      </c>
      <c r="C218" s="207"/>
      <c r="D218" s="207"/>
      <c r="E218" s="207"/>
      <c r="F218" s="208"/>
      <c r="G218" s="44"/>
      <c r="H218" s="45">
        <v>2</v>
      </c>
      <c r="I218" s="46">
        <v>7</v>
      </c>
      <c r="J218" s="45">
        <v>16</v>
      </c>
      <c r="K218" s="45">
        <v>17</v>
      </c>
      <c r="M218" s="459"/>
    </row>
    <row r="219" spans="2:13" x14ac:dyDescent="0.2">
      <c r="B219" s="213"/>
      <c r="C219" s="214"/>
      <c r="D219" s="214"/>
      <c r="E219" s="214"/>
      <c r="F219" s="215"/>
      <c r="G219" s="216">
        <f>SUM(G214:G218)</f>
        <v>0</v>
      </c>
      <c r="H219" s="216">
        <f>SUM(H214:H218)</f>
        <v>360</v>
      </c>
      <c r="I219" s="216">
        <f>SUM(I214:I218)</f>
        <v>272</v>
      </c>
      <c r="J219" s="216">
        <f>SUM(J214:J218)</f>
        <v>277</v>
      </c>
      <c r="K219" s="216">
        <f>SUM(K214:K218)</f>
        <v>301</v>
      </c>
      <c r="M219" s="459"/>
    </row>
    <row r="220" spans="2:13" x14ac:dyDescent="0.2">
      <c r="B220" s="209"/>
      <c r="C220" s="210"/>
      <c r="D220" s="210"/>
      <c r="E220" s="210"/>
      <c r="F220" s="211"/>
      <c r="G220" s="217"/>
      <c r="H220" s="218"/>
      <c r="I220" s="47"/>
      <c r="J220" s="218"/>
      <c r="K220" s="218"/>
      <c r="M220" s="460"/>
    </row>
    <row r="221" spans="2:13" ht="13.5" thickBot="1" x14ac:dyDescent="0.3">
      <c r="G221" s="48">
        <f>+G219+G211</f>
        <v>0</v>
      </c>
      <c r="H221" s="48">
        <f>+H219+H211</f>
        <v>1232</v>
      </c>
      <c r="I221" s="48">
        <f>+I219+I211</f>
        <v>1094</v>
      </c>
      <c r="J221" s="48">
        <f>+J219+J211</f>
        <v>1160</v>
      </c>
      <c r="K221" s="48">
        <f>+K219+K211</f>
        <v>1190</v>
      </c>
      <c r="L221" s="71"/>
    </row>
    <row r="222" spans="2:13" x14ac:dyDescent="0.25"/>
    <row r="223" spans="2:13" ht="15.75" x14ac:dyDescent="0.25">
      <c r="B223" s="32" t="s">
        <v>209</v>
      </c>
      <c r="C223" s="33"/>
      <c r="D223" s="33"/>
      <c r="E223" s="33"/>
      <c r="F223" s="33"/>
      <c r="G223" s="34"/>
      <c r="H223" s="34"/>
      <c r="I223" s="34"/>
      <c r="J223" s="34"/>
      <c r="K223" s="33"/>
      <c r="M223" s="35"/>
    </row>
    <row r="224" spans="2:13" x14ac:dyDescent="0.25"/>
    <row r="225" spans="2:13" x14ac:dyDescent="0.25">
      <c r="B225" s="449" t="s">
        <v>210</v>
      </c>
      <c r="C225" s="450"/>
      <c r="D225" s="450"/>
      <c r="E225" s="450"/>
      <c r="F225" s="451"/>
      <c r="G225" s="36" t="s">
        <v>12</v>
      </c>
      <c r="H225" s="37" t="s">
        <v>13</v>
      </c>
      <c r="I225" s="311" t="s">
        <v>14</v>
      </c>
      <c r="J225" s="311" t="s">
        <v>15</v>
      </c>
      <c r="K225" s="314" t="s">
        <v>71</v>
      </c>
      <c r="M225" s="40" t="s">
        <v>5</v>
      </c>
    </row>
    <row r="226" spans="2:13" x14ac:dyDescent="0.2">
      <c r="B226" s="89" t="s">
        <v>195</v>
      </c>
      <c r="C226" s="306"/>
      <c r="D226" s="307"/>
      <c r="E226" s="307"/>
      <c r="F226" s="307"/>
      <c r="G226" s="466" t="s">
        <v>48</v>
      </c>
      <c r="H226" s="309">
        <v>6.6588397790055245</v>
      </c>
      <c r="I226" s="312">
        <v>7.0431592039800996</v>
      </c>
      <c r="J226" s="312">
        <v>6.4975382538253657</v>
      </c>
      <c r="K226" s="312">
        <f t="shared" ref="K226:K230" si="9">ROUND(AVERAGE(H226:J226),0)</f>
        <v>7</v>
      </c>
      <c r="M226" s="472" t="s">
        <v>212</v>
      </c>
    </row>
    <row r="227" spans="2:13" x14ac:dyDescent="0.2">
      <c r="B227" s="71" t="s">
        <v>196</v>
      </c>
      <c r="C227" s="305"/>
      <c r="D227" s="65"/>
      <c r="E227" s="65"/>
      <c r="F227" s="65"/>
      <c r="G227" s="467"/>
      <c r="H227" s="309">
        <v>4.5</v>
      </c>
      <c r="I227" s="312">
        <v>5.2833333333333332</v>
      </c>
      <c r="J227" s="312">
        <v>5.4680909090909084</v>
      </c>
      <c r="K227" s="312">
        <f t="shared" si="9"/>
        <v>5</v>
      </c>
      <c r="M227" s="473"/>
    </row>
    <row r="228" spans="2:13" x14ac:dyDescent="0.2">
      <c r="B228" s="71" t="s">
        <v>197</v>
      </c>
      <c r="C228" s="305"/>
      <c r="D228" s="65"/>
      <c r="E228" s="65"/>
      <c r="F228" s="65"/>
      <c r="G228" s="467"/>
      <c r="H228" s="309">
        <v>5.327114427860697</v>
      </c>
      <c r="I228" s="312">
        <v>4.9589552238805972</v>
      </c>
      <c r="J228" s="312">
        <v>4.7345815508021465</v>
      </c>
      <c r="K228" s="312">
        <f>ROUND(AVERAGE(H228:J228),0)</f>
        <v>5</v>
      </c>
      <c r="M228" s="473"/>
    </row>
    <row r="229" spans="2:13" x14ac:dyDescent="0.2">
      <c r="B229" s="71" t="s">
        <v>198</v>
      </c>
      <c r="C229" s="305"/>
      <c r="D229" s="65"/>
      <c r="E229" s="65"/>
      <c r="F229" s="65"/>
      <c r="G229" s="467"/>
      <c r="H229" s="309">
        <v>5.7912362258953172</v>
      </c>
      <c r="I229" s="312">
        <v>7.3003401360544213</v>
      </c>
      <c r="J229" s="312">
        <v>6.0925404040404105</v>
      </c>
      <c r="K229" s="312">
        <f>ROUND(AVERAGE(H229:J229),0)</f>
        <v>6</v>
      </c>
      <c r="M229" s="473"/>
    </row>
    <row r="230" spans="2:13" x14ac:dyDescent="0.2">
      <c r="B230" s="98" t="s">
        <v>199</v>
      </c>
      <c r="C230" s="308"/>
      <c r="D230" s="66"/>
      <c r="E230" s="66"/>
      <c r="F230" s="66"/>
      <c r="G230" s="468"/>
      <c r="H230" s="310">
        <v>2.5</v>
      </c>
      <c r="I230" s="313">
        <v>4.2142857142857144</v>
      </c>
      <c r="J230" s="313">
        <v>5.5644128787878779</v>
      </c>
      <c r="K230" s="313">
        <f t="shared" si="9"/>
        <v>4</v>
      </c>
      <c r="M230" s="473"/>
    </row>
    <row r="231" spans="2:13" x14ac:dyDescent="0.25">
      <c r="G231" s="26"/>
      <c r="H231" s="26"/>
      <c r="I231" s="26"/>
      <c r="J231" s="26"/>
      <c r="M231" s="473"/>
    </row>
    <row r="232" spans="2:13" x14ac:dyDescent="0.25">
      <c r="B232" s="469" t="s">
        <v>211</v>
      </c>
      <c r="C232" s="470"/>
      <c r="D232" s="470"/>
      <c r="E232" s="470"/>
      <c r="F232" s="471"/>
      <c r="G232" s="37" t="s">
        <v>12</v>
      </c>
      <c r="H232" s="37" t="s">
        <v>13</v>
      </c>
      <c r="I232" s="37" t="s">
        <v>14</v>
      </c>
      <c r="J232" s="37" t="s">
        <v>15</v>
      </c>
      <c r="K232" s="357" t="s">
        <v>71</v>
      </c>
      <c r="M232" s="473"/>
    </row>
    <row r="233" spans="2:13" x14ac:dyDescent="0.2">
      <c r="B233" s="89" t="s">
        <v>195</v>
      </c>
      <c r="C233" s="306"/>
      <c r="D233" s="307"/>
      <c r="E233" s="307"/>
      <c r="F233" s="307"/>
      <c r="G233" s="467"/>
      <c r="H233" s="309">
        <v>5</v>
      </c>
      <c r="I233" s="312">
        <v>4</v>
      </c>
      <c r="J233" s="312">
        <v>3</v>
      </c>
      <c r="K233" s="312">
        <f t="shared" ref="K233:K234" si="10">ROUND(AVERAGE(H233:J233),0)</f>
        <v>4</v>
      </c>
      <c r="M233" s="473"/>
    </row>
    <row r="234" spans="2:13" x14ac:dyDescent="0.2">
      <c r="B234" s="71" t="s">
        <v>196</v>
      </c>
      <c r="C234" s="305"/>
      <c r="D234" s="65"/>
      <c r="E234" s="65"/>
      <c r="F234" s="65"/>
      <c r="G234" s="467"/>
      <c r="H234" s="309">
        <v>1</v>
      </c>
      <c r="I234" s="312">
        <v>1</v>
      </c>
      <c r="J234" s="312">
        <v>1</v>
      </c>
      <c r="K234" s="312">
        <f t="shared" si="10"/>
        <v>1</v>
      </c>
      <c r="M234" s="473"/>
    </row>
    <row r="235" spans="2:13" x14ac:dyDescent="0.2">
      <c r="B235" s="71" t="s">
        <v>197</v>
      </c>
      <c r="C235" s="305"/>
      <c r="D235" s="65"/>
      <c r="E235" s="65"/>
      <c r="F235" s="65"/>
      <c r="G235" s="467"/>
      <c r="H235" s="309">
        <v>1</v>
      </c>
      <c r="I235" s="312">
        <v>6</v>
      </c>
      <c r="J235" s="312">
        <v>0</v>
      </c>
      <c r="K235" s="312">
        <f>ROUND(AVERAGE(H235:J235),0)</f>
        <v>2</v>
      </c>
      <c r="M235" s="473"/>
    </row>
    <row r="236" spans="2:13" x14ac:dyDescent="0.2">
      <c r="B236" s="71" t="s">
        <v>198</v>
      </c>
      <c r="C236" s="305"/>
      <c r="D236" s="65"/>
      <c r="E236" s="65"/>
      <c r="F236" s="65"/>
      <c r="G236" s="467"/>
      <c r="H236" s="309">
        <v>2</v>
      </c>
      <c r="I236" s="312">
        <v>1</v>
      </c>
      <c r="J236" s="312">
        <v>0</v>
      </c>
      <c r="K236" s="312">
        <f t="shared" ref="K236" si="11">ROUND(AVERAGE(H236:J236),0)</f>
        <v>1</v>
      </c>
      <c r="M236" s="473"/>
    </row>
    <row r="237" spans="2:13" x14ac:dyDescent="0.2">
      <c r="B237" s="98" t="s">
        <v>199</v>
      </c>
      <c r="C237" s="308"/>
      <c r="D237" s="66"/>
      <c r="E237" s="66"/>
      <c r="F237" s="66"/>
      <c r="G237" s="468"/>
      <c r="H237" s="310">
        <v>0</v>
      </c>
      <c r="I237" s="313">
        <v>0</v>
      </c>
      <c r="J237" s="313">
        <v>0</v>
      </c>
      <c r="K237" s="313">
        <f>ROUND(AVERAGE(H237:J237),0)</f>
        <v>0</v>
      </c>
      <c r="M237" s="474"/>
    </row>
    <row r="238" spans="2:13" x14ac:dyDescent="0.25">
      <c r="G238" s="26"/>
      <c r="H238" s="26"/>
      <c r="I238" s="26"/>
      <c r="J238" s="26"/>
    </row>
    <row r="239" spans="2:13" ht="15.75" x14ac:dyDescent="0.25">
      <c r="B239" s="32" t="s">
        <v>46</v>
      </c>
      <c r="C239" s="33"/>
      <c r="D239" s="33"/>
      <c r="E239" s="33"/>
      <c r="F239" s="33"/>
      <c r="G239" s="34"/>
      <c r="H239" s="34"/>
      <c r="I239" s="34"/>
      <c r="J239" s="34"/>
      <c r="K239" s="33"/>
      <c r="M239" s="35"/>
    </row>
    <row r="240" spans="2:13" x14ac:dyDescent="0.25"/>
    <row r="241" spans="2:14" x14ac:dyDescent="0.25">
      <c r="B241" s="345" t="s">
        <v>27</v>
      </c>
      <c r="C241" s="346"/>
      <c r="D241" s="346"/>
      <c r="E241" s="346"/>
      <c r="F241" s="36" t="s">
        <v>222</v>
      </c>
      <c r="G241" s="36" t="s">
        <v>12</v>
      </c>
      <c r="H241" s="37" t="s">
        <v>13</v>
      </c>
      <c r="I241" s="38" t="s">
        <v>14</v>
      </c>
      <c r="J241" s="37" t="s">
        <v>15</v>
      </c>
      <c r="K241" s="39" t="s">
        <v>16</v>
      </c>
      <c r="M241" s="40" t="s">
        <v>5</v>
      </c>
    </row>
    <row r="242" spans="2:14" ht="54" customHeight="1" x14ac:dyDescent="0.2">
      <c r="B242" s="342" t="s">
        <v>43</v>
      </c>
      <c r="C242" s="344"/>
      <c r="D242" s="343"/>
      <c r="E242" s="344"/>
      <c r="F242" s="347">
        <v>3.5000000000000003E-2</v>
      </c>
      <c r="G242" s="347">
        <v>3.5000000000000003E-2</v>
      </c>
      <c r="H242" s="347">
        <v>0.04</v>
      </c>
      <c r="I242" s="348">
        <v>0.04</v>
      </c>
      <c r="J242" s="347">
        <v>0</v>
      </c>
      <c r="K242" s="73"/>
      <c r="M242" s="49" t="s">
        <v>49</v>
      </c>
    </row>
    <row r="243" spans="2:14" x14ac:dyDescent="0.25"/>
    <row r="244" spans="2:14" ht="15.75" x14ac:dyDescent="0.25">
      <c r="B244" s="32" t="s">
        <v>44</v>
      </c>
      <c r="C244" s="33"/>
      <c r="D244" s="33"/>
      <c r="E244" s="33"/>
      <c r="F244" s="33"/>
      <c r="G244" s="34"/>
      <c r="H244" s="34"/>
      <c r="I244" s="34"/>
      <c r="J244" s="34"/>
      <c r="K244" s="33"/>
      <c r="M244" s="35"/>
    </row>
    <row r="245" spans="2:14" x14ac:dyDescent="0.25"/>
    <row r="246" spans="2:14" x14ac:dyDescent="0.25">
      <c r="B246" s="50" t="s">
        <v>25</v>
      </c>
      <c r="C246" s="449" t="s">
        <v>3</v>
      </c>
      <c r="D246" s="450"/>
      <c r="E246" s="451"/>
      <c r="F246" s="50" t="s">
        <v>5</v>
      </c>
      <c r="G246" s="37" t="s">
        <v>12</v>
      </c>
      <c r="H246" s="37" t="s">
        <v>13</v>
      </c>
      <c r="I246" s="37" t="s">
        <v>14</v>
      </c>
      <c r="J246" s="37" t="s">
        <v>15</v>
      </c>
      <c r="K246" s="51" t="s">
        <v>16</v>
      </c>
      <c r="M246" s="40" t="s">
        <v>5</v>
      </c>
    </row>
    <row r="247" spans="2:14" x14ac:dyDescent="0.25">
      <c r="B247" s="22" t="s">
        <v>103</v>
      </c>
      <c r="C247" s="463" t="s">
        <v>104</v>
      </c>
      <c r="D247" s="464"/>
      <c r="E247" s="465"/>
      <c r="F247" s="22" t="s">
        <v>25</v>
      </c>
      <c r="G247" s="25" t="s">
        <v>11</v>
      </c>
      <c r="H247" s="23">
        <v>8831.5226368509066</v>
      </c>
      <c r="I247" s="23">
        <v>8806.6494143024647</v>
      </c>
      <c r="J247" s="23">
        <v>8736.64391137844</v>
      </c>
      <c r="K247" s="76"/>
      <c r="M247" s="235" t="s">
        <v>52</v>
      </c>
    </row>
    <row r="248" spans="2:14" ht="13.5" thickBot="1" x14ac:dyDescent="0.3">
      <c r="B248" s="52"/>
      <c r="C248" s="52"/>
      <c r="D248" s="52"/>
      <c r="E248" s="52"/>
      <c r="F248" s="52"/>
      <c r="G248" s="57">
        <f>SUM(G247:G247)</f>
        <v>0</v>
      </c>
      <c r="H248" s="57">
        <f>SUM(H247:H247)</f>
        <v>8831.5226368509066</v>
      </c>
      <c r="I248" s="57">
        <f>SUM(I247:I247)</f>
        <v>8806.6494143024647</v>
      </c>
      <c r="J248" s="57">
        <f>SUM(J247:J247)</f>
        <v>8736.64391137844</v>
      </c>
      <c r="K248" s="75"/>
    </row>
    <row r="249" spans="2:14" x14ac:dyDescent="0.25">
      <c r="E249" s="56"/>
    </row>
    <row r="250" spans="2:14" ht="15.75" x14ac:dyDescent="0.25">
      <c r="B250" s="32" t="s">
        <v>77</v>
      </c>
      <c r="C250" s="33"/>
      <c r="D250" s="33"/>
      <c r="E250" s="33"/>
      <c r="F250" s="33"/>
      <c r="G250" s="34"/>
      <c r="H250" s="34"/>
      <c r="I250" s="34"/>
      <c r="J250" s="34"/>
      <c r="K250" s="33"/>
      <c r="M250" s="35"/>
    </row>
    <row r="251" spans="2:14" x14ac:dyDescent="0.25">
      <c r="E251" s="56"/>
    </row>
    <row r="252" spans="2:14" x14ac:dyDescent="0.25">
      <c r="B252" s="476"/>
      <c r="C252" s="477"/>
      <c r="D252" s="477"/>
      <c r="E252" s="477"/>
      <c r="F252" s="477"/>
      <c r="G252" s="478"/>
      <c r="H252" s="230" t="s">
        <v>13</v>
      </c>
      <c r="I252" s="230" t="s">
        <v>14</v>
      </c>
      <c r="J252" s="230" t="s">
        <v>15</v>
      </c>
      <c r="K252" s="51" t="s">
        <v>16</v>
      </c>
      <c r="M252" s="40" t="s">
        <v>5</v>
      </c>
    </row>
    <row r="253" spans="2:14" ht="12.75" customHeight="1" x14ac:dyDescent="0.25">
      <c r="B253" s="452" t="s">
        <v>47</v>
      </c>
      <c r="C253" s="453"/>
      <c r="D253" s="453"/>
      <c r="E253" s="453"/>
      <c r="F253" s="453"/>
      <c r="G253" s="453"/>
      <c r="H253" s="41">
        <f>H116</f>
        <v>700142.52950444596</v>
      </c>
      <c r="I253" s="42">
        <f>I116</f>
        <v>722288.02491656516</v>
      </c>
      <c r="J253" s="233">
        <f>J116</f>
        <v>698189.57546967524</v>
      </c>
      <c r="K253" s="228"/>
      <c r="M253" s="458" t="s">
        <v>235</v>
      </c>
    </row>
    <row r="254" spans="2:14" x14ac:dyDescent="0.25">
      <c r="B254" s="479" t="s">
        <v>44</v>
      </c>
      <c r="C254" s="480"/>
      <c r="D254" s="480"/>
      <c r="E254" s="480"/>
      <c r="F254" s="480"/>
      <c r="G254" s="480"/>
      <c r="H254" s="217">
        <f>+H248</f>
        <v>8831.5226368509066</v>
      </c>
      <c r="I254" s="218">
        <f>+I248</f>
        <v>8806.6494143024647</v>
      </c>
      <c r="J254" s="234">
        <f>+J248</f>
        <v>8736.64391137844</v>
      </c>
      <c r="K254" s="229"/>
      <c r="M254" s="459"/>
    </row>
    <row r="255" spans="2:14" x14ac:dyDescent="0.25">
      <c r="B255" s="481" t="s">
        <v>42</v>
      </c>
      <c r="C255" s="482"/>
      <c r="D255" s="482"/>
      <c r="E255" s="482"/>
      <c r="F255" s="482"/>
      <c r="G255" s="483"/>
      <c r="H255" s="231">
        <f>+H253/H254</f>
        <v>79.277669128423227</v>
      </c>
      <c r="I255" s="294">
        <f>+I253/I254</f>
        <v>82.016211948159437</v>
      </c>
      <c r="J255" s="232">
        <f>+J253/J254</f>
        <v>79.915077523116892</v>
      </c>
      <c r="K255" s="151"/>
      <c r="M255" s="459"/>
      <c r="N255" s="63"/>
    </row>
    <row r="256" spans="2:14" x14ac:dyDescent="0.25">
      <c r="B256" s="452" t="s">
        <v>76</v>
      </c>
      <c r="C256" s="453"/>
      <c r="D256" s="453"/>
      <c r="E256" s="453"/>
      <c r="F256" s="453"/>
      <c r="G256" s="454"/>
      <c r="H256" s="59">
        <f>+H242</f>
        <v>0.04</v>
      </c>
      <c r="I256" s="295">
        <f>+I242</f>
        <v>0.04</v>
      </c>
      <c r="J256" s="60">
        <f>+J242</f>
        <v>0</v>
      </c>
      <c r="K256" s="150"/>
      <c r="M256" s="459"/>
    </row>
    <row r="257" spans="2:13" x14ac:dyDescent="0.25">
      <c r="B257" s="515" t="s">
        <v>55</v>
      </c>
      <c r="C257" s="516"/>
      <c r="D257" s="516"/>
      <c r="E257" s="516"/>
      <c r="F257" s="516"/>
      <c r="G257" s="517"/>
      <c r="H257" s="61">
        <f>+H255*(1+H256)*(1+I256)</f>
        <v>85.746726929302568</v>
      </c>
      <c r="I257" s="296">
        <f>+I255*(1+I256)</f>
        <v>85.296860426085814</v>
      </c>
      <c r="J257" s="62">
        <f>+J255</f>
        <v>79.915077523116892</v>
      </c>
      <c r="K257" s="152"/>
      <c r="M257" s="459"/>
    </row>
    <row r="258" spans="2:13" x14ac:dyDescent="0.25">
      <c r="E258" s="56"/>
      <c r="H258" s="63"/>
      <c r="I258" s="63"/>
      <c r="J258" s="63"/>
      <c r="M258" s="459"/>
    </row>
    <row r="259" spans="2:13" x14ac:dyDescent="0.25">
      <c r="E259" s="56"/>
      <c r="G259" s="475" t="s">
        <v>250</v>
      </c>
      <c r="H259" s="475"/>
      <c r="I259" s="475"/>
      <c r="J259" s="158">
        <f>AVERAGE(H257:J257)</f>
        <v>83.652888292835087</v>
      </c>
      <c r="K259" s="79"/>
      <c r="M259" s="459"/>
    </row>
    <row r="260" spans="2:13" x14ac:dyDescent="0.25">
      <c r="E260" s="56"/>
      <c r="H260" s="63"/>
      <c r="I260" s="63"/>
      <c r="J260" s="63"/>
      <c r="K260" s="79"/>
      <c r="M260" s="459"/>
    </row>
    <row r="261" spans="2:13" x14ac:dyDescent="0.25">
      <c r="E261" s="56"/>
      <c r="G261" s="475" t="s">
        <v>56</v>
      </c>
      <c r="H261" s="475"/>
      <c r="I261" s="475"/>
      <c r="J261" s="159">
        <f>+K300-1</f>
        <v>1.2648945446885498</v>
      </c>
      <c r="K261" s="79"/>
      <c r="M261" s="459"/>
    </row>
    <row r="262" spans="2:13" x14ac:dyDescent="0.25">
      <c r="E262" s="56"/>
      <c r="H262" s="63"/>
      <c r="I262" s="63"/>
      <c r="J262" s="63"/>
      <c r="K262" s="79"/>
      <c r="M262" s="459"/>
    </row>
    <row r="263" spans="2:13" x14ac:dyDescent="0.25">
      <c r="E263" s="56"/>
      <c r="G263" s="475" t="s">
        <v>57</v>
      </c>
      <c r="H263" s="475"/>
      <c r="I263" s="475"/>
      <c r="J263" s="158">
        <f>+J259+(J261*J259)</f>
        <v>189.46497034188286</v>
      </c>
      <c r="K263" s="79"/>
      <c r="M263" s="460"/>
    </row>
    <row r="264" spans="2:13" x14ac:dyDescent="0.25">
      <c r="E264" s="56"/>
      <c r="H264" s="63"/>
      <c r="I264" s="63"/>
      <c r="J264" s="63"/>
    </row>
    <row r="265" spans="2:13" x14ac:dyDescent="0.25">
      <c r="E265" s="56"/>
      <c r="H265" s="63"/>
      <c r="I265" s="63"/>
      <c r="J265" s="63"/>
    </row>
    <row r="266" spans="2:13" x14ac:dyDescent="0.2">
      <c r="E266" s="315" t="s">
        <v>215</v>
      </c>
      <c r="H266" s="63"/>
      <c r="I266" s="63"/>
      <c r="J266" s="63"/>
      <c r="M266" s="40" t="s">
        <v>5</v>
      </c>
    </row>
    <row r="267" spans="2:13" ht="15" customHeight="1" x14ac:dyDescent="0.25">
      <c r="E267" s="56"/>
      <c r="H267" s="63"/>
      <c r="I267" s="63"/>
      <c r="J267" s="63"/>
      <c r="M267" s="458" t="s">
        <v>232</v>
      </c>
    </row>
    <row r="268" spans="2:13" x14ac:dyDescent="0.25">
      <c r="E268" s="56"/>
      <c r="H268" s="37" t="s">
        <v>213</v>
      </c>
      <c r="I268" s="37" t="s">
        <v>202</v>
      </c>
      <c r="J268" s="37" t="s">
        <v>214</v>
      </c>
      <c r="M268" s="459"/>
    </row>
    <row r="269" spans="2:13" ht="12.75" customHeight="1" x14ac:dyDescent="0.25">
      <c r="E269" s="303" t="s">
        <v>250</v>
      </c>
      <c r="F269" s="303"/>
      <c r="G269" s="303"/>
      <c r="H269" s="316">
        <f>J259*0.5</f>
        <v>41.826444146417543</v>
      </c>
      <c r="I269" s="316">
        <f>(J259*1.75)-J259</f>
        <v>62.739666219626315</v>
      </c>
      <c r="J269" s="316">
        <f>'[1]Input Sheet'!$J$141</f>
        <v>1482.4963518442783</v>
      </c>
      <c r="M269" s="459"/>
    </row>
    <row r="270" spans="2:13" x14ac:dyDescent="0.25">
      <c r="E270" s="28"/>
      <c r="F270" s="63"/>
      <c r="G270" s="63"/>
      <c r="H270" s="63"/>
      <c r="I270" s="63"/>
      <c r="J270" s="63"/>
      <c r="M270" s="459"/>
    </row>
    <row r="271" spans="2:13" x14ac:dyDescent="0.25">
      <c r="E271" s="488" t="s">
        <v>56</v>
      </c>
      <c r="F271" s="489"/>
      <c r="G271" s="490"/>
      <c r="H271" s="317">
        <f>+$K$300-1</f>
        <v>1.2648945446885498</v>
      </c>
      <c r="I271" s="317">
        <f>+$K$300-1</f>
        <v>1.2648945446885498</v>
      </c>
      <c r="J271" s="317">
        <f>+$K$300-1</f>
        <v>1.2648945446885498</v>
      </c>
      <c r="M271" s="459"/>
    </row>
    <row r="272" spans="2:13" x14ac:dyDescent="0.25">
      <c r="E272" s="28"/>
      <c r="F272" s="63"/>
      <c r="G272" s="63"/>
      <c r="H272" s="63"/>
      <c r="I272" s="63"/>
      <c r="J272" s="63"/>
      <c r="M272" s="459"/>
    </row>
    <row r="273" spans="2:13" x14ac:dyDescent="0.25">
      <c r="E273" s="303" t="s">
        <v>57</v>
      </c>
      <c r="F273" s="303"/>
      <c r="G273" s="303"/>
      <c r="H273" s="316">
        <f>+H269+(H271*H269)</f>
        <v>94.73248517094143</v>
      </c>
      <c r="I273" s="316">
        <f>+I269+(I271*I269)</f>
        <v>142.09872775641213</v>
      </c>
      <c r="J273" s="316">
        <f>+J269+(J271*J269)</f>
        <v>3357.6978998127825</v>
      </c>
      <c r="K273" s="79"/>
      <c r="M273" s="459"/>
    </row>
    <row r="274" spans="2:13" ht="139.5" customHeight="1" x14ac:dyDescent="0.25">
      <c r="E274" s="56"/>
      <c r="H274" s="63"/>
      <c r="I274" s="63"/>
      <c r="J274" s="63"/>
      <c r="M274" s="460"/>
    </row>
    <row r="275" spans="2:13" x14ac:dyDescent="0.2">
      <c r="E275" s="56"/>
      <c r="H275" s="63"/>
      <c r="I275" s="63"/>
      <c r="J275" s="63"/>
      <c r="M275" s="207"/>
    </row>
    <row r="276" spans="2:13" ht="15.75" x14ac:dyDescent="0.25">
      <c r="B276" s="32" t="s">
        <v>78</v>
      </c>
      <c r="C276" s="33"/>
      <c r="D276" s="33"/>
      <c r="E276" s="33"/>
      <c r="F276" s="33"/>
      <c r="G276" s="34"/>
      <c r="H276" s="34"/>
      <c r="I276" s="34"/>
      <c r="J276" s="34"/>
      <c r="K276" s="33"/>
      <c r="M276" s="35"/>
    </row>
    <row r="277" spans="2:13" x14ac:dyDescent="0.25">
      <c r="E277" s="56"/>
    </row>
    <row r="278" spans="2:13" x14ac:dyDescent="0.25">
      <c r="B278" s="153"/>
      <c r="C278" s="154"/>
      <c r="D278" s="154"/>
      <c r="E278" s="154"/>
      <c r="F278" s="37" t="s">
        <v>16</v>
      </c>
      <c r="G278" s="37" t="s">
        <v>17</v>
      </c>
      <c r="H278" s="37" t="s">
        <v>18</v>
      </c>
      <c r="I278" s="37" t="s">
        <v>19</v>
      </c>
      <c r="J278" s="37" t="s">
        <v>20</v>
      </c>
      <c r="K278" s="37" t="s">
        <v>21</v>
      </c>
      <c r="M278" s="40" t="s">
        <v>5</v>
      </c>
    </row>
    <row r="279" spans="2:13" ht="12.75" customHeight="1" x14ac:dyDescent="0.25">
      <c r="H279" s="63"/>
      <c r="I279" s="63"/>
      <c r="J279" s="63"/>
      <c r="M279" s="458" t="s">
        <v>236</v>
      </c>
    </row>
    <row r="280" spans="2:13" x14ac:dyDescent="0.25">
      <c r="B280" s="26" t="s">
        <v>66</v>
      </c>
      <c r="E280" s="63"/>
      <c r="F280" s="64">
        <f>+G280/1.025</f>
        <v>87.262251103580098</v>
      </c>
      <c r="G280" s="64">
        <f>$J259*G308</f>
        <v>89.443807381169592</v>
      </c>
      <c r="H280" s="64">
        <f>$J259*H308</f>
        <v>93.346215643890361</v>
      </c>
      <c r="I280" s="64">
        <f>$J259*I308</f>
        <v>96.506703748718721</v>
      </c>
      <c r="J280" s="64">
        <f>$J259*J308</f>
        <v>99.906457152191791</v>
      </c>
      <c r="K280" s="64">
        <f>$J259*K308</f>
        <v>103.34687074918484</v>
      </c>
      <c r="M280" s="459"/>
    </row>
    <row r="281" spans="2:13" x14ac:dyDescent="0.25">
      <c r="B281" s="26" t="s">
        <v>67</v>
      </c>
      <c r="G281" s="64">
        <f>$J263*G308</f>
        <v>202.58079139378449</v>
      </c>
      <c r="H281" s="64">
        <f>$J263*H308</f>
        <v>211.41933457916826</v>
      </c>
      <c r="I281" s="64">
        <f>$J263*I308</f>
        <v>218.57750684634706</v>
      </c>
      <c r="J281" s="64">
        <f>$J263*J308</f>
        <v>226.27758978315956</v>
      </c>
      <c r="K281" s="64">
        <f>$J263*K308</f>
        <v>234.06976377046144</v>
      </c>
      <c r="M281" s="459"/>
    </row>
    <row r="282" spans="2:13" x14ac:dyDescent="0.25">
      <c r="G282" s="64"/>
      <c r="H282" s="64"/>
      <c r="I282" s="64"/>
      <c r="J282" s="64"/>
      <c r="K282" s="64"/>
      <c r="M282" s="459"/>
    </row>
    <row r="283" spans="2:13" x14ac:dyDescent="0.25">
      <c r="B283" s="155" t="s">
        <v>79</v>
      </c>
      <c r="C283" s="155"/>
      <c r="D283" s="155"/>
      <c r="E283" s="155"/>
      <c r="F283" s="155"/>
      <c r="G283" s="156"/>
      <c r="H283" s="156">
        <f t="shared" ref="H283:K283" si="12">(H281-G281)/G281</f>
        <v>4.3629719898778868E-2</v>
      </c>
      <c r="I283" s="156">
        <f t="shared" si="12"/>
        <v>3.3857699351041819E-2</v>
      </c>
      <c r="J283" s="156">
        <f t="shared" si="12"/>
        <v>3.5228157956003231E-2</v>
      </c>
      <c r="K283" s="156">
        <f t="shared" si="12"/>
        <v>3.4436348711196156E-2</v>
      </c>
      <c r="M283" s="459"/>
    </row>
    <row r="284" spans="2:13" x14ac:dyDescent="0.25">
      <c r="E284" s="56"/>
      <c r="H284" s="63"/>
      <c r="I284" s="63"/>
      <c r="J284" s="63"/>
      <c r="M284" s="459"/>
    </row>
    <row r="285" spans="2:13" x14ac:dyDescent="0.25">
      <c r="B285" s="26" t="s">
        <v>216</v>
      </c>
      <c r="E285" s="26" t="s">
        <v>224</v>
      </c>
      <c r="G285" s="64">
        <f>+$H$269*G308</f>
        <v>44.721903690584796</v>
      </c>
      <c r="H285" s="64">
        <f t="shared" ref="H285:K285" si="13">+$H$269*H308</f>
        <v>46.67310782194518</v>
      </c>
      <c r="I285" s="64">
        <f t="shared" si="13"/>
        <v>48.25335187435936</v>
      </c>
      <c r="J285" s="64">
        <f t="shared" si="13"/>
        <v>49.953228576095896</v>
      </c>
      <c r="K285" s="64">
        <f t="shared" si="13"/>
        <v>51.673435374592422</v>
      </c>
      <c r="M285" s="459"/>
    </row>
    <row r="286" spans="2:13" x14ac:dyDescent="0.25">
      <c r="B286" s="26" t="s">
        <v>217</v>
      </c>
      <c r="E286" s="26" t="s">
        <v>224</v>
      </c>
      <c r="G286" s="64">
        <f>+$I$269*G308</f>
        <v>67.082855535877201</v>
      </c>
      <c r="H286" s="64">
        <f t="shared" ref="H286:K286" si="14">+$I$269*H308</f>
        <v>70.009661732917777</v>
      </c>
      <c r="I286" s="64">
        <f t="shared" si="14"/>
        <v>72.380027811539037</v>
      </c>
      <c r="J286" s="64">
        <f t="shared" si="14"/>
        <v>74.929842864143851</v>
      </c>
      <c r="K286" s="64">
        <f t="shared" si="14"/>
        <v>77.51015306188863</v>
      </c>
      <c r="M286" s="459"/>
    </row>
    <row r="287" spans="2:13" x14ac:dyDescent="0.25">
      <c r="B287" s="26" t="s">
        <v>218</v>
      </c>
      <c r="E287" s="26" t="s">
        <v>224</v>
      </c>
      <c r="G287" s="64">
        <f>+$J$269*G308</f>
        <v>1585.1230106181943</v>
      </c>
      <c r="H287" s="64">
        <f t="shared" ref="H287:K287" si="15">+$J$269*H308</f>
        <v>1654.2814835765753</v>
      </c>
      <c r="I287" s="64">
        <f t="shared" si="15"/>
        <v>1710.2916486895065</v>
      </c>
      <c r="J287" s="64">
        <f t="shared" si="15"/>
        <v>1770.5420730403737</v>
      </c>
      <c r="K287" s="64">
        <f t="shared" si="15"/>
        <v>1831.513077275436</v>
      </c>
      <c r="M287" s="459"/>
    </row>
    <row r="288" spans="2:13" x14ac:dyDescent="0.25">
      <c r="E288" s="56"/>
      <c r="G288" s="64"/>
      <c r="H288" s="64"/>
      <c r="I288" s="64"/>
      <c r="J288" s="64"/>
      <c r="K288" s="64"/>
      <c r="M288" s="459"/>
    </row>
    <row r="289" spans="2:13" x14ac:dyDescent="0.25">
      <c r="B289" s="26" t="s">
        <v>216</v>
      </c>
      <c r="E289" s="26" t="s">
        <v>224</v>
      </c>
      <c r="G289" s="64">
        <f>+$H$273*G308</f>
        <v>101.29039569689225</v>
      </c>
      <c r="H289" s="64">
        <f t="shared" ref="H289:K289" si="16">+$H$273*H308</f>
        <v>105.70966728958413</v>
      </c>
      <c r="I289" s="64">
        <f t="shared" si="16"/>
        <v>109.28875342317353</v>
      </c>
      <c r="J289" s="64">
        <f t="shared" si="16"/>
        <v>113.13879489157978</v>
      </c>
      <c r="K289" s="64">
        <f t="shared" si="16"/>
        <v>117.03488188523072</v>
      </c>
      <c r="M289" s="459"/>
    </row>
    <row r="290" spans="2:13" x14ac:dyDescent="0.25">
      <c r="B290" s="26" t="s">
        <v>217</v>
      </c>
      <c r="E290" s="26" t="s">
        <v>224</v>
      </c>
      <c r="G290" s="64">
        <f>+$I$273*G308</f>
        <v>151.93559354533835</v>
      </c>
      <c r="H290" s="64">
        <f t="shared" ref="H290:K290" si="17">+$I$273*H308</f>
        <v>158.56450093437618</v>
      </c>
      <c r="I290" s="64">
        <f t="shared" si="17"/>
        <v>163.93313013476029</v>
      </c>
      <c r="J290" s="64">
        <f t="shared" si="17"/>
        <v>169.70819233736967</v>
      </c>
      <c r="K290" s="64">
        <f t="shared" si="17"/>
        <v>175.55232282784607</v>
      </c>
      <c r="M290" s="459"/>
    </row>
    <row r="291" spans="2:13" x14ac:dyDescent="0.25">
      <c r="B291" s="26" t="s">
        <v>218</v>
      </c>
      <c r="E291" s="26" t="s">
        <v>225</v>
      </c>
      <c r="G291" s="64">
        <f>+$J$273*G308</f>
        <v>3590.1364594094384</v>
      </c>
      <c r="H291" s="64">
        <f t="shared" ref="H291:K291" si="18">+$J$273*H308</f>
        <v>3746.7731075318661</v>
      </c>
      <c r="I291" s="64">
        <f t="shared" si="18"/>
        <v>3873.6302249432488</v>
      </c>
      <c r="J291" s="64">
        <f t="shared" si="18"/>
        <v>4010.0910823706977</v>
      </c>
      <c r="K291" s="64">
        <f t="shared" si="18"/>
        <v>4148.1839772468729</v>
      </c>
      <c r="M291" s="460"/>
    </row>
    <row r="292" spans="2:13" x14ac:dyDescent="0.25">
      <c r="E292" s="56"/>
      <c r="K292" s="28"/>
    </row>
    <row r="293" spans="2:13" ht="15.75" x14ac:dyDescent="0.25">
      <c r="B293" s="32" t="s">
        <v>54</v>
      </c>
      <c r="C293" s="33"/>
      <c r="D293" s="33"/>
      <c r="E293" s="33"/>
      <c r="F293" s="33"/>
      <c r="G293" s="34"/>
      <c r="H293" s="34"/>
      <c r="I293" s="34"/>
      <c r="J293" s="34"/>
      <c r="K293" s="33"/>
      <c r="M293" s="35"/>
    </row>
    <row r="294" spans="2:13" x14ac:dyDescent="0.25"/>
    <row r="295" spans="2:13" x14ac:dyDescent="0.25">
      <c r="B295" s="503" t="s">
        <v>22</v>
      </c>
      <c r="C295" s="504"/>
      <c r="D295" s="504"/>
      <c r="E295" s="505"/>
      <c r="F295" s="319" t="s">
        <v>16</v>
      </c>
      <c r="G295" s="319" t="s">
        <v>17</v>
      </c>
      <c r="H295" s="319" t="s">
        <v>18</v>
      </c>
      <c r="I295" s="319" t="s">
        <v>19</v>
      </c>
      <c r="J295" s="319" t="s">
        <v>20</v>
      </c>
      <c r="K295" s="55" t="s">
        <v>21</v>
      </c>
      <c r="M295" s="40" t="s">
        <v>5</v>
      </c>
    </row>
    <row r="296" spans="2:13" ht="12.75" customHeight="1" x14ac:dyDescent="0.25">
      <c r="B296" s="506" t="s">
        <v>238</v>
      </c>
      <c r="C296" s="507"/>
      <c r="D296" s="507"/>
      <c r="E296" s="508"/>
      <c r="F296" s="45"/>
      <c r="G296" s="58">
        <v>18449161.14072692</v>
      </c>
      <c r="H296" s="58">
        <v>19652616.51053571</v>
      </c>
      <c r="I296" s="58">
        <v>20750302.453561164</v>
      </c>
      <c r="J296" s="58">
        <v>21950966.582370307</v>
      </c>
      <c r="K296" s="45">
        <v>23217206.584968176</v>
      </c>
      <c r="M296" s="458" t="s">
        <v>237</v>
      </c>
    </row>
    <row r="297" spans="2:13" x14ac:dyDescent="0.25">
      <c r="B297" s="509" t="s">
        <v>239</v>
      </c>
      <c r="C297" s="510"/>
      <c r="D297" s="510"/>
      <c r="E297" s="511"/>
      <c r="F297" s="45"/>
      <c r="G297" s="58">
        <v>40098372.700329572</v>
      </c>
      <c r="H297" s="58">
        <v>44414981.708611391</v>
      </c>
      <c r="I297" s="58">
        <v>47124811.758132517</v>
      </c>
      <c r="J297" s="58">
        <v>50429626.415997855</v>
      </c>
      <c r="K297" s="45">
        <v>53924251.70079805</v>
      </c>
      <c r="M297" s="459"/>
    </row>
    <row r="298" spans="2:13" x14ac:dyDescent="0.25">
      <c r="B298" s="512" t="s">
        <v>22</v>
      </c>
      <c r="C298" s="513"/>
      <c r="D298" s="513"/>
      <c r="E298" s="514"/>
      <c r="F298" s="67"/>
      <c r="G298" s="67">
        <f t="shared" ref="G298:K298" si="19">+G297/G296</f>
        <v>2.1734523534412387</v>
      </c>
      <c r="H298" s="67">
        <f t="shared" si="19"/>
        <v>2.2600034801880273</v>
      </c>
      <c r="I298" s="67">
        <f t="shared" si="19"/>
        <v>2.2710421625707418</v>
      </c>
      <c r="J298" s="67">
        <f t="shared" si="19"/>
        <v>2.2973761190315822</v>
      </c>
      <c r="K298" s="200">
        <f t="shared" si="19"/>
        <v>2.3225986082111594</v>
      </c>
      <c r="M298" s="459"/>
    </row>
    <row r="299" spans="2:13" x14ac:dyDescent="0.25">
      <c r="F299" s="28"/>
      <c r="K299" s="28"/>
      <c r="M299" s="459"/>
    </row>
    <row r="300" spans="2:13" x14ac:dyDescent="0.25">
      <c r="F300" s="500" t="s">
        <v>221</v>
      </c>
      <c r="G300" s="501"/>
      <c r="H300" s="501"/>
      <c r="I300" s="501"/>
      <c r="J300" s="502"/>
      <c r="K300" s="201">
        <f>AVERAGE(G298:K298)</f>
        <v>2.2648945446885498</v>
      </c>
      <c r="M300" s="460"/>
    </row>
    <row r="301" spans="2:13" x14ac:dyDescent="0.25">
      <c r="G301" s="26"/>
      <c r="H301" s="26"/>
      <c r="I301" s="26"/>
      <c r="J301" s="26"/>
      <c r="K301" s="341"/>
    </row>
    <row r="302" spans="2:13" x14ac:dyDescent="0.25">
      <c r="G302" s="26"/>
      <c r="H302" s="26"/>
      <c r="I302" s="26"/>
      <c r="J302" s="26"/>
    </row>
    <row r="303" spans="2:13" ht="15.75" x14ac:dyDescent="0.25">
      <c r="B303" s="32" t="s">
        <v>252</v>
      </c>
      <c r="C303" s="33"/>
      <c r="D303" s="33"/>
      <c r="E303" s="33"/>
      <c r="F303" s="33"/>
      <c r="G303" s="34"/>
      <c r="H303" s="34"/>
      <c r="I303" s="34"/>
      <c r="J303" s="34"/>
      <c r="K303" s="33"/>
      <c r="M303" s="35"/>
    </row>
    <row r="304" spans="2:13" x14ac:dyDescent="0.25"/>
    <row r="305" spans="2:13" x14ac:dyDescent="0.2">
      <c r="B305" s="491" t="s">
        <v>253</v>
      </c>
      <c r="C305" s="492"/>
      <c r="D305" s="492"/>
      <c r="E305" s="493"/>
      <c r="F305" s="319" t="s">
        <v>16</v>
      </c>
      <c r="G305" s="319" t="s">
        <v>17</v>
      </c>
      <c r="H305" s="319" t="s">
        <v>18</v>
      </c>
      <c r="I305" s="319" t="s">
        <v>19</v>
      </c>
      <c r="J305" s="319" t="s">
        <v>20</v>
      </c>
      <c r="K305" s="55" t="s">
        <v>21</v>
      </c>
      <c r="M305" s="444" t="s">
        <v>5</v>
      </c>
    </row>
    <row r="306" spans="2:13" ht="12.75" customHeight="1" x14ac:dyDescent="0.2">
      <c r="B306" s="484" t="s">
        <v>240</v>
      </c>
      <c r="C306" s="485"/>
      <c r="D306" s="485"/>
      <c r="E306" s="486"/>
      <c r="F306" s="24"/>
      <c r="G306" s="24">
        <v>17254695.000010207</v>
      </c>
      <c r="H306" s="24">
        <v>17611834.848126188</v>
      </c>
      <c r="I306" s="24">
        <v>17986550.838063825</v>
      </c>
      <c r="J306" s="24">
        <v>18379810.552560411</v>
      </c>
      <c r="K306" s="202">
        <v>18792890.146016706</v>
      </c>
      <c r="M306" s="446" t="s">
        <v>256</v>
      </c>
    </row>
    <row r="307" spans="2:13" x14ac:dyDescent="0.2">
      <c r="B307" s="494" t="s">
        <v>254</v>
      </c>
      <c r="C307" s="495"/>
      <c r="D307" s="495"/>
      <c r="E307" s="496"/>
      <c r="F307" s="24"/>
      <c r="G307" s="24">
        <v>18449161.14072692</v>
      </c>
      <c r="H307" s="24">
        <v>19652616.51053571</v>
      </c>
      <c r="I307" s="24">
        <v>20750302.453561164</v>
      </c>
      <c r="J307" s="24">
        <v>21950966.582370307</v>
      </c>
      <c r="K307" s="202">
        <v>23217206.584968176</v>
      </c>
      <c r="M307" s="447"/>
    </row>
    <row r="308" spans="2:13" x14ac:dyDescent="0.2">
      <c r="B308" s="497" t="s">
        <v>255</v>
      </c>
      <c r="C308" s="498"/>
      <c r="D308" s="498"/>
      <c r="E308" s="499"/>
      <c r="F308" s="67"/>
      <c r="G308" s="67">
        <f t="shared" ref="G308:K308" si="20">+G307/G306</f>
        <v>1.0692255725595849</v>
      </c>
      <c r="H308" s="67">
        <f t="shared" si="20"/>
        <v>1.1158755847989712</v>
      </c>
      <c r="I308" s="67">
        <f t="shared" si="20"/>
        <v>1.1536565648622628</v>
      </c>
      <c r="J308" s="67">
        <f t="shared" si="20"/>
        <v>1.1942977605562106</v>
      </c>
      <c r="K308" s="200">
        <f t="shared" si="20"/>
        <v>1.2354250147037249</v>
      </c>
      <c r="M308" s="447"/>
    </row>
    <row r="309" spans="2:13" x14ac:dyDescent="0.25">
      <c r="F309" s="28"/>
      <c r="K309" s="28"/>
      <c r="M309" s="447"/>
    </row>
    <row r="310" spans="2:13" x14ac:dyDescent="0.25">
      <c r="F310" s="500" t="s">
        <v>23</v>
      </c>
      <c r="G310" s="501"/>
      <c r="H310" s="501"/>
      <c r="I310" s="501"/>
      <c r="J310" s="502"/>
      <c r="K310" s="201">
        <f>AVERAGE(G308:K308)</f>
        <v>1.1536960994961507</v>
      </c>
      <c r="M310" s="448"/>
    </row>
    <row r="311" spans="2:13" x14ac:dyDescent="0.25">
      <c r="K311" s="157"/>
      <c r="M311" s="445"/>
    </row>
    <row r="312" spans="2:13" ht="12.75" customHeight="1" x14ac:dyDescent="0.25">
      <c r="M312" s="69"/>
    </row>
    <row r="313" spans="2:13" ht="12.75" customHeight="1" x14ac:dyDescent="0.25">
      <c r="M313" s="70"/>
    </row>
    <row r="314" spans="2:13" ht="12.75" customHeight="1" x14ac:dyDescent="0.25">
      <c r="M314" s="70"/>
    </row>
    <row r="315" spans="2:13" x14ac:dyDescent="0.25">
      <c r="M315" s="70"/>
    </row>
    <row r="316" spans="2:13" x14ac:dyDescent="0.25"/>
    <row r="317" spans="2:13" x14ac:dyDescent="0.25"/>
    <row r="318" spans="2:13" x14ac:dyDescent="0.25"/>
    <row r="319" spans="2:13" x14ac:dyDescent="0.25"/>
    <row r="320" spans="2:13"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sheetData>
  <mergeCells count="48">
    <mergeCell ref="B307:E307"/>
    <mergeCell ref="B308:E308"/>
    <mergeCell ref="F300:J300"/>
    <mergeCell ref="F310:J310"/>
    <mergeCell ref="M253:M263"/>
    <mergeCell ref="B295:E295"/>
    <mergeCell ref="B296:E296"/>
    <mergeCell ref="B297:E297"/>
    <mergeCell ref="B298:E298"/>
    <mergeCell ref="M296:M300"/>
    <mergeCell ref="B257:G257"/>
    <mergeCell ref="B253:G253"/>
    <mergeCell ref="B306:E306"/>
    <mergeCell ref="B108:F108"/>
    <mergeCell ref="B110:F110"/>
    <mergeCell ref="B120:F120"/>
    <mergeCell ref="B121:F121"/>
    <mergeCell ref="B122:F122"/>
    <mergeCell ref="C114:F114"/>
    <mergeCell ref="B109:F109"/>
    <mergeCell ref="E271:G271"/>
    <mergeCell ref="C246:E246"/>
    <mergeCell ref="B305:E305"/>
    <mergeCell ref="C247:E247"/>
    <mergeCell ref="G233:G237"/>
    <mergeCell ref="M226:M237"/>
    <mergeCell ref="G259:I259"/>
    <mergeCell ref="G263:I263"/>
    <mergeCell ref="G261:I261"/>
    <mergeCell ref="B252:G252"/>
    <mergeCell ref="B254:G254"/>
    <mergeCell ref="B255:G255"/>
    <mergeCell ref="M306:M310"/>
    <mergeCell ref="B8:F8"/>
    <mergeCell ref="B9:F9"/>
    <mergeCell ref="B10:F10"/>
    <mergeCell ref="M267:M274"/>
    <mergeCell ref="B256:G256"/>
    <mergeCell ref="B100:F100"/>
    <mergeCell ref="M9:M104"/>
    <mergeCell ref="M279:M291"/>
    <mergeCell ref="M109:M110"/>
    <mergeCell ref="C115:F115"/>
    <mergeCell ref="M121:M220"/>
    <mergeCell ref="B213:F213"/>
    <mergeCell ref="B225:F225"/>
    <mergeCell ref="G226:G230"/>
    <mergeCell ref="B232:F232"/>
  </mergeCells>
  <pageMargins left="0.70866141732283472" right="0.70866141732283472" top="0.74803149606299213" bottom="0.74803149606299213" header="0.31496062992125984" footer="0.31496062992125984"/>
  <pageSetup paperSize="8" scale="66" fitToHeight="3" orientation="portrait" r:id="rId1"/>
  <headerFooter>
    <oddFooter>&amp;C&amp;F&amp;R&amp;A</oddFooter>
  </headerFooter>
  <rowBreaks count="2" manualBreakCount="2">
    <brk id="117" max="16383" man="1"/>
    <brk id="243"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B123"/>
  <sheetViews>
    <sheetView showGridLines="0" zoomScaleNormal="100" workbookViewId="0"/>
  </sheetViews>
  <sheetFormatPr defaultColWidth="9.140625" defaultRowHeight="12.75" x14ac:dyDescent="0.25"/>
  <cols>
    <col min="1" max="1" width="2.85546875" style="105" customWidth="1"/>
    <col min="2" max="2" width="77.5703125" style="105" customWidth="1"/>
    <col min="3" max="3" width="11.42578125" style="105" customWidth="1"/>
    <col min="4" max="4" width="11.42578125" style="115" customWidth="1"/>
    <col min="5" max="5" width="11.42578125" style="106" customWidth="1"/>
    <col min="6" max="7" width="11.42578125" style="105" customWidth="1"/>
    <col min="8" max="8" width="2.85546875" style="105" customWidth="1"/>
    <col min="9" max="12" width="11.42578125" style="106" customWidth="1"/>
    <col min="13" max="13" width="2.85546875" style="244" customWidth="1"/>
    <col min="14" max="17" width="11.42578125" style="105" customWidth="1"/>
    <col min="18" max="18" width="2.85546875" style="105" customWidth="1"/>
    <col min="19" max="19" width="11.42578125" style="115" customWidth="1"/>
    <col min="20" max="22" width="11.42578125" style="105" customWidth="1"/>
    <col min="23" max="23" width="2.85546875" style="105" customWidth="1"/>
    <col min="24" max="27" width="11.42578125" style="105" customWidth="1"/>
    <col min="28" max="28" width="2.85546875" style="105" customWidth="1"/>
    <col min="29" max="55" width="9.140625" style="105" customWidth="1"/>
    <col min="56" max="16384" width="9.140625" style="105"/>
  </cols>
  <sheetData>
    <row r="1" spans="2:28" ht="14.25" customHeight="1" x14ac:dyDescent="0.25"/>
    <row r="2" spans="2:28" ht="21" x14ac:dyDescent="0.25">
      <c r="B2" s="168" t="s">
        <v>50</v>
      </c>
      <c r="C2" s="169"/>
      <c r="D2" s="236"/>
      <c r="E2" s="269"/>
      <c r="F2" s="169"/>
      <c r="G2" s="169"/>
      <c r="H2" s="169"/>
    </row>
    <row r="3" spans="2:28" ht="21" x14ac:dyDescent="0.25">
      <c r="B3" s="168" t="str">
        <f>+'AER Summary'!C3</f>
        <v>Inspection of Service Work (Level 1 work)</v>
      </c>
      <c r="C3" s="169"/>
      <c r="D3" s="236"/>
      <c r="E3" s="269"/>
      <c r="F3" s="169"/>
      <c r="G3" s="169"/>
      <c r="H3" s="169"/>
    </row>
    <row r="4" spans="2:28" ht="18.75" x14ac:dyDescent="0.25">
      <c r="B4" s="170" t="s">
        <v>85</v>
      </c>
      <c r="C4" s="171"/>
      <c r="D4" s="237"/>
      <c r="E4" s="270"/>
      <c r="F4" s="171"/>
      <c r="G4" s="171"/>
      <c r="H4" s="171"/>
    </row>
    <row r="5" spans="2:28" ht="14.25" customHeight="1" x14ac:dyDescent="0.25"/>
    <row r="6" spans="2:28" ht="41.25" customHeight="1" x14ac:dyDescent="0.25">
      <c r="B6" s="518" t="s">
        <v>241</v>
      </c>
      <c r="C6" s="519"/>
      <c r="D6" s="519"/>
      <c r="E6" s="519"/>
      <c r="F6" s="519"/>
      <c r="G6" s="519"/>
      <c r="H6" s="519"/>
      <c r="I6" s="519"/>
      <c r="J6" s="519"/>
      <c r="K6" s="519"/>
      <c r="L6" s="519"/>
      <c r="M6" s="519"/>
      <c r="N6" s="519"/>
      <c r="O6" s="519"/>
      <c r="P6" s="519"/>
      <c r="Q6" s="520"/>
    </row>
    <row r="7" spans="2:28" ht="14.25" customHeight="1" x14ac:dyDescent="0.25">
      <c r="B7" s="114"/>
      <c r="C7" s="114"/>
      <c r="D7" s="238"/>
      <c r="E7" s="271"/>
      <c r="F7" s="114"/>
      <c r="G7" s="114"/>
      <c r="S7" s="108"/>
      <c r="T7" s="107"/>
      <c r="U7" s="107"/>
      <c r="V7" s="107"/>
      <c r="X7" s="107"/>
      <c r="Y7" s="107"/>
      <c r="Z7" s="107"/>
      <c r="AA7" s="107"/>
    </row>
    <row r="8" spans="2:28" ht="24" customHeight="1" x14ac:dyDescent="0.25">
      <c r="C8" s="521" t="s">
        <v>80</v>
      </c>
      <c r="D8" s="522"/>
      <c r="E8" s="522"/>
      <c r="F8" s="522"/>
      <c r="G8" s="523"/>
      <c r="I8" s="524" t="s">
        <v>248</v>
      </c>
      <c r="J8" s="525"/>
      <c r="K8" s="525"/>
      <c r="L8" s="526"/>
      <c r="N8" s="533" t="s">
        <v>81</v>
      </c>
      <c r="O8" s="534"/>
      <c r="P8" s="534"/>
      <c r="Q8" s="535"/>
      <c r="S8" s="530" t="s">
        <v>82</v>
      </c>
      <c r="T8" s="531"/>
      <c r="U8" s="531"/>
      <c r="V8" s="532"/>
      <c r="X8" s="527" t="s">
        <v>85</v>
      </c>
      <c r="Y8" s="528"/>
      <c r="Z8" s="528"/>
      <c r="AA8" s="529"/>
    </row>
    <row r="9" spans="2:28" s="175" customFormat="1" ht="63.75" x14ac:dyDescent="0.25">
      <c r="B9" s="82" t="s">
        <v>10</v>
      </c>
      <c r="C9" s="101" t="s">
        <v>62</v>
      </c>
      <c r="D9" s="239" t="s">
        <v>8</v>
      </c>
      <c r="E9" s="272" t="s">
        <v>200</v>
      </c>
      <c r="F9" s="135" t="s">
        <v>74</v>
      </c>
      <c r="G9" s="102" t="s">
        <v>61</v>
      </c>
      <c r="H9" s="176"/>
      <c r="I9" s="183" t="s">
        <v>28</v>
      </c>
      <c r="J9" s="183" t="s">
        <v>29</v>
      </c>
      <c r="K9" s="183" t="s">
        <v>30</v>
      </c>
      <c r="L9" s="177" t="s">
        <v>84</v>
      </c>
      <c r="M9" s="245"/>
      <c r="N9" s="177" t="s">
        <v>31</v>
      </c>
      <c r="O9" s="177" t="s">
        <v>32</v>
      </c>
      <c r="P9" s="177" t="s">
        <v>33</v>
      </c>
      <c r="Q9" s="177" t="s">
        <v>34</v>
      </c>
      <c r="S9" s="180" t="s">
        <v>35</v>
      </c>
      <c r="T9" s="181" t="s">
        <v>36</v>
      </c>
      <c r="U9" s="181" t="s">
        <v>37</v>
      </c>
      <c r="V9" s="181" t="s">
        <v>83</v>
      </c>
      <c r="W9" s="176"/>
      <c r="X9" s="181" t="s">
        <v>38</v>
      </c>
      <c r="Y9" s="181" t="s">
        <v>39</v>
      </c>
      <c r="Z9" s="181" t="s">
        <v>85</v>
      </c>
      <c r="AA9" s="181" t="s">
        <v>86</v>
      </c>
    </row>
    <row r="10" spans="2:28" ht="14.25" customHeight="1" x14ac:dyDescent="0.25">
      <c r="B10" s="172"/>
      <c r="C10" s="173"/>
      <c r="D10" s="240"/>
      <c r="E10" s="178"/>
      <c r="F10" s="203"/>
      <c r="G10" s="204"/>
      <c r="I10" s="110"/>
      <c r="J10" s="110"/>
      <c r="K10" s="110"/>
      <c r="L10" s="182"/>
      <c r="N10" s="160"/>
      <c r="O10" s="160"/>
      <c r="P10" s="160"/>
      <c r="Q10" s="182"/>
      <c r="R10" s="106"/>
      <c r="S10" s="160"/>
      <c r="T10" s="160"/>
      <c r="U10" s="160"/>
      <c r="V10" s="182"/>
      <c r="X10" s="186"/>
      <c r="Y10" s="110"/>
      <c r="Z10" s="110"/>
      <c r="AA10" s="160"/>
      <c r="AB10" s="115"/>
    </row>
    <row r="11" spans="2:28" ht="14.25" customHeight="1" x14ac:dyDescent="0.2">
      <c r="B11" s="276" t="s">
        <v>193</v>
      </c>
      <c r="C11" s="297"/>
      <c r="D11" s="297"/>
      <c r="E11" s="297"/>
      <c r="F11" s="278"/>
      <c r="G11" s="298"/>
      <c r="I11" s="299"/>
      <c r="J11" s="299"/>
      <c r="K11" s="299"/>
      <c r="L11" s="300"/>
      <c r="N11" s="301"/>
      <c r="O11" s="301"/>
      <c r="P11" s="301"/>
      <c r="Q11" s="300"/>
      <c r="R11" s="106"/>
      <c r="S11" s="301"/>
      <c r="T11" s="301"/>
      <c r="U11" s="301"/>
      <c r="V11" s="300"/>
      <c r="W11" s="107"/>
      <c r="X11" s="302"/>
      <c r="Y11" s="299"/>
      <c r="Z11" s="299"/>
      <c r="AA11" s="301"/>
      <c r="AB11" s="115"/>
    </row>
    <row r="12" spans="2:28" ht="14.25" customHeight="1" x14ac:dyDescent="0.2">
      <c r="B12" s="212" t="s">
        <v>107</v>
      </c>
      <c r="C12" s="174">
        <f>'Input Sheet'!G11</f>
        <v>80</v>
      </c>
      <c r="D12" s="241">
        <f>'Input Sheet'!H11</f>
        <v>0.5</v>
      </c>
      <c r="E12" s="179">
        <f>'Input Sheet'!I11</f>
        <v>5</v>
      </c>
      <c r="F12" s="205">
        <f>'Input Sheet'!J11</f>
        <v>44</v>
      </c>
      <c r="G12" s="205">
        <f>'Input Sheet'!K11</f>
        <v>40</v>
      </c>
      <c r="I12" s="160">
        <f>IF($D12="Hourly",'Input Sheet'!H123,'Input Sheet'!H123*'Standard Hour Calcs'!$E12)</f>
        <v>160</v>
      </c>
      <c r="J12" s="160">
        <f>IF($D12="Hourly",'Input Sheet'!I123,'Input Sheet'!I123*'Standard Hour Calcs'!$E12)</f>
        <v>290</v>
      </c>
      <c r="K12" s="160">
        <f>IF($D12="Hourly",'Input Sheet'!J123,'Input Sheet'!J123*'Standard Hour Calcs'!$E12)</f>
        <v>240</v>
      </c>
      <c r="L12" s="219">
        <f t="shared" ref="L12" si="0">SUM(I12:K12)</f>
        <v>690</v>
      </c>
      <c r="M12" s="246"/>
      <c r="N12" s="160">
        <f>IF($D12="Hourly",I12*$E12,I12*$D12)</f>
        <v>80</v>
      </c>
      <c r="O12" s="160">
        <f t="shared" ref="O12:P12" si="1">IF($D12="Hourly",J12*$E12,J12*$D12)</f>
        <v>145</v>
      </c>
      <c r="P12" s="160">
        <f t="shared" si="1"/>
        <v>120</v>
      </c>
      <c r="Q12" s="182">
        <f t="shared" ref="Q12" si="2">SUM(N12:P12)</f>
        <v>345</v>
      </c>
      <c r="R12" s="106"/>
      <c r="S12" s="160">
        <f>+N12/N$101*'Input Sheet'!H$248</f>
        <v>73.838830058395587</v>
      </c>
      <c r="T12" s="160">
        <f>+O12/O$101*'Input Sheet'!I$248</f>
        <v>152.09237990934437</v>
      </c>
      <c r="U12" s="160">
        <f>+P12/P$101*'Input Sheet'!J$248</f>
        <v>111.3000632197234</v>
      </c>
      <c r="V12" s="182">
        <f t="shared" ref="V12" si="3">SUM(S12:U12)</f>
        <v>337.23127318746333</v>
      </c>
      <c r="W12" s="108"/>
      <c r="X12" s="243">
        <f>IF(ISERROR(V12/L12),0,V12/L12)</f>
        <v>0.48874097563400482</v>
      </c>
      <c r="Y12" s="243">
        <v>0.5</v>
      </c>
      <c r="Z12" s="243">
        <f t="shared" ref="Z12" si="4">IF(D12="Hourly","Hourly",Y12)</f>
        <v>0.5</v>
      </c>
      <c r="AA12" s="160">
        <f t="shared" ref="AA12" si="5">+Y12*L12</f>
        <v>345</v>
      </c>
      <c r="AB12" s="115"/>
    </row>
    <row r="13" spans="2:28" ht="14.25" customHeight="1" x14ac:dyDescent="0.2">
      <c r="B13" s="212" t="s">
        <v>108</v>
      </c>
      <c r="C13" s="174">
        <f>'Input Sheet'!G12</f>
        <v>80</v>
      </c>
      <c r="D13" s="241">
        <f>'Input Sheet'!H12</f>
        <v>0.29545454545454547</v>
      </c>
      <c r="E13" s="179">
        <f>'Input Sheet'!I12</f>
        <v>29</v>
      </c>
      <c r="F13" s="205">
        <f>'Input Sheet'!J12</f>
        <v>26</v>
      </c>
      <c r="G13" s="205">
        <f>'Input Sheet'!K12</f>
        <v>23.636363636363637</v>
      </c>
      <c r="I13" s="160">
        <f>IF($D13="Hourly",'Input Sheet'!H124,'Input Sheet'!H124*'Standard Hour Calcs'!$E13)</f>
        <v>2001</v>
      </c>
      <c r="J13" s="160">
        <f>IF($D13="Hourly",'Input Sheet'!I124,'Input Sheet'!I124*'Standard Hour Calcs'!$E13)</f>
        <v>2117</v>
      </c>
      <c r="K13" s="160">
        <f>IF($D13="Hourly",'Input Sheet'!J124,'Input Sheet'!J124*'Standard Hour Calcs'!$E13)</f>
        <v>2117</v>
      </c>
      <c r="L13" s="219">
        <f t="shared" ref="L13:L33" si="6">SUM(I13:K13)</f>
        <v>6235</v>
      </c>
      <c r="M13" s="246"/>
      <c r="N13" s="160">
        <f t="shared" ref="N13:N63" si="7">IF($D13="Hourly",I13*$E13,I13*$D13)</f>
        <v>591.2045454545455</v>
      </c>
      <c r="O13" s="160">
        <f t="shared" ref="O13:O63" si="8">IF($D13="Hourly",J13*$E13,J13*$D13)</f>
        <v>625.47727272727275</v>
      </c>
      <c r="P13" s="160">
        <f t="shared" ref="P13:P63" si="9">IF($D13="Hourly",K13*$E13,K13*$D13)</f>
        <v>625.47727272727275</v>
      </c>
      <c r="Q13" s="182">
        <f t="shared" ref="Q13:Q33" si="10">SUM(N13:P13)</f>
        <v>1842.159090909091</v>
      </c>
      <c r="R13" s="106"/>
      <c r="S13" s="160">
        <f>+N13/N$101*'Input Sheet'!H$248</f>
        <v>545.67314951961498</v>
      </c>
      <c r="T13" s="160">
        <f>+O13/O$101*'Input Sheet'!I$248</f>
        <v>656.07122060894471</v>
      </c>
      <c r="U13" s="160">
        <f>+P13/P$101*'Input Sheet'!J$248</f>
        <v>580.1304999753803</v>
      </c>
      <c r="V13" s="182">
        <f t="shared" ref="V13:V63" si="11">SUM(S13:U13)</f>
        <v>1781.8748701039399</v>
      </c>
      <c r="W13" s="108"/>
      <c r="X13" s="243">
        <f t="shared" ref="X13:X63" si="12">IF(ISERROR(V13/L13),0,V13/L13)</f>
        <v>0.28578586529333438</v>
      </c>
      <c r="Y13" s="243">
        <v>0.3</v>
      </c>
      <c r="Z13" s="243">
        <f t="shared" ref="Z13:Z63" si="13">IF(D13="Hourly","Hourly",Y13)</f>
        <v>0.3</v>
      </c>
      <c r="AA13" s="160">
        <f t="shared" ref="AA13:AA63" si="14">+Y13*L13</f>
        <v>1870.5</v>
      </c>
      <c r="AB13" s="115"/>
    </row>
    <row r="14" spans="2:28" ht="14.25" customHeight="1" x14ac:dyDescent="0.2">
      <c r="B14" s="212" t="s">
        <v>109</v>
      </c>
      <c r="C14" s="174">
        <f>'Input Sheet'!G13</f>
        <v>80</v>
      </c>
      <c r="D14" s="241">
        <f>'Input Sheet'!H13</f>
        <v>0.10227272727272727</v>
      </c>
      <c r="E14" s="179">
        <f>'Input Sheet'!I13</f>
        <v>81</v>
      </c>
      <c r="F14" s="205">
        <f>'Input Sheet'!J13</f>
        <v>9</v>
      </c>
      <c r="G14" s="205">
        <f>'Input Sheet'!K13</f>
        <v>8.1818181818181817</v>
      </c>
      <c r="I14" s="160">
        <f>IF($D14="Hourly",'Input Sheet'!H125,'Input Sheet'!H125*'Standard Hour Calcs'!$E14)</f>
        <v>1944</v>
      </c>
      <c r="J14" s="160">
        <f>IF($D14="Hourly",'Input Sheet'!I125,'Input Sheet'!I125*'Standard Hour Calcs'!$E14)</f>
        <v>3321</v>
      </c>
      <c r="K14" s="160">
        <f>IF($D14="Hourly",'Input Sheet'!J125,'Input Sheet'!J125*'Standard Hour Calcs'!$E14)</f>
        <v>3240</v>
      </c>
      <c r="L14" s="219">
        <f t="shared" si="6"/>
        <v>8505</v>
      </c>
      <c r="M14" s="246"/>
      <c r="N14" s="160">
        <f t="shared" si="7"/>
        <v>198.81818181818181</v>
      </c>
      <c r="O14" s="160">
        <f t="shared" si="8"/>
        <v>339.64772727272725</v>
      </c>
      <c r="P14" s="160">
        <f t="shared" si="9"/>
        <v>331.36363636363632</v>
      </c>
      <c r="Q14" s="182">
        <f t="shared" si="10"/>
        <v>869.82954545454527</v>
      </c>
      <c r="R14" s="106"/>
      <c r="S14" s="160">
        <f>+N14/N$101*'Input Sheet'!H$248</f>
        <v>183.50627424739903</v>
      </c>
      <c r="T14" s="160">
        <f>+O14/O$101*'Input Sheet'!I$248</f>
        <v>356.26090463247601</v>
      </c>
      <c r="U14" s="160">
        <f>+P14/P$101*'Input Sheet'!J$248</f>
        <v>307.33994729991798</v>
      </c>
      <c r="V14" s="182">
        <f t="shared" si="11"/>
        <v>847.107126179793</v>
      </c>
      <c r="W14" s="108"/>
      <c r="X14" s="243">
        <f t="shared" si="12"/>
        <v>9.9601073037012697E-2</v>
      </c>
      <c r="Y14" s="243">
        <v>0.1</v>
      </c>
      <c r="Z14" s="243">
        <f t="shared" si="13"/>
        <v>0.1</v>
      </c>
      <c r="AA14" s="160">
        <f t="shared" si="14"/>
        <v>850.5</v>
      </c>
      <c r="AB14" s="115"/>
    </row>
    <row r="15" spans="2:28" ht="14.25" customHeight="1" x14ac:dyDescent="0.2">
      <c r="B15" s="212" t="s">
        <v>110</v>
      </c>
      <c r="C15" s="174">
        <f>'Input Sheet'!G14</f>
        <v>80</v>
      </c>
      <c r="D15" s="241">
        <f>'Input Sheet'!H14</f>
        <v>1.2045454545454546</v>
      </c>
      <c r="E15" s="179">
        <f>'Input Sheet'!I14</f>
        <v>5</v>
      </c>
      <c r="F15" s="205">
        <f>'Input Sheet'!J14</f>
        <v>106</v>
      </c>
      <c r="G15" s="205">
        <f>'Input Sheet'!K14</f>
        <v>96.363636363636374</v>
      </c>
      <c r="I15" s="160">
        <f>IF($D15="Hourly",'Input Sheet'!H126,'Input Sheet'!H126*'Standard Hour Calcs'!$E15)</f>
        <v>95</v>
      </c>
      <c r="J15" s="160">
        <f>IF($D15="Hourly",'Input Sheet'!I126,'Input Sheet'!I126*'Standard Hour Calcs'!$E15)</f>
        <v>120</v>
      </c>
      <c r="K15" s="160">
        <f>IF($D15="Hourly",'Input Sheet'!J126,'Input Sheet'!J126*'Standard Hour Calcs'!$E15)</f>
        <v>280</v>
      </c>
      <c r="L15" s="219">
        <f t="shared" si="6"/>
        <v>495</v>
      </c>
      <c r="M15" s="246"/>
      <c r="N15" s="160">
        <f t="shared" si="7"/>
        <v>114.43181818181819</v>
      </c>
      <c r="O15" s="160">
        <f t="shared" si="8"/>
        <v>144.54545454545456</v>
      </c>
      <c r="P15" s="160">
        <f t="shared" si="9"/>
        <v>337.27272727272731</v>
      </c>
      <c r="Q15" s="182">
        <f t="shared" si="10"/>
        <v>596.25</v>
      </c>
      <c r="R15" s="106"/>
      <c r="S15" s="160">
        <f>+N15/N$101*'Input Sheet'!H$248</f>
        <v>105.61889470000619</v>
      </c>
      <c r="T15" s="160">
        <f>+O15/O$101*'Input Sheet'!I$248</f>
        <v>151.61560128893893</v>
      </c>
      <c r="U15" s="160">
        <f>+P15/P$101*'Input Sheet'!J$248</f>
        <v>312.82063223119235</v>
      </c>
      <c r="V15" s="182">
        <f t="shared" si="11"/>
        <v>570.05512822013748</v>
      </c>
      <c r="W15" s="108"/>
      <c r="X15" s="243">
        <f t="shared" si="12"/>
        <v>1.1516265216568433</v>
      </c>
      <c r="Y15" s="243">
        <v>1.1499999999999999</v>
      </c>
      <c r="Z15" s="243">
        <f t="shared" si="13"/>
        <v>1.1499999999999999</v>
      </c>
      <c r="AA15" s="160">
        <f t="shared" si="14"/>
        <v>569.25</v>
      </c>
      <c r="AB15" s="115"/>
    </row>
    <row r="16" spans="2:28" ht="14.25" customHeight="1" x14ac:dyDescent="0.2">
      <c r="B16" s="212" t="s">
        <v>111</v>
      </c>
      <c r="C16" s="174">
        <f>'Input Sheet'!G15</f>
        <v>80</v>
      </c>
      <c r="D16" s="241">
        <f>'Input Sheet'!H15</f>
        <v>0.70454545454545459</v>
      </c>
      <c r="E16" s="179">
        <f>'Input Sheet'!I15</f>
        <v>26</v>
      </c>
      <c r="F16" s="205">
        <f>'Input Sheet'!J15</f>
        <v>62</v>
      </c>
      <c r="G16" s="205">
        <f>'Input Sheet'!K15</f>
        <v>56.363636363636367</v>
      </c>
      <c r="I16" s="160">
        <f>IF($D16="Hourly",'Input Sheet'!H127,'Input Sheet'!H127*'Standard Hour Calcs'!$E16)</f>
        <v>728</v>
      </c>
      <c r="J16" s="160">
        <f>IF($D16="Hourly",'Input Sheet'!I127,'Input Sheet'!I127*'Standard Hour Calcs'!$E16)</f>
        <v>468</v>
      </c>
      <c r="K16" s="160">
        <f>IF($D16="Hourly",'Input Sheet'!J127,'Input Sheet'!J127*'Standard Hour Calcs'!$E16)</f>
        <v>936</v>
      </c>
      <c r="L16" s="219">
        <f t="shared" si="6"/>
        <v>2132</v>
      </c>
      <c r="M16" s="246"/>
      <c r="N16" s="160">
        <f t="shared" si="7"/>
        <v>512.90909090909099</v>
      </c>
      <c r="O16" s="160">
        <f t="shared" si="8"/>
        <v>329.72727272727275</v>
      </c>
      <c r="P16" s="160">
        <f t="shared" si="9"/>
        <v>659.4545454545455</v>
      </c>
      <c r="Q16" s="182">
        <f t="shared" si="10"/>
        <v>1502.0909090909092</v>
      </c>
      <c r="R16" s="106"/>
      <c r="S16" s="160">
        <f>+N16/N$101*'Input Sheet'!H$248</f>
        <v>473.40758998803182</v>
      </c>
      <c r="T16" s="160">
        <f>+O16/O$101*'Input Sheet'!I$248</f>
        <v>345.85521124212676</v>
      </c>
      <c r="U16" s="160">
        <f>+P16/P$101*'Input Sheet'!J$248</f>
        <v>611.64443833020732</v>
      </c>
      <c r="V16" s="182">
        <f t="shared" si="11"/>
        <v>1430.907239560366</v>
      </c>
      <c r="W16" s="108"/>
      <c r="X16" s="243">
        <f t="shared" si="12"/>
        <v>0.67115724182005909</v>
      </c>
      <c r="Y16" s="243">
        <v>0.7</v>
      </c>
      <c r="Z16" s="243">
        <f t="shared" si="13"/>
        <v>0.7</v>
      </c>
      <c r="AA16" s="160">
        <f t="shared" si="14"/>
        <v>1492.3999999999999</v>
      </c>
      <c r="AB16" s="115"/>
    </row>
    <row r="17" spans="2:28" ht="14.25" customHeight="1" x14ac:dyDescent="0.2">
      <c r="B17" s="212" t="s">
        <v>112</v>
      </c>
      <c r="C17" s="174">
        <f>'Input Sheet'!G16</f>
        <v>80</v>
      </c>
      <c r="D17" s="241">
        <f>'Input Sheet'!H16</f>
        <v>0.39772727272727271</v>
      </c>
      <c r="E17" s="179">
        <f>'Input Sheet'!I16</f>
        <v>85</v>
      </c>
      <c r="F17" s="205">
        <f>'Input Sheet'!J16</f>
        <v>35</v>
      </c>
      <c r="G17" s="205">
        <f>'Input Sheet'!K16</f>
        <v>31.818181818181817</v>
      </c>
      <c r="I17" s="160">
        <f>IF($D17="Hourly",'Input Sheet'!H128,'Input Sheet'!H128*'Standard Hour Calcs'!$E17)</f>
        <v>425</v>
      </c>
      <c r="J17" s="160">
        <f>IF($D17="Hourly",'Input Sheet'!I128,'Input Sheet'!I128*'Standard Hour Calcs'!$E17)</f>
        <v>510</v>
      </c>
      <c r="K17" s="160">
        <f>IF($D17="Hourly",'Input Sheet'!J128,'Input Sheet'!J128*'Standard Hour Calcs'!$E17)</f>
        <v>935</v>
      </c>
      <c r="L17" s="219">
        <f t="shared" si="6"/>
        <v>1870</v>
      </c>
      <c r="M17" s="246"/>
      <c r="N17" s="160">
        <f t="shared" si="7"/>
        <v>169.03409090909091</v>
      </c>
      <c r="O17" s="160">
        <f t="shared" si="8"/>
        <v>202.84090909090909</v>
      </c>
      <c r="P17" s="160">
        <f t="shared" si="9"/>
        <v>371.875</v>
      </c>
      <c r="Q17" s="182">
        <f t="shared" si="10"/>
        <v>743.75</v>
      </c>
      <c r="R17" s="106"/>
      <c r="S17" s="160">
        <f>+N17/N$101*'Input Sheet'!H$248</f>
        <v>156.01599390889692</v>
      </c>
      <c r="T17" s="160">
        <f>+O17/O$101*'Input Sheet'!I$248</f>
        <v>212.76245935594022</v>
      </c>
      <c r="U17" s="160">
        <f>+P17/P$101*'Input Sheet'!J$248</f>
        <v>344.91425841528871</v>
      </c>
      <c r="V17" s="182">
        <f t="shared" si="11"/>
        <v>713.69271168012585</v>
      </c>
      <c r="W17" s="108"/>
      <c r="X17" s="243">
        <f t="shared" si="12"/>
        <v>0.38165385651343631</v>
      </c>
      <c r="Y17" s="243">
        <v>0.4</v>
      </c>
      <c r="Z17" s="243">
        <f t="shared" si="13"/>
        <v>0.4</v>
      </c>
      <c r="AA17" s="160">
        <f t="shared" si="14"/>
        <v>748</v>
      </c>
      <c r="AB17" s="115"/>
    </row>
    <row r="18" spans="2:28" ht="14.25" customHeight="1" x14ac:dyDescent="0.2">
      <c r="B18" s="212" t="s">
        <v>113</v>
      </c>
      <c r="C18" s="174">
        <f>'Input Sheet'!G17</f>
        <v>80</v>
      </c>
      <c r="D18" s="241">
        <f>'Input Sheet'!H17</f>
        <v>2.5</v>
      </c>
      <c r="E18" s="179">
        <f>'Input Sheet'!I17</f>
        <v>5</v>
      </c>
      <c r="F18" s="205">
        <f>'Input Sheet'!J17</f>
        <v>220</v>
      </c>
      <c r="G18" s="205">
        <f>'Input Sheet'!K17</f>
        <v>200</v>
      </c>
      <c r="I18" s="160">
        <f>IF($D18="Hourly",'Input Sheet'!H129,'Input Sheet'!H129*'Standard Hour Calcs'!$E18)</f>
        <v>55</v>
      </c>
      <c r="J18" s="160">
        <f>IF($D18="Hourly",'Input Sheet'!I129,'Input Sheet'!I129*'Standard Hour Calcs'!$E18)</f>
        <v>90</v>
      </c>
      <c r="K18" s="160">
        <f>IF($D18="Hourly",'Input Sheet'!J129,'Input Sheet'!J129*'Standard Hour Calcs'!$E18)</f>
        <v>40</v>
      </c>
      <c r="L18" s="219">
        <f t="shared" si="6"/>
        <v>185</v>
      </c>
      <c r="M18" s="246"/>
      <c r="N18" s="160">
        <f t="shared" si="7"/>
        <v>137.5</v>
      </c>
      <c r="O18" s="160">
        <f t="shared" si="8"/>
        <v>225</v>
      </c>
      <c r="P18" s="160">
        <f t="shared" si="9"/>
        <v>100</v>
      </c>
      <c r="Q18" s="182">
        <f t="shared" si="10"/>
        <v>462.5</v>
      </c>
      <c r="R18" s="106"/>
      <c r="S18" s="160">
        <f>+N18/N$101*'Input Sheet'!H$248</f>
        <v>126.91048916286742</v>
      </c>
      <c r="T18" s="160">
        <f>+O18/O$101*'Input Sheet'!I$248</f>
        <v>236.00541710070678</v>
      </c>
      <c r="U18" s="160">
        <f>+P18/P$101*'Input Sheet'!J$248</f>
        <v>92.750052683102837</v>
      </c>
      <c r="V18" s="182">
        <f t="shared" si="11"/>
        <v>455.66595894667705</v>
      </c>
      <c r="W18" s="108"/>
      <c r="X18" s="243">
        <f t="shared" si="12"/>
        <v>2.4630592375496057</v>
      </c>
      <c r="Y18" s="243">
        <v>2.5</v>
      </c>
      <c r="Z18" s="243">
        <f t="shared" si="13"/>
        <v>2.5</v>
      </c>
      <c r="AA18" s="160">
        <f t="shared" si="14"/>
        <v>462.5</v>
      </c>
      <c r="AB18" s="115"/>
    </row>
    <row r="19" spans="2:28" ht="14.25" customHeight="1" x14ac:dyDescent="0.2">
      <c r="B19" s="212" t="s">
        <v>114</v>
      </c>
      <c r="C19" s="174">
        <f>'Input Sheet'!G18</f>
        <v>80</v>
      </c>
      <c r="D19" s="241">
        <f>'Input Sheet'!H18</f>
        <v>1.5</v>
      </c>
      <c r="E19" s="179">
        <f>'Input Sheet'!I18</f>
        <v>29</v>
      </c>
      <c r="F19" s="205">
        <f>'Input Sheet'!J18</f>
        <v>132</v>
      </c>
      <c r="G19" s="205">
        <f>'Input Sheet'!K18</f>
        <v>120</v>
      </c>
      <c r="I19" s="160">
        <f>IF($D19="Hourly",'Input Sheet'!H130,'Input Sheet'!H130*'Standard Hour Calcs'!$E19)</f>
        <v>29</v>
      </c>
      <c r="J19" s="160">
        <f>IF($D19="Hourly",'Input Sheet'!I130,'Input Sheet'!I130*'Standard Hour Calcs'!$E19)</f>
        <v>58</v>
      </c>
      <c r="K19" s="160">
        <f>IF($D19="Hourly",'Input Sheet'!J130,'Input Sheet'!J130*'Standard Hour Calcs'!$E19)</f>
        <v>174</v>
      </c>
      <c r="L19" s="219">
        <f t="shared" si="6"/>
        <v>261</v>
      </c>
      <c r="M19" s="246"/>
      <c r="N19" s="160">
        <f t="shared" si="7"/>
        <v>43.5</v>
      </c>
      <c r="O19" s="160">
        <f t="shared" si="8"/>
        <v>87</v>
      </c>
      <c r="P19" s="160">
        <f t="shared" si="9"/>
        <v>261</v>
      </c>
      <c r="Q19" s="182">
        <f t="shared" si="10"/>
        <v>391.5</v>
      </c>
      <c r="R19" s="106"/>
      <c r="S19" s="160">
        <f>+N19/N$101*'Input Sheet'!H$248</f>
        <v>40.149863844252607</v>
      </c>
      <c r="T19" s="160">
        <f>+O19/O$101*'Input Sheet'!I$248</f>
        <v>91.255427945606627</v>
      </c>
      <c r="U19" s="160">
        <f>+P19/P$101*'Input Sheet'!J$248</f>
        <v>242.07763750289843</v>
      </c>
      <c r="V19" s="182">
        <f t="shared" si="11"/>
        <v>373.48292929275766</v>
      </c>
      <c r="W19" s="108"/>
      <c r="X19" s="243">
        <f t="shared" si="12"/>
        <v>1.4309690777500292</v>
      </c>
      <c r="Y19" s="243">
        <v>1.4</v>
      </c>
      <c r="Z19" s="243">
        <f t="shared" si="13"/>
        <v>1.4</v>
      </c>
      <c r="AA19" s="160">
        <f>+Y19*L19</f>
        <v>365.4</v>
      </c>
      <c r="AB19" s="115"/>
    </row>
    <row r="20" spans="2:28" ht="14.25" customHeight="1" x14ac:dyDescent="0.2">
      <c r="B20" s="212" t="s">
        <v>115</v>
      </c>
      <c r="C20" s="174">
        <f>'Input Sheet'!G19</f>
        <v>80</v>
      </c>
      <c r="D20" s="241">
        <f>'Input Sheet'!H19</f>
        <v>0.70454545454545459</v>
      </c>
      <c r="E20" s="179">
        <f>'Input Sheet'!I19</f>
        <v>39</v>
      </c>
      <c r="F20" s="205">
        <f>'Input Sheet'!J19</f>
        <v>62</v>
      </c>
      <c r="G20" s="205">
        <f>'Input Sheet'!K19</f>
        <v>56.363636363636367</v>
      </c>
      <c r="I20" s="160">
        <f>IF($D20="Hourly",'Input Sheet'!H131,'Input Sheet'!H131*'Standard Hour Calcs'!$E20)</f>
        <v>39</v>
      </c>
      <c r="J20" s="160">
        <f>IF($D20="Hourly",'Input Sheet'!I131,'Input Sheet'!I131*'Standard Hour Calcs'!$E20)</f>
        <v>0</v>
      </c>
      <c r="K20" s="160">
        <f>IF($D20="Hourly",'Input Sheet'!J131,'Input Sheet'!J131*'Standard Hour Calcs'!$E20)</f>
        <v>39</v>
      </c>
      <c r="L20" s="219">
        <f t="shared" si="6"/>
        <v>78</v>
      </c>
      <c r="M20" s="246"/>
      <c r="N20" s="160">
        <f t="shared" si="7"/>
        <v>27.47727272727273</v>
      </c>
      <c r="O20" s="160">
        <f t="shared" si="8"/>
        <v>0</v>
      </c>
      <c r="P20" s="160">
        <f t="shared" si="9"/>
        <v>27.47727272727273</v>
      </c>
      <c r="Q20" s="182">
        <f t="shared" si="10"/>
        <v>54.95454545454546</v>
      </c>
      <c r="R20" s="106"/>
      <c r="S20" s="160">
        <f>+N20/N$101*'Input Sheet'!H$248</f>
        <v>25.36112089221599</v>
      </c>
      <c r="T20" s="160">
        <f>+O20/O$101*'Input Sheet'!I$248</f>
        <v>0</v>
      </c>
      <c r="U20" s="160">
        <f>+P20/P$101*'Input Sheet'!J$248</f>
        <v>25.485184930425305</v>
      </c>
      <c r="V20" s="182">
        <f t="shared" si="11"/>
        <v>50.846305822641298</v>
      </c>
      <c r="W20" s="108"/>
      <c r="X20" s="243">
        <f t="shared" si="12"/>
        <v>0.65187571567488845</v>
      </c>
      <c r="Y20" s="243">
        <v>0.65</v>
      </c>
      <c r="Z20" s="243">
        <f t="shared" si="13"/>
        <v>0.65</v>
      </c>
      <c r="AA20" s="160">
        <f t="shared" si="14"/>
        <v>50.7</v>
      </c>
      <c r="AB20" s="115"/>
    </row>
    <row r="21" spans="2:28" ht="14.25" customHeight="1" x14ac:dyDescent="0.2">
      <c r="B21" s="212" t="s">
        <v>116</v>
      </c>
      <c r="C21" s="174">
        <f>'Input Sheet'!G20</f>
        <v>80</v>
      </c>
      <c r="D21" s="241" t="str">
        <f>'Input Sheet'!H20</f>
        <v>Hourly</v>
      </c>
      <c r="E21" s="179">
        <f>'Input Sheet'!I20</f>
        <v>16</v>
      </c>
      <c r="F21" s="205">
        <f>'Input Sheet'!J20</f>
        <v>88</v>
      </c>
      <c r="G21" s="205">
        <f>'Input Sheet'!K20</f>
        <v>80</v>
      </c>
      <c r="I21" s="160">
        <f>IF($D21="Hourly",'Input Sheet'!H132,'Input Sheet'!H132*'Standard Hour Calcs'!$E21)</f>
        <v>4</v>
      </c>
      <c r="J21" s="160">
        <f>IF($D21="Hourly",'Input Sheet'!I132,'Input Sheet'!I132*'Standard Hour Calcs'!$E21)</f>
        <v>2</v>
      </c>
      <c r="K21" s="160">
        <f>IF($D21="Hourly",'Input Sheet'!J132,'Input Sheet'!J132*'Standard Hour Calcs'!$E21)</f>
        <v>1</v>
      </c>
      <c r="L21" s="219">
        <f t="shared" si="6"/>
        <v>7</v>
      </c>
      <c r="M21" s="246"/>
      <c r="N21" s="160">
        <f>IF($D21="Hourly",I21*$E21,I21*$D21)</f>
        <v>64</v>
      </c>
      <c r="O21" s="160">
        <f t="shared" si="8"/>
        <v>32</v>
      </c>
      <c r="P21" s="160">
        <f t="shared" si="9"/>
        <v>16</v>
      </c>
      <c r="Q21" s="182">
        <f t="shared" si="10"/>
        <v>112</v>
      </c>
      <c r="R21" s="106"/>
      <c r="S21" s="160">
        <f>+N21/N$101*'Input Sheet'!H$248</f>
        <v>59.071064046716472</v>
      </c>
      <c r="T21" s="160">
        <f>+O21/O$101*'Input Sheet'!I$248</f>
        <v>33.565214876544964</v>
      </c>
      <c r="U21" s="160">
        <f>+P21/P$101*'Input Sheet'!J$248</f>
        <v>14.840008429296454</v>
      </c>
      <c r="V21" s="182">
        <f t="shared" si="11"/>
        <v>107.4762873525579</v>
      </c>
      <c r="W21" s="108"/>
      <c r="X21" s="243">
        <f t="shared" si="12"/>
        <v>15.353755336079701</v>
      </c>
      <c r="Y21" s="243">
        <v>15</v>
      </c>
      <c r="Z21" s="243" t="str">
        <f t="shared" si="13"/>
        <v>Hourly</v>
      </c>
      <c r="AA21" s="160">
        <f t="shared" si="14"/>
        <v>105</v>
      </c>
      <c r="AB21" s="115"/>
    </row>
    <row r="22" spans="2:28" ht="14.25" customHeight="1" x14ac:dyDescent="0.2">
      <c r="B22" s="212" t="s">
        <v>117</v>
      </c>
      <c r="C22" s="174">
        <f>'Input Sheet'!G21</f>
        <v>80</v>
      </c>
      <c r="D22" s="241">
        <f>'Input Sheet'!H21</f>
        <v>0.5</v>
      </c>
      <c r="E22" s="179">
        <f>'Input Sheet'!I21</f>
        <v>3</v>
      </c>
      <c r="F22" s="205">
        <f>'Input Sheet'!J21</f>
        <v>44</v>
      </c>
      <c r="G22" s="205">
        <f>'Input Sheet'!K21</f>
        <v>40</v>
      </c>
      <c r="I22" s="160">
        <f>IF($D22="Hourly",'Input Sheet'!H133,'Input Sheet'!H133*'Standard Hour Calcs'!$E22)</f>
        <v>0</v>
      </c>
      <c r="J22" s="160">
        <f>IF($D22="Hourly",'Input Sheet'!I133,'Input Sheet'!I133*'Standard Hour Calcs'!$E22)</f>
        <v>3</v>
      </c>
      <c r="K22" s="160">
        <f>IF($D22="Hourly",'Input Sheet'!J133,'Input Sheet'!J133*'Standard Hour Calcs'!$E22)</f>
        <v>15</v>
      </c>
      <c r="L22" s="219">
        <f t="shared" si="6"/>
        <v>18</v>
      </c>
      <c r="M22" s="246"/>
      <c r="N22" s="160">
        <f t="shared" si="7"/>
        <v>0</v>
      </c>
      <c r="O22" s="160">
        <f t="shared" si="8"/>
        <v>1.5</v>
      </c>
      <c r="P22" s="160">
        <f t="shared" si="9"/>
        <v>7.5</v>
      </c>
      <c r="Q22" s="182">
        <f t="shared" si="10"/>
        <v>9</v>
      </c>
      <c r="R22" s="106"/>
      <c r="S22" s="160">
        <f>+N22/N$101*'Input Sheet'!H$248</f>
        <v>0</v>
      </c>
      <c r="T22" s="160">
        <f>+O22/O$101*'Input Sheet'!I$248</f>
        <v>1.5733694473380455</v>
      </c>
      <c r="U22" s="160">
        <f>+P22/P$101*'Input Sheet'!J$248</f>
        <v>6.9562539512327124</v>
      </c>
      <c r="V22" s="182">
        <f t="shared" si="11"/>
        <v>8.5296233985707577</v>
      </c>
      <c r="W22" s="108"/>
      <c r="X22" s="243">
        <f t="shared" si="12"/>
        <v>0.47386796658726432</v>
      </c>
      <c r="Y22" s="243">
        <v>0.5</v>
      </c>
      <c r="Z22" s="243">
        <f t="shared" si="13"/>
        <v>0.5</v>
      </c>
      <c r="AA22" s="160">
        <f t="shared" si="14"/>
        <v>9</v>
      </c>
      <c r="AB22" s="115"/>
    </row>
    <row r="23" spans="2:28" ht="14.25" customHeight="1" x14ac:dyDescent="0.2">
      <c r="B23" s="212" t="s">
        <v>118</v>
      </c>
      <c r="C23" s="174">
        <f>'Input Sheet'!G22</f>
        <v>80</v>
      </c>
      <c r="D23" s="241">
        <f>'Input Sheet'!H22</f>
        <v>0.29545454545454547</v>
      </c>
      <c r="E23" s="179">
        <f>'Input Sheet'!I22</f>
        <v>11</v>
      </c>
      <c r="F23" s="205">
        <f>'Input Sheet'!J22</f>
        <v>26</v>
      </c>
      <c r="G23" s="205">
        <f>'Input Sheet'!K22</f>
        <v>23.636363636363637</v>
      </c>
      <c r="I23" s="160">
        <f>IF($D23="Hourly",'Input Sheet'!H134,'Input Sheet'!H134*'Standard Hour Calcs'!$E23)</f>
        <v>0</v>
      </c>
      <c r="J23" s="160">
        <f>IF($D23="Hourly",'Input Sheet'!I134,'Input Sheet'!I134*'Standard Hour Calcs'!$E23)</f>
        <v>11</v>
      </c>
      <c r="K23" s="160">
        <f>IF($D23="Hourly",'Input Sheet'!J134,'Input Sheet'!J134*'Standard Hour Calcs'!$E23)</f>
        <v>0</v>
      </c>
      <c r="L23" s="219">
        <f t="shared" si="6"/>
        <v>11</v>
      </c>
      <c r="M23" s="246"/>
      <c r="N23" s="160">
        <f t="shared" si="7"/>
        <v>0</v>
      </c>
      <c r="O23" s="160">
        <f t="shared" si="8"/>
        <v>3.25</v>
      </c>
      <c r="P23" s="160">
        <f t="shared" si="9"/>
        <v>0</v>
      </c>
      <c r="Q23" s="182">
        <f t="shared" si="10"/>
        <v>3.25</v>
      </c>
      <c r="R23" s="106"/>
      <c r="S23" s="160">
        <f>+N23/N$101*'Input Sheet'!H$248</f>
        <v>0</v>
      </c>
      <c r="T23" s="160">
        <f>+O23/O$101*'Input Sheet'!I$248</f>
        <v>3.4089671358990983</v>
      </c>
      <c r="U23" s="160">
        <f>+P23/P$101*'Input Sheet'!J$248</f>
        <v>0</v>
      </c>
      <c r="V23" s="182">
        <f t="shared" si="11"/>
        <v>3.4089671358990983</v>
      </c>
      <c r="W23" s="108"/>
      <c r="X23" s="243">
        <f t="shared" si="12"/>
        <v>0.30990610326355439</v>
      </c>
      <c r="Y23" s="243">
        <v>0.3</v>
      </c>
      <c r="Z23" s="243">
        <f t="shared" si="13"/>
        <v>0.3</v>
      </c>
      <c r="AA23" s="160">
        <f t="shared" si="14"/>
        <v>3.3</v>
      </c>
      <c r="AB23" s="115"/>
    </row>
    <row r="24" spans="2:28" ht="14.25" customHeight="1" x14ac:dyDescent="0.2">
      <c r="B24" s="212" t="s">
        <v>119</v>
      </c>
      <c r="C24" s="174">
        <f>'Input Sheet'!G23</f>
        <v>80</v>
      </c>
      <c r="D24" s="241">
        <f>'Input Sheet'!H23</f>
        <v>0.10227272727272727</v>
      </c>
      <c r="E24" s="179">
        <f>'Input Sheet'!I23</f>
        <v>0</v>
      </c>
      <c r="F24" s="205">
        <f>'Input Sheet'!J23</f>
        <v>9</v>
      </c>
      <c r="G24" s="205">
        <f>'Input Sheet'!K23</f>
        <v>8.1818181818181817</v>
      </c>
      <c r="I24" s="160">
        <f>IF($D24="Hourly",'Input Sheet'!H135,'Input Sheet'!H135*'Standard Hour Calcs'!$E24)</f>
        <v>0</v>
      </c>
      <c r="J24" s="160">
        <f>IF($D24="Hourly",'Input Sheet'!I135,'Input Sheet'!I135*'Standard Hour Calcs'!$E24)</f>
        <v>0</v>
      </c>
      <c r="K24" s="160">
        <f>IF($D24="Hourly",'Input Sheet'!J135,'Input Sheet'!J135*'Standard Hour Calcs'!$E24)</f>
        <v>0</v>
      </c>
      <c r="L24" s="219">
        <f t="shared" si="6"/>
        <v>0</v>
      </c>
      <c r="M24" s="246"/>
      <c r="N24" s="160">
        <f t="shared" si="7"/>
        <v>0</v>
      </c>
      <c r="O24" s="160">
        <f t="shared" si="8"/>
        <v>0</v>
      </c>
      <c r="P24" s="160">
        <f t="shared" si="9"/>
        <v>0</v>
      </c>
      <c r="Q24" s="182">
        <f t="shared" si="10"/>
        <v>0</v>
      </c>
      <c r="R24" s="106"/>
      <c r="S24" s="160">
        <f>+N24/N$101*'Input Sheet'!H$248</f>
        <v>0</v>
      </c>
      <c r="T24" s="160">
        <f>+O24/O$101*'Input Sheet'!I$248</f>
        <v>0</v>
      </c>
      <c r="U24" s="160">
        <f>+P24/P$101*'Input Sheet'!J$248</f>
        <v>0</v>
      </c>
      <c r="V24" s="182">
        <f t="shared" si="11"/>
        <v>0</v>
      </c>
      <c r="W24" s="108"/>
      <c r="X24" s="243">
        <f t="shared" si="12"/>
        <v>0</v>
      </c>
      <c r="Y24" s="243">
        <v>0.1</v>
      </c>
      <c r="Z24" s="243">
        <f t="shared" si="13"/>
        <v>0.1</v>
      </c>
      <c r="AA24" s="160">
        <f t="shared" si="14"/>
        <v>0</v>
      </c>
      <c r="AB24" s="115"/>
    </row>
    <row r="25" spans="2:28" ht="14.25" customHeight="1" x14ac:dyDescent="0.2">
      <c r="B25" s="212" t="s">
        <v>120</v>
      </c>
      <c r="C25" s="174">
        <f>'Input Sheet'!G24</f>
        <v>80</v>
      </c>
      <c r="D25" s="241">
        <f>'Input Sheet'!H24</f>
        <v>1.2045454545454546</v>
      </c>
      <c r="E25" s="179">
        <f>'Input Sheet'!I24</f>
        <v>4</v>
      </c>
      <c r="F25" s="205">
        <f>'Input Sheet'!J24</f>
        <v>106</v>
      </c>
      <c r="G25" s="205">
        <f>'Input Sheet'!K24</f>
        <v>96.363636363636374</v>
      </c>
      <c r="I25" s="160">
        <f>IF($D25="Hourly",'Input Sheet'!H136,'Input Sheet'!H136*'Standard Hour Calcs'!$E25)</f>
        <v>16</v>
      </c>
      <c r="J25" s="160">
        <f>IF($D25="Hourly",'Input Sheet'!I136,'Input Sheet'!I136*'Standard Hour Calcs'!$E25)</f>
        <v>20</v>
      </c>
      <c r="K25" s="160">
        <f>IF($D25="Hourly",'Input Sheet'!J136,'Input Sheet'!J136*'Standard Hour Calcs'!$E25)</f>
        <v>16</v>
      </c>
      <c r="L25" s="219">
        <f t="shared" si="6"/>
        <v>52</v>
      </c>
      <c r="M25" s="246"/>
      <c r="N25" s="160">
        <f t="shared" si="7"/>
        <v>19.272727272727273</v>
      </c>
      <c r="O25" s="160">
        <f t="shared" si="8"/>
        <v>24.090909090909093</v>
      </c>
      <c r="P25" s="160">
        <f t="shared" si="9"/>
        <v>19.272727272727273</v>
      </c>
      <c r="Q25" s="182">
        <f t="shared" si="10"/>
        <v>62.63636363636364</v>
      </c>
      <c r="R25" s="106"/>
      <c r="S25" s="160">
        <f>+N25/N$101*'Input Sheet'!H$248</f>
        <v>17.78844542315894</v>
      </c>
      <c r="T25" s="160">
        <f>+O25/O$101*'Input Sheet'!I$248</f>
        <v>25.269266881489823</v>
      </c>
      <c r="U25" s="160">
        <f>+P25/P$101*'Input Sheet'!J$248</f>
        <v>17.875464698925278</v>
      </c>
      <c r="V25" s="182">
        <f t="shared" si="11"/>
        <v>60.933177003574038</v>
      </c>
      <c r="W25" s="108"/>
      <c r="X25" s="243">
        <f t="shared" si="12"/>
        <v>1.1717918654533468</v>
      </c>
      <c r="Y25" s="243">
        <v>1.2</v>
      </c>
      <c r="Z25" s="243">
        <f t="shared" si="13"/>
        <v>1.2</v>
      </c>
      <c r="AA25" s="160">
        <f t="shared" si="14"/>
        <v>62.4</v>
      </c>
      <c r="AB25" s="115"/>
    </row>
    <row r="26" spans="2:28" ht="14.25" customHeight="1" x14ac:dyDescent="0.2">
      <c r="B26" s="212" t="s">
        <v>121</v>
      </c>
      <c r="C26" s="174">
        <f>'Input Sheet'!G25</f>
        <v>80</v>
      </c>
      <c r="D26" s="241">
        <f>'Input Sheet'!H25</f>
        <v>0.70454545454545459</v>
      </c>
      <c r="E26" s="179">
        <f>'Input Sheet'!I25</f>
        <v>4</v>
      </c>
      <c r="F26" s="205">
        <f>'Input Sheet'!J25</f>
        <v>62</v>
      </c>
      <c r="G26" s="205">
        <f>'Input Sheet'!K25</f>
        <v>56.363636363636367</v>
      </c>
      <c r="I26" s="160">
        <f>IF($D26="Hourly",'Input Sheet'!H137,'Input Sheet'!H137*'Standard Hour Calcs'!$E26)</f>
        <v>8</v>
      </c>
      <c r="J26" s="160">
        <f>IF($D26="Hourly",'Input Sheet'!I137,'Input Sheet'!I137*'Standard Hour Calcs'!$E26)</f>
        <v>0</v>
      </c>
      <c r="K26" s="160">
        <f>IF($D26="Hourly",'Input Sheet'!J137,'Input Sheet'!J137*'Standard Hour Calcs'!$E26)</f>
        <v>0</v>
      </c>
      <c r="L26" s="219">
        <f t="shared" si="6"/>
        <v>8</v>
      </c>
      <c r="M26" s="246"/>
      <c r="N26" s="160">
        <f t="shared" si="7"/>
        <v>5.6363636363636367</v>
      </c>
      <c r="O26" s="160">
        <f t="shared" si="8"/>
        <v>0</v>
      </c>
      <c r="P26" s="160">
        <f t="shared" si="9"/>
        <v>0</v>
      </c>
      <c r="Q26" s="182">
        <f t="shared" si="10"/>
        <v>5.6363636363636367</v>
      </c>
      <c r="R26" s="106"/>
      <c r="S26" s="160">
        <f>+N26/N$101*'Input Sheet'!H$248</f>
        <v>5.2022812086596888</v>
      </c>
      <c r="T26" s="160">
        <f>+O26/O$101*'Input Sheet'!I$248</f>
        <v>0</v>
      </c>
      <c r="U26" s="160">
        <f>+P26/P$101*'Input Sheet'!J$248</f>
        <v>0</v>
      </c>
      <c r="V26" s="182">
        <f t="shared" si="11"/>
        <v>5.2022812086596888</v>
      </c>
      <c r="W26" s="108"/>
      <c r="X26" s="243">
        <f t="shared" si="12"/>
        <v>0.6502851510824611</v>
      </c>
      <c r="Y26" s="243">
        <v>0.65</v>
      </c>
      <c r="Z26" s="243">
        <f t="shared" si="13"/>
        <v>0.65</v>
      </c>
      <c r="AA26" s="160">
        <f t="shared" si="14"/>
        <v>5.2</v>
      </c>
      <c r="AB26" s="115"/>
    </row>
    <row r="27" spans="2:28" ht="14.25" customHeight="1" x14ac:dyDescent="0.2">
      <c r="B27" s="212" t="s">
        <v>122</v>
      </c>
      <c r="C27" s="174">
        <f>'Input Sheet'!G26</f>
        <v>80</v>
      </c>
      <c r="D27" s="241">
        <f>'Input Sheet'!H26</f>
        <v>0.39772727272727271</v>
      </c>
      <c r="E27" s="179">
        <f>'Input Sheet'!I26</f>
        <v>0</v>
      </c>
      <c r="F27" s="205">
        <f>'Input Sheet'!J26</f>
        <v>35</v>
      </c>
      <c r="G27" s="205">
        <f>'Input Sheet'!K26</f>
        <v>31.818181818181817</v>
      </c>
      <c r="I27" s="160">
        <f>IF($D27="Hourly",'Input Sheet'!H138,'Input Sheet'!H138*'Standard Hour Calcs'!$E27)</f>
        <v>0</v>
      </c>
      <c r="J27" s="160">
        <f>IF($D27="Hourly",'Input Sheet'!I138,'Input Sheet'!I138*'Standard Hour Calcs'!$E27)</f>
        <v>0</v>
      </c>
      <c r="K27" s="160">
        <f>IF($D27="Hourly",'Input Sheet'!J138,'Input Sheet'!J138*'Standard Hour Calcs'!$E27)</f>
        <v>0</v>
      </c>
      <c r="L27" s="219">
        <f t="shared" si="6"/>
        <v>0</v>
      </c>
      <c r="M27" s="246"/>
      <c r="N27" s="160">
        <f t="shared" si="7"/>
        <v>0</v>
      </c>
      <c r="O27" s="160">
        <f t="shared" si="8"/>
        <v>0</v>
      </c>
      <c r="P27" s="160">
        <f t="shared" si="9"/>
        <v>0</v>
      </c>
      <c r="Q27" s="182">
        <f t="shared" si="10"/>
        <v>0</v>
      </c>
      <c r="R27" s="106"/>
      <c r="S27" s="160">
        <f>+N27/N$101*'Input Sheet'!H$248</f>
        <v>0</v>
      </c>
      <c r="T27" s="160">
        <f>+O27/O$101*'Input Sheet'!I$248</f>
        <v>0</v>
      </c>
      <c r="U27" s="160">
        <f>+P27/P$101*'Input Sheet'!J$248</f>
        <v>0</v>
      </c>
      <c r="V27" s="182">
        <f t="shared" si="11"/>
        <v>0</v>
      </c>
      <c r="W27" s="108"/>
      <c r="X27" s="243">
        <f t="shared" si="12"/>
        <v>0</v>
      </c>
      <c r="Y27" s="243">
        <v>0.4</v>
      </c>
      <c r="Z27" s="243">
        <f t="shared" si="13"/>
        <v>0.4</v>
      </c>
      <c r="AA27" s="160">
        <f t="shared" si="14"/>
        <v>0</v>
      </c>
      <c r="AB27" s="115"/>
    </row>
    <row r="28" spans="2:28" ht="14.25" customHeight="1" x14ac:dyDescent="0.2">
      <c r="B28" s="212" t="s">
        <v>123</v>
      </c>
      <c r="C28" s="174">
        <f>'Input Sheet'!G27</f>
        <v>80</v>
      </c>
      <c r="D28" s="241">
        <f>'Input Sheet'!H27</f>
        <v>2.5</v>
      </c>
      <c r="E28" s="179">
        <f>'Input Sheet'!I27</f>
        <v>3</v>
      </c>
      <c r="F28" s="205">
        <f>'Input Sheet'!J27</f>
        <v>220</v>
      </c>
      <c r="G28" s="205">
        <f>'Input Sheet'!K27</f>
        <v>200</v>
      </c>
      <c r="I28" s="160">
        <f>IF($D28="Hourly",'Input Sheet'!H139,'Input Sheet'!H139*'Standard Hour Calcs'!$E28)</f>
        <v>0</v>
      </c>
      <c r="J28" s="160">
        <f>IF($D28="Hourly",'Input Sheet'!I139,'Input Sheet'!I139*'Standard Hour Calcs'!$E28)</f>
        <v>21</v>
      </c>
      <c r="K28" s="160">
        <f>IF($D28="Hourly",'Input Sheet'!J139,'Input Sheet'!J139*'Standard Hour Calcs'!$E28)</f>
        <v>6</v>
      </c>
      <c r="L28" s="219">
        <f t="shared" si="6"/>
        <v>27</v>
      </c>
      <c r="M28" s="246"/>
      <c r="N28" s="160">
        <f t="shared" si="7"/>
        <v>0</v>
      </c>
      <c r="O28" s="160">
        <f t="shared" si="8"/>
        <v>52.5</v>
      </c>
      <c r="P28" s="160">
        <f t="shared" si="9"/>
        <v>15</v>
      </c>
      <c r="Q28" s="182">
        <f t="shared" si="10"/>
        <v>67.5</v>
      </c>
      <c r="R28" s="106"/>
      <c r="S28" s="160">
        <f>+N28/N$101*'Input Sheet'!H$248</f>
        <v>0</v>
      </c>
      <c r="T28" s="160">
        <f>+O28/O$101*'Input Sheet'!I$248</f>
        <v>55.067930656831585</v>
      </c>
      <c r="U28" s="160">
        <f>+P28/P$101*'Input Sheet'!J$248</f>
        <v>13.912507902465425</v>
      </c>
      <c r="V28" s="182">
        <f t="shared" si="11"/>
        <v>68.980438559297014</v>
      </c>
      <c r="W28" s="108"/>
      <c r="X28" s="243">
        <f t="shared" si="12"/>
        <v>2.5548310577517412</v>
      </c>
      <c r="Y28" s="243">
        <v>2.5499999999999998</v>
      </c>
      <c r="Z28" s="243">
        <f t="shared" si="13"/>
        <v>2.5499999999999998</v>
      </c>
      <c r="AA28" s="160">
        <f t="shared" si="14"/>
        <v>68.849999999999994</v>
      </c>
      <c r="AB28" s="115"/>
    </row>
    <row r="29" spans="2:28" ht="14.25" customHeight="1" x14ac:dyDescent="0.2">
      <c r="B29" s="212" t="s">
        <v>124</v>
      </c>
      <c r="C29" s="174">
        <f>'Input Sheet'!G28</f>
        <v>80</v>
      </c>
      <c r="D29" s="241">
        <f>'Input Sheet'!H28</f>
        <v>1.5</v>
      </c>
      <c r="E29" s="179">
        <f>'Input Sheet'!I28</f>
        <v>0</v>
      </c>
      <c r="F29" s="205">
        <f>'Input Sheet'!J28</f>
        <v>132</v>
      </c>
      <c r="G29" s="205">
        <f>'Input Sheet'!K28</f>
        <v>120</v>
      </c>
      <c r="I29" s="160">
        <f>IF($D29="Hourly",'Input Sheet'!H140,'Input Sheet'!H140*'Standard Hour Calcs'!$E29)</f>
        <v>0</v>
      </c>
      <c r="J29" s="160">
        <f>IF($D29="Hourly",'Input Sheet'!I140,'Input Sheet'!I140*'Standard Hour Calcs'!$E29)</f>
        <v>0</v>
      </c>
      <c r="K29" s="160">
        <f>IF($D29="Hourly",'Input Sheet'!J140,'Input Sheet'!J140*'Standard Hour Calcs'!$E29)</f>
        <v>0</v>
      </c>
      <c r="L29" s="219">
        <f t="shared" si="6"/>
        <v>0</v>
      </c>
      <c r="M29" s="246"/>
      <c r="N29" s="160">
        <f t="shared" si="7"/>
        <v>0</v>
      </c>
      <c r="O29" s="160">
        <f t="shared" si="8"/>
        <v>0</v>
      </c>
      <c r="P29" s="160">
        <f t="shared" si="9"/>
        <v>0</v>
      </c>
      <c r="Q29" s="182">
        <f t="shared" si="10"/>
        <v>0</v>
      </c>
      <c r="R29" s="106"/>
      <c r="S29" s="160">
        <f>+N29/N$101*'Input Sheet'!H$248</f>
        <v>0</v>
      </c>
      <c r="T29" s="160">
        <f>+O29/O$101*'Input Sheet'!I$248</f>
        <v>0</v>
      </c>
      <c r="U29" s="160">
        <f>+P29/P$101*'Input Sheet'!J$248</f>
        <v>0</v>
      </c>
      <c r="V29" s="182">
        <f t="shared" si="11"/>
        <v>0</v>
      </c>
      <c r="W29" s="108"/>
      <c r="X29" s="243">
        <f t="shared" si="12"/>
        <v>0</v>
      </c>
      <c r="Y29" s="243">
        <v>1.5</v>
      </c>
      <c r="Z29" s="243">
        <f t="shared" si="13"/>
        <v>1.5</v>
      </c>
      <c r="AA29" s="160">
        <f t="shared" si="14"/>
        <v>0</v>
      </c>
      <c r="AB29" s="115"/>
    </row>
    <row r="30" spans="2:28" ht="14.25" customHeight="1" x14ac:dyDescent="0.2">
      <c r="B30" s="212" t="s">
        <v>125</v>
      </c>
      <c r="C30" s="174">
        <f>'Input Sheet'!G29</f>
        <v>80</v>
      </c>
      <c r="D30" s="241">
        <f>'Input Sheet'!H29</f>
        <v>0.70454545454545459</v>
      </c>
      <c r="E30" s="179">
        <f>'Input Sheet'!I29</f>
        <v>0</v>
      </c>
      <c r="F30" s="205">
        <f>'Input Sheet'!J29</f>
        <v>62</v>
      </c>
      <c r="G30" s="205">
        <f>'Input Sheet'!K29</f>
        <v>56.363636363636367</v>
      </c>
      <c r="I30" s="160">
        <f>IF($D30="Hourly",'Input Sheet'!H141,'Input Sheet'!H141*'Standard Hour Calcs'!$E30)</f>
        <v>0</v>
      </c>
      <c r="J30" s="160">
        <f>IF($D30="Hourly",'Input Sheet'!I141,'Input Sheet'!I141*'Standard Hour Calcs'!$E30)</f>
        <v>0</v>
      </c>
      <c r="K30" s="160">
        <f>IF($D30="Hourly",'Input Sheet'!J141,'Input Sheet'!J141*'Standard Hour Calcs'!$E30)</f>
        <v>0</v>
      </c>
      <c r="L30" s="219">
        <f t="shared" si="6"/>
        <v>0</v>
      </c>
      <c r="M30" s="246"/>
      <c r="N30" s="160">
        <f t="shared" si="7"/>
        <v>0</v>
      </c>
      <c r="O30" s="160">
        <f t="shared" si="8"/>
        <v>0</v>
      </c>
      <c r="P30" s="160">
        <f t="shared" si="9"/>
        <v>0</v>
      </c>
      <c r="Q30" s="182">
        <f t="shared" si="10"/>
        <v>0</v>
      </c>
      <c r="R30" s="106"/>
      <c r="S30" s="160">
        <f>+N30/N$101*'Input Sheet'!H$248</f>
        <v>0</v>
      </c>
      <c r="T30" s="160">
        <f>+O30/O$101*'Input Sheet'!I$248</f>
        <v>0</v>
      </c>
      <c r="U30" s="160">
        <f>+P30/P$101*'Input Sheet'!J$248</f>
        <v>0</v>
      </c>
      <c r="V30" s="182">
        <f t="shared" si="11"/>
        <v>0</v>
      </c>
      <c r="W30" s="108"/>
      <c r="X30" s="243">
        <f t="shared" si="12"/>
        <v>0</v>
      </c>
      <c r="Y30" s="243">
        <v>0.7</v>
      </c>
      <c r="Z30" s="243">
        <f t="shared" si="13"/>
        <v>0.7</v>
      </c>
      <c r="AA30" s="160">
        <f t="shared" si="14"/>
        <v>0</v>
      </c>
      <c r="AB30" s="115"/>
    </row>
    <row r="31" spans="2:28" ht="14.25" customHeight="1" x14ac:dyDescent="0.2">
      <c r="B31" s="212" t="s">
        <v>126</v>
      </c>
      <c r="C31" s="174">
        <f>'Input Sheet'!G30</f>
        <v>80</v>
      </c>
      <c r="D31" s="241">
        <f>'Input Sheet'!H30</f>
        <v>0.60227272727272729</v>
      </c>
      <c r="E31" s="179">
        <f>'Input Sheet'!I30</f>
        <v>2</v>
      </c>
      <c r="F31" s="205">
        <f>'Input Sheet'!J30</f>
        <v>53</v>
      </c>
      <c r="G31" s="205">
        <f>'Input Sheet'!K30</f>
        <v>48.181818181818187</v>
      </c>
      <c r="I31" s="160">
        <f>IF($D31="Hourly",'Input Sheet'!H142,'Input Sheet'!H142*'Standard Hour Calcs'!$E31)</f>
        <v>6</v>
      </c>
      <c r="J31" s="160">
        <f>IF($D31="Hourly",'Input Sheet'!I142,'Input Sheet'!I142*'Standard Hour Calcs'!$E31)</f>
        <v>12</v>
      </c>
      <c r="K31" s="160">
        <f>IF($D31="Hourly",'Input Sheet'!J142,'Input Sheet'!J142*'Standard Hour Calcs'!$E31)</f>
        <v>10</v>
      </c>
      <c r="L31" s="219">
        <f t="shared" si="6"/>
        <v>28</v>
      </c>
      <c r="M31" s="246"/>
      <c r="N31" s="160">
        <f t="shared" si="7"/>
        <v>3.6136363636363638</v>
      </c>
      <c r="O31" s="160">
        <f t="shared" si="8"/>
        <v>7.2272727272727275</v>
      </c>
      <c r="P31" s="160">
        <f t="shared" si="9"/>
        <v>6.0227272727272734</v>
      </c>
      <c r="Q31" s="182">
        <f t="shared" si="10"/>
        <v>16.863636363636367</v>
      </c>
      <c r="R31" s="106"/>
      <c r="S31" s="160">
        <f>+N31/N$101*'Input Sheet'!H$248</f>
        <v>3.3353335168423008</v>
      </c>
      <c r="T31" s="160">
        <f>+O31/O$101*'Input Sheet'!I$248</f>
        <v>7.5807800644469463</v>
      </c>
      <c r="U31" s="160">
        <f>+P31/P$101*'Input Sheet'!J$248</f>
        <v>5.5860827184141488</v>
      </c>
      <c r="V31" s="182">
        <f t="shared" si="11"/>
        <v>16.502196299703396</v>
      </c>
      <c r="W31" s="108"/>
      <c r="X31" s="243">
        <f t="shared" si="12"/>
        <v>0.5893641535608356</v>
      </c>
      <c r="Y31" s="243">
        <v>0.6</v>
      </c>
      <c r="Z31" s="243">
        <f t="shared" si="13"/>
        <v>0.6</v>
      </c>
      <c r="AA31" s="160">
        <f t="shared" si="14"/>
        <v>16.8</v>
      </c>
      <c r="AB31" s="115"/>
    </row>
    <row r="32" spans="2:28" ht="14.25" customHeight="1" x14ac:dyDescent="0.2">
      <c r="B32" s="212" t="s">
        <v>127</v>
      </c>
      <c r="C32" s="174">
        <f>'Input Sheet'!G31</f>
        <v>80</v>
      </c>
      <c r="D32" s="241">
        <f>'Input Sheet'!H31</f>
        <v>0.5</v>
      </c>
      <c r="E32" s="179">
        <f>'Input Sheet'!I31</f>
        <v>5</v>
      </c>
      <c r="F32" s="205">
        <f>'Input Sheet'!J31</f>
        <v>44</v>
      </c>
      <c r="G32" s="205">
        <f>'Input Sheet'!K31</f>
        <v>40</v>
      </c>
      <c r="I32" s="160">
        <f>IF($D32="Hourly",'Input Sheet'!H143,'Input Sheet'!H143*'Standard Hour Calcs'!$E32)</f>
        <v>0</v>
      </c>
      <c r="J32" s="160">
        <f>IF($D32="Hourly",'Input Sheet'!I143,'Input Sheet'!I143*'Standard Hour Calcs'!$E32)</f>
        <v>5</v>
      </c>
      <c r="K32" s="160">
        <f>IF($D32="Hourly",'Input Sheet'!J143,'Input Sheet'!J143*'Standard Hour Calcs'!$E32)</f>
        <v>5</v>
      </c>
      <c r="L32" s="219">
        <f t="shared" si="6"/>
        <v>10</v>
      </c>
      <c r="M32" s="246"/>
      <c r="N32" s="160">
        <f t="shared" si="7"/>
        <v>0</v>
      </c>
      <c r="O32" s="160">
        <f t="shared" si="8"/>
        <v>2.5</v>
      </c>
      <c r="P32" s="160">
        <f t="shared" si="9"/>
        <v>2.5</v>
      </c>
      <c r="Q32" s="182">
        <f t="shared" si="10"/>
        <v>5</v>
      </c>
      <c r="R32" s="106"/>
      <c r="S32" s="160">
        <f>+N32/N$101*'Input Sheet'!H$248</f>
        <v>0</v>
      </c>
      <c r="T32" s="160">
        <f>+O32/O$101*'Input Sheet'!I$248</f>
        <v>2.6222824122300756</v>
      </c>
      <c r="U32" s="160">
        <f>+P32/P$101*'Input Sheet'!J$248</f>
        <v>2.3187513170775711</v>
      </c>
      <c r="V32" s="182">
        <f t="shared" si="11"/>
        <v>4.9410337293076463</v>
      </c>
      <c r="W32" s="108"/>
      <c r="X32" s="243">
        <f t="shared" si="12"/>
        <v>0.49410337293076462</v>
      </c>
      <c r="Y32" s="243">
        <v>0.5</v>
      </c>
      <c r="Z32" s="243">
        <f t="shared" si="13"/>
        <v>0.5</v>
      </c>
      <c r="AA32" s="160">
        <f t="shared" si="14"/>
        <v>5</v>
      </c>
      <c r="AB32" s="115"/>
    </row>
    <row r="33" spans="2:28" ht="14.25" customHeight="1" x14ac:dyDescent="0.2">
      <c r="B33" s="212" t="s">
        <v>128</v>
      </c>
      <c r="C33" s="174">
        <f>'Input Sheet'!G32</f>
        <v>80</v>
      </c>
      <c r="D33" s="241">
        <f>'Input Sheet'!H32</f>
        <v>0.39772727272727271</v>
      </c>
      <c r="E33" s="179">
        <f>'Input Sheet'!I32</f>
        <v>6</v>
      </c>
      <c r="F33" s="205">
        <f>'Input Sheet'!J32</f>
        <v>35</v>
      </c>
      <c r="G33" s="205">
        <f>'Input Sheet'!K32</f>
        <v>31.818181818181817</v>
      </c>
      <c r="I33" s="160">
        <f>IF($D33="Hourly",'Input Sheet'!H144,'Input Sheet'!H144*'Standard Hour Calcs'!$E33)</f>
        <v>0</v>
      </c>
      <c r="J33" s="160">
        <f>IF($D33="Hourly",'Input Sheet'!I144,'Input Sheet'!I144*'Standard Hour Calcs'!$E33)</f>
        <v>6</v>
      </c>
      <c r="K33" s="160">
        <f>IF($D33="Hourly",'Input Sheet'!J144,'Input Sheet'!J144*'Standard Hour Calcs'!$E33)</f>
        <v>0</v>
      </c>
      <c r="L33" s="219">
        <f t="shared" si="6"/>
        <v>6</v>
      </c>
      <c r="M33" s="246"/>
      <c r="N33" s="160">
        <f t="shared" si="7"/>
        <v>0</v>
      </c>
      <c r="O33" s="160">
        <f t="shared" si="8"/>
        <v>2.3863636363636362</v>
      </c>
      <c r="P33" s="160">
        <f t="shared" si="9"/>
        <v>0</v>
      </c>
      <c r="Q33" s="182">
        <f t="shared" si="10"/>
        <v>2.3863636363636362</v>
      </c>
      <c r="R33" s="106"/>
      <c r="S33" s="160">
        <f>+N33/N$101*'Input Sheet'!H$248</f>
        <v>0</v>
      </c>
      <c r="T33" s="160">
        <f>+O33/O$101*'Input Sheet'!I$248</f>
        <v>2.503087757128708</v>
      </c>
      <c r="U33" s="160">
        <f>+P33/P$101*'Input Sheet'!J$248</f>
        <v>0</v>
      </c>
      <c r="V33" s="182">
        <f t="shared" si="11"/>
        <v>2.503087757128708</v>
      </c>
      <c r="W33" s="108"/>
      <c r="X33" s="243">
        <f t="shared" si="12"/>
        <v>0.41718129285478467</v>
      </c>
      <c r="Y33" s="243">
        <v>0.4</v>
      </c>
      <c r="Z33" s="243">
        <f t="shared" si="13"/>
        <v>0.4</v>
      </c>
      <c r="AA33" s="160">
        <f t="shared" si="14"/>
        <v>2.4000000000000004</v>
      </c>
      <c r="AB33" s="115"/>
    </row>
    <row r="34" spans="2:28" s="255" customFormat="1" ht="14.25" customHeight="1" x14ac:dyDescent="0.2">
      <c r="B34" s="250" t="s">
        <v>129</v>
      </c>
      <c r="C34" s="251">
        <f>'Input Sheet'!G33</f>
        <v>80</v>
      </c>
      <c r="D34" s="252">
        <f>'Input Sheet'!H33</f>
        <v>3.5</v>
      </c>
      <c r="E34" s="253">
        <f>'Input Sheet'!I33</f>
        <v>3</v>
      </c>
      <c r="F34" s="254">
        <f>'Input Sheet'!J33</f>
        <v>308</v>
      </c>
      <c r="G34" s="254">
        <f>'Input Sheet'!K33</f>
        <v>280</v>
      </c>
      <c r="I34" s="160">
        <f>+$E34</f>
        <v>3</v>
      </c>
      <c r="J34" s="160">
        <f>+$E34</f>
        <v>3</v>
      </c>
      <c r="K34" s="160">
        <f>+$E34</f>
        <v>3</v>
      </c>
      <c r="L34" s="219">
        <f t="shared" ref="L34" si="15">SUM(I34:K34)</f>
        <v>9</v>
      </c>
      <c r="M34" s="256"/>
      <c r="N34" s="160">
        <f t="shared" si="7"/>
        <v>10.5</v>
      </c>
      <c r="O34" s="160">
        <f t="shared" si="8"/>
        <v>10.5</v>
      </c>
      <c r="P34" s="160">
        <f t="shared" si="9"/>
        <v>10.5</v>
      </c>
      <c r="Q34" s="182">
        <f t="shared" ref="Q34:Q37" si="16">SUM(N34:P34)</f>
        <v>31.5</v>
      </c>
      <c r="R34" s="257"/>
      <c r="S34" s="160">
        <f>+N34/N$101*'Input Sheet'!H$248</f>
        <v>9.6913464451644202</v>
      </c>
      <c r="T34" s="160">
        <f>+O34/O$101*'Input Sheet'!I$248</f>
        <v>11.013586131366317</v>
      </c>
      <c r="U34" s="160">
        <f>+P34/P$101*'Input Sheet'!J$248</f>
        <v>9.7387555317257988</v>
      </c>
      <c r="V34" s="182">
        <f t="shared" si="11"/>
        <v>30.443688108256538</v>
      </c>
      <c r="W34" s="108"/>
      <c r="X34" s="243">
        <f t="shared" si="12"/>
        <v>3.3826320120285041</v>
      </c>
      <c r="Y34" s="243">
        <v>3.4</v>
      </c>
      <c r="Z34" s="243">
        <f t="shared" si="13"/>
        <v>3.4</v>
      </c>
      <c r="AA34" s="160">
        <f t="shared" si="14"/>
        <v>30.599999999999998</v>
      </c>
      <c r="AB34" s="258"/>
    </row>
    <row r="35" spans="2:28" s="255" customFormat="1" ht="14.25" customHeight="1" x14ac:dyDescent="0.2">
      <c r="B35" s="250" t="s">
        <v>130</v>
      </c>
      <c r="C35" s="251">
        <f>'Input Sheet'!G34</f>
        <v>80</v>
      </c>
      <c r="D35" s="252">
        <f>'Input Sheet'!H34</f>
        <v>1.2045454545454546</v>
      </c>
      <c r="E35" s="253">
        <f>'Input Sheet'!I34</f>
        <v>2</v>
      </c>
      <c r="F35" s="254">
        <f>'Input Sheet'!J34</f>
        <v>106</v>
      </c>
      <c r="G35" s="254">
        <f>'Input Sheet'!K34</f>
        <v>96.363636363636374</v>
      </c>
      <c r="I35" s="160">
        <f>IF($D35="Hourly",'Input Sheet'!H146,'Input Sheet'!H146*'Standard Hour Calcs'!$E35)</f>
        <v>6</v>
      </c>
      <c r="J35" s="160">
        <f>IF($D35="Hourly",'Input Sheet'!I146,'Input Sheet'!I146*'Standard Hour Calcs'!$E35)</f>
        <v>16</v>
      </c>
      <c r="K35" s="160">
        <f>IF($D35="Hourly",'Input Sheet'!J146,'Input Sheet'!J146*'Standard Hour Calcs'!$E35)</f>
        <v>6</v>
      </c>
      <c r="L35" s="219">
        <f t="shared" ref="L35:L63" si="17">SUM(I35:K35)</f>
        <v>28</v>
      </c>
      <c r="M35" s="256"/>
      <c r="N35" s="160">
        <f t="shared" si="7"/>
        <v>7.2272727272727275</v>
      </c>
      <c r="O35" s="160">
        <f t="shared" si="8"/>
        <v>19.272727272727273</v>
      </c>
      <c r="P35" s="160">
        <f t="shared" si="9"/>
        <v>7.2272727272727275</v>
      </c>
      <c r="Q35" s="182">
        <f t="shared" si="16"/>
        <v>33.727272727272727</v>
      </c>
      <c r="R35" s="257"/>
      <c r="S35" s="160">
        <f>+N35/N$101*'Input Sheet'!H$248</f>
        <v>6.6706670336846017</v>
      </c>
      <c r="T35" s="160">
        <f>+O35/O$101*'Input Sheet'!I$248</f>
        <v>20.215413505191854</v>
      </c>
      <c r="U35" s="160">
        <f>+P35/P$101*'Input Sheet'!J$248</f>
        <v>6.7032992620969782</v>
      </c>
      <c r="V35" s="182">
        <f t="shared" si="11"/>
        <v>33.589379800973433</v>
      </c>
      <c r="W35" s="108"/>
      <c r="X35" s="243">
        <f t="shared" si="12"/>
        <v>1.1996207071776226</v>
      </c>
      <c r="Y35" s="243">
        <v>1.2</v>
      </c>
      <c r="Z35" s="243">
        <f t="shared" si="13"/>
        <v>1.2</v>
      </c>
      <c r="AA35" s="160">
        <f t="shared" si="14"/>
        <v>33.6</v>
      </c>
      <c r="AB35" s="258"/>
    </row>
    <row r="36" spans="2:28" s="255" customFormat="1" ht="14.25" customHeight="1" x14ac:dyDescent="0.2">
      <c r="B36" s="250" t="s">
        <v>131</v>
      </c>
      <c r="C36" s="251">
        <f>'Input Sheet'!G35</f>
        <v>80</v>
      </c>
      <c r="D36" s="252">
        <f>'Input Sheet'!H35</f>
        <v>1</v>
      </c>
      <c r="E36" s="253">
        <f>'Input Sheet'!I35</f>
        <v>8</v>
      </c>
      <c r="F36" s="254">
        <f>'Input Sheet'!J35</f>
        <v>88</v>
      </c>
      <c r="G36" s="254">
        <f>'Input Sheet'!K35</f>
        <v>80</v>
      </c>
      <c r="I36" s="160">
        <f>IF($D36="Hourly",'Input Sheet'!H147,'Input Sheet'!H147*'Standard Hour Calcs'!$E36)</f>
        <v>24</v>
      </c>
      <c r="J36" s="160">
        <f>IF($D36="Hourly",'Input Sheet'!I147,'Input Sheet'!I147*'Standard Hour Calcs'!$E36)</f>
        <v>16</v>
      </c>
      <c r="K36" s="160">
        <f>IF($D36="Hourly",'Input Sheet'!J147,'Input Sheet'!J147*'Standard Hour Calcs'!$E36)</f>
        <v>32</v>
      </c>
      <c r="L36" s="219">
        <f t="shared" si="17"/>
        <v>72</v>
      </c>
      <c r="M36" s="256"/>
      <c r="N36" s="160">
        <f t="shared" si="7"/>
        <v>24</v>
      </c>
      <c r="O36" s="160">
        <f t="shared" si="8"/>
        <v>16</v>
      </c>
      <c r="P36" s="160">
        <f t="shared" si="9"/>
        <v>32</v>
      </c>
      <c r="Q36" s="182">
        <f t="shared" si="16"/>
        <v>72</v>
      </c>
      <c r="R36" s="257"/>
      <c r="S36" s="160">
        <f>+N36/N$101*'Input Sheet'!H$248</f>
        <v>22.151649017518675</v>
      </c>
      <c r="T36" s="160">
        <f>+O36/O$101*'Input Sheet'!I$248</f>
        <v>16.782607438272482</v>
      </c>
      <c r="U36" s="160">
        <f>+P36/P$101*'Input Sheet'!J$248</f>
        <v>29.680016858592907</v>
      </c>
      <c r="V36" s="182">
        <f t="shared" si="11"/>
        <v>68.614273314384064</v>
      </c>
      <c r="W36" s="108"/>
      <c r="X36" s="243">
        <f t="shared" si="12"/>
        <v>0.95297601825533418</v>
      </c>
      <c r="Y36" s="243">
        <v>1</v>
      </c>
      <c r="Z36" s="243">
        <f t="shared" si="13"/>
        <v>1</v>
      </c>
      <c r="AA36" s="160">
        <f t="shared" si="14"/>
        <v>72</v>
      </c>
      <c r="AB36" s="258"/>
    </row>
    <row r="37" spans="2:28" s="255" customFormat="1" ht="14.25" customHeight="1" x14ac:dyDescent="0.2">
      <c r="B37" s="250" t="s">
        <v>132</v>
      </c>
      <c r="C37" s="251">
        <f>'Input Sheet'!G36</f>
        <v>80</v>
      </c>
      <c r="D37" s="252">
        <f>'Input Sheet'!H36</f>
        <v>0.70454545454545459</v>
      </c>
      <c r="E37" s="253">
        <f>'Input Sheet'!I36</f>
        <v>5</v>
      </c>
      <c r="F37" s="254">
        <f>'Input Sheet'!J36</f>
        <v>62</v>
      </c>
      <c r="G37" s="254">
        <f>'Input Sheet'!K36</f>
        <v>56.363636363636367</v>
      </c>
      <c r="I37" s="160">
        <f>IF($D37="Hourly",'Input Sheet'!H148,'Input Sheet'!H148*'Standard Hour Calcs'!$E37)</f>
        <v>10</v>
      </c>
      <c r="J37" s="160">
        <f>IF($D37="Hourly",'Input Sheet'!I148,'Input Sheet'!I148*'Standard Hour Calcs'!$E37)</f>
        <v>0</v>
      </c>
      <c r="K37" s="160">
        <f>IF($D37="Hourly",'Input Sheet'!J148,'Input Sheet'!J148*'Standard Hour Calcs'!$E37)</f>
        <v>10</v>
      </c>
      <c r="L37" s="219">
        <f t="shared" si="17"/>
        <v>20</v>
      </c>
      <c r="M37" s="256"/>
      <c r="N37" s="160">
        <f t="shared" si="7"/>
        <v>7.0454545454545459</v>
      </c>
      <c r="O37" s="160">
        <f t="shared" si="8"/>
        <v>0</v>
      </c>
      <c r="P37" s="160">
        <f t="shared" si="9"/>
        <v>7.0454545454545459</v>
      </c>
      <c r="Q37" s="182">
        <f t="shared" si="16"/>
        <v>14.090909090909092</v>
      </c>
      <c r="R37" s="257"/>
      <c r="S37" s="160">
        <f>+N37/N$101*'Input Sheet'!H$248</f>
        <v>6.5028515108246117</v>
      </c>
      <c r="T37" s="160">
        <f>+O37/O$101*'Input Sheet'!I$248</f>
        <v>0</v>
      </c>
      <c r="U37" s="160">
        <f>+P37/P$101*'Input Sheet'!J$248</f>
        <v>6.5346628026731555</v>
      </c>
      <c r="V37" s="182">
        <f t="shared" si="11"/>
        <v>13.037514313497766</v>
      </c>
      <c r="W37" s="108"/>
      <c r="X37" s="243">
        <f t="shared" si="12"/>
        <v>0.65187571567488833</v>
      </c>
      <c r="Y37" s="243">
        <v>0.65</v>
      </c>
      <c r="Z37" s="243">
        <f t="shared" si="13"/>
        <v>0.65</v>
      </c>
      <c r="AA37" s="160">
        <f t="shared" si="14"/>
        <v>13</v>
      </c>
      <c r="AB37" s="258"/>
    </row>
    <row r="38" spans="2:28" s="255" customFormat="1" ht="14.25" customHeight="1" x14ac:dyDescent="0.2">
      <c r="B38" s="250" t="s">
        <v>133</v>
      </c>
      <c r="C38" s="251">
        <f>'Input Sheet'!G37</f>
        <v>80</v>
      </c>
      <c r="D38" s="252">
        <f>'Input Sheet'!H37</f>
        <v>7</v>
      </c>
      <c r="E38" s="253">
        <f>'Input Sheet'!I37</f>
        <v>5</v>
      </c>
      <c r="F38" s="254">
        <f>'Input Sheet'!J37</f>
        <v>616</v>
      </c>
      <c r="G38" s="254">
        <f>'Input Sheet'!K37</f>
        <v>560</v>
      </c>
      <c r="I38" s="160">
        <f>+$E38</f>
        <v>5</v>
      </c>
      <c r="J38" s="160">
        <f>+$E38</f>
        <v>5</v>
      </c>
      <c r="K38" s="160">
        <f>+$E38</f>
        <v>5</v>
      </c>
      <c r="L38" s="219">
        <f t="shared" si="17"/>
        <v>15</v>
      </c>
      <c r="M38" s="256"/>
      <c r="N38" s="160">
        <f t="shared" si="7"/>
        <v>35</v>
      </c>
      <c r="O38" s="160">
        <f t="shared" si="8"/>
        <v>35</v>
      </c>
      <c r="P38" s="160">
        <f t="shared" si="9"/>
        <v>35</v>
      </c>
      <c r="Q38" s="182">
        <f t="shared" ref="Q38:Q41" si="18">SUM(N38:P38)</f>
        <v>105</v>
      </c>
      <c r="R38" s="257"/>
      <c r="S38" s="160">
        <f>+N38/N$101*'Input Sheet'!H$248</f>
        <v>32.304488150548067</v>
      </c>
      <c r="T38" s="160">
        <f>+O38/O$101*'Input Sheet'!I$248</f>
        <v>36.711953771221054</v>
      </c>
      <c r="U38" s="160">
        <f>+P38/P$101*'Input Sheet'!J$248</f>
        <v>32.46251843908599</v>
      </c>
      <c r="V38" s="182">
        <f t="shared" si="11"/>
        <v>101.4789603608551</v>
      </c>
      <c r="W38" s="108"/>
      <c r="X38" s="243">
        <f t="shared" si="12"/>
        <v>6.7652640240570063</v>
      </c>
      <c r="Y38" s="243">
        <v>7</v>
      </c>
      <c r="Z38" s="243">
        <f t="shared" si="13"/>
        <v>7</v>
      </c>
      <c r="AA38" s="160">
        <f t="shared" si="14"/>
        <v>105</v>
      </c>
      <c r="AB38" s="258"/>
    </row>
    <row r="39" spans="2:28" s="255" customFormat="1" ht="14.25" customHeight="1" x14ac:dyDescent="0.2">
      <c r="B39" s="250" t="s">
        <v>134</v>
      </c>
      <c r="C39" s="251">
        <f>'Input Sheet'!G38</f>
        <v>80</v>
      </c>
      <c r="D39" s="252">
        <f>'Input Sheet'!H38</f>
        <v>2.2045454545454546</v>
      </c>
      <c r="E39" s="253">
        <f>'Input Sheet'!I38</f>
        <v>2</v>
      </c>
      <c r="F39" s="254">
        <f>'Input Sheet'!J38</f>
        <v>194</v>
      </c>
      <c r="G39" s="254">
        <f>'Input Sheet'!K38</f>
        <v>176.36363636363637</v>
      </c>
      <c r="I39" s="160">
        <f>IF($D39="Hourly",'Input Sheet'!H150,'Input Sheet'!H150*'Standard Hour Calcs'!$E39)</f>
        <v>6</v>
      </c>
      <c r="J39" s="160">
        <f>IF($D39="Hourly",'Input Sheet'!I150,'Input Sheet'!I150*'Standard Hour Calcs'!$E39)</f>
        <v>0</v>
      </c>
      <c r="K39" s="160">
        <f>IF($D39="Hourly",'Input Sheet'!J150,'Input Sheet'!J150*'Standard Hour Calcs'!$E39)</f>
        <v>6</v>
      </c>
      <c r="L39" s="219">
        <f t="shared" si="17"/>
        <v>12</v>
      </c>
      <c r="M39" s="256"/>
      <c r="N39" s="160">
        <f t="shared" si="7"/>
        <v>13.227272727272727</v>
      </c>
      <c r="O39" s="160">
        <f t="shared" si="8"/>
        <v>0</v>
      </c>
      <c r="P39" s="160">
        <f t="shared" si="9"/>
        <v>13.227272727272727</v>
      </c>
      <c r="Q39" s="182">
        <f t="shared" si="18"/>
        <v>26.454545454545453</v>
      </c>
      <c r="R39" s="257"/>
      <c r="S39" s="160">
        <f>+N39/N$101*'Input Sheet'!H$248</f>
        <v>12.208579288064271</v>
      </c>
      <c r="T39" s="160">
        <f>+O39/O$101*'Input Sheet'!I$248</f>
        <v>0</v>
      </c>
      <c r="U39" s="160">
        <f>+P39/P$101*'Input Sheet'!J$248</f>
        <v>12.268302423083147</v>
      </c>
      <c r="V39" s="182">
        <f t="shared" si="11"/>
        <v>24.476881711147421</v>
      </c>
      <c r="W39" s="108"/>
      <c r="X39" s="243">
        <f t="shared" si="12"/>
        <v>2.0397401425956185</v>
      </c>
      <c r="Y39" s="243">
        <v>2</v>
      </c>
      <c r="Z39" s="243">
        <f t="shared" si="13"/>
        <v>2</v>
      </c>
      <c r="AA39" s="160">
        <f t="shared" si="14"/>
        <v>24</v>
      </c>
      <c r="AB39" s="258"/>
    </row>
    <row r="40" spans="2:28" s="255" customFormat="1" ht="14.25" customHeight="1" x14ac:dyDescent="0.2">
      <c r="B40" s="250" t="s">
        <v>135</v>
      </c>
      <c r="C40" s="251">
        <f>'Input Sheet'!G39</f>
        <v>80</v>
      </c>
      <c r="D40" s="252">
        <f>'Input Sheet'!H39</f>
        <v>1.9886363636363638</v>
      </c>
      <c r="E40" s="253">
        <f>'Input Sheet'!I39</f>
        <v>2</v>
      </c>
      <c r="F40" s="254">
        <f>'Input Sheet'!J39</f>
        <v>175</v>
      </c>
      <c r="G40" s="254">
        <f>'Input Sheet'!K39</f>
        <v>159.09090909090909</v>
      </c>
      <c r="I40" s="160">
        <f>IF($D40="Hourly",'Input Sheet'!H151,'Input Sheet'!H151*'Standard Hour Calcs'!$E40)</f>
        <v>0</v>
      </c>
      <c r="J40" s="160">
        <f>IF($D40="Hourly",'Input Sheet'!I151,'Input Sheet'!I151*'Standard Hour Calcs'!$E40)</f>
        <v>0</v>
      </c>
      <c r="K40" s="160">
        <f>IF($D40="Hourly",'Input Sheet'!J151,'Input Sheet'!J151*'Standard Hour Calcs'!$E40)</f>
        <v>2</v>
      </c>
      <c r="L40" s="219">
        <f t="shared" si="17"/>
        <v>2</v>
      </c>
      <c r="M40" s="256"/>
      <c r="N40" s="160">
        <f t="shared" si="7"/>
        <v>0</v>
      </c>
      <c r="O40" s="160">
        <f t="shared" si="8"/>
        <v>0</v>
      </c>
      <c r="P40" s="160">
        <f t="shared" si="9"/>
        <v>3.9772727272727275</v>
      </c>
      <c r="Q40" s="182">
        <f t="shared" si="18"/>
        <v>3.9772727272727275</v>
      </c>
      <c r="R40" s="257"/>
      <c r="S40" s="160">
        <f>+N40/N$101*'Input Sheet'!H$248</f>
        <v>0</v>
      </c>
      <c r="T40" s="160">
        <f>+O40/O$101*'Input Sheet'!I$248</f>
        <v>0</v>
      </c>
      <c r="U40" s="160">
        <f>+P40/P$101*'Input Sheet'!J$248</f>
        <v>3.6889225498961355</v>
      </c>
      <c r="V40" s="182">
        <f t="shared" si="11"/>
        <v>3.6889225498961355</v>
      </c>
      <c r="W40" s="108"/>
      <c r="X40" s="243">
        <f t="shared" si="12"/>
        <v>1.8444612749480678</v>
      </c>
      <c r="Y40" s="243">
        <v>1.85</v>
      </c>
      <c r="Z40" s="243">
        <f t="shared" si="13"/>
        <v>1.85</v>
      </c>
      <c r="AA40" s="160">
        <f t="shared" si="14"/>
        <v>3.7</v>
      </c>
      <c r="AB40" s="258"/>
    </row>
    <row r="41" spans="2:28" s="255" customFormat="1" ht="14.25" customHeight="1" x14ac:dyDescent="0.2">
      <c r="B41" s="250" t="s">
        <v>136</v>
      </c>
      <c r="C41" s="251">
        <f>'Input Sheet'!G40</f>
        <v>80</v>
      </c>
      <c r="D41" s="252">
        <f>'Input Sheet'!H40</f>
        <v>1.5</v>
      </c>
      <c r="E41" s="253">
        <f>'Input Sheet'!I40</f>
        <v>5</v>
      </c>
      <c r="F41" s="254">
        <f>'Input Sheet'!J40</f>
        <v>132</v>
      </c>
      <c r="G41" s="254">
        <f>'Input Sheet'!K40</f>
        <v>120</v>
      </c>
      <c r="I41" s="160">
        <f>IF($D41="Hourly",'Input Sheet'!H152,'Input Sheet'!H152*'Standard Hour Calcs'!$E41)</f>
        <v>0</v>
      </c>
      <c r="J41" s="160">
        <f>IF($D41="Hourly",'Input Sheet'!I152,'Input Sheet'!I152*'Standard Hour Calcs'!$E41)</f>
        <v>0</v>
      </c>
      <c r="K41" s="160">
        <f>IF($D41="Hourly",'Input Sheet'!J152,'Input Sheet'!J152*'Standard Hour Calcs'!$E41)</f>
        <v>5</v>
      </c>
      <c r="L41" s="219">
        <f t="shared" si="17"/>
        <v>5</v>
      </c>
      <c r="M41" s="256"/>
      <c r="N41" s="160">
        <f t="shared" si="7"/>
        <v>0</v>
      </c>
      <c r="O41" s="160">
        <f t="shared" si="8"/>
        <v>0</v>
      </c>
      <c r="P41" s="160">
        <f t="shared" si="9"/>
        <v>7.5</v>
      </c>
      <c r="Q41" s="182">
        <f t="shared" si="18"/>
        <v>7.5</v>
      </c>
      <c r="R41" s="257"/>
      <c r="S41" s="160">
        <f>+N41/N$101*'Input Sheet'!H$248</f>
        <v>0</v>
      </c>
      <c r="T41" s="160">
        <f>+O41/O$101*'Input Sheet'!I$248</f>
        <v>0</v>
      </c>
      <c r="U41" s="160">
        <f>+P41/P$101*'Input Sheet'!J$248</f>
        <v>6.9562539512327124</v>
      </c>
      <c r="V41" s="182">
        <f t="shared" si="11"/>
        <v>6.9562539512327124</v>
      </c>
      <c r="W41" s="108"/>
      <c r="X41" s="243">
        <f t="shared" si="12"/>
        <v>1.3912507902465425</v>
      </c>
      <c r="Y41" s="243">
        <v>1.4</v>
      </c>
      <c r="Z41" s="243">
        <f t="shared" si="13"/>
        <v>1.4</v>
      </c>
      <c r="AA41" s="160">
        <f t="shared" si="14"/>
        <v>7</v>
      </c>
      <c r="AB41" s="258"/>
    </row>
    <row r="42" spans="2:28" s="255" customFormat="1" ht="14.25" customHeight="1" x14ac:dyDescent="0.2">
      <c r="B42" s="250" t="s">
        <v>137</v>
      </c>
      <c r="C42" s="251">
        <f>'Input Sheet'!G41</f>
        <v>80</v>
      </c>
      <c r="D42" s="252">
        <f>'Input Sheet'!H41</f>
        <v>8.795454545454545</v>
      </c>
      <c r="E42" s="253">
        <f>'Input Sheet'!I41</f>
        <v>1</v>
      </c>
      <c r="F42" s="254">
        <f>'Input Sheet'!J41</f>
        <v>774</v>
      </c>
      <c r="G42" s="254">
        <f>'Input Sheet'!K41</f>
        <v>703.63636363636363</v>
      </c>
      <c r="I42" s="160">
        <f>+$E42</f>
        <v>1</v>
      </c>
      <c r="J42" s="160">
        <f>+$E42</f>
        <v>1</v>
      </c>
      <c r="K42" s="160">
        <f>+$E42</f>
        <v>1</v>
      </c>
      <c r="L42" s="219">
        <f t="shared" si="17"/>
        <v>3</v>
      </c>
      <c r="M42" s="256"/>
      <c r="N42" s="160">
        <f t="shared" si="7"/>
        <v>8.795454545454545</v>
      </c>
      <c r="O42" s="160">
        <f t="shared" si="8"/>
        <v>8.795454545454545</v>
      </c>
      <c r="P42" s="160">
        <f t="shared" si="9"/>
        <v>8.795454545454545</v>
      </c>
      <c r="Q42" s="182">
        <f t="shared" ref="Q42:Q45" si="19">SUM(N42:P42)</f>
        <v>26.386363636363633</v>
      </c>
      <c r="R42" s="257"/>
      <c r="S42" s="160">
        <f>+N42/N$101*'Input Sheet'!H$248</f>
        <v>8.1180759183520141</v>
      </c>
      <c r="T42" s="160">
        <f>+O42/O$101*'Input Sheet'!I$248</f>
        <v>9.2256663048458112</v>
      </c>
      <c r="U42" s="160">
        <f>+P42/P$101*'Input Sheet'!J$248</f>
        <v>8.1577887246274532</v>
      </c>
      <c r="V42" s="182">
        <f t="shared" si="11"/>
        <v>25.50153094782528</v>
      </c>
      <c r="W42" s="108"/>
      <c r="X42" s="243">
        <f t="shared" si="12"/>
        <v>8.5005103159417601</v>
      </c>
      <c r="Y42" s="243">
        <v>8.5</v>
      </c>
      <c r="Z42" s="243">
        <f t="shared" si="13"/>
        <v>8.5</v>
      </c>
      <c r="AA42" s="160">
        <f t="shared" si="14"/>
        <v>25.5</v>
      </c>
      <c r="AB42" s="258"/>
    </row>
    <row r="43" spans="2:28" s="255" customFormat="1" ht="14.25" customHeight="1" x14ac:dyDescent="0.2">
      <c r="B43" s="250" t="s">
        <v>138</v>
      </c>
      <c r="C43" s="251">
        <f>'Input Sheet'!G42</f>
        <v>80</v>
      </c>
      <c r="D43" s="252">
        <f>'Input Sheet'!H42</f>
        <v>0.60227272727272729</v>
      </c>
      <c r="E43" s="253">
        <f>'Input Sheet'!I42</f>
        <v>0</v>
      </c>
      <c r="F43" s="254">
        <f>'Input Sheet'!J42</f>
        <v>53</v>
      </c>
      <c r="G43" s="254">
        <f>'Input Sheet'!K42</f>
        <v>48.181818181818187</v>
      </c>
      <c r="I43" s="160">
        <f>IF($D43="Hourly",'Input Sheet'!H154,'Input Sheet'!H154*'Standard Hour Calcs'!$E43)</f>
        <v>0</v>
      </c>
      <c r="J43" s="160">
        <f>IF($D43="Hourly",'Input Sheet'!I154,'Input Sheet'!I154*'Standard Hour Calcs'!$E43)</f>
        <v>0</v>
      </c>
      <c r="K43" s="160">
        <f>IF($D43="Hourly",'Input Sheet'!J154,'Input Sheet'!J154*'Standard Hour Calcs'!$E43)</f>
        <v>0</v>
      </c>
      <c r="L43" s="219">
        <f t="shared" si="17"/>
        <v>0</v>
      </c>
      <c r="M43" s="256"/>
      <c r="N43" s="160">
        <f t="shared" si="7"/>
        <v>0</v>
      </c>
      <c r="O43" s="160">
        <f t="shared" si="8"/>
        <v>0</v>
      </c>
      <c r="P43" s="160">
        <f t="shared" si="9"/>
        <v>0</v>
      </c>
      <c r="Q43" s="182">
        <f t="shared" si="19"/>
        <v>0</v>
      </c>
      <c r="R43" s="257"/>
      <c r="S43" s="160">
        <f>+N43/N$101*'Input Sheet'!H$248</f>
        <v>0</v>
      </c>
      <c r="T43" s="160">
        <f>+O43/O$101*'Input Sheet'!I$248</f>
        <v>0</v>
      </c>
      <c r="U43" s="160">
        <f>+P43/P$101*'Input Sheet'!J$248</f>
        <v>0</v>
      </c>
      <c r="V43" s="182">
        <f t="shared" si="11"/>
        <v>0</v>
      </c>
      <c r="W43" s="108"/>
      <c r="X43" s="243">
        <f t="shared" si="12"/>
        <v>0</v>
      </c>
      <c r="Y43" s="243">
        <v>0.6</v>
      </c>
      <c r="Z43" s="243">
        <f t="shared" si="13"/>
        <v>0.6</v>
      </c>
      <c r="AA43" s="160">
        <f t="shared" si="14"/>
        <v>0</v>
      </c>
      <c r="AB43" s="258"/>
    </row>
    <row r="44" spans="2:28" s="255" customFormat="1" ht="14.25" customHeight="1" x14ac:dyDescent="0.2">
      <c r="B44" s="250" t="s">
        <v>139</v>
      </c>
      <c r="C44" s="251">
        <f>'Input Sheet'!G43</f>
        <v>80</v>
      </c>
      <c r="D44" s="252">
        <f>'Input Sheet'!H43</f>
        <v>0.5</v>
      </c>
      <c r="E44" s="253">
        <f>'Input Sheet'!I43</f>
        <v>0</v>
      </c>
      <c r="F44" s="254">
        <f>'Input Sheet'!J43</f>
        <v>44</v>
      </c>
      <c r="G44" s="254">
        <f>'Input Sheet'!K43</f>
        <v>40</v>
      </c>
      <c r="I44" s="160">
        <f>IF($D44="Hourly",'Input Sheet'!H155,'Input Sheet'!H155*'Standard Hour Calcs'!$E44)</f>
        <v>0</v>
      </c>
      <c r="J44" s="160">
        <f>IF($D44="Hourly",'Input Sheet'!I155,'Input Sheet'!I155*'Standard Hour Calcs'!$E44)</f>
        <v>0</v>
      </c>
      <c r="K44" s="160">
        <f>IF($D44="Hourly",'Input Sheet'!J155,'Input Sheet'!J155*'Standard Hour Calcs'!$E44)</f>
        <v>0</v>
      </c>
      <c r="L44" s="219">
        <f t="shared" si="17"/>
        <v>0</v>
      </c>
      <c r="M44" s="256"/>
      <c r="N44" s="160">
        <f t="shared" si="7"/>
        <v>0</v>
      </c>
      <c r="O44" s="160">
        <f t="shared" si="8"/>
        <v>0</v>
      </c>
      <c r="P44" s="160">
        <f t="shared" si="9"/>
        <v>0</v>
      </c>
      <c r="Q44" s="182">
        <f t="shared" si="19"/>
        <v>0</v>
      </c>
      <c r="R44" s="257"/>
      <c r="S44" s="160">
        <f>+N44/N$101*'Input Sheet'!H$248</f>
        <v>0</v>
      </c>
      <c r="T44" s="160">
        <f>+O44/O$101*'Input Sheet'!I$248</f>
        <v>0</v>
      </c>
      <c r="U44" s="160">
        <f>+P44/P$101*'Input Sheet'!J$248</f>
        <v>0</v>
      </c>
      <c r="V44" s="182">
        <f t="shared" si="11"/>
        <v>0</v>
      </c>
      <c r="W44" s="108"/>
      <c r="X44" s="243">
        <f t="shared" si="12"/>
        <v>0</v>
      </c>
      <c r="Y44" s="243">
        <v>0.5</v>
      </c>
      <c r="Z44" s="243">
        <f t="shared" si="13"/>
        <v>0.5</v>
      </c>
      <c r="AA44" s="160">
        <f t="shared" si="14"/>
        <v>0</v>
      </c>
      <c r="AB44" s="258"/>
    </row>
    <row r="45" spans="2:28" s="255" customFormat="1" ht="14.25" customHeight="1" x14ac:dyDescent="0.2">
      <c r="B45" s="250" t="s">
        <v>140</v>
      </c>
      <c r="C45" s="251">
        <f>'Input Sheet'!G44</f>
        <v>80</v>
      </c>
      <c r="D45" s="252">
        <f>'Input Sheet'!H44</f>
        <v>0.39772727272727271</v>
      </c>
      <c r="E45" s="253">
        <f>'Input Sheet'!I44</f>
        <v>0</v>
      </c>
      <c r="F45" s="254">
        <f>'Input Sheet'!J44</f>
        <v>35</v>
      </c>
      <c r="G45" s="254">
        <f>'Input Sheet'!K44</f>
        <v>31.818181818181817</v>
      </c>
      <c r="I45" s="160">
        <f>IF($D45="Hourly",'Input Sheet'!H156,'Input Sheet'!H156*'Standard Hour Calcs'!$E45)</f>
        <v>0</v>
      </c>
      <c r="J45" s="160">
        <f>IF($D45="Hourly",'Input Sheet'!I156,'Input Sheet'!I156*'Standard Hour Calcs'!$E45)</f>
        <v>0</v>
      </c>
      <c r="K45" s="160">
        <f>IF($D45="Hourly",'Input Sheet'!J156,'Input Sheet'!J156*'Standard Hour Calcs'!$E45)</f>
        <v>0</v>
      </c>
      <c r="L45" s="219">
        <f t="shared" si="17"/>
        <v>0</v>
      </c>
      <c r="M45" s="256"/>
      <c r="N45" s="160">
        <f t="shared" si="7"/>
        <v>0</v>
      </c>
      <c r="O45" s="160">
        <f t="shared" si="8"/>
        <v>0</v>
      </c>
      <c r="P45" s="160">
        <f t="shared" si="9"/>
        <v>0</v>
      </c>
      <c r="Q45" s="182">
        <f t="shared" si="19"/>
        <v>0</v>
      </c>
      <c r="R45" s="257"/>
      <c r="S45" s="160">
        <f>+N45/N$101*'Input Sheet'!H$248</f>
        <v>0</v>
      </c>
      <c r="T45" s="160">
        <f>+O45/O$101*'Input Sheet'!I$248</f>
        <v>0</v>
      </c>
      <c r="U45" s="160">
        <f>+P45/P$101*'Input Sheet'!J$248</f>
        <v>0</v>
      </c>
      <c r="V45" s="182">
        <f t="shared" si="11"/>
        <v>0</v>
      </c>
      <c r="W45" s="108"/>
      <c r="X45" s="243">
        <f t="shared" si="12"/>
        <v>0</v>
      </c>
      <c r="Y45" s="243">
        <v>0.4</v>
      </c>
      <c r="Z45" s="243">
        <f t="shared" si="13"/>
        <v>0.4</v>
      </c>
      <c r="AA45" s="160">
        <f t="shared" si="14"/>
        <v>0</v>
      </c>
      <c r="AB45" s="258"/>
    </row>
    <row r="46" spans="2:28" s="255" customFormat="1" ht="14.25" customHeight="1" x14ac:dyDescent="0.2">
      <c r="B46" s="250" t="s">
        <v>141</v>
      </c>
      <c r="C46" s="251">
        <f>'Input Sheet'!G45</f>
        <v>80</v>
      </c>
      <c r="D46" s="252">
        <f>'Input Sheet'!H45</f>
        <v>3.5</v>
      </c>
      <c r="E46" s="253">
        <f>'Input Sheet'!I45</f>
        <v>0</v>
      </c>
      <c r="F46" s="254">
        <f>'Input Sheet'!J45</f>
        <v>308</v>
      </c>
      <c r="G46" s="254">
        <f>'Input Sheet'!K45</f>
        <v>280</v>
      </c>
      <c r="I46" s="160">
        <f>+$E46</f>
        <v>0</v>
      </c>
      <c r="J46" s="160">
        <f>+$E46</f>
        <v>0</v>
      </c>
      <c r="K46" s="160">
        <f>+$E46</f>
        <v>0</v>
      </c>
      <c r="L46" s="219">
        <f t="shared" si="17"/>
        <v>0</v>
      </c>
      <c r="M46" s="256"/>
      <c r="N46" s="160">
        <f t="shared" si="7"/>
        <v>0</v>
      </c>
      <c r="O46" s="160">
        <f t="shared" si="8"/>
        <v>0</v>
      </c>
      <c r="P46" s="160">
        <f t="shared" si="9"/>
        <v>0</v>
      </c>
      <c r="Q46" s="182">
        <f t="shared" ref="Q46:Q49" si="20">SUM(N46:P46)</f>
        <v>0</v>
      </c>
      <c r="R46" s="257"/>
      <c r="S46" s="160">
        <f>+N46/N$101*'Input Sheet'!H$248</f>
        <v>0</v>
      </c>
      <c r="T46" s="160">
        <f>+O46/O$101*'Input Sheet'!I$248</f>
        <v>0</v>
      </c>
      <c r="U46" s="160">
        <f>+P46/P$101*'Input Sheet'!J$248</f>
        <v>0</v>
      </c>
      <c r="V46" s="182">
        <f t="shared" si="11"/>
        <v>0</v>
      </c>
      <c r="W46" s="108"/>
      <c r="X46" s="243">
        <f t="shared" si="12"/>
        <v>0</v>
      </c>
      <c r="Y46" s="243">
        <v>3.5</v>
      </c>
      <c r="Z46" s="243">
        <f t="shared" si="13"/>
        <v>3.5</v>
      </c>
      <c r="AA46" s="160">
        <f t="shared" si="14"/>
        <v>0</v>
      </c>
      <c r="AB46" s="258"/>
    </row>
    <row r="47" spans="2:28" s="255" customFormat="1" ht="14.25" customHeight="1" x14ac:dyDescent="0.2">
      <c r="B47" s="250" t="s">
        <v>142</v>
      </c>
      <c r="C47" s="251">
        <f>'Input Sheet'!G46</f>
        <v>80</v>
      </c>
      <c r="D47" s="252">
        <f>'Input Sheet'!H46</f>
        <v>1.2045454545454546</v>
      </c>
      <c r="E47" s="253">
        <f>'Input Sheet'!I46</f>
        <v>1</v>
      </c>
      <c r="F47" s="254">
        <f>'Input Sheet'!J46</f>
        <v>106</v>
      </c>
      <c r="G47" s="254">
        <f>'Input Sheet'!K46</f>
        <v>96.363636363636374</v>
      </c>
      <c r="I47" s="160">
        <f>IF($D47="Hourly",'Input Sheet'!H158,'Input Sheet'!H158*'Standard Hour Calcs'!$E47)</f>
        <v>0</v>
      </c>
      <c r="J47" s="160">
        <f>IF($D47="Hourly",'Input Sheet'!I158,'Input Sheet'!I158*'Standard Hour Calcs'!$E47)</f>
        <v>0</v>
      </c>
      <c r="K47" s="160">
        <f>IF($D47="Hourly",'Input Sheet'!J158,'Input Sheet'!J158*'Standard Hour Calcs'!$E47)</f>
        <v>2</v>
      </c>
      <c r="L47" s="219">
        <f t="shared" si="17"/>
        <v>2</v>
      </c>
      <c r="M47" s="256"/>
      <c r="N47" s="160">
        <f t="shared" si="7"/>
        <v>0</v>
      </c>
      <c r="O47" s="160">
        <f t="shared" si="8"/>
        <v>0</v>
      </c>
      <c r="P47" s="160">
        <f t="shared" si="9"/>
        <v>2.4090909090909092</v>
      </c>
      <c r="Q47" s="182">
        <f t="shared" si="20"/>
        <v>2.4090909090909092</v>
      </c>
      <c r="R47" s="257"/>
      <c r="S47" s="160">
        <f>+N47/N$101*'Input Sheet'!H$248</f>
        <v>0</v>
      </c>
      <c r="T47" s="160">
        <f>+O47/O$101*'Input Sheet'!I$248</f>
        <v>0</v>
      </c>
      <c r="U47" s="160">
        <f>+P47/P$101*'Input Sheet'!J$248</f>
        <v>2.2344330873656597</v>
      </c>
      <c r="V47" s="182">
        <f t="shared" si="11"/>
        <v>2.2344330873656597</v>
      </c>
      <c r="W47" s="108"/>
      <c r="X47" s="243">
        <f t="shared" si="12"/>
        <v>1.1172165436828299</v>
      </c>
      <c r="Y47" s="243">
        <v>1.1000000000000001</v>
      </c>
      <c r="Z47" s="243">
        <f t="shared" si="13"/>
        <v>1.1000000000000001</v>
      </c>
      <c r="AA47" s="160">
        <f t="shared" si="14"/>
        <v>2.2000000000000002</v>
      </c>
      <c r="AB47" s="258"/>
    </row>
    <row r="48" spans="2:28" s="255" customFormat="1" ht="14.25" customHeight="1" x14ac:dyDescent="0.2">
      <c r="B48" s="250" t="s">
        <v>143</v>
      </c>
      <c r="C48" s="251">
        <f>'Input Sheet'!G47</f>
        <v>80</v>
      </c>
      <c r="D48" s="252">
        <f>'Input Sheet'!H47</f>
        <v>1</v>
      </c>
      <c r="E48" s="253">
        <f>'Input Sheet'!I47</f>
        <v>0</v>
      </c>
      <c r="F48" s="254">
        <f>'Input Sheet'!J47</f>
        <v>88</v>
      </c>
      <c r="G48" s="254">
        <f>'Input Sheet'!K47</f>
        <v>80</v>
      </c>
      <c r="I48" s="160">
        <f>IF($D48="Hourly",'Input Sheet'!H159,'Input Sheet'!H159*'Standard Hour Calcs'!$E48)</f>
        <v>0</v>
      </c>
      <c r="J48" s="160">
        <f>IF($D48="Hourly",'Input Sheet'!I159,'Input Sheet'!I159*'Standard Hour Calcs'!$E48)</f>
        <v>0</v>
      </c>
      <c r="K48" s="160">
        <f>IF($D48="Hourly",'Input Sheet'!J159,'Input Sheet'!J159*'Standard Hour Calcs'!$E48)</f>
        <v>0</v>
      </c>
      <c r="L48" s="219">
        <f t="shared" si="17"/>
        <v>0</v>
      </c>
      <c r="M48" s="256"/>
      <c r="N48" s="160">
        <f t="shared" si="7"/>
        <v>0</v>
      </c>
      <c r="O48" s="160">
        <f t="shared" si="8"/>
        <v>0</v>
      </c>
      <c r="P48" s="160">
        <f t="shared" si="9"/>
        <v>0</v>
      </c>
      <c r="Q48" s="182">
        <f t="shared" si="20"/>
        <v>0</v>
      </c>
      <c r="R48" s="257"/>
      <c r="S48" s="160">
        <f>+N48/N$101*'Input Sheet'!H$248</f>
        <v>0</v>
      </c>
      <c r="T48" s="160">
        <f>+O48/O$101*'Input Sheet'!I$248</f>
        <v>0</v>
      </c>
      <c r="U48" s="160">
        <f>+P48/P$101*'Input Sheet'!J$248</f>
        <v>0</v>
      </c>
      <c r="V48" s="182">
        <f t="shared" si="11"/>
        <v>0</v>
      </c>
      <c r="W48" s="108"/>
      <c r="X48" s="243">
        <f t="shared" si="12"/>
        <v>0</v>
      </c>
      <c r="Y48" s="243">
        <v>1</v>
      </c>
      <c r="Z48" s="243">
        <f t="shared" si="13"/>
        <v>1</v>
      </c>
      <c r="AA48" s="160">
        <f t="shared" si="14"/>
        <v>0</v>
      </c>
      <c r="AB48" s="258"/>
    </row>
    <row r="49" spans="2:28" s="255" customFormat="1" ht="14.25" customHeight="1" x14ac:dyDescent="0.2">
      <c r="B49" s="250" t="s">
        <v>144</v>
      </c>
      <c r="C49" s="251">
        <f>'Input Sheet'!G48</f>
        <v>80</v>
      </c>
      <c r="D49" s="252">
        <f>'Input Sheet'!H48</f>
        <v>0.70454545454545459</v>
      </c>
      <c r="E49" s="253">
        <f>'Input Sheet'!I48</f>
        <v>0</v>
      </c>
      <c r="F49" s="254">
        <f>'Input Sheet'!J48</f>
        <v>62</v>
      </c>
      <c r="G49" s="254">
        <f>'Input Sheet'!K48</f>
        <v>56.363636363636367</v>
      </c>
      <c r="I49" s="160">
        <f>IF($D49="Hourly",'Input Sheet'!H160,'Input Sheet'!H160*'Standard Hour Calcs'!$E49)</f>
        <v>0</v>
      </c>
      <c r="J49" s="160">
        <f>IF($D49="Hourly",'Input Sheet'!I160,'Input Sheet'!I160*'Standard Hour Calcs'!$E49)</f>
        <v>0</v>
      </c>
      <c r="K49" s="160">
        <f>IF($D49="Hourly",'Input Sheet'!J160,'Input Sheet'!J160*'Standard Hour Calcs'!$E49)</f>
        <v>0</v>
      </c>
      <c r="L49" s="219">
        <f t="shared" si="17"/>
        <v>0</v>
      </c>
      <c r="M49" s="256"/>
      <c r="N49" s="160">
        <f t="shared" si="7"/>
        <v>0</v>
      </c>
      <c r="O49" s="160">
        <f t="shared" si="8"/>
        <v>0</v>
      </c>
      <c r="P49" s="160">
        <f t="shared" si="9"/>
        <v>0</v>
      </c>
      <c r="Q49" s="182">
        <f t="shared" si="20"/>
        <v>0</v>
      </c>
      <c r="R49" s="257"/>
      <c r="S49" s="160">
        <f>+N49/N$101*'Input Sheet'!H$248</f>
        <v>0</v>
      </c>
      <c r="T49" s="160">
        <f>+O49/O$101*'Input Sheet'!I$248</f>
        <v>0</v>
      </c>
      <c r="U49" s="160">
        <f>+P49/P$101*'Input Sheet'!J$248</f>
        <v>0</v>
      </c>
      <c r="V49" s="182">
        <f t="shared" si="11"/>
        <v>0</v>
      </c>
      <c r="W49" s="108"/>
      <c r="X49" s="243">
        <f t="shared" si="12"/>
        <v>0</v>
      </c>
      <c r="Y49" s="243">
        <v>0.7</v>
      </c>
      <c r="Z49" s="243">
        <f t="shared" si="13"/>
        <v>0.7</v>
      </c>
      <c r="AA49" s="160">
        <f t="shared" si="14"/>
        <v>0</v>
      </c>
      <c r="AB49" s="258"/>
    </row>
    <row r="50" spans="2:28" s="255" customFormat="1" ht="14.25" customHeight="1" x14ac:dyDescent="0.2">
      <c r="B50" s="250" t="s">
        <v>145</v>
      </c>
      <c r="C50" s="251">
        <f>'Input Sheet'!G49</f>
        <v>80</v>
      </c>
      <c r="D50" s="252">
        <f>'Input Sheet'!H49</f>
        <v>7</v>
      </c>
      <c r="E50" s="253">
        <f>'Input Sheet'!I49</f>
        <v>0</v>
      </c>
      <c r="F50" s="254">
        <f>'Input Sheet'!J49</f>
        <v>616</v>
      </c>
      <c r="G50" s="254">
        <f>'Input Sheet'!K49</f>
        <v>560</v>
      </c>
      <c r="I50" s="160">
        <f>+$E50</f>
        <v>0</v>
      </c>
      <c r="J50" s="160">
        <f>+$E50</f>
        <v>0</v>
      </c>
      <c r="K50" s="160">
        <f>+$E50</f>
        <v>0</v>
      </c>
      <c r="L50" s="219">
        <f t="shared" si="17"/>
        <v>0</v>
      </c>
      <c r="M50" s="256"/>
      <c r="N50" s="160">
        <f t="shared" si="7"/>
        <v>0</v>
      </c>
      <c r="O50" s="160">
        <f t="shared" si="8"/>
        <v>0</v>
      </c>
      <c r="P50" s="160">
        <f t="shared" si="9"/>
        <v>0</v>
      </c>
      <c r="Q50" s="182">
        <f t="shared" ref="Q50:Q53" si="21">SUM(N50:P50)</f>
        <v>0</v>
      </c>
      <c r="R50" s="257"/>
      <c r="S50" s="160">
        <f>+N50/N$101*'Input Sheet'!H$248</f>
        <v>0</v>
      </c>
      <c r="T50" s="160">
        <f>+O50/O$101*'Input Sheet'!I$248</f>
        <v>0</v>
      </c>
      <c r="U50" s="160">
        <f>+P50/P$101*'Input Sheet'!J$248</f>
        <v>0</v>
      </c>
      <c r="V50" s="182">
        <f t="shared" si="11"/>
        <v>0</v>
      </c>
      <c r="W50" s="108"/>
      <c r="X50" s="243">
        <f t="shared" si="12"/>
        <v>0</v>
      </c>
      <c r="Y50" s="243">
        <v>7</v>
      </c>
      <c r="Z50" s="243">
        <f t="shared" si="13"/>
        <v>7</v>
      </c>
      <c r="AA50" s="160">
        <f t="shared" si="14"/>
        <v>0</v>
      </c>
      <c r="AB50" s="258"/>
    </row>
    <row r="51" spans="2:28" s="255" customFormat="1" ht="14.25" customHeight="1" x14ac:dyDescent="0.2">
      <c r="B51" s="250" t="s">
        <v>146</v>
      </c>
      <c r="C51" s="251">
        <f>'Input Sheet'!G50</f>
        <v>80</v>
      </c>
      <c r="D51" s="252">
        <f>'Input Sheet'!H50</f>
        <v>2.2045454545454546</v>
      </c>
      <c r="E51" s="253">
        <f>'Input Sheet'!I50</f>
        <v>0</v>
      </c>
      <c r="F51" s="254">
        <f>'Input Sheet'!J50</f>
        <v>194</v>
      </c>
      <c r="G51" s="254">
        <f>'Input Sheet'!K50</f>
        <v>176.36363636363637</v>
      </c>
      <c r="I51" s="160">
        <f>IF($D51="Hourly",'Input Sheet'!H162,'Input Sheet'!H162*'Standard Hour Calcs'!$E51)</f>
        <v>0</v>
      </c>
      <c r="J51" s="160">
        <f>IF($D51="Hourly",'Input Sheet'!I162,'Input Sheet'!I162*'Standard Hour Calcs'!$E51)</f>
        <v>0</v>
      </c>
      <c r="K51" s="160">
        <f>IF($D51="Hourly",'Input Sheet'!J162,'Input Sheet'!J162*'Standard Hour Calcs'!$E51)</f>
        <v>0</v>
      </c>
      <c r="L51" s="219">
        <f t="shared" si="17"/>
        <v>0</v>
      </c>
      <c r="M51" s="256"/>
      <c r="N51" s="160">
        <f t="shared" si="7"/>
        <v>0</v>
      </c>
      <c r="O51" s="160">
        <f t="shared" si="8"/>
        <v>0</v>
      </c>
      <c r="P51" s="160">
        <f t="shared" si="9"/>
        <v>0</v>
      </c>
      <c r="Q51" s="182">
        <f t="shared" si="21"/>
        <v>0</v>
      </c>
      <c r="R51" s="257"/>
      <c r="S51" s="160">
        <f>+N51/N$101*'Input Sheet'!H$248</f>
        <v>0</v>
      </c>
      <c r="T51" s="160">
        <f>+O51/O$101*'Input Sheet'!I$248</f>
        <v>0</v>
      </c>
      <c r="U51" s="160">
        <f>+P51/P$101*'Input Sheet'!J$248</f>
        <v>0</v>
      </c>
      <c r="V51" s="182">
        <f t="shared" si="11"/>
        <v>0</v>
      </c>
      <c r="W51" s="108"/>
      <c r="X51" s="243">
        <f t="shared" si="12"/>
        <v>0</v>
      </c>
      <c r="Y51" s="243">
        <v>2.2000000000000002</v>
      </c>
      <c r="Z51" s="243">
        <f t="shared" si="13"/>
        <v>2.2000000000000002</v>
      </c>
      <c r="AA51" s="160">
        <f t="shared" si="14"/>
        <v>0</v>
      </c>
      <c r="AB51" s="258"/>
    </row>
    <row r="52" spans="2:28" s="255" customFormat="1" ht="14.25" customHeight="1" x14ac:dyDescent="0.2">
      <c r="B52" s="250" t="s">
        <v>147</v>
      </c>
      <c r="C52" s="251">
        <f>'Input Sheet'!G51</f>
        <v>80</v>
      </c>
      <c r="D52" s="252">
        <f>'Input Sheet'!H51</f>
        <v>1.9886363636363638</v>
      </c>
      <c r="E52" s="253">
        <f>'Input Sheet'!I51</f>
        <v>0</v>
      </c>
      <c r="F52" s="254">
        <f>'Input Sheet'!J51</f>
        <v>175</v>
      </c>
      <c r="G52" s="254">
        <f>'Input Sheet'!K51</f>
        <v>159.09090909090909</v>
      </c>
      <c r="I52" s="160">
        <f>IF($D52="Hourly",'Input Sheet'!H163,'Input Sheet'!H163*'Standard Hour Calcs'!$E52)</f>
        <v>0</v>
      </c>
      <c r="J52" s="160">
        <f>IF($D52="Hourly",'Input Sheet'!I163,'Input Sheet'!I163*'Standard Hour Calcs'!$E52)</f>
        <v>0</v>
      </c>
      <c r="K52" s="160">
        <f>IF($D52="Hourly",'Input Sheet'!J163,'Input Sheet'!J163*'Standard Hour Calcs'!$E52)</f>
        <v>0</v>
      </c>
      <c r="L52" s="219">
        <f t="shared" si="17"/>
        <v>0</v>
      </c>
      <c r="M52" s="256"/>
      <c r="N52" s="160">
        <f t="shared" si="7"/>
        <v>0</v>
      </c>
      <c r="O52" s="160">
        <f t="shared" si="8"/>
        <v>0</v>
      </c>
      <c r="P52" s="160">
        <f t="shared" si="9"/>
        <v>0</v>
      </c>
      <c r="Q52" s="182">
        <f t="shared" si="21"/>
        <v>0</v>
      </c>
      <c r="R52" s="257"/>
      <c r="S52" s="160">
        <f>+N52/N$101*'Input Sheet'!H$248</f>
        <v>0</v>
      </c>
      <c r="T52" s="160">
        <f>+O52/O$101*'Input Sheet'!I$248</f>
        <v>0</v>
      </c>
      <c r="U52" s="160">
        <f>+P52/P$101*'Input Sheet'!J$248</f>
        <v>0</v>
      </c>
      <c r="V52" s="182">
        <f t="shared" si="11"/>
        <v>0</v>
      </c>
      <c r="W52" s="108"/>
      <c r="X52" s="243">
        <f t="shared" si="12"/>
        <v>0</v>
      </c>
      <c r="Y52" s="243">
        <v>1.99</v>
      </c>
      <c r="Z52" s="243">
        <f t="shared" si="13"/>
        <v>1.99</v>
      </c>
      <c r="AA52" s="160">
        <f t="shared" si="14"/>
        <v>0</v>
      </c>
      <c r="AB52" s="258"/>
    </row>
    <row r="53" spans="2:28" s="255" customFormat="1" ht="14.25" customHeight="1" x14ac:dyDescent="0.2">
      <c r="B53" s="250" t="s">
        <v>148</v>
      </c>
      <c r="C53" s="251">
        <f>'Input Sheet'!G52</f>
        <v>80</v>
      </c>
      <c r="D53" s="252">
        <f>'Input Sheet'!H52</f>
        <v>1.5</v>
      </c>
      <c r="E53" s="253">
        <f>'Input Sheet'!I52</f>
        <v>0</v>
      </c>
      <c r="F53" s="254">
        <f>'Input Sheet'!J52</f>
        <v>132</v>
      </c>
      <c r="G53" s="254">
        <f>'Input Sheet'!K52</f>
        <v>120</v>
      </c>
      <c r="I53" s="160">
        <f>IF($D53="Hourly",'Input Sheet'!H164,'Input Sheet'!H164*'Standard Hour Calcs'!$E53)</f>
        <v>0</v>
      </c>
      <c r="J53" s="160">
        <f>IF($D53="Hourly",'Input Sheet'!I164,'Input Sheet'!I164*'Standard Hour Calcs'!$E53)</f>
        <v>0</v>
      </c>
      <c r="K53" s="160">
        <f>IF($D53="Hourly",'Input Sheet'!J164,'Input Sheet'!J164*'Standard Hour Calcs'!$E53)</f>
        <v>0</v>
      </c>
      <c r="L53" s="219">
        <f t="shared" si="17"/>
        <v>0</v>
      </c>
      <c r="M53" s="256"/>
      <c r="N53" s="160">
        <f t="shared" si="7"/>
        <v>0</v>
      </c>
      <c r="O53" s="160">
        <f t="shared" si="8"/>
        <v>0</v>
      </c>
      <c r="P53" s="160">
        <f t="shared" si="9"/>
        <v>0</v>
      </c>
      <c r="Q53" s="182">
        <f t="shared" si="21"/>
        <v>0</v>
      </c>
      <c r="R53" s="257"/>
      <c r="S53" s="160">
        <f>+N53/N$101*'Input Sheet'!H$248</f>
        <v>0</v>
      </c>
      <c r="T53" s="160">
        <f>+O53/O$101*'Input Sheet'!I$248</f>
        <v>0</v>
      </c>
      <c r="U53" s="160">
        <f>+P53/P$101*'Input Sheet'!J$248</f>
        <v>0</v>
      </c>
      <c r="V53" s="182">
        <f t="shared" si="11"/>
        <v>0</v>
      </c>
      <c r="W53" s="108"/>
      <c r="X53" s="243">
        <f t="shared" si="12"/>
        <v>0</v>
      </c>
      <c r="Y53" s="243">
        <v>1.5</v>
      </c>
      <c r="Z53" s="243">
        <f t="shared" si="13"/>
        <v>1.5</v>
      </c>
      <c r="AA53" s="160">
        <f t="shared" si="14"/>
        <v>0</v>
      </c>
      <c r="AB53" s="258"/>
    </row>
    <row r="54" spans="2:28" s="255" customFormat="1" ht="14.25" customHeight="1" x14ac:dyDescent="0.2">
      <c r="B54" s="250" t="s">
        <v>149</v>
      </c>
      <c r="C54" s="251">
        <f>'Input Sheet'!G53</f>
        <v>80</v>
      </c>
      <c r="D54" s="252">
        <f>'Input Sheet'!H53</f>
        <v>8.795454545454545</v>
      </c>
      <c r="E54" s="253">
        <f>'Input Sheet'!I53</f>
        <v>0</v>
      </c>
      <c r="F54" s="254">
        <f>'Input Sheet'!J53</f>
        <v>774</v>
      </c>
      <c r="G54" s="254">
        <f>'Input Sheet'!K53</f>
        <v>703.63636363636363</v>
      </c>
      <c r="I54" s="160">
        <f>+$E54</f>
        <v>0</v>
      </c>
      <c r="J54" s="160">
        <f>+$E54</f>
        <v>0</v>
      </c>
      <c r="K54" s="160">
        <f>+$E54</f>
        <v>0</v>
      </c>
      <c r="L54" s="219">
        <f t="shared" si="17"/>
        <v>0</v>
      </c>
      <c r="M54" s="256"/>
      <c r="N54" s="160">
        <f t="shared" si="7"/>
        <v>0</v>
      </c>
      <c r="O54" s="160">
        <f t="shared" si="8"/>
        <v>0</v>
      </c>
      <c r="P54" s="160">
        <f t="shared" si="9"/>
        <v>0</v>
      </c>
      <c r="Q54" s="182">
        <f t="shared" ref="Q54:Q77" si="22">SUM(N54:P54)</f>
        <v>0</v>
      </c>
      <c r="R54" s="257"/>
      <c r="S54" s="160">
        <f>+N54/N$101*'Input Sheet'!H$248</f>
        <v>0</v>
      </c>
      <c r="T54" s="160">
        <f>+O54/O$101*'Input Sheet'!I$248</f>
        <v>0</v>
      </c>
      <c r="U54" s="160">
        <f>+P54/P$101*'Input Sheet'!J$248</f>
        <v>0</v>
      </c>
      <c r="V54" s="182">
        <f t="shared" si="11"/>
        <v>0</v>
      </c>
      <c r="W54" s="108"/>
      <c r="X54" s="243">
        <f t="shared" si="12"/>
        <v>0</v>
      </c>
      <c r="Y54" s="243">
        <v>8.8000000000000007</v>
      </c>
      <c r="Z54" s="243">
        <f t="shared" si="13"/>
        <v>8.8000000000000007</v>
      </c>
      <c r="AA54" s="160">
        <f t="shared" si="14"/>
        <v>0</v>
      </c>
      <c r="AB54" s="258"/>
    </row>
    <row r="55" spans="2:28" s="255" customFormat="1" ht="14.25" customHeight="1" x14ac:dyDescent="0.2">
      <c r="B55" s="250" t="s">
        <v>150</v>
      </c>
      <c r="C55" s="251">
        <f>'Input Sheet'!G54</f>
        <v>80</v>
      </c>
      <c r="D55" s="252">
        <f>'Input Sheet'!H54</f>
        <v>0.5</v>
      </c>
      <c r="E55" s="253">
        <f>'Input Sheet'!I54</f>
        <v>4</v>
      </c>
      <c r="F55" s="254">
        <f>'Input Sheet'!J54</f>
        <v>44</v>
      </c>
      <c r="G55" s="254">
        <f>'Input Sheet'!K54</f>
        <v>40</v>
      </c>
      <c r="I55" s="160">
        <f>IF($D55="Hourly",'Input Sheet'!H166,'Input Sheet'!H166*'Standard Hour Calcs'!$E55)</f>
        <v>12</v>
      </c>
      <c r="J55" s="160">
        <f>IF($D55="Hourly",'Input Sheet'!I166,'Input Sheet'!I166*'Standard Hour Calcs'!$E55)</f>
        <v>20</v>
      </c>
      <c r="K55" s="160">
        <f>IF($D55="Hourly",'Input Sheet'!J166,'Input Sheet'!J166*'Standard Hour Calcs'!$E55)</f>
        <v>16</v>
      </c>
      <c r="L55" s="219">
        <f t="shared" si="17"/>
        <v>48</v>
      </c>
      <c r="M55" s="256"/>
      <c r="N55" s="160">
        <f t="shared" si="7"/>
        <v>6</v>
      </c>
      <c r="O55" s="160">
        <f t="shared" si="8"/>
        <v>10</v>
      </c>
      <c r="P55" s="160">
        <f t="shared" si="9"/>
        <v>8</v>
      </c>
      <c r="Q55" s="182">
        <f t="shared" si="22"/>
        <v>24</v>
      </c>
      <c r="R55" s="257"/>
      <c r="S55" s="160">
        <f>+N55/N$101*'Input Sheet'!H$248</f>
        <v>5.5379122543796688</v>
      </c>
      <c r="T55" s="160">
        <f>+O55/O$101*'Input Sheet'!I$248</f>
        <v>10.489129648920303</v>
      </c>
      <c r="U55" s="160">
        <f>+P55/P$101*'Input Sheet'!J$248</f>
        <v>7.4200042146482268</v>
      </c>
      <c r="V55" s="182">
        <f t="shared" si="11"/>
        <v>23.447046117948197</v>
      </c>
      <c r="W55" s="108"/>
      <c r="X55" s="243">
        <f t="shared" si="12"/>
        <v>0.48848012745725411</v>
      </c>
      <c r="Y55" s="243">
        <v>0.5</v>
      </c>
      <c r="Z55" s="243">
        <f t="shared" si="13"/>
        <v>0.5</v>
      </c>
      <c r="AA55" s="160">
        <f t="shared" si="14"/>
        <v>24</v>
      </c>
      <c r="AB55" s="258"/>
    </row>
    <row r="56" spans="2:28" s="255" customFormat="1" ht="14.25" customHeight="1" x14ac:dyDescent="0.2">
      <c r="B56" s="250" t="s">
        <v>151</v>
      </c>
      <c r="C56" s="251">
        <f>'Input Sheet'!G55</f>
        <v>80</v>
      </c>
      <c r="D56" s="252">
        <f>'Input Sheet'!H55</f>
        <v>0.5</v>
      </c>
      <c r="E56" s="253">
        <f>'Input Sheet'!I55</f>
        <v>4</v>
      </c>
      <c r="F56" s="254">
        <f>'Input Sheet'!J55</f>
        <v>44</v>
      </c>
      <c r="G56" s="254">
        <f>'Input Sheet'!K55</f>
        <v>40</v>
      </c>
      <c r="I56" s="160">
        <f>IF($D56="Hourly",'Input Sheet'!H167,'Input Sheet'!H167*'Standard Hour Calcs'!$E56)</f>
        <v>0</v>
      </c>
      <c r="J56" s="160">
        <f>IF($D56="Hourly",'Input Sheet'!I167,'Input Sheet'!I167*'Standard Hour Calcs'!$E56)</f>
        <v>4</v>
      </c>
      <c r="K56" s="160">
        <f>IF($D56="Hourly",'Input Sheet'!J167,'Input Sheet'!J167*'Standard Hour Calcs'!$E56)</f>
        <v>0</v>
      </c>
      <c r="L56" s="219">
        <f t="shared" si="17"/>
        <v>4</v>
      </c>
      <c r="M56" s="256"/>
      <c r="N56" s="160">
        <f t="shared" si="7"/>
        <v>0</v>
      </c>
      <c r="O56" s="160">
        <f t="shared" si="8"/>
        <v>2</v>
      </c>
      <c r="P56" s="160">
        <f t="shared" si="9"/>
        <v>0</v>
      </c>
      <c r="Q56" s="182">
        <f t="shared" si="22"/>
        <v>2</v>
      </c>
      <c r="R56" s="257"/>
      <c r="S56" s="160">
        <f>+N56/N$101*'Input Sheet'!H$248</f>
        <v>0</v>
      </c>
      <c r="T56" s="160">
        <f>+O56/O$101*'Input Sheet'!I$248</f>
        <v>2.0978259297840602</v>
      </c>
      <c r="U56" s="160">
        <f>+P56/P$101*'Input Sheet'!J$248</f>
        <v>0</v>
      </c>
      <c r="V56" s="182">
        <f t="shared" si="11"/>
        <v>2.0978259297840602</v>
      </c>
      <c r="W56" s="108"/>
      <c r="X56" s="243">
        <f t="shared" si="12"/>
        <v>0.52445648244601506</v>
      </c>
      <c r="Y56" s="243">
        <v>0.5</v>
      </c>
      <c r="Z56" s="243">
        <f t="shared" si="13"/>
        <v>0.5</v>
      </c>
      <c r="AA56" s="160">
        <f t="shared" si="14"/>
        <v>2</v>
      </c>
      <c r="AB56" s="258"/>
    </row>
    <row r="57" spans="2:28" s="255" customFormat="1" ht="14.25" customHeight="1" x14ac:dyDescent="0.2">
      <c r="B57" s="250" t="s">
        <v>152</v>
      </c>
      <c r="C57" s="251">
        <f>'Input Sheet'!G56</f>
        <v>80</v>
      </c>
      <c r="D57" s="252">
        <f>'Input Sheet'!H56</f>
        <v>0.5</v>
      </c>
      <c r="E57" s="253">
        <f>'Input Sheet'!I56</f>
        <v>0</v>
      </c>
      <c r="F57" s="254">
        <f>'Input Sheet'!J56</f>
        <v>44</v>
      </c>
      <c r="G57" s="254">
        <f>'Input Sheet'!K56</f>
        <v>40</v>
      </c>
      <c r="I57" s="160">
        <f>IF($D57="Hourly",'Input Sheet'!H168,'Input Sheet'!H168*'Standard Hour Calcs'!$E57)</f>
        <v>0</v>
      </c>
      <c r="J57" s="160">
        <f>IF($D57="Hourly",'Input Sheet'!I168,'Input Sheet'!I168*'Standard Hour Calcs'!$E57)</f>
        <v>0</v>
      </c>
      <c r="K57" s="160">
        <f>IF($D57="Hourly",'Input Sheet'!J168,'Input Sheet'!J168*'Standard Hour Calcs'!$E57)</f>
        <v>0</v>
      </c>
      <c r="L57" s="219">
        <f t="shared" si="17"/>
        <v>0</v>
      </c>
      <c r="M57" s="256"/>
      <c r="N57" s="160">
        <f t="shared" si="7"/>
        <v>0</v>
      </c>
      <c r="O57" s="160">
        <f t="shared" si="8"/>
        <v>0</v>
      </c>
      <c r="P57" s="160">
        <f t="shared" si="9"/>
        <v>0</v>
      </c>
      <c r="Q57" s="182">
        <f t="shared" si="22"/>
        <v>0</v>
      </c>
      <c r="R57" s="257"/>
      <c r="S57" s="160">
        <f>+N57/N$101*'Input Sheet'!H$248</f>
        <v>0</v>
      </c>
      <c r="T57" s="160">
        <f>+O57/O$101*'Input Sheet'!I$248</f>
        <v>0</v>
      </c>
      <c r="U57" s="160">
        <f>+P57/P$101*'Input Sheet'!J$248</f>
        <v>0</v>
      </c>
      <c r="V57" s="182">
        <f t="shared" si="11"/>
        <v>0</v>
      </c>
      <c r="W57" s="108"/>
      <c r="X57" s="243">
        <f t="shared" si="12"/>
        <v>0</v>
      </c>
      <c r="Y57" s="243">
        <v>0.5</v>
      </c>
      <c r="Z57" s="243">
        <f t="shared" si="13"/>
        <v>0.5</v>
      </c>
      <c r="AA57" s="160">
        <f t="shared" si="14"/>
        <v>0</v>
      </c>
      <c r="AB57" s="258"/>
    </row>
    <row r="58" spans="2:28" s="255" customFormat="1" ht="14.25" customHeight="1" x14ac:dyDescent="0.2">
      <c r="B58" s="250" t="s">
        <v>153</v>
      </c>
      <c r="C58" s="251">
        <f>'Input Sheet'!G57</f>
        <v>80</v>
      </c>
      <c r="D58" s="252">
        <f>'Input Sheet'!H57</f>
        <v>1.2045454545454546</v>
      </c>
      <c r="E58" s="253">
        <f>'Input Sheet'!I57</f>
        <v>4</v>
      </c>
      <c r="F58" s="254">
        <f>'Input Sheet'!J57</f>
        <v>106</v>
      </c>
      <c r="G58" s="254">
        <f>'Input Sheet'!K57</f>
        <v>96.363636363636374</v>
      </c>
      <c r="I58" s="160">
        <f>IF($D58="Hourly",'Input Sheet'!H169,'Input Sheet'!H169*'Standard Hour Calcs'!$E58)</f>
        <v>12</v>
      </c>
      <c r="J58" s="160">
        <f>IF($D58="Hourly",'Input Sheet'!I169,'Input Sheet'!I169*'Standard Hour Calcs'!$E58)</f>
        <v>16</v>
      </c>
      <c r="K58" s="160">
        <f>IF($D58="Hourly",'Input Sheet'!J169,'Input Sheet'!J169*'Standard Hour Calcs'!$E58)</f>
        <v>8</v>
      </c>
      <c r="L58" s="219">
        <f t="shared" si="17"/>
        <v>36</v>
      </c>
      <c r="M58" s="256"/>
      <c r="N58" s="160">
        <f t="shared" si="7"/>
        <v>14.454545454545455</v>
      </c>
      <c r="O58" s="160">
        <f t="shared" si="8"/>
        <v>19.272727272727273</v>
      </c>
      <c r="P58" s="160">
        <f t="shared" si="9"/>
        <v>9.6363636363636367</v>
      </c>
      <c r="Q58" s="182">
        <f t="shared" si="22"/>
        <v>43.36363636363636</v>
      </c>
      <c r="R58" s="257"/>
      <c r="S58" s="160">
        <f>+N58/N$101*'Input Sheet'!H$248</f>
        <v>13.341334067369203</v>
      </c>
      <c r="T58" s="160">
        <f>+O58/O$101*'Input Sheet'!I$248</f>
        <v>20.215413505191854</v>
      </c>
      <c r="U58" s="160">
        <f>+P58/P$101*'Input Sheet'!J$248</f>
        <v>8.9377323494626388</v>
      </c>
      <c r="V58" s="182">
        <f t="shared" si="11"/>
        <v>42.4944799220237</v>
      </c>
      <c r="W58" s="108"/>
      <c r="X58" s="243">
        <f t="shared" si="12"/>
        <v>1.1804022200562139</v>
      </c>
      <c r="Y58" s="243">
        <v>1.2</v>
      </c>
      <c r="Z58" s="243">
        <f t="shared" si="13"/>
        <v>1.2</v>
      </c>
      <c r="AA58" s="160">
        <f t="shared" si="14"/>
        <v>43.199999999999996</v>
      </c>
      <c r="AB58" s="258"/>
    </row>
    <row r="59" spans="2:28" s="255" customFormat="1" ht="14.25" customHeight="1" x14ac:dyDescent="0.2">
      <c r="B59" s="250" t="s">
        <v>154</v>
      </c>
      <c r="C59" s="251">
        <f>'Input Sheet'!G58</f>
        <v>80</v>
      </c>
      <c r="D59" s="252">
        <f>'Input Sheet'!H58</f>
        <v>1.2045454545454546</v>
      </c>
      <c r="E59" s="253">
        <f>'Input Sheet'!I58</f>
        <v>0</v>
      </c>
      <c r="F59" s="254">
        <f>'Input Sheet'!J58</f>
        <v>106</v>
      </c>
      <c r="G59" s="254">
        <f>'Input Sheet'!K58</f>
        <v>96.363636363636374</v>
      </c>
      <c r="I59" s="160">
        <f>IF($D59="Hourly",'Input Sheet'!H170,'Input Sheet'!H170*'Standard Hour Calcs'!$E59)</f>
        <v>0</v>
      </c>
      <c r="J59" s="160">
        <f>IF($D59="Hourly",'Input Sheet'!I170,'Input Sheet'!I170*'Standard Hour Calcs'!$E59)</f>
        <v>0</v>
      </c>
      <c r="K59" s="160">
        <f>IF($D59="Hourly",'Input Sheet'!J170,'Input Sheet'!J170*'Standard Hour Calcs'!$E59)</f>
        <v>0</v>
      </c>
      <c r="L59" s="219">
        <f t="shared" si="17"/>
        <v>0</v>
      </c>
      <c r="M59" s="256"/>
      <c r="N59" s="160">
        <f t="shared" si="7"/>
        <v>0</v>
      </c>
      <c r="O59" s="160">
        <f t="shared" si="8"/>
        <v>0</v>
      </c>
      <c r="P59" s="160">
        <f t="shared" si="9"/>
        <v>0</v>
      </c>
      <c r="Q59" s="182">
        <f t="shared" si="22"/>
        <v>0</v>
      </c>
      <c r="R59" s="257"/>
      <c r="S59" s="160">
        <f>+N59/N$101*'Input Sheet'!H$248</f>
        <v>0</v>
      </c>
      <c r="T59" s="160">
        <f>+O59/O$101*'Input Sheet'!I$248</f>
        <v>0</v>
      </c>
      <c r="U59" s="160">
        <f>+P59/P$101*'Input Sheet'!J$248</f>
        <v>0</v>
      </c>
      <c r="V59" s="182">
        <f t="shared" si="11"/>
        <v>0</v>
      </c>
      <c r="W59" s="108"/>
      <c r="X59" s="243">
        <f t="shared" si="12"/>
        <v>0</v>
      </c>
      <c r="Y59" s="243">
        <v>1.2</v>
      </c>
      <c r="Z59" s="243">
        <f t="shared" si="13"/>
        <v>1.2</v>
      </c>
      <c r="AA59" s="160">
        <f t="shared" si="14"/>
        <v>0</v>
      </c>
      <c r="AB59" s="258"/>
    </row>
    <row r="60" spans="2:28" s="255" customFormat="1" ht="14.25" customHeight="1" x14ac:dyDescent="0.2">
      <c r="B60" s="250" t="s">
        <v>155</v>
      </c>
      <c r="C60" s="251">
        <f>'Input Sheet'!G59</f>
        <v>80</v>
      </c>
      <c r="D60" s="252">
        <f>'Input Sheet'!H59</f>
        <v>1.2045454545454546</v>
      </c>
      <c r="E60" s="253">
        <f>'Input Sheet'!I59</f>
        <v>0</v>
      </c>
      <c r="F60" s="254">
        <f>'Input Sheet'!J59</f>
        <v>106</v>
      </c>
      <c r="G60" s="254">
        <f>'Input Sheet'!K59</f>
        <v>96.363636363636374</v>
      </c>
      <c r="I60" s="160">
        <f>IF($D60="Hourly",'Input Sheet'!H171,'Input Sheet'!H171*'Standard Hour Calcs'!$E60)</f>
        <v>0</v>
      </c>
      <c r="J60" s="160">
        <f>IF($D60="Hourly",'Input Sheet'!I171,'Input Sheet'!I171*'Standard Hour Calcs'!$E60)</f>
        <v>0</v>
      </c>
      <c r="K60" s="160">
        <f>IF($D60="Hourly",'Input Sheet'!J171,'Input Sheet'!J171*'Standard Hour Calcs'!$E60)</f>
        <v>0</v>
      </c>
      <c r="L60" s="219">
        <f t="shared" si="17"/>
        <v>0</v>
      </c>
      <c r="M60" s="256"/>
      <c r="N60" s="160">
        <f t="shared" si="7"/>
        <v>0</v>
      </c>
      <c r="O60" s="160">
        <f t="shared" si="8"/>
        <v>0</v>
      </c>
      <c r="P60" s="160">
        <f t="shared" si="9"/>
        <v>0</v>
      </c>
      <c r="Q60" s="182">
        <f t="shared" si="22"/>
        <v>0</v>
      </c>
      <c r="R60" s="257"/>
      <c r="S60" s="160">
        <f>+N60/N$101*'Input Sheet'!H$248</f>
        <v>0</v>
      </c>
      <c r="T60" s="160">
        <f>+O60/O$101*'Input Sheet'!I$248</f>
        <v>0</v>
      </c>
      <c r="U60" s="160">
        <f>+P60/P$101*'Input Sheet'!J$248</f>
        <v>0</v>
      </c>
      <c r="V60" s="182">
        <f t="shared" si="11"/>
        <v>0</v>
      </c>
      <c r="W60" s="108"/>
      <c r="X60" s="243">
        <f t="shared" si="12"/>
        <v>0</v>
      </c>
      <c r="Y60" s="243">
        <v>1.2</v>
      </c>
      <c r="Z60" s="243">
        <f t="shared" si="13"/>
        <v>1.2</v>
      </c>
      <c r="AA60" s="160">
        <f t="shared" si="14"/>
        <v>0</v>
      </c>
      <c r="AB60" s="258"/>
    </row>
    <row r="61" spans="2:28" s="255" customFormat="1" ht="14.25" customHeight="1" x14ac:dyDescent="0.2">
      <c r="B61" s="250" t="s">
        <v>156</v>
      </c>
      <c r="C61" s="251">
        <f>'Input Sheet'!G60</f>
        <v>80</v>
      </c>
      <c r="D61" s="252">
        <f>'Input Sheet'!H60</f>
        <v>2.5</v>
      </c>
      <c r="E61" s="253">
        <f>'Input Sheet'!I60</f>
        <v>4</v>
      </c>
      <c r="F61" s="254">
        <f>'Input Sheet'!J60</f>
        <v>220</v>
      </c>
      <c r="G61" s="254">
        <f>'Input Sheet'!K60</f>
        <v>200</v>
      </c>
      <c r="I61" s="160">
        <f>IF($D61="Hourly",'Input Sheet'!H172,'Input Sheet'!H172*'Standard Hour Calcs'!$E61)</f>
        <v>16</v>
      </c>
      <c r="J61" s="160">
        <f>IF($D61="Hourly",'Input Sheet'!I172,'Input Sheet'!I172*'Standard Hour Calcs'!$E61)</f>
        <v>8</v>
      </c>
      <c r="K61" s="160">
        <f>IF($D61="Hourly",'Input Sheet'!J172,'Input Sheet'!J172*'Standard Hour Calcs'!$E61)</f>
        <v>4</v>
      </c>
      <c r="L61" s="219">
        <f t="shared" si="17"/>
        <v>28</v>
      </c>
      <c r="M61" s="256"/>
      <c r="N61" s="160">
        <f t="shared" si="7"/>
        <v>40</v>
      </c>
      <c r="O61" s="160">
        <f t="shared" si="8"/>
        <v>20</v>
      </c>
      <c r="P61" s="160">
        <f t="shared" si="9"/>
        <v>10</v>
      </c>
      <c r="Q61" s="182">
        <f t="shared" si="22"/>
        <v>70</v>
      </c>
      <c r="R61" s="257"/>
      <c r="S61" s="160">
        <f>+N61/N$101*'Input Sheet'!H$248</f>
        <v>36.919415029197793</v>
      </c>
      <c r="T61" s="160">
        <f>+O61/O$101*'Input Sheet'!I$248</f>
        <v>20.978259297840605</v>
      </c>
      <c r="U61" s="160">
        <f>+P61/P$101*'Input Sheet'!J$248</f>
        <v>9.2750052683102844</v>
      </c>
      <c r="V61" s="182">
        <f t="shared" si="11"/>
        <v>67.172679595348683</v>
      </c>
      <c r="W61" s="108"/>
      <c r="X61" s="243">
        <f t="shared" si="12"/>
        <v>2.3990242712624528</v>
      </c>
      <c r="Y61" s="243">
        <v>2.5</v>
      </c>
      <c r="Z61" s="243">
        <f t="shared" si="13"/>
        <v>2.5</v>
      </c>
      <c r="AA61" s="160">
        <f t="shared" si="14"/>
        <v>70</v>
      </c>
      <c r="AB61" s="258"/>
    </row>
    <row r="62" spans="2:28" s="255" customFormat="1" ht="14.25" customHeight="1" x14ac:dyDescent="0.2">
      <c r="B62" s="250" t="s">
        <v>157</v>
      </c>
      <c r="C62" s="251">
        <f>'Input Sheet'!G61</f>
        <v>80</v>
      </c>
      <c r="D62" s="252">
        <f>'Input Sheet'!H61</f>
        <v>2.5</v>
      </c>
      <c r="E62" s="253">
        <f>'Input Sheet'!I61</f>
        <v>0</v>
      </c>
      <c r="F62" s="254">
        <f>'Input Sheet'!J61</f>
        <v>220</v>
      </c>
      <c r="G62" s="254">
        <f>'Input Sheet'!K61</f>
        <v>200</v>
      </c>
      <c r="I62" s="160">
        <f>IF($D62="Hourly",'Input Sheet'!H173,'Input Sheet'!H173*'Standard Hour Calcs'!$E62)</f>
        <v>0</v>
      </c>
      <c r="J62" s="160">
        <f>IF($D62="Hourly",'Input Sheet'!I173,'Input Sheet'!I173*'Standard Hour Calcs'!$E62)</f>
        <v>0</v>
      </c>
      <c r="K62" s="160">
        <f>IF($D62="Hourly",'Input Sheet'!J173,'Input Sheet'!J173*'Standard Hour Calcs'!$E62)</f>
        <v>0</v>
      </c>
      <c r="L62" s="219">
        <f t="shared" si="17"/>
        <v>0</v>
      </c>
      <c r="M62" s="256"/>
      <c r="N62" s="160">
        <f t="shared" si="7"/>
        <v>0</v>
      </c>
      <c r="O62" s="160">
        <f t="shared" si="8"/>
        <v>0</v>
      </c>
      <c r="P62" s="160">
        <f t="shared" si="9"/>
        <v>0</v>
      </c>
      <c r="Q62" s="182">
        <f t="shared" si="22"/>
        <v>0</v>
      </c>
      <c r="R62" s="257"/>
      <c r="S62" s="160">
        <f>+N62/N$101*'Input Sheet'!H$248</f>
        <v>0</v>
      </c>
      <c r="T62" s="160">
        <f>+O62/O$101*'Input Sheet'!I$248</f>
        <v>0</v>
      </c>
      <c r="U62" s="160">
        <f>+P62/P$101*'Input Sheet'!J$248</f>
        <v>0</v>
      </c>
      <c r="V62" s="182">
        <f t="shared" si="11"/>
        <v>0</v>
      </c>
      <c r="W62" s="108"/>
      <c r="X62" s="243">
        <f t="shared" si="12"/>
        <v>0</v>
      </c>
      <c r="Y62" s="243">
        <v>2.5</v>
      </c>
      <c r="Z62" s="243">
        <f t="shared" si="13"/>
        <v>2.5</v>
      </c>
      <c r="AA62" s="160">
        <f t="shared" si="14"/>
        <v>0</v>
      </c>
      <c r="AB62" s="258"/>
    </row>
    <row r="63" spans="2:28" s="255" customFormat="1" ht="14.25" customHeight="1" x14ac:dyDescent="0.2">
      <c r="B63" s="250" t="s">
        <v>158</v>
      </c>
      <c r="C63" s="251">
        <f>'Input Sheet'!G62</f>
        <v>80</v>
      </c>
      <c r="D63" s="252">
        <f>'Input Sheet'!H62</f>
        <v>2.5</v>
      </c>
      <c r="E63" s="253">
        <f>'Input Sheet'!I62</f>
        <v>0</v>
      </c>
      <c r="F63" s="254">
        <f>'Input Sheet'!J62</f>
        <v>220</v>
      </c>
      <c r="G63" s="254">
        <f>'Input Sheet'!K62</f>
        <v>200</v>
      </c>
      <c r="I63" s="160">
        <f>IF($D63="Hourly",'Input Sheet'!H174,'Input Sheet'!H174*'Standard Hour Calcs'!$E63)</f>
        <v>0</v>
      </c>
      <c r="J63" s="160">
        <f>IF($D63="Hourly",'Input Sheet'!I174,'Input Sheet'!I174*'Standard Hour Calcs'!$E63)</f>
        <v>0</v>
      </c>
      <c r="K63" s="160">
        <f>IF($D63="Hourly",'Input Sheet'!J174,'Input Sheet'!J174*'Standard Hour Calcs'!$E63)</f>
        <v>0</v>
      </c>
      <c r="L63" s="219">
        <f t="shared" si="17"/>
        <v>0</v>
      </c>
      <c r="M63" s="256"/>
      <c r="N63" s="160">
        <f t="shared" si="7"/>
        <v>0</v>
      </c>
      <c r="O63" s="160">
        <f t="shared" si="8"/>
        <v>0</v>
      </c>
      <c r="P63" s="160">
        <f t="shared" si="9"/>
        <v>0</v>
      </c>
      <c r="Q63" s="182">
        <f t="shared" si="22"/>
        <v>0</v>
      </c>
      <c r="R63" s="257"/>
      <c r="S63" s="160">
        <f>+N63/N$101*'Input Sheet'!H$248</f>
        <v>0</v>
      </c>
      <c r="T63" s="160">
        <f>+O63/O$101*'Input Sheet'!I$248</f>
        <v>0</v>
      </c>
      <c r="U63" s="160">
        <f>+P63/P$101*'Input Sheet'!J$248</f>
        <v>0</v>
      </c>
      <c r="V63" s="182">
        <f t="shared" si="11"/>
        <v>0</v>
      </c>
      <c r="W63" s="108"/>
      <c r="X63" s="243">
        <f t="shared" si="12"/>
        <v>0</v>
      </c>
      <c r="Y63" s="243">
        <v>2.5</v>
      </c>
      <c r="Z63" s="243">
        <f t="shared" si="13"/>
        <v>2.5</v>
      </c>
      <c r="AA63" s="160">
        <f t="shared" si="14"/>
        <v>0</v>
      </c>
      <c r="AB63" s="258"/>
    </row>
    <row r="64" spans="2:28" s="255" customFormat="1" ht="14.25" customHeight="1" x14ac:dyDescent="0.2">
      <c r="B64" s="250"/>
      <c r="C64" s="251"/>
      <c r="D64" s="252"/>
      <c r="E64" s="253"/>
      <c r="F64" s="254"/>
      <c r="G64" s="254"/>
      <c r="I64" s="160"/>
      <c r="J64" s="160"/>
      <c r="K64" s="160"/>
      <c r="L64" s="219"/>
      <c r="M64" s="256"/>
      <c r="N64" s="160"/>
      <c r="O64" s="160"/>
      <c r="P64" s="160"/>
      <c r="Q64" s="182"/>
      <c r="R64" s="257"/>
      <c r="S64" s="160"/>
      <c r="T64" s="160"/>
      <c r="U64" s="160"/>
      <c r="V64" s="182"/>
      <c r="W64" s="108"/>
      <c r="X64" s="243"/>
      <c r="Y64" s="243"/>
      <c r="Z64" s="243"/>
      <c r="AA64" s="160"/>
      <c r="AB64" s="258"/>
    </row>
    <row r="65" spans="2:28" s="255" customFormat="1" ht="14.25" customHeight="1" x14ac:dyDescent="0.2">
      <c r="B65" s="250" t="s">
        <v>159</v>
      </c>
      <c r="C65" s="251">
        <f>'Input Sheet'!G64</f>
        <v>80</v>
      </c>
      <c r="D65" s="252" t="str">
        <f>'Input Sheet'!H64</f>
        <v>Hourly</v>
      </c>
      <c r="E65" s="253">
        <f>'Input Sheet'!I64</f>
        <v>11</v>
      </c>
      <c r="F65" s="254">
        <f>'Input Sheet'!J64</f>
        <v>88</v>
      </c>
      <c r="G65" s="254">
        <f>'Input Sheet'!K64</f>
        <v>80</v>
      </c>
      <c r="I65" s="160">
        <f>IF($D65="Hourly",'Input Sheet'!H176,'Input Sheet'!H176*'Standard Hour Calcs'!$E65)</f>
        <v>101</v>
      </c>
      <c r="J65" s="160">
        <f>IF($D65="Hourly",'Input Sheet'!I176,'Input Sheet'!I176*'Standard Hour Calcs'!$E65)</f>
        <v>54</v>
      </c>
      <c r="K65" s="160">
        <f>IF($D65="Hourly",'Input Sheet'!J176,'Input Sheet'!J176*'Standard Hour Calcs'!$E65)</f>
        <v>89</v>
      </c>
      <c r="L65" s="219">
        <f t="shared" ref="L65:L80" si="23">SUM(I65:K65)</f>
        <v>244</v>
      </c>
      <c r="M65" s="256"/>
      <c r="N65" s="160">
        <f t="shared" ref="N65:N94" si="24">IF($D65="Hourly",I65*$E65,I65*$D65)</f>
        <v>1111</v>
      </c>
      <c r="O65" s="160">
        <f t="shared" ref="O65:O94" si="25">IF($D65="Hourly",J65*$E65,J65*$D65)</f>
        <v>594</v>
      </c>
      <c r="P65" s="160">
        <f t="shared" ref="P65:P94" si="26">IF($D65="Hourly",K65*$E65,K65*$D65)</f>
        <v>979</v>
      </c>
      <c r="Q65" s="182">
        <f t="shared" si="22"/>
        <v>2684</v>
      </c>
      <c r="R65" s="257"/>
      <c r="S65" s="160">
        <f>+N65/N$101*'Input Sheet'!H$248</f>
        <v>1025.4367524359686</v>
      </c>
      <c r="T65" s="160">
        <f>+O65/O$101*'Input Sheet'!I$248</f>
        <v>623.05430114586591</v>
      </c>
      <c r="U65" s="160">
        <f>+P65/P$101*'Input Sheet'!J$248</f>
        <v>908.02301576757679</v>
      </c>
      <c r="V65" s="182">
        <f t="shared" ref="V65:V94" si="27">SUM(S65:U65)</f>
        <v>2556.5140693494113</v>
      </c>
      <c r="W65" s="108"/>
      <c r="X65" s="243">
        <f t="shared" ref="X65:X94" si="28">IF(ISERROR(V65/L65),0,V65/L65)</f>
        <v>10.477516677661521</v>
      </c>
      <c r="Y65" s="243">
        <v>10</v>
      </c>
      <c r="Z65" s="243" t="str">
        <f t="shared" ref="Z65:Z94" si="29">IF(D65="Hourly","Hourly",Y65)</f>
        <v>Hourly</v>
      </c>
      <c r="AA65" s="160">
        <f t="shared" ref="AA65:AA94" si="30">+Y65*L65</f>
        <v>2440</v>
      </c>
      <c r="AB65" s="258"/>
    </row>
    <row r="66" spans="2:28" s="255" customFormat="1" ht="14.25" customHeight="1" x14ac:dyDescent="0.2">
      <c r="B66" s="250" t="s">
        <v>160</v>
      </c>
      <c r="C66" s="251">
        <f>'Input Sheet'!G65</f>
        <v>87.272727272727266</v>
      </c>
      <c r="D66" s="252" t="str">
        <f>'Input Sheet'!H65</f>
        <v>Hourly</v>
      </c>
      <c r="E66" s="253">
        <f>'Input Sheet'!I65</f>
        <v>13</v>
      </c>
      <c r="F66" s="254">
        <f>'Input Sheet'!J65</f>
        <v>106</v>
      </c>
      <c r="G66" s="254">
        <f>'Input Sheet'!K65</f>
        <v>96.363636363636374</v>
      </c>
      <c r="I66" s="160">
        <f>IF($D66="Hourly",'Input Sheet'!H177,'Input Sheet'!H177*'Standard Hour Calcs'!$E66)</f>
        <v>6</v>
      </c>
      <c r="J66" s="160">
        <f>IF($D66="Hourly",'Input Sheet'!I177,'Input Sheet'!I177*'Standard Hour Calcs'!$E66)</f>
        <v>3</v>
      </c>
      <c r="K66" s="160">
        <f>IF($D66="Hourly",'Input Sheet'!J177,'Input Sheet'!J177*'Standard Hour Calcs'!$E66)</f>
        <v>2</v>
      </c>
      <c r="L66" s="219">
        <f t="shared" si="23"/>
        <v>11</v>
      </c>
      <c r="M66" s="256"/>
      <c r="N66" s="160">
        <f t="shared" si="24"/>
        <v>78</v>
      </c>
      <c r="O66" s="160">
        <f t="shared" si="25"/>
        <v>39</v>
      </c>
      <c r="P66" s="160">
        <f t="shared" si="26"/>
        <v>26</v>
      </c>
      <c r="Q66" s="182">
        <f t="shared" si="22"/>
        <v>143</v>
      </c>
      <c r="R66" s="257"/>
      <c r="S66" s="160">
        <f>+N66/N$101*'Input Sheet'!H$248</f>
        <v>71.992859306935699</v>
      </c>
      <c r="T66" s="160">
        <f>+O66/O$101*'Input Sheet'!I$248</f>
        <v>40.907605630789178</v>
      </c>
      <c r="U66" s="160">
        <f>+P66/P$101*'Input Sheet'!J$248</f>
        <v>24.115013697606738</v>
      </c>
      <c r="V66" s="182">
        <f t="shared" si="27"/>
        <v>137.01547863533162</v>
      </c>
      <c r="W66" s="108"/>
      <c r="X66" s="243">
        <f t="shared" si="28"/>
        <v>12.455952603211966</v>
      </c>
      <c r="Y66" s="243">
        <v>12</v>
      </c>
      <c r="Z66" s="243" t="str">
        <f t="shared" si="29"/>
        <v>Hourly</v>
      </c>
      <c r="AA66" s="160">
        <f t="shared" si="30"/>
        <v>132</v>
      </c>
      <c r="AB66" s="258"/>
    </row>
    <row r="67" spans="2:28" s="255" customFormat="1" ht="14.25" customHeight="1" x14ac:dyDescent="0.2">
      <c r="B67" s="250" t="s">
        <v>161</v>
      </c>
      <c r="C67" s="251">
        <f>'Input Sheet'!G66</f>
        <v>80</v>
      </c>
      <c r="D67" s="252" t="str">
        <f>'Input Sheet'!H66</f>
        <v>Hourly</v>
      </c>
      <c r="E67" s="253">
        <f>'Input Sheet'!I66</f>
        <v>15</v>
      </c>
      <c r="F67" s="254">
        <f>'Input Sheet'!J66</f>
        <v>88</v>
      </c>
      <c r="G67" s="254">
        <f>'Input Sheet'!K66</f>
        <v>80</v>
      </c>
      <c r="I67" s="160">
        <f>IF($D67="Hourly",'Input Sheet'!H178,'Input Sheet'!H178*'Standard Hour Calcs'!$E67)</f>
        <v>13</v>
      </c>
      <c r="J67" s="160">
        <f>IF($D67="Hourly",'Input Sheet'!I178,'Input Sheet'!I178*'Standard Hour Calcs'!$E67)</f>
        <v>19</v>
      </c>
      <c r="K67" s="160">
        <f>IF($D67="Hourly",'Input Sheet'!J178,'Input Sheet'!J178*'Standard Hour Calcs'!$E67)</f>
        <v>18</v>
      </c>
      <c r="L67" s="219">
        <f t="shared" si="23"/>
        <v>50</v>
      </c>
      <c r="M67" s="256"/>
      <c r="N67" s="160">
        <f t="shared" si="24"/>
        <v>195</v>
      </c>
      <c r="O67" s="160">
        <f t="shared" si="25"/>
        <v>285</v>
      </c>
      <c r="P67" s="160">
        <f t="shared" si="26"/>
        <v>270</v>
      </c>
      <c r="Q67" s="182">
        <f t="shared" si="22"/>
        <v>750</v>
      </c>
      <c r="R67" s="257"/>
      <c r="S67" s="160">
        <f>+N67/N$101*'Input Sheet'!H$248</f>
        <v>179.98214826733926</v>
      </c>
      <c r="T67" s="160">
        <f>+O67/O$101*'Input Sheet'!I$248</f>
        <v>298.94019499422859</v>
      </c>
      <c r="U67" s="160">
        <f>+P67/P$101*'Input Sheet'!J$248</f>
        <v>250.42514224437767</v>
      </c>
      <c r="V67" s="182">
        <f t="shared" si="27"/>
        <v>729.34748550594554</v>
      </c>
      <c r="W67" s="108"/>
      <c r="X67" s="243">
        <f t="shared" si="28"/>
        <v>14.58694971011891</v>
      </c>
      <c r="Y67" s="243">
        <v>15</v>
      </c>
      <c r="Z67" s="243" t="str">
        <f t="shared" si="29"/>
        <v>Hourly</v>
      </c>
      <c r="AA67" s="160">
        <f t="shared" si="30"/>
        <v>750</v>
      </c>
      <c r="AB67" s="258"/>
    </row>
    <row r="68" spans="2:28" s="255" customFormat="1" ht="14.25" customHeight="1" x14ac:dyDescent="0.2">
      <c r="B68" s="250" t="s">
        <v>162</v>
      </c>
      <c r="C68" s="251">
        <f>'Input Sheet'!G67</f>
        <v>87.272727272727266</v>
      </c>
      <c r="D68" s="252" t="str">
        <f>'Input Sheet'!H67</f>
        <v>Hourly</v>
      </c>
      <c r="E68" s="253">
        <f>'Input Sheet'!I67</f>
        <v>2</v>
      </c>
      <c r="F68" s="254">
        <f>'Input Sheet'!J67</f>
        <v>106</v>
      </c>
      <c r="G68" s="254">
        <f>'Input Sheet'!K67</f>
        <v>96.363636363636374</v>
      </c>
      <c r="I68" s="160">
        <f>IF($D68="Hourly",'Input Sheet'!H179,'Input Sheet'!H179*'Standard Hour Calcs'!$E68)</f>
        <v>7</v>
      </c>
      <c r="J68" s="160">
        <f>IF($D68="Hourly",'Input Sheet'!I179,'Input Sheet'!I179*'Standard Hour Calcs'!$E68)</f>
        <v>2</v>
      </c>
      <c r="K68" s="160">
        <f>IF($D68="Hourly",'Input Sheet'!J179,'Input Sheet'!J179*'Standard Hour Calcs'!$E68)</f>
        <v>1</v>
      </c>
      <c r="L68" s="219">
        <f t="shared" si="23"/>
        <v>10</v>
      </c>
      <c r="M68" s="256"/>
      <c r="N68" s="160">
        <f t="shared" si="24"/>
        <v>14</v>
      </c>
      <c r="O68" s="160">
        <f t="shared" si="25"/>
        <v>4</v>
      </c>
      <c r="P68" s="160">
        <f t="shared" si="26"/>
        <v>2</v>
      </c>
      <c r="Q68" s="182">
        <f t="shared" si="22"/>
        <v>20</v>
      </c>
      <c r="R68" s="257"/>
      <c r="S68" s="160">
        <f>+N68/N$101*'Input Sheet'!H$248</f>
        <v>12.921795260219229</v>
      </c>
      <c r="T68" s="160">
        <f>+O68/O$101*'Input Sheet'!I$248</f>
        <v>4.1956518595681205</v>
      </c>
      <c r="U68" s="160">
        <f>+P68/P$101*'Input Sheet'!J$248</f>
        <v>1.8550010536620567</v>
      </c>
      <c r="V68" s="182">
        <f t="shared" si="27"/>
        <v>18.972448173449408</v>
      </c>
      <c r="W68" s="108"/>
      <c r="X68" s="243">
        <f t="shared" si="28"/>
        <v>1.8972448173449408</v>
      </c>
      <c r="Y68" s="243">
        <v>2</v>
      </c>
      <c r="Z68" s="243" t="str">
        <f t="shared" si="29"/>
        <v>Hourly</v>
      </c>
      <c r="AA68" s="160">
        <f t="shared" si="30"/>
        <v>20</v>
      </c>
      <c r="AB68" s="258"/>
    </row>
    <row r="69" spans="2:28" s="255" customFormat="1" ht="14.25" customHeight="1" x14ac:dyDescent="0.2">
      <c r="B69" s="250" t="s">
        <v>163</v>
      </c>
      <c r="C69" s="251">
        <f>'Input Sheet'!G68</f>
        <v>80</v>
      </c>
      <c r="D69" s="252">
        <f>'Input Sheet'!H68</f>
        <v>0.60227272727272729</v>
      </c>
      <c r="E69" s="253">
        <f>'Input Sheet'!I68</f>
        <v>2</v>
      </c>
      <c r="F69" s="254">
        <f>'Input Sheet'!J68</f>
        <v>53</v>
      </c>
      <c r="G69" s="254">
        <f>'Input Sheet'!K68</f>
        <v>48.181818181818187</v>
      </c>
      <c r="I69" s="160">
        <f>IF($D69="Hourly",'Input Sheet'!H180,'Input Sheet'!H180*'Standard Hour Calcs'!$E69)</f>
        <v>26</v>
      </c>
      <c r="J69" s="160">
        <f>IF($D69="Hourly",'Input Sheet'!I180,'Input Sheet'!I180*'Standard Hour Calcs'!$E69)</f>
        <v>34</v>
      </c>
      <c r="K69" s="160">
        <f>IF($D69="Hourly",'Input Sheet'!J180,'Input Sheet'!J180*'Standard Hour Calcs'!$E69)</f>
        <v>32</v>
      </c>
      <c r="L69" s="219">
        <f t="shared" si="23"/>
        <v>92</v>
      </c>
      <c r="M69" s="256"/>
      <c r="N69" s="160">
        <f t="shared" si="24"/>
        <v>15.65909090909091</v>
      </c>
      <c r="O69" s="160">
        <f t="shared" si="25"/>
        <v>20.477272727272727</v>
      </c>
      <c r="P69" s="160">
        <f t="shared" si="26"/>
        <v>19.272727272727273</v>
      </c>
      <c r="Q69" s="182">
        <f t="shared" si="22"/>
        <v>55.409090909090914</v>
      </c>
      <c r="R69" s="257"/>
      <c r="S69" s="160">
        <f>+N69/N$101*'Input Sheet'!H$248</f>
        <v>14.453111906316638</v>
      </c>
      <c r="T69" s="160">
        <f>+O69/O$101*'Input Sheet'!I$248</f>
        <v>21.478876849266346</v>
      </c>
      <c r="U69" s="160">
        <f>+P69/P$101*'Input Sheet'!J$248</f>
        <v>17.875464698925278</v>
      </c>
      <c r="V69" s="182">
        <f t="shared" si="27"/>
        <v>53.807453454508263</v>
      </c>
      <c r="W69" s="108"/>
      <c r="X69" s="243">
        <f t="shared" si="28"/>
        <v>0.58486362450552465</v>
      </c>
      <c r="Y69" s="243">
        <v>0.6</v>
      </c>
      <c r="Z69" s="243">
        <f t="shared" si="29"/>
        <v>0.6</v>
      </c>
      <c r="AA69" s="160">
        <f t="shared" si="30"/>
        <v>55.199999999999996</v>
      </c>
      <c r="AB69" s="258"/>
    </row>
    <row r="70" spans="2:28" s="255" customFormat="1" ht="14.25" customHeight="1" x14ac:dyDescent="0.2">
      <c r="B70" s="250" t="s">
        <v>164</v>
      </c>
      <c r="C70" s="251">
        <f>'Input Sheet'!G69</f>
        <v>80</v>
      </c>
      <c r="D70" s="252">
        <f>'Input Sheet'!H69</f>
        <v>1.2045454545454546</v>
      </c>
      <c r="E70" s="253">
        <f>'Input Sheet'!I69</f>
        <v>2</v>
      </c>
      <c r="F70" s="254">
        <f>'Input Sheet'!J69</f>
        <v>106</v>
      </c>
      <c r="G70" s="254">
        <f>'Input Sheet'!K69</f>
        <v>96.363636363636374</v>
      </c>
      <c r="I70" s="160">
        <f>IF($D70="Hourly",'Input Sheet'!H181,'Input Sheet'!H181*'Standard Hour Calcs'!$E70)</f>
        <v>48</v>
      </c>
      <c r="J70" s="160">
        <f>IF($D70="Hourly",'Input Sheet'!I181,'Input Sheet'!I181*'Standard Hour Calcs'!$E70)</f>
        <v>40</v>
      </c>
      <c r="K70" s="160">
        <f>IF($D70="Hourly",'Input Sheet'!J181,'Input Sheet'!J181*'Standard Hour Calcs'!$E70)</f>
        <v>38</v>
      </c>
      <c r="L70" s="219">
        <f t="shared" si="23"/>
        <v>126</v>
      </c>
      <c r="M70" s="256"/>
      <c r="N70" s="160">
        <f t="shared" si="24"/>
        <v>57.81818181818182</v>
      </c>
      <c r="O70" s="160">
        <f t="shared" si="25"/>
        <v>48.181818181818187</v>
      </c>
      <c r="P70" s="160">
        <f t="shared" si="26"/>
        <v>45.772727272727273</v>
      </c>
      <c r="Q70" s="182">
        <f t="shared" si="22"/>
        <v>151.77272727272728</v>
      </c>
      <c r="R70" s="257"/>
      <c r="S70" s="160">
        <f>+N70/N$101*'Input Sheet'!H$248</f>
        <v>53.365336269476813</v>
      </c>
      <c r="T70" s="160">
        <f>+O70/O$101*'Input Sheet'!I$248</f>
        <v>50.538533762979647</v>
      </c>
      <c r="U70" s="160">
        <f>+P70/P$101*'Input Sheet'!J$248</f>
        <v>42.454228659947532</v>
      </c>
      <c r="V70" s="182">
        <f t="shared" si="27"/>
        <v>146.35809869240398</v>
      </c>
      <c r="W70" s="108"/>
      <c r="X70" s="243">
        <f t="shared" si="28"/>
        <v>1.161572211844476</v>
      </c>
      <c r="Y70" s="243">
        <v>1.2</v>
      </c>
      <c r="Z70" s="243">
        <f t="shared" si="29"/>
        <v>1.2</v>
      </c>
      <c r="AA70" s="160">
        <f t="shared" si="30"/>
        <v>151.19999999999999</v>
      </c>
      <c r="AB70" s="258"/>
    </row>
    <row r="71" spans="2:28" s="255" customFormat="1" ht="14.25" customHeight="1" x14ac:dyDescent="0.2">
      <c r="B71" s="250" t="s">
        <v>165</v>
      </c>
      <c r="C71" s="251">
        <f>'Input Sheet'!G70</f>
        <v>80</v>
      </c>
      <c r="D71" s="252">
        <f>'Input Sheet'!H70</f>
        <v>2.2045454545454546</v>
      </c>
      <c r="E71" s="253">
        <f>'Input Sheet'!I70</f>
        <v>2</v>
      </c>
      <c r="F71" s="254">
        <f>'Input Sheet'!J70</f>
        <v>194</v>
      </c>
      <c r="G71" s="254">
        <f>'Input Sheet'!K70</f>
        <v>176.36363636363637</v>
      </c>
      <c r="I71" s="160">
        <f>IF($D71="Hourly",'Input Sheet'!H182,'Input Sheet'!H182*'Standard Hour Calcs'!$E71)</f>
        <v>14</v>
      </c>
      <c r="J71" s="160">
        <f>IF($D71="Hourly",'Input Sheet'!I182,'Input Sheet'!I182*'Standard Hour Calcs'!$E71)</f>
        <v>36</v>
      </c>
      <c r="K71" s="160">
        <f>IF($D71="Hourly",'Input Sheet'!J182,'Input Sheet'!J182*'Standard Hour Calcs'!$E71)</f>
        <v>32</v>
      </c>
      <c r="L71" s="219">
        <f t="shared" si="23"/>
        <v>82</v>
      </c>
      <c r="M71" s="256"/>
      <c r="N71" s="160">
        <f t="shared" si="24"/>
        <v>30.863636363636363</v>
      </c>
      <c r="O71" s="160">
        <f t="shared" si="25"/>
        <v>79.36363636363636</v>
      </c>
      <c r="P71" s="160">
        <f t="shared" si="26"/>
        <v>70.545454545454547</v>
      </c>
      <c r="Q71" s="182">
        <f t="shared" si="22"/>
        <v>180.77272727272725</v>
      </c>
      <c r="R71" s="257"/>
      <c r="S71" s="160">
        <f>+N71/N$101*'Input Sheet'!H$248</f>
        <v>28.486685005483299</v>
      </c>
      <c r="T71" s="160">
        <f>+O71/O$101*'Input Sheet'!I$248</f>
        <v>83.245547122794761</v>
      </c>
      <c r="U71" s="160">
        <f>+P71/P$101*'Input Sheet'!J$248</f>
        <v>65.430946256443463</v>
      </c>
      <c r="V71" s="182">
        <f t="shared" si="27"/>
        <v>177.1631783847215</v>
      </c>
      <c r="W71" s="108"/>
      <c r="X71" s="243">
        <f t="shared" si="28"/>
        <v>2.1605265656673356</v>
      </c>
      <c r="Y71" s="243">
        <v>2.2000000000000002</v>
      </c>
      <c r="Z71" s="243">
        <f t="shared" si="29"/>
        <v>2.2000000000000002</v>
      </c>
      <c r="AA71" s="160">
        <f t="shared" si="30"/>
        <v>180.4</v>
      </c>
      <c r="AB71" s="258"/>
    </row>
    <row r="72" spans="2:28" s="255" customFormat="1" ht="14.25" customHeight="1" x14ac:dyDescent="0.2">
      <c r="B72" s="250" t="s">
        <v>166</v>
      </c>
      <c r="C72" s="251">
        <f>'Input Sheet'!G71</f>
        <v>80</v>
      </c>
      <c r="D72" s="252">
        <f>'Input Sheet'!H71</f>
        <v>0.5</v>
      </c>
      <c r="E72" s="253">
        <f>'Input Sheet'!I71</f>
        <v>6</v>
      </c>
      <c r="F72" s="254">
        <f>'Input Sheet'!J71</f>
        <v>44</v>
      </c>
      <c r="G72" s="254">
        <f>'Input Sheet'!K71</f>
        <v>40</v>
      </c>
      <c r="I72" s="160">
        <f>IF($D72="Hourly",'Input Sheet'!H183,'Input Sheet'!H183*'Standard Hour Calcs'!$E72)</f>
        <v>6</v>
      </c>
      <c r="J72" s="160">
        <f>IF($D72="Hourly",'Input Sheet'!I183,'Input Sheet'!I183*'Standard Hour Calcs'!$E72)</f>
        <v>0</v>
      </c>
      <c r="K72" s="160">
        <f>IF($D72="Hourly",'Input Sheet'!J183,'Input Sheet'!J183*'Standard Hour Calcs'!$E72)</f>
        <v>18</v>
      </c>
      <c r="L72" s="219">
        <f t="shared" si="23"/>
        <v>24</v>
      </c>
      <c r="M72" s="256"/>
      <c r="N72" s="160">
        <f t="shared" si="24"/>
        <v>3</v>
      </c>
      <c r="O72" s="160">
        <f t="shared" si="25"/>
        <v>0</v>
      </c>
      <c r="P72" s="160">
        <f t="shared" si="26"/>
        <v>9</v>
      </c>
      <c r="Q72" s="182">
        <f t="shared" si="22"/>
        <v>12</v>
      </c>
      <c r="R72" s="257"/>
      <c r="S72" s="160">
        <f>+N72/N$101*'Input Sheet'!H$248</f>
        <v>2.7689561271898344</v>
      </c>
      <c r="T72" s="160">
        <f>+O72/O$101*'Input Sheet'!I$248</f>
        <v>0</v>
      </c>
      <c r="U72" s="160">
        <f>+P72/P$101*'Input Sheet'!J$248</f>
        <v>8.3475047414792556</v>
      </c>
      <c r="V72" s="182">
        <f t="shared" si="27"/>
        <v>11.11646086866909</v>
      </c>
      <c r="W72" s="108"/>
      <c r="X72" s="243">
        <f t="shared" si="28"/>
        <v>0.46318586952787877</v>
      </c>
      <c r="Y72" s="243">
        <v>0.5</v>
      </c>
      <c r="Z72" s="243">
        <f t="shared" si="29"/>
        <v>0.5</v>
      </c>
      <c r="AA72" s="160">
        <f t="shared" si="30"/>
        <v>12</v>
      </c>
      <c r="AB72" s="258"/>
    </row>
    <row r="73" spans="2:28" s="255" customFormat="1" ht="14.25" customHeight="1" x14ac:dyDescent="0.2">
      <c r="B73" s="250" t="s">
        <v>167</v>
      </c>
      <c r="C73" s="251">
        <f>'Input Sheet'!G72</f>
        <v>80</v>
      </c>
      <c r="D73" s="252">
        <f>'Input Sheet'!H72</f>
        <v>1</v>
      </c>
      <c r="E73" s="253">
        <f>'Input Sheet'!I72</f>
        <v>7</v>
      </c>
      <c r="F73" s="254">
        <f>'Input Sheet'!J72</f>
        <v>88</v>
      </c>
      <c r="G73" s="254">
        <f>'Input Sheet'!K72</f>
        <v>80</v>
      </c>
      <c r="I73" s="160">
        <f>IF($D73="Hourly",'Input Sheet'!H184,'Input Sheet'!H184*'Standard Hour Calcs'!$E73)</f>
        <v>7</v>
      </c>
      <c r="J73" s="160">
        <f>IF($D73="Hourly",'Input Sheet'!I184,'Input Sheet'!I184*'Standard Hour Calcs'!$E73)</f>
        <v>14</v>
      </c>
      <c r="K73" s="160">
        <f>IF($D73="Hourly",'Input Sheet'!J184,'Input Sheet'!J184*'Standard Hour Calcs'!$E73)</f>
        <v>42</v>
      </c>
      <c r="L73" s="219">
        <f t="shared" si="23"/>
        <v>63</v>
      </c>
      <c r="M73" s="256"/>
      <c r="N73" s="160">
        <f t="shared" si="24"/>
        <v>7</v>
      </c>
      <c r="O73" s="160">
        <f t="shared" si="25"/>
        <v>14</v>
      </c>
      <c r="P73" s="160">
        <f t="shared" si="26"/>
        <v>42</v>
      </c>
      <c r="Q73" s="182">
        <f t="shared" si="22"/>
        <v>63</v>
      </c>
      <c r="R73" s="257"/>
      <c r="S73" s="160">
        <f>+N73/N$101*'Input Sheet'!H$248</f>
        <v>6.4608976301096144</v>
      </c>
      <c r="T73" s="160">
        <f>+O73/O$101*'Input Sheet'!I$248</f>
        <v>14.684781508488422</v>
      </c>
      <c r="U73" s="160">
        <f>+P73/P$101*'Input Sheet'!J$248</f>
        <v>38.955022126903195</v>
      </c>
      <c r="V73" s="182">
        <f t="shared" si="27"/>
        <v>60.100701265501229</v>
      </c>
      <c r="W73" s="108"/>
      <c r="X73" s="243">
        <f t="shared" si="28"/>
        <v>0.95397938516668612</v>
      </c>
      <c r="Y73" s="243">
        <v>1</v>
      </c>
      <c r="Z73" s="243">
        <f t="shared" si="29"/>
        <v>1</v>
      </c>
      <c r="AA73" s="160">
        <f t="shared" si="30"/>
        <v>63</v>
      </c>
      <c r="AB73" s="258"/>
    </row>
    <row r="74" spans="2:28" s="255" customFormat="1" ht="14.25" customHeight="1" x14ac:dyDescent="0.2">
      <c r="B74" s="250" t="s">
        <v>168</v>
      </c>
      <c r="C74" s="251">
        <f>'Input Sheet'!G73</f>
        <v>80</v>
      </c>
      <c r="D74" s="252">
        <f>'Input Sheet'!H73</f>
        <v>1.9886363636363638</v>
      </c>
      <c r="E74" s="253">
        <f>'Input Sheet'!I73</f>
        <v>0</v>
      </c>
      <c r="F74" s="254">
        <f>'Input Sheet'!J73</f>
        <v>175</v>
      </c>
      <c r="G74" s="254">
        <f>'Input Sheet'!K73</f>
        <v>159.09090909090909</v>
      </c>
      <c r="I74" s="160">
        <f>IF($D74="Hourly",'Input Sheet'!H185,'Input Sheet'!H185*'Standard Hour Calcs'!$E74)</f>
        <v>0</v>
      </c>
      <c r="J74" s="160">
        <f>IF($D74="Hourly",'Input Sheet'!I185,'Input Sheet'!I185*'Standard Hour Calcs'!$E74)</f>
        <v>0</v>
      </c>
      <c r="K74" s="160">
        <f>IF($D74="Hourly",'Input Sheet'!J185,'Input Sheet'!J185*'Standard Hour Calcs'!$E74)</f>
        <v>0</v>
      </c>
      <c r="L74" s="219">
        <f t="shared" si="23"/>
        <v>0</v>
      </c>
      <c r="M74" s="256"/>
      <c r="N74" s="160">
        <f t="shared" si="24"/>
        <v>0</v>
      </c>
      <c r="O74" s="160">
        <f t="shared" si="25"/>
        <v>0</v>
      </c>
      <c r="P74" s="160">
        <f t="shared" si="26"/>
        <v>0</v>
      </c>
      <c r="Q74" s="182">
        <f t="shared" si="22"/>
        <v>0</v>
      </c>
      <c r="R74" s="257"/>
      <c r="S74" s="160">
        <f>+N74/N$101*'Input Sheet'!H$248</f>
        <v>0</v>
      </c>
      <c r="T74" s="160">
        <f>+O74/O$101*'Input Sheet'!I$248</f>
        <v>0</v>
      </c>
      <c r="U74" s="160">
        <f>+P74/P$101*'Input Sheet'!J$248</f>
        <v>0</v>
      </c>
      <c r="V74" s="182">
        <f t="shared" si="27"/>
        <v>0</v>
      </c>
      <c r="W74" s="108"/>
      <c r="X74" s="243">
        <f t="shared" si="28"/>
        <v>0</v>
      </c>
      <c r="Y74" s="243">
        <v>1.99</v>
      </c>
      <c r="Z74" s="243">
        <f t="shared" si="29"/>
        <v>1.99</v>
      </c>
      <c r="AA74" s="160">
        <f t="shared" si="30"/>
        <v>0</v>
      </c>
      <c r="AB74" s="258"/>
    </row>
    <row r="75" spans="2:28" s="255" customFormat="1" ht="14.25" customHeight="1" x14ac:dyDescent="0.2">
      <c r="B75" s="250" t="s">
        <v>169</v>
      </c>
      <c r="C75" s="251">
        <f>'Input Sheet'!G74</f>
        <v>80</v>
      </c>
      <c r="D75" s="252">
        <f>'Input Sheet'!H74</f>
        <v>0.39772727272727271</v>
      </c>
      <c r="E75" s="253">
        <f>'Input Sheet'!I74</f>
        <v>5</v>
      </c>
      <c r="F75" s="254">
        <f>'Input Sheet'!J74</f>
        <v>35</v>
      </c>
      <c r="G75" s="254">
        <f>'Input Sheet'!K74</f>
        <v>31.818181818181817</v>
      </c>
      <c r="I75" s="160">
        <f>IF($D75="Hourly",'Input Sheet'!H186,'Input Sheet'!H186*'Standard Hour Calcs'!$E75)</f>
        <v>0</v>
      </c>
      <c r="J75" s="160">
        <f>IF($D75="Hourly",'Input Sheet'!I186,'Input Sheet'!I186*'Standard Hour Calcs'!$E75)</f>
        <v>5</v>
      </c>
      <c r="K75" s="160">
        <f>IF($D75="Hourly",'Input Sheet'!J186,'Input Sheet'!J186*'Standard Hour Calcs'!$E75)</f>
        <v>0</v>
      </c>
      <c r="L75" s="219">
        <f t="shared" si="23"/>
        <v>5</v>
      </c>
      <c r="M75" s="256"/>
      <c r="N75" s="160">
        <f t="shared" si="24"/>
        <v>0</v>
      </c>
      <c r="O75" s="160">
        <f t="shared" si="25"/>
        <v>1.9886363636363635</v>
      </c>
      <c r="P75" s="160">
        <f t="shared" si="26"/>
        <v>0</v>
      </c>
      <c r="Q75" s="182">
        <f t="shared" si="22"/>
        <v>1.9886363636363635</v>
      </c>
      <c r="R75" s="257"/>
      <c r="S75" s="160">
        <f>+N75/N$101*'Input Sheet'!H$248</f>
        <v>0</v>
      </c>
      <c r="T75" s="160">
        <f>+O75/O$101*'Input Sheet'!I$248</f>
        <v>2.0859064642739238</v>
      </c>
      <c r="U75" s="160">
        <f>+P75/P$101*'Input Sheet'!J$248</f>
        <v>0</v>
      </c>
      <c r="V75" s="182">
        <f t="shared" si="27"/>
        <v>2.0859064642739238</v>
      </c>
      <c r="W75" s="108"/>
      <c r="X75" s="243">
        <f t="shared" si="28"/>
        <v>0.41718129285478478</v>
      </c>
      <c r="Y75" s="243">
        <v>0.4</v>
      </c>
      <c r="Z75" s="243">
        <f t="shared" si="29"/>
        <v>0.4</v>
      </c>
      <c r="AA75" s="160">
        <f t="shared" si="30"/>
        <v>2</v>
      </c>
      <c r="AB75" s="258"/>
    </row>
    <row r="76" spans="2:28" s="255" customFormat="1" ht="14.25" customHeight="1" x14ac:dyDescent="0.2">
      <c r="B76" s="250" t="s">
        <v>170</v>
      </c>
      <c r="C76" s="251">
        <f>'Input Sheet'!G75</f>
        <v>80</v>
      </c>
      <c r="D76" s="252">
        <f>'Input Sheet'!H75</f>
        <v>0.70454545454545459</v>
      </c>
      <c r="E76" s="253">
        <f>'Input Sheet'!I75</f>
        <v>15</v>
      </c>
      <c r="F76" s="254">
        <f>'Input Sheet'!J75</f>
        <v>62</v>
      </c>
      <c r="G76" s="254">
        <f>'Input Sheet'!K75</f>
        <v>56.363636363636367</v>
      </c>
      <c r="I76" s="160">
        <f>IF($D76="Hourly",'Input Sheet'!H187,'Input Sheet'!H187*'Standard Hour Calcs'!$E76)</f>
        <v>15</v>
      </c>
      <c r="J76" s="160">
        <f>IF($D76="Hourly",'Input Sheet'!I187,'Input Sheet'!I187*'Standard Hour Calcs'!$E76)</f>
        <v>15</v>
      </c>
      <c r="K76" s="160">
        <f>IF($D76="Hourly",'Input Sheet'!J187,'Input Sheet'!J187*'Standard Hour Calcs'!$E76)</f>
        <v>15</v>
      </c>
      <c r="L76" s="219">
        <f t="shared" si="23"/>
        <v>45</v>
      </c>
      <c r="M76" s="256"/>
      <c r="N76" s="160">
        <f t="shared" si="24"/>
        <v>10.568181818181818</v>
      </c>
      <c r="O76" s="160">
        <f t="shared" si="25"/>
        <v>10.568181818181818</v>
      </c>
      <c r="P76" s="160">
        <f t="shared" si="26"/>
        <v>10.568181818181818</v>
      </c>
      <c r="Q76" s="182">
        <f t="shared" si="22"/>
        <v>31.704545454545453</v>
      </c>
      <c r="R76" s="257"/>
      <c r="S76" s="160">
        <f>+N76/N$101*'Input Sheet'!H$248</f>
        <v>9.754277266236917</v>
      </c>
      <c r="T76" s="160">
        <f>+O76/O$101*'Input Sheet'!I$248</f>
        <v>11.085102924427138</v>
      </c>
      <c r="U76" s="160">
        <f>+P76/P$101*'Input Sheet'!J$248</f>
        <v>9.8019942040097323</v>
      </c>
      <c r="V76" s="182">
        <f t="shared" si="27"/>
        <v>30.64137439467379</v>
      </c>
      <c r="W76" s="108"/>
      <c r="X76" s="243">
        <f t="shared" si="28"/>
        <v>0.68091943099275087</v>
      </c>
      <c r="Y76" s="243">
        <v>0.7</v>
      </c>
      <c r="Z76" s="243">
        <f t="shared" si="29"/>
        <v>0.7</v>
      </c>
      <c r="AA76" s="160">
        <f t="shared" si="30"/>
        <v>31.499999999999996</v>
      </c>
      <c r="AB76" s="258"/>
    </row>
    <row r="77" spans="2:28" s="255" customFormat="1" ht="14.25" customHeight="1" x14ac:dyDescent="0.2">
      <c r="B77" s="250" t="s">
        <v>171</v>
      </c>
      <c r="C77" s="251">
        <f>'Input Sheet'!G76</f>
        <v>80</v>
      </c>
      <c r="D77" s="252">
        <f>'Input Sheet'!H76</f>
        <v>1.5</v>
      </c>
      <c r="E77" s="253">
        <f>'Input Sheet'!I76</f>
        <v>0</v>
      </c>
      <c r="F77" s="254">
        <f>'Input Sheet'!J76</f>
        <v>132</v>
      </c>
      <c r="G77" s="254">
        <f>'Input Sheet'!K76</f>
        <v>120</v>
      </c>
      <c r="I77" s="160">
        <f>IF($D77="Hourly",'Input Sheet'!H188,'Input Sheet'!H188*'Standard Hour Calcs'!$E77)</f>
        <v>0</v>
      </c>
      <c r="J77" s="160">
        <f>IF($D77="Hourly",'Input Sheet'!I188,'Input Sheet'!I188*'Standard Hour Calcs'!$E77)</f>
        <v>0</v>
      </c>
      <c r="K77" s="160">
        <f>IF($D77="Hourly",'Input Sheet'!J188,'Input Sheet'!J188*'Standard Hour Calcs'!$E77)</f>
        <v>0</v>
      </c>
      <c r="L77" s="219">
        <f t="shared" si="23"/>
        <v>0</v>
      </c>
      <c r="M77" s="256"/>
      <c r="N77" s="160">
        <f t="shared" si="24"/>
        <v>0</v>
      </c>
      <c r="O77" s="160">
        <f t="shared" si="25"/>
        <v>0</v>
      </c>
      <c r="P77" s="160">
        <f t="shared" si="26"/>
        <v>0</v>
      </c>
      <c r="Q77" s="182">
        <f t="shared" si="22"/>
        <v>0</v>
      </c>
      <c r="R77" s="257"/>
      <c r="S77" s="160">
        <f>+N77/N$101*'Input Sheet'!H$248</f>
        <v>0</v>
      </c>
      <c r="T77" s="160">
        <f>+O77/O$101*'Input Sheet'!I$248</f>
        <v>0</v>
      </c>
      <c r="U77" s="160">
        <f>+P77/P$101*'Input Sheet'!J$248</f>
        <v>0</v>
      </c>
      <c r="V77" s="182">
        <f t="shared" si="27"/>
        <v>0</v>
      </c>
      <c r="W77" s="108"/>
      <c r="X77" s="243">
        <f t="shared" si="28"/>
        <v>0</v>
      </c>
      <c r="Y77" s="243">
        <v>1.5</v>
      </c>
      <c r="Z77" s="243">
        <f t="shared" si="29"/>
        <v>1.5</v>
      </c>
      <c r="AA77" s="160">
        <f t="shared" si="30"/>
        <v>0</v>
      </c>
      <c r="AB77" s="258"/>
    </row>
    <row r="78" spans="2:28" s="255" customFormat="1" ht="14.25" customHeight="1" x14ac:dyDescent="0.2">
      <c r="B78" s="250" t="s">
        <v>172</v>
      </c>
      <c r="C78" s="251">
        <f>'Input Sheet'!G77</f>
        <v>80</v>
      </c>
      <c r="D78" s="252">
        <f>'Input Sheet'!H77</f>
        <v>3.5</v>
      </c>
      <c r="E78" s="253">
        <f>'Input Sheet'!I77</f>
        <v>13</v>
      </c>
      <c r="F78" s="254">
        <f>'Input Sheet'!J77</f>
        <v>308</v>
      </c>
      <c r="G78" s="254">
        <f>'Input Sheet'!K77</f>
        <v>280</v>
      </c>
      <c r="I78" s="160">
        <f t="shared" ref="I78:K80" si="31">+$E78</f>
        <v>13</v>
      </c>
      <c r="J78" s="160">
        <f t="shared" si="31"/>
        <v>13</v>
      </c>
      <c r="K78" s="160">
        <f t="shared" si="31"/>
        <v>13</v>
      </c>
      <c r="L78" s="219">
        <f t="shared" si="23"/>
        <v>39</v>
      </c>
      <c r="M78" s="256"/>
      <c r="N78" s="160">
        <f t="shared" si="24"/>
        <v>45.5</v>
      </c>
      <c r="O78" s="160">
        <f t="shared" si="25"/>
        <v>45.5</v>
      </c>
      <c r="P78" s="160">
        <f t="shared" si="26"/>
        <v>45.5</v>
      </c>
      <c r="Q78" s="182">
        <f t="shared" ref="Q78:Q94" si="32">SUM(N78:P78)</f>
        <v>136.5</v>
      </c>
      <c r="R78" s="257"/>
      <c r="S78" s="160">
        <f>+N78/N$101*'Input Sheet'!H$248</f>
        <v>41.995834595712495</v>
      </c>
      <c r="T78" s="160">
        <f>+O78/O$101*'Input Sheet'!I$248</f>
        <v>47.725539902587371</v>
      </c>
      <c r="U78" s="160">
        <f>+P78/P$101*'Input Sheet'!J$248</f>
        <v>42.201273970811791</v>
      </c>
      <c r="V78" s="182">
        <f t="shared" si="27"/>
        <v>131.92264846911166</v>
      </c>
      <c r="W78" s="108"/>
      <c r="X78" s="243">
        <f t="shared" si="28"/>
        <v>3.3826320120285041</v>
      </c>
      <c r="Y78" s="243">
        <v>3.4</v>
      </c>
      <c r="Z78" s="243">
        <f t="shared" si="29"/>
        <v>3.4</v>
      </c>
      <c r="AA78" s="160">
        <f t="shared" si="30"/>
        <v>132.6</v>
      </c>
      <c r="AB78" s="258"/>
    </row>
    <row r="79" spans="2:28" s="255" customFormat="1" ht="14.25" customHeight="1" x14ac:dyDescent="0.2">
      <c r="B79" s="250" t="s">
        <v>173</v>
      </c>
      <c r="C79" s="251">
        <f>'Input Sheet'!G78</f>
        <v>80</v>
      </c>
      <c r="D79" s="252">
        <f>'Input Sheet'!H78</f>
        <v>7</v>
      </c>
      <c r="E79" s="253">
        <f>'Input Sheet'!I78</f>
        <v>17</v>
      </c>
      <c r="F79" s="254">
        <f>'Input Sheet'!J78</f>
        <v>616</v>
      </c>
      <c r="G79" s="254">
        <f>'Input Sheet'!K78</f>
        <v>560</v>
      </c>
      <c r="I79" s="160">
        <f t="shared" si="31"/>
        <v>17</v>
      </c>
      <c r="J79" s="160">
        <f t="shared" si="31"/>
        <v>17</v>
      </c>
      <c r="K79" s="160">
        <f t="shared" si="31"/>
        <v>17</v>
      </c>
      <c r="L79" s="219">
        <f t="shared" si="23"/>
        <v>51</v>
      </c>
      <c r="M79" s="256"/>
      <c r="N79" s="160">
        <f t="shared" si="24"/>
        <v>119</v>
      </c>
      <c r="O79" s="160">
        <f t="shared" si="25"/>
        <v>119</v>
      </c>
      <c r="P79" s="160">
        <f t="shared" si="26"/>
        <v>119</v>
      </c>
      <c r="Q79" s="182">
        <f t="shared" si="32"/>
        <v>357</v>
      </c>
      <c r="R79" s="257"/>
      <c r="S79" s="160">
        <f>+N79/N$101*'Input Sheet'!H$248</f>
        <v>109.83525971186344</v>
      </c>
      <c r="T79" s="160">
        <f>+O79/O$101*'Input Sheet'!I$248</f>
        <v>124.8206428221516</v>
      </c>
      <c r="U79" s="160">
        <f>+P79/P$101*'Input Sheet'!J$248</f>
        <v>110.37256269289239</v>
      </c>
      <c r="V79" s="182">
        <f t="shared" si="27"/>
        <v>345.02846522690743</v>
      </c>
      <c r="W79" s="108"/>
      <c r="X79" s="243">
        <f t="shared" si="28"/>
        <v>6.7652640240570081</v>
      </c>
      <c r="Y79" s="243">
        <v>7</v>
      </c>
      <c r="Z79" s="243">
        <f t="shared" si="29"/>
        <v>7</v>
      </c>
      <c r="AA79" s="160">
        <f t="shared" si="30"/>
        <v>357</v>
      </c>
      <c r="AB79" s="258"/>
    </row>
    <row r="80" spans="2:28" s="255" customFormat="1" ht="14.25" customHeight="1" x14ac:dyDescent="0.2">
      <c r="B80" s="250" t="s">
        <v>174</v>
      </c>
      <c r="C80" s="251">
        <f>'Input Sheet'!G79</f>
        <v>80</v>
      </c>
      <c r="D80" s="252">
        <f>'Input Sheet'!H79</f>
        <v>8.795454545454545</v>
      </c>
      <c r="E80" s="253">
        <f>'Input Sheet'!I79</f>
        <v>10</v>
      </c>
      <c r="F80" s="254">
        <f>'Input Sheet'!J79</f>
        <v>774</v>
      </c>
      <c r="G80" s="254">
        <f>'Input Sheet'!K79</f>
        <v>703.63636363636363</v>
      </c>
      <c r="I80" s="160">
        <f t="shared" si="31"/>
        <v>10</v>
      </c>
      <c r="J80" s="160">
        <f t="shared" si="31"/>
        <v>10</v>
      </c>
      <c r="K80" s="160">
        <f t="shared" si="31"/>
        <v>10</v>
      </c>
      <c r="L80" s="219">
        <f t="shared" si="23"/>
        <v>30</v>
      </c>
      <c r="M80" s="256"/>
      <c r="N80" s="160">
        <f t="shared" si="24"/>
        <v>87.954545454545453</v>
      </c>
      <c r="O80" s="160">
        <f t="shared" si="25"/>
        <v>87.954545454545453</v>
      </c>
      <c r="P80" s="160">
        <f t="shared" si="26"/>
        <v>87.954545454545453</v>
      </c>
      <c r="Q80" s="182">
        <f t="shared" si="32"/>
        <v>263.86363636363637</v>
      </c>
      <c r="R80" s="257"/>
      <c r="S80" s="160">
        <f>+N80/N$101*'Input Sheet'!H$248</f>
        <v>81.180759183520152</v>
      </c>
      <c r="T80" s="160">
        <f>+O80/O$101*'Input Sheet'!I$248</f>
        <v>92.256663048458122</v>
      </c>
      <c r="U80" s="160">
        <f>+P80/P$101*'Input Sheet'!J$248</f>
        <v>81.577887246274543</v>
      </c>
      <c r="V80" s="182">
        <f t="shared" si="27"/>
        <v>255.01530947825282</v>
      </c>
      <c r="W80" s="108"/>
      <c r="X80" s="243">
        <f t="shared" si="28"/>
        <v>8.5005103159417601</v>
      </c>
      <c r="Y80" s="243">
        <v>8.5</v>
      </c>
      <c r="Z80" s="243">
        <f t="shared" si="29"/>
        <v>8.5</v>
      </c>
      <c r="AA80" s="160">
        <f t="shared" si="30"/>
        <v>255</v>
      </c>
      <c r="AB80" s="258"/>
    </row>
    <row r="81" spans="2:28" s="255" customFormat="1" ht="14.25" customHeight="1" x14ac:dyDescent="0.2">
      <c r="B81" s="250" t="s">
        <v>175</v>
      </c>
      <c r="C81" s="251">
        <f>'Input Sheet'!G80</f>
        <v>80</v>
      </c>
      <c r="D81" s="252" t="str">
        <f>'Input Sheet'!H80</f>
        <v>Hourly</v>
      </c>
      <c r="E81" s="253">
        <f>'Input Sheet'!I80</f>
        <v>13</v>
      </c>
      <c r="F81" s="254">
        <f>'Input Sheet'!J80</f>
        <v>88</v>
      </c>
      <c r="G81" s="254">
        <f>'Input Sheet'!K80</f>
        <v>80</v>
      </c>
      <c r="I81" s="160">
        <f>IF($D81="Hourly",'Input Sheet'!H192,'Input Sheet'!H192*'Standard Hour Calcs'!$E81)</f>
        <v>255</v>
      </c>
      <c r="J81" s="160">
        <f>IF($D81="Hourly",'Input Sheet'!I192,'Input Sheet'!I192*'Standard Hour Calcs'!$E81)</f>
        <v>173</v>
      </c>
      <c r="K81" s="160">
        <f>IF($D81="Hourly",'Input Sheet'!J192,'Input Sheet'!J192*'Standard Hour Calcs'!$E81)</f>
        <v>158</v>
      </c>
      <c r="L81" s="219">
        <f t="shared" ref="L81:L94" si="33">SUM(I81:K81)</f>
        <v>586</v>
      </c>
      <c r="M81" s="256"/>
      <c r="N81" s="160">
        <f t="shared" si="24"/>
        <v>3315</v>
      </c>
      <c r="O81" s="160">
        <f t="shared" si="25"/>
        <v>2249</v>
      </c>
      <c r="P81" s="160">
        <f t="shared" si="26"/>
        <v>2054</v>
      </c>
      <c r="Q81" s="182">
        <f t="shared" si="32"/>
        <v>7618</v>
      </c>
      <c r="R81" s="257"/>
      <c r="S81" s="160">
        <f>+N81/N$101*'Input Sheet'!H$248</f>
        <v>3059.6965205447673</v>
      </c>
      <c r="T81" s="160">
        <f>+O81/O$101*'Input Sheet'!I$248</f>
        <v>2359.0052580421761</v>
      </c>
      <c r="U81" s="160">
        <f>+P81/P$101*'Input Sheet'!J$248</f>
        <v>1905.0860821109325</v>
      </c>
      <c r="V81" s="182">
        <f t="shared" si="27"/>
        <v>7323.7878606978757</v>
      </c>
      <c r="W81" s="108"/>
      <c r="X81" s="243">
        <f t="shared" si="28"/>
        <v>12.497931502897398</v>
      </c>
      <c r="Y81" s="243">
        <v>13</v>
      </c>
      <c r="Z81" s="243" t="str">
        <f t="shared" si="29"/>
        <v>Hourly</v>
      </c>
      <c r="AA81" s="160">
        <f t="shared" si="30"/>
        <v>7618</v>
      </c>
      <c r="AB81" s="258"/>
    </row>
    <row r="82" spans="2:28" s="255" customFormat="1" ht="14.25" customHeight="1" x14ac:dyDescent="0.2">
      <c r="B82" s="250" t="s">
        <v>176</v>
      </c>
      <c r="C82" s="251">
        <f>'Input Sheet'!G81</f>
        <v>87.272727272727266</v>
      </c>
      <c r="D82" s="252" t="str">
        <f>'Input Sheet'!H81</f>
        <v>Hourly</v>
      </c>
      <c r="E82" s="253">
        <f>'Input Sheet'!I81</f>
        <v>15</v>
      </c>
      <c r="F82" s="254">
        <f>'Input Sheet'!J81</f>
        <v>106</v>
      </c>
      <c r="G82" s="254">
        <f>'Input Sheet'!K81</f>
        <v>96.363636363636374</v>
      </c>
      <c r="I82" s="160">
        <f>IF($D82="Hourly",'Input Sheet'!H193,'Input Sheet'!H193*'Standard Hour Calcs'!$E82)</f>
        <v>13</v>
      </c>
      <c r="J82" s="160">
        <f>IF($D82="Hourly",'Input Sheet'!I193,'Input Sheet'!I193*'Standard Hour Calcs'!$E82)</f>
        <v>11</v>
      </c>
      <c r="K82" s="160">
        <f>IF($D82="Hourly",'Input Sheet'!J193,'Input Sheet'!J193*'Standard Hour Calcs'!$E82)</f>
        <v>3</v>
      </c>
      <c r="L82" s="219">
        <f t="shared" si="33"/>
        <v>27</v>
      </c>
      <c r="M82" s="256"/>
      <c r="N82" s="160">
        <f t="shared" si="24"/>
        <v>195</v>
      </c>
      <c r="O82" s="160">
        <f t="shared" si="25"/>
        <v>165</v>
      </c>
      <c r="P82" s="160">
        <f t="shared" si="26"/>
        <v>45</v>
      </c>
      <c r="Q82" s="182">
        <f t="shared" si="32"/>
        <v>405</v>
      </c>
      <c r="R82" s="257"/>
      <c r="S82" s="160">
        <f>+N82/N$101*'Input Sheet'!H$248</f>
        <v>179.98214826733926</v>
      </c>
      <c r="T82" s="160">
        <f>+O82/O$101*'Input Sheet'!I$248</f>
        <v>173.07063920718497</v>
      </c>
      <c r="U82" s="160">
        <f>+P82/P$101*'Input Sheet'!J$248</f>
        <v>41.737523707396278</v>
      </c>
      <c r="V82" s="182">
        <f t="shared" si="27"/>
        <v>394.79031118192052</v>
      </c>
      <c r="W82" s="108"/>
      <c r="X82" s="243">
        <f t="shared" si="28"/>
        <v>14.621863377108168</v>
      </c>
      <c r="Y82" s="243">
        <v>15</v>
      </c>
      <c r="Z82" s="243" t="str">
        <f t="shared" si="29"/>
        <v>Hourly</v>
      </c>
      <c r="AA82" s="160">
        <f t="shared" si="30"/>
        <v>405</v>
      </c>
      <c r="AB82" s="258"/>
    </row>
    <row r="83" spans="2:28" s="255" customFormat="1" ht="14.25" customHeight="1" x14ac:dyDescent="0.2">
      <c r="B83" s="250" t="s">
        <v>177</v>
      </c>
      <c r="C83" s="251">
        <f>'Input Sheet'!G82</f>
        <v>80</v>
      </c>
      <c r="D83" s="252">
        <f>'Input Sheet'!H82</f>
        <v>0.60227272727272729</v>
      </c>
      <c r="E83" s="253">
        <f>'Input Sheet'!I82</f>
        <v>1</v>
      </c>
      <c r="F83" s="254">
        <f>'Input Sheet'!J82</f>
        <v>53</v>
      </c>
      <c r="G83" s="254">
        <f>'Input Sheet'!K82</f>
        <v>48.181818181818187</v>
      </c>
      <c r="I83" s="160">
        <f>IF($D83="Hourly",'Input Sheet'!H194,'Input Sheet'!H194*'Standard Hour Calcs'!$E83)</f>
        <v>1</v>
      </c>
      <c r="J83" s="160">
        <f>IF($D83="Hourly",'Input Sheet'!I194,'Input Sheet'!I194*'Standard Hour Calcs'!$E83)</f>
        <v>0</v>
      </c>
      <c r="K83" s="160">
        <f>IF($D83="Hourly",'Input Sheet'!J194,'Input Sheet'!J194*'Standard Hour Calcs'!$E83)</f>
        <v>0</v>
      </c>
      <c r="L83" s="219">
        <f t="shared" si="33"/>
        <v>1</v>
      </c>
      <c r="M83" s="256"/>
      <c r="N83" s="160">
        <f t="shared" si="24"/>
        <v>0.60227272727272729</v>
      </c>
      <c r="O83" s="160">
        <f t="shared" si="25"/>
        <v>0</v>
      </c>
      <c r="P83" s="160">
        <f t="shared" si="26"/>
        <v>0</v>
      </c>
      <c r="Q83" s="182">
        <f t="shared" si="32"/>
        <v>0.60227272727272729</v>
      </c>
      <c r="R83" s="257"/>
      <c r="S83" s="160">
        <f>+N83/N$101*'Input Sheet'!H$248</f>
        <v>0.55588891947371688</v>
      </c>
      <c r="T83" s="160">
        <f>+O83/O$101*'Input Sheet'!I$248</f>
        <v>0</v>
      </c>
      <c r="U83" s="160">
        <f>+P83/P$101*'Input Sheet'!J$248</f>
        <v>0</v>
      </c>
      <c r="V83" s="182">
        <f t="shared" si="27"/>
        <v>0.55588891947371688</v>
      </c>
      <c r="W83" s="108"/>
      <c r="X83" s="243">
        <f t="shared" si="28"/>
        <v>0.55588891947371688</v>
      </c>
      <c r="Y83" s="243">
        <v>0.6</v>
      </c>
      <c r="Z83" s="243">
        <f t="shared" si="29"/>
        <v>0.6</v>
      </c>
      <c r="AA83" s="160">
        <f t="shared" si="30"/>
        <v>0.6</v>
      </c>
      <c r="AB83" s="258"/>
    </row>
    <row r="84" spans="2:28" s="255" customFormat="1" ht="14.25" customHeight="1" x14ac:dyDescent="0.2">
      <c r="B84" s="250" t="s">
        <v>178</v>
      </c>
      <c r="C84" s="251">
        <f>'Input Sheet'!G83</f>
        <v>80</v>
      </c>
      <c r="D84" s="252">
        <f>'Input Sheet'!H83</f>
        <v>1.2045454545454546</v>
      </c>
      <c r="E84" s="253">
        <f>'Input Sheet'!I83</f>
        <v>2</v>
      </c>
      <c r="F84" s="254">
        <f>'Input Sheet'!J83</f>
        <v>106</v>
      </c>
      <c r="G84" s="254">
        <f>'Input Sheet'!K83</f>
        <v>96.363636363636374</v>
      </c>
      <c r="I84" s="160">
        <f>IF($D84="Hourly",'Input Sheet'!H195,'Input Sheet'!H195*'Standard Hour Calcs'!$E84)</f>
        <v>4</v>
      </c>
      <c r="J84" s="160">
        <f>IF($D84="Hourly",'Input Sheet'!I195,'Input Sheet'!I195*'Standard Hour Calcs'!$E84)</f>
        <v>2</v>
      </c>
      <c r="K84" s="160">
        <f>IF($D84="Hourly",'Input Sheet'!J195,'Input Sheet'!J195*'Standard Hour Calcs'!$E84)</f>
        <v>2</v>
      </c>
      <c r="L84" s="219">
        <f t="shared" si="33"/>
        <v>8</v>
      </c>
      <c r="M84" s="256"/>
      <c r="N84" s="160">
        <f t="shared" si="24"/>
        <v>4.8181818181818183</v>
      </c>
      <c r="O84" s="160">
        <f t="shared" si="25"/>
        <v>2.4090909090909092</v>
      </c>
      <c r="P84" s="160">
        <f t="shared" si="26"/>
        <v>2.4090909090909092</v>
      </c>
      <c r="Q84" s="182">
        <f t="shared" si="32"/>
        <v>9.6363636363636367</v>
      </c>
      <c r="R84" s="257"/>
      <c r="S84" s="160">
        <f>+N84/N$101*'Input Sheet'!H$248</f>
        <v>4.447111355789735</v>
      </c>
      <c r="T84" s="160">
        <f>+O84/O$101*'Input Sheet'!I$248</f>
        <v>2.5269266881489818</v>
      </c>
      <c r="U84" s="160">
        <f>+P84/P$101*'Input Sheet'!J$248</f>
        <v>2.2344330873656597</v>
      </c>
      <c r="V84" s="182">
        <f t="shared" si="27"/>
        <v>9.2084711313043766</v>
      </c>
      <c r="W84" s="108"/>
      <c r="X84" s="243">
        <f t="shared" si="28"/>
        <v>1.1510588914130471</v>
      </c>
      <c r="Y84" s="243">
        <v>1.1499999999999999</v>
      </c>
      <c r="Z84" s="243">
        <f t="shared" si="29"/>
        <v>1.1499999999999999</v>
      </c>
      <c r="AA84" s="160">
        <f t="shared" si="30"/>
        <v>9.1999999999999993</v>
      </c>
      <c r="AB84" s="258"/>
    </row>
    <row r="85" spans="2:28" s="255" customFormat="1" ht="14.25" customHeight="1" x14ac:dyDescent="0.2">
      <c r="B85" s="250" t="s">
        <v>179</v>
      </c>
      <c r="C85" s="251">
        <f>'Input Sheet'!G84</f>
        <v>80</v>
      </c>
      <c r="D85" s="252">
        <f>'Input Sheet'!H84</f>
        <v>2.2045454545454546</v>
      </c>
      <c r="E85" s="253">
        <f>'Input Sheet'!I84</f>
        <v>0</v>
      </c>
      <c r="F85" s="254">
        <f>'Input Sheet'!J84</f>
        <v>194</v>
      </c>
      <c r="G85" s="254">
        <f>'Input Sheet'!K84</f>
        <v>176.36363636363637</v>
      </c>
      <c r="I85" s="160">
        <f>IF($D85="Hourly",'Input Sheet'!H196,'Input Sheet'!H196*'Standard Hour Calcs'!$E85)</f>
        <v>0</v>
      </c>
      <c r="J85" s="160">
        <f>IF($D85="Hourly",'Input Sheet'!I196,'Input Sheet'!I196*'Standard Hour Calcs'!$E85)</f>
        <v>0</v>
      </c>
      <c r="K85" s="160">
        <f>IF($D85="Hourly",'Input Sheet'!J196,'Input Sheet'!J196*'Standard Hour Calcs'!$E85)</f>
        <v>0</v>
      </c>
      <c r="L85" s="219">
        <f t="shared" si="33"/>
        <v>0</v>
      </c>
      <c r="M85" s="256"/>
      <c r="N85" s="160">
        <f t="shared" si="24"/>
        <v>0</v>
      </c>
      <c r="O85" s="160">
        <f t="shared" si="25"/>
        <v>0</v>
      </c>
      <c r="P85" s="160">
        <f t="shared" si="26"/>
        <v>0</v>
      </c>
      <c r="Q85" s="182">
        <f t="shared" si="32"/>
        <v>0</v>
      </c>
      <c r="R85" s="257"/>
      <c r="S85" s="160">
        <f>+N85/N$101*'Input Sheet'!H$248</f>
        <v>0</v>
      </c>
      <c r="T85" s="160">
        <f>+O85/O$101*'Input Sheet'!I$248</f>
        <v>0</v>
      </c>
      <c r="U85" s="160">
        <f>+P85/P$101*'Input Sheet'!J$248</f>
        <v>0</v>
      </c>
      <c r="V85" s="182">
        <f t="shared" si="27"/>
        <v>0</v>
      </c>
      <c r="W85" s="108"/>
      <c r="X85" s="243">
        <f t="shared" si="28"/>
        <v>0</v>
      </c>
      <c r="Y85" s="243">
        <v>2.2000000000000002</v>
      </c>
      <c r="Z85" s="243">
        <f t="shared" si="29"/>
        <v>2.2000000000000002</v>
      </c>
      <c r="AA85" s="160">
        <f t="shared" si="30"/>
        <v>0</v>
      </c>
      <c r="AB85" s="258"/>
    </row>
    <row r="86" spans="2:28" s="255" customFormat="1" ht="14.25" customHeight="1" x14ac:dyDescent="0.2">
      <c r="B86" s="250" t="s">
        <v>180</v>
      </c>
      <c r="C86" s="251">
        <f>'Input Sheet'!G85</f>
        <v>80</v>
      </c>
      <c r="D86" s="252">
        <f>'Input Sheet'!H85</f>
        <v>0.5</v>
      </c>
      <c r="E86" s="253">
        <f>'Input Sheet'!I85</f>
        <v>0</v>
      </c>
      <c r="F86" s="254">
        <f>'Input Sheet'!J85</f>
        <v>44</v>
      </c>
      <c r="G86" s="254">
        <f>'Input Sheet'!K85</f>
        <v>40</v>
      </c>
      <c r="I86" s="160">
        <f>IF($D86="Hourly",'Input Sheet'!H197,'Input Sheet'!H197*'Standard Hour Calcs'!$E86)</f>
        <v>0</v>
      </c>
      <c r="J86" s="160">
        <f>IF($D86="Hourly",'Input Sheet'!I197,'Input Sheet'!I197*'Standard Hour Calcs'!$E86)</f>
        <v>0</v>
      </c>
      <c r="K86" s="160">
        <f>IF($D86="Hourly",'Input Sheet'!J197,'Input Sheet'!J197*'Standard Hour Calcs'!$E86)</f>
        <v>0</v>
      </c>
      <c r="L86" s="219">
        <f t="shared" si="33"/>
        <v>0</v>
      </c>
      <c r="M86" s="256"/>
      <c r="N86" s="160">
        <f t="shared" si="24"/>
        <v>0</v>
      </c>
      <c r="O86" s="160">
        <f t="shared" si="25"/>
        <v>0</v>
      </c>
      <c r="P86" s="160">
        <f t="shared" si="26"/>
        <v>0</v>
      </c>
      <c r="Q86" s="182">
        <f t="shared" si="32"/>
        <v>0</v>
      </c>
      <c r="R86" s="257"/>
      <c r="S86" s="160">
        <f>+N86/N$101*'Input Sheet'!H$248</f>
        <v>0</v>
      </c>
      <c r="T86" s="160">
        <f>+O86/O$101*'Input Sheet'!I$248</f>
        <v>0</v>
      </c>
      <c r="U86" s="160">
        <f>+P86/P$101*'Input Sheet'!J$248</f>
        <v>0</v>
      </c>
      <c r="V86" s="182">
        <f t="shared" si="27"/>
        <v>0</v>
      </c>
      <c r="W86" s="108"/>
      <c r="X86" s="243">
        <f t="shared" si="28"/>
        <v>0</v>
      </c>
      <c r="Y86" s="243">
        <v>0.5</v>
      </c>
      <c r="Z86" s="243">
        <f t="shared" si="29"/>
        <v>0.5</v>
      </c>
      <c r="AA86" s="160">
        <f t="shared" si="30"/>
        <v>0</v>
      </c>
      <c r="AB86" s="258"/>
    </row>
    <row r="87" spans="2:28" s="255" customFormat="1" ht="14.25" customHeight="1" x14ac:dyDescent="0.2">
      <c r="B87" s="250" t="s">
        <v>181</v>
      </c>
      <c r="C87" s="251">
        <f>'Input Sheet'!G86</f>
        <v>80</v>
      </c>
      <c r="D87" s="252">
        <f>'Input Sheet'!H86</f>
        <v>1</v>
      </c>
      <c r="E87" s="253">
        <f>'Input Sheet'!I86</f>
        <v>0</v>
      </c>
      <c r="F87" s="254">
        <f>'Input Sheet'!J86</f>
        <v>88</v>
      </c>
      <c r="G87" s="254">
        <f>'Input Sheet'!K86</f>
        <v>80</v>
      </c>
      <c r="I87" s="160">
        <f>IF($D87="Hourly",'Input Sheet'!H198,'Input Sheet'!H198*'Standard Hour Calcs'!$E87)</f>
        <v>0</v>
      </c>
      <c r="J87" s="160">
        <f>IF($D87="Hourly",'Input Sheet'!I198,'Input Sheet'!I198*'Standard Hour Calcs'!$E87)</f>
        <v>0</v>
      </c>
      <c r="K87" s="160">
        <f>IF($D87="Hourly",'Input Sheet'!J198,'Input Sheet'!J198*'Standard Hour Calcs'!$E87)</f>
        <v>0</v>
      </c>
      <c r="L87" s="219">
        <f t="shared" si="33"/>
        <v>0</v>
      </c>
      <c r="M87" s="256"/>
      <c r="N87" s="160">
        <f t="shared" si="24"/>
        <v>0</v>
      </c>
      <c r="O87" s="160">
        <f t="shared" si="25"/>
        <v>0</v>
      </c>
      <c r="P87" s="160">
        <f t="shared" si="26"/>
        <v>0</v>
      </c>
      <c r="Q87" s="182">
        <f t="shared" si="32"/>
        <v>0</v>
      </c>
      <c r="R87" s="257"/>
      <c r="S87" s="160">
        <f>+N87/N$101*'Input Sheet'!H$248</f>
        <v>0</v>
      </c>
      <c r="T87" s="160">
        <f>+O87/O$101*'Input Sheet'!I$248</f>
        <v>0</v>
      </c>
      <c r="U87" s="160">
        <f>+P87/P$101*'Input Sheet'!J$248</f>
        <v>0</v>
      </c>
      <c r="V87" s="182">
        <f t="shared" si="27"/>
        <v>0</v>
      </c>
      <c r="W87" s="108"/>
      <c r="X87" s="243">
        <f t="shared" si="28"/>
        <v>0</v>
      </c>
      <c r="Y87" s="243">
        <v>1</v>
      </c>
      <c r="Z87" s="243">
        <f t="shared" si="29"/>
        <v>1</v>
      </c>
      <c r="AA87" s="160">
        <f t="shared" si="30"/>
        <v>0</v>
      </c>
      <c r="AB87" s="258"/>
    </row>
    <row r="88" spans="2:28" s="255" customFormat="1" ht="14.25" customHeight="1" x14ac:dyDescent="0.2">
      <c r="B88" s="250" t="s">
        <v>182</v>
      </c>
      <c r="C88" s="251">
        <f>'Input Sheet'!G87</f>
        <v>80</v>
      </c>
      <c r="D88" s="252">
        <f>'Input Sheet'!H87</f>
        <v>1.9886363636363638</v>
      </c>
      <c r="E88" s="253">
        <f>'Input Sheet'!I87</f>
        <v>0</v>
      </c>
      <c r="F88" s="254">
        <f>'Input Sheet'!J87</f>
        <v>175</v>
      </c>
      <c r="G88" s="254">
        <f>'Input Sheet'!K87</f>
        <v>159.09090909090909</v>
      </c>
      <c r="I88" s="160">
        <f>IF($D88="Hourly",'Input Sheet'!H199,'Input Sheet'!H199*'Standard Hour Calcs'!$E88)</f>
        <v>0</v>
      </c>
      <c r="J88" s="160">
        <f>IF($D88="Hourly",'Input Sheet'!I199,'Input Sheet'!I199*'Standard Hour Calcs'!$E88)</f>
        <v>0</v>
      </c>
      <c r="K88" s="160">
        <f>IF($D88="Hourly",'Input Sheet'!J199,'Input Sheet'!J199*'Standard Hour Calcs'!$E88)</f>
        <v>0</v>
      </c>
      <c r="L88" s="219">
        <f t="shared" si="33"/>
        <v>0</v>
      </c>
      <c r="M88" s="256"/>
      <c r="N88" s="160">
        <f t="shared" si="24"/>
        <v>0</v>
      </c>
      <c r="O88" s="160">
        <f t="shared" si="25"/>
        <v>0</v>
      </c>
      <c r="P88" s="160">
        <f t="shared" si="26"/>
        <v>0</v>
      </c>
      <c r="Q88" s="182">
        <f t="shared" si="32"/>
        <v>0</v>
      </c>
      <c r="R88" s="257"/>
      <c r="S88" s="160">
        <f>+N88/N$101*'Input Sheet'!H$248</f>
        <v>0</v>
      </c>
      <c r="T88" s="160">
        <f>+O88/O$101*'Input Sheet'!I$248</f>
        <v>0</v>
      </c>
      <c r="U88" s="160">
        <f>+P88/P$101*'Input Sheet'!J$248</f>
        <v>0</v>
      </c>
      <c r="V88" s="182">
        <f t="shared" si="27"/>
        <v>0</v>
      </c>
      <c r="W88" s="108"/>
      <c r="X88" s="243">
        <f t="shared" si="28"/>
        <v>0</v>
      </c>
      <c r="Y88" s="243">
        <v>1.99</v>
      </c>
      <c r="Z88" s="243">
        <f t="shared" si="29"/>
        <v>1.99</v>
      </c>
      <c r="AA88" s="160">
        <f t="shared" si="30"/>
        <v>0</v>
      </c>
      <c r="AB88" s="258"/>
    </row>
    <row r="89" spans="2:28" s="255" customFormat="1" ht="14.25" customHeight="1" x14ac:dyDescent="0.2">
      <c r="B89" s="250" t="s">
        <v>183</v>
      </c>
      <c r="C89" s="251">
        <f>'Input Sheet'!G88</f>
        <v>80</v>
      </c>
      <c r="D89" s="252">
        <f>'Input Sheet'!H88</f>
        <v>0.39772727272727271</v>
      </c>
      <c r="E89" s="253">
        <f>'Input Sheet'!I88</f>
        <v>0</v>
      </c>
      <c r="F89" s="254">
        <f>'Input Sheet'!J88</f>
        <v>35</v>
      </c>
      <c r="G89" s="254">
        <f>'Input Sheet'!K88</f>
        <v>31.818181818181817</v>
      </c>
      <c r="I89" s="160">
        <f>IF($D89="Hourly",'Input Sheet'!H200,'Input Sheet'!H200*'Standard Hour Calcs'!$E89)</f>
        <v>0</v>
      </c>
      <c r="J89" s="160">
        <f>IF($D89="Hourly",'Input Sheet'!I200,'Input Sheet'!I200*'Standard Hour Calcs'!$E89)</f>
        <v>0</v>
      </c>
      <c r="K89" s="160">
        <f>IF($D89="Hourly",'Input Sheet'!J200,'Input Sheet'!J200*'Standard Hour Calcs'!$E89)</f>
        <v>0</v>
      </c>
      <c r="L89" s="219">
        <f t="shared" si="33"/>
        <v>0</v>
      </c>
      <c r="M89" s="256"/>
      <c r="N89" s="160">
        <f t="shared" si="24"/>
        <v>0</v>
      </c>
      <c r="O89" s="160">
        <f t="shared" si="25"/>
        <v>0</v>
      </c>
      <c r="P89" s="160">
        <f t="shared" si="26"/>
        <v>0</v>
      </c>
      <c r="Q89" s="182">
        <f t="shared" si="32"/>
        <v>0</v>
      </c>
      <c r="R89" s="257"/>
      <c r="S89" s="160">
        <f>+N89/N$101*'Input Sheet'!H$248</f>
        <v>0</v>
      </c>
      <c r="T89" s="160">
        <f>+O89/O$101*'Input Sheet'!I$248</f>
        <v>0</v>
      </c>
      <c r="U89" s="160">
        <f>+P89/P$101*'Input Sheet'!J$248</f>
        <v>0</v>
      </c>
      <c r="V89" s="182">
        <f t="shared" si="27"/>
        <v>0</v>
      </c>
      <c r="W89" s="108"/>
      <c r="X89" s="243">
        <f t="shared" si="28"/>
        <v>0</v>
      </c>
      <c r="Y89" s="243">
        <v>0.4</v>
      </c>
      <c r="Z89" s="243">
        <f t="shared" si="29"/>
        <v>0.4</v>
      </c>
      <c r="AA89" s="160">
        <f t="shared" si="30"/>
        <v>0</v>
      </c>
      <c r="AB89" s="258"/>
    </row>
    <row r="90" spans="2:28" s="255" customFormat="1" ht="14.25" customHeight="1" x14ac:dyDescent="0.2">
      <c r="B90" s="250" t="s">
        <v>184</v>
      </c>
      <c r="C90" s="251">
        <f>'Input Sheet'!G89</f>
        <v>80</v>
      </c>
      <c r="D90" s="252">
        <f>'Input Sheet'!H89</f>
        <v>0.70454545454545459</v>
      </c>
      <c r="E90" s="253">
        <f>'Input Sheet'!I89</f>
        <v>0</v>
      </c>
      <c r="F90" s="254">
        <f>'Input Sheet'!J89</f>
        <v>62</v>
      </c>
      <c r="G90" s="254">
        <f>'Input Sheet'!K89</f>
        <v>56.363636363636367</v>
      </c>
      <c r="I90" s="160">
        <f>IF($D90="Hourly",'Input Sheet'!H201,'Input Sheet'!H201*'Standard Hour Calcs'!$E90)</f>
        <v>0</v>
      </c>
      <c r="J90" s="160">
        <f>IF($D90="Hourly",'Input Sheet'!I201,'Input Sheet'!I201*'Standard Hour Calcs'!$E90)</f>
        <v>0</v>
      </c>
      <c r="K90" s="160">
        <f>IF($D90="Hourly",'Input Sheet'!J201,'Input Sheet'!J201*'Standard Hour Calcs'!$E90)</f>
        <v>0</v>
      </c>
      <c r="L90" s="219">
        <f t="shared" si="33"/>
        <v>0</v>
      </c>
      <c r="M90" s="256"/>
      <c r="N90" s="160">
        <f t="shared" si="24"/>
        <v>0</v>
      </c>
      <c r="O90" s="160">
        <f t="shared" si="25"/>
        <v>0</v>
      </c>
      <c r="P90" s="160">
        <f t="shared" si="26"/>
        <v>0</v>
      </c>
      <c r="Q90" s="182">
        <f t="shared" si="32"/>
        <v>0</v>
      </c>
      <c r="R90" s="257"/>
      <c r="S90" s="160">
        <f>+N90/N$101*'Input Sheet'!H$248</f>
        <v>0</v>
      </c>
      <c r="T90" s="160">
        <f>+O90/O$101*'Input Sheet'!I$248</f>
        <v>0</v>
      </c>
      <c r="U90" s="160">
        <f>+P90/P$101*'Input Sheet'!J$248</f>
        <v>0</v>
      </c>
      <c r="V90" s="182">
        <f t="shared" si="27"/>
        <v>0</v>
      </c>
      <c r="W90" s="108"/>
      <c r="X90" s="243">
        <f t="shared" si="28"/>
        <v>0</v>
      </c>
      <c r="Y90" s="243">
        <v>0.7</v>
      </c>
      <c r="Z90" s="243">
        <f t="shared" si="29"/>
        <v>0.7</v>
      </c>
      <c r="AA90" s="160">
        <f t="shared" si="30"/>
        <v>0</v>
      </c>
      <c r="AB90" s="258"/>
    </row>
    <row r="91" spans="2:28" s="255" customFormat="1" ht="14.25" customHeight="1" x14ac:dyDescent="0.2">
      <c r="B91" s="250" t="s">
        <v>185</v>
      </c>
      <c r="C91" s="251">
        <f>'Input Sheet'!G90</f>
        <v>80</v>
      </c>
      <c r="D91" s="252">
        <f>'Input Sheet'!H90</f>
        <v>1.5</v>
      </c>
      <c r="E91" s="253">
        <f>'Input Sheet'!I90</f>
        <v>0</v>
      </c>
      <c r="F91" s="254">
        <f>'Input Sheet'!J90</f>
        <v>132</v>
      </c>
      <c r="G91" s="254">
        <f>'Input Sheet'!K90</f>
        <v>120</v>
      </c>
      <c r="I91" s="160">
        <f>IF($D91="Hourly",'Input Sheet'!H202,'Input Sheet'!H202*'Standard Hour Calcs'!$E91)</f>
        <v>0</v>
      </c>
      <c r="J91" s="160">
        <f>IF($D91="Hourly",'Input Sheet'!I202,'Input Sheet'!I202*'Standard Hour Calcs'!$E91)</f>
        <v>0</v>
      </c>
      <c r="K91" s="160">
        <f>IF($D91="Hourly",'Input Sheet'!J202,'Input Sheet'!J202*'Standard Hour Calcs'!$E91)</f>
        <v>0</v>
      </c>
      <c r="L91" s="219">
        <f t="shared" si="33"/>
        <v>0</v>
      </c>
      <c r="M91" s="256"/>
      <c r="N91" s="160">
        <f t="shared" si="24"/>
        <v>0</v>
      </c>
      <c r="O91" s="160">
        <f t="shared" si="25"/>
        <v>0</v>
      </c>
      <c r="P91" s="160">
        <f t="shared" si="26"/>
        <v>0</v>
      </c>
      <c r="Q91" s="182">
        <f t="shared" si="32"/>
        <v>0</v>
      </c>
      <c r="R91" s="257"/>
      <c r="S91" s="160">
        <f>+N91/N$101*'Input Sheet'!H$248</f>
        <v>0</v>
      </c>
      <c r="T91" s="160">
        <f>+O91/O$101*'Input Sheet'!I$248</f>
        <v>0</v>
      </c>
      <c r="U91" s="160">
        <f>+P91/P$101*'Input Sheet'!J$248</f>
        <v>0</v>
      </c>
      <c r="V91" s="182">
        <f t="shared" si="27"/>
        <v>0</v>
      </c>
      <c r="W91" s="108"/>
      <c r="X91" s="243">
        <f t="shared" si="28"/>
        <v>0</v>
      </c>
      <c r="Y91" s="243">
        <v>1.5</v>
      </c>
      <c r="Z91" s="243">
        <f t="shared" si="29"/>
        <v>1.5</v>
      </c>
      <c r="AA91" s="160">
        <f t="shared" si="30"/>
        <v>0</v>
      </c>
      <c r="AB91" s="258"/>
    </row>
    <row r="92" spans="2:28" s="255" customFormat="1" ht="14.25" customHeight="1" x14ac:dyDescent="0.2">
      <c r="B92" s="250" t="s">
        <v>186</v>
      </c>
      <c r="C92" s="251">
        <f>'Input Sheet'!G91</f>
        <v>80</v>
      </c>
      <c r="D92" s="252">
        <f>'Input Sheet'!H91</f>
        <v>3.5</v>
      </c>
      <c r="E92" s="253">
        <f>'Input Sheet'!I91</f>
        <v>0</v>
      </c>
      <c r="F92" s="254">
        <f>'Input Sheet'!J91</f>
        <v>308</v>
      </c>
      <c r="G92" s="254">
        <f>'Input Sheet'!K91</f>
        <v>280</v>
      </c>
      <c r="I92" s="160">
        <f t="shared" ref="I92:K94" si="34">+$E92</f>
        <v>0</v>
      </c>
      <c r="J92" s="160">
        <f t="shared" si="34"/>
        <v>0</v>
      </c>
      <c r="K92" s="160">
        <f t="shared" si="34"/>
        <v>0</v>
      </c>
      <c r="L92" s="219">
        <f t="shared" si="33"/>
        <v>0</v>
      </c>
      <c r="M92" s="256"/>
      <c r="N92" s="160">
        <f t="shared" si="24"/>
        <v>0</v>
      </c>
      <c r="O92" s="160">
        <f t="shared" si="25"/>
        <v>0</v>
      </c>
      <c r="P92" s="160">
        <f t="shared" si="26"/>
        <v>0</v>
      </c>
      <c r="Q92" s="182">
        <f t="shared" si="32"/>
        <v>0</v>
      </c>
      <c r="R92" s="257"/>
      <c r="S92" s="160">
        <f>+N92/N$101*'Input Sheet'!H$248</f>
        <v>0</v>
      </c>
      <c r="T92" s="160">
        <f>+O92/O$101*'Input Sheet'!I$248</f>
        <v>0</v>
      </c>
      <c r="U92" s="160">
        <f>+P92/P$101*'Input Sheet'!J$248</f>
        <v>0</v>
      </c>
      <c r="V92" s="182">
        <f t="shared" si="27"/>
        <v>0</v>
      </c>
      <c r="W92" s="108"/>
      <c r="X92" s="243">
        <f t="shared" si="28"/>
        <v>0</v>
      </c>
      <c r="Y92" s="243">
        <v>3.5</v>
      </c>
      <c r="Z92" s="243">
        <f t="shared" si="29"/>
        <v>3.5</v>
      </c>
      <c r="AA92" s="160">
        <f t="shared" si="30"/>
        <v>0</v>
      </c>
      <c r="AB92" s="258"/>
    </row>
    <row r="93" spans="2:28" s="255" customFormat="1" ht="14.25" customHeight="1" x14ac:dyDescent="0.2">
      <c r="B93" s="250" t="s">
        <v>187</v>
      </c>
      <c r="C93" s="251">
        <f>'Input Sheet'!G92</f>
        <v>80</v>
      </c>
      <c r="D93" s="252">
        <f>'Input Sheet'!H92</f>
        <v>7</v>
      </c>
      <c r="E93" s="253">
        <f>'Input Sheet'!I92</f>
        <v>1</v>
      </c>
      <c r="F93" s="254">
        <f>'Input Sheet'!J92</f>
        <v>616</v>
      </c>
      <c r="G93" s="254">
        <f>'Input Sheet'!K92</f>
        <v>560</v>
      </c>
      <c r="I93" s="160">
        <f t="shared" si="34"/>
        <v>1</v>
      </c>
      <c r="J93" s="160">
        <f t="shared" si="34"/>
        <v>1</v>
      </c>
      <c r="K93" s="160">
        <f t="shared" si="34"/>
        <v>1</v>
      </c>
      <c r="L93" s="219">
        <f t="shared" si="33"/>
        <v>3</v>
      </c>
      <c r="M93" s="256"/>
      <c r="N93" s="160">
        <f t="shared" si="24"/>
        <v>7</v>
      </c>
      <c r="O93" s="160">
        <f t="shared" si="25"/>
        <v>7</v>
      </c>
      <c r="P93" s="160">
        <f t="shared" si="26"/>
        <v>7</v>
      </c>
      <c r="Q93" s="182">
        <f t="shared" si="32"/>
        <v>21</v>
      </c>
      <c r="R93" s="257"/>
      <c r="S93" s="160">
        <f>+N93/N$101*'Input Sheet'!H$248</f>
        <v>6.4608976301096144</v>
      </c>
      <c r="T93" s="160">
        <f>+O93/O$101*'Input Sheet'!I$248</f>
        <v>7.3423907542442111</v>
      </c>
      <c r="U93" s="160">
        <f>+P93/P$101*'Input Sheet'!J$248</f>
        <v>6.4925036878171989</v>
      </c>
      <c r="V93" s="182">
        <f t="shared" si="27"/>
        <v>20.295792072171025</v>
      </c>
      <c r="W93" s="108"/>
      <c r="X93" s="243">
        <f t="shared" si="28"/>
        <v>6.7652640240570081</v>
      </c>
      <c r="Y93" s="243">
        <v>7</v>
      </c>
      <c r="Z93" s="243">
        <f t="shared" si="29"/>
        <v>7</v>
      </c>
      <c r="AA93" s="160">
        <f t="shared" si="30"/>
        <v>21</v>
      </c>
      <c r="AB93" s="258"/>
    </row>
    <row r="94" spans="2:28" s="255" customFormat="1" ht="14.25" customHeight="1" x14ac:dyDescent="0.2">
      <c r="B94" s="250" t="s">
        <v>188</v>
      </c>
      <c r="C94" s="251">
        <f>'Input Sheet'!G93</f>
        <v>80</v>
      </c>
      <c r="D94" s="252">
        <f>'Input Sheet'!H93</f>
        <v>8.795454545454545</v>
      </c>
      <c r="E94" s="253">
        <f>'Input Sheet'!I93</f>
        <v>0</v>
      </c>
      <c r="F94" s="254">
        <f>'Input Sheet'!J93</f>
        <v>774</v>
      </c>
      <c r="G94" s="254">
        <f>'Input Sheet'!K93</f>
        <v>703.63636363636363</v>
      </c>
      <c r="I94" s="160">
        <f t="shared" si="34"/>
        <v>0</v>
      </c>
      <c r="J94" s="160">
        <f t="shared" si="34"/>
        <v>0</v>
      </c>
      <c r="K94" s="160">
        <f t="shared" si="34"/>
        <v>0</v>
      </c>
      <c r="L94" s="219">
        <f t="shared" si="33"/>
        <v>0</v>
      </c>
      <c r="M94" s="256"/>
      <c r="N94" s="160">
        <f t="shared" si="24"/>
        <v>0</v>
      </c>
      <c r="O94" s="160">
        <f t="shared" si="25"/>
        <v>0</v>
      </c>
      <c r="P94" s="160">
        <f t="shared" si="26"/>
        <v>0</v>
      </c>
      <c r="Q94" s="182">
        <f t="shared" si="32"/>
        <v>0</v>
      </c>
      <c r="R94" s="257"/>
      <c r="S94" s="160">
        <f>+N94/N$101*'Input Sheet'!H$248</f>
        <v>0</v>
      </c>
      <c r="T94" s="160">
        <f>+O94/O$101*'Input Sheet'!I$248</f>
        <v>0</v>
      </c>
      <c r="U94" s="160">
        <f>+P94/P$101*'Input Sheet'!J$248</f>
        <v>0</v>
      </c>
      <c r="V94" s="182">
        <f t="shared" si="27"/>
        <v>0</v>
      </c>
      <c r="W94" s="108"/>
      <c r="X94" s="243">
        <f t="shared" si="28"/>
        <v>0</v>
      </c>
      <c r="Y94" s="243">
        <v>8.8000000000000007</v>
      </c>
      <c r="Z94" s="243">
        <f t="shared" si="29"/>
        <v>8.8000000000000007</v>
      </c>
      <c r="AA94" s="160">
        <f t="shared" si="30"/>
        <v>0</v>
      </c>
      <c r="AB94" s="258"/>
    </row>
    <row r="95" spans="2:28" ht="14.25" customHeight="1" x14ac:dyDescent="0.2">
      <c r="B95" s="212"/>
      <c r="C95" s="174"/>
      <c r="D95" s="241"/>
      <c r="E95" s="179"/>
      <c r="F95" s="205"/>
      <c r="G95" s="205"/>
      <c r="I95" s="160"/>
      <c r="J95" s="160"/>
      <c r="K95" s="160"/>
      <c r="L95" s="219"/>
      <c r="M95" s="246"/>
      <c r="N95" s="160"/>
      <c r="O95" s="160"/>
      <c r="P95" s="160"/>
      <c r="Q95" s="182"/>
      <c r="R95" s="106"/>
      <c r="S95" s="160"/>
      <c r="T95" s="160"/>
      <c r="U95" s="160"/>
      <c r="V95" s="182"/>
      <c r="W95" s="108"/>
      <c r="X95" s="243"/>
      <c r="Y95" s="243"/>
      <c r="Z95" s="243"/>
      <c r="AA95" s="160"/>
      <c r="AB95" s="115"/>
    </row>
    <row r="96" spans="2:28" ht="14.25" customHeight="1" x14ac:dyDescent="0.2">
      <c r="B96" s="212" t="s">
        <v>189</v>
      </c>
      <c r="C96" s="174">
        <f>'Input Sheet'!G95</f>
        <v>80</v>
      </c>
      <c r="D96" s="241" t="str">
        <f>'Input Sheet'!H95</f>
        <v>Hourly</v>
      </c>
      <c r="E96" s="179">
        <f>'Input Sheet'!I95</f>
        <v>15</v>
      </c>
      <c r="F96" s="205">
        <f>'Input Sheet'!J95</f>
        <v>88</v>
      </c>
      <c r="G96" s="205">
        <f>'Input Sheet'!K95</f>
        <v>80</v>
      </c>
      <c r="I96" s="160">
        <f>IF($D96="Hourly",'Input Sheet'!H207,'Input Sheet'!H207*'Standard Hour Calcs'!$E96)</f>
        <v>94</v>
      </c>
      <c r="J96" s="160">
        <f>IF($D96="Hourly",'Input Sheet'!I207,'Input Sheet'!I207*'Standard Hour Calcs'!$E96)</f>
        <v>108</v>
      </c>
      <c r="K96" s="160">
        <f>IF($D96="Hourly",'Input Sheet'!J207,'Input Sheet'!J207*'Standard Hour Calcs'!$E96)</f>
        <v>138</v>
      </c>
      <c r="L96" s="219">
        <f t="shared" ref="L96:L99" si="35">SUM(I96:K96)</f>
        <v>340</v>
      </c>
      <c r="M96" s="246"/>
      <c r="N96" s="160">
        <f t="shared" ref="N96:N99" si="36">IF($D96="Hourly",I96*$E96,I96*$D96)</f>
        <v>1410</v>
      </c>
      <c r="O96" s="160">
        <f t="shared" ref="O96:O99" si="37">IF($D96="Hourly",J96*$E96,J96*$D96)</f>
        <v>1620</v>
      </c>
      <c r="P96" s="160">
        <f t="shared" ref="P96:P99" si="38">IF($D96="Hourly",K96*$E96,K96*$D96)</f>
        <v>2070</v>
      </c>
      <c r="Q96" s="182">
        <f t="shared" ref="Q96:Q99" si="39">SUM(N96:P96)</f>
        <v>5100</v>
      </c>
      <c r="R96" s="106"/>
      <c r="S96" s="160">
        <f>+N96/N$101*'Input Sheet'!H$248</f>
        <v>1301.4093797792225</v>
      </c>
      <c r="T96" s="160">
        <f>+O96/O$101*'Input Sheet'!I$248</f>
        <v>1699.2390031250889</v>
      </c>
      <c r="U96" s="160">
        <f>+P96/P$101*'Input Sheet'!J$248</f>
        <v>1919.9260905402286</v>
      </c>
      <c r="V96" s="182">
        <f t="shared" ref="V96:V99" si="40">SUM(S96:U96)</f>
        <v>4920.5744734445398</v>
      </c>
      <c r="W96" s="108"/>
      <c r="X96" s="243">
        <f t="shared" ref="X96:X99" si="41">IF(ISERROR(V96/L96),0,V96/L96)</f>
        <v>14.472277863072176</v>
      </c>
      <c r="Y96" s="243">
        <v>14</v>
      </c>
      <c r="Z96" s="243" t="str">
        <f t="shared" ref="Z96:Z99" si="42">IF(D96="Hourly","Hourly",Y96)</f>
        <v>Hourly</v>
      </c>
      <c r="AA96" s="160">
        <f t="shared" ref="AA96:AA99" si="43">+Y96*L96</f>
        <v>4760</v>
      </c>
      <c r="AB96" s="115"/>
    </row>
    <row r="97" spans="2:28" ht="14.25" customHeight="1" x14ac:dyDescent="0.2">
      <c r="B97" s="212" t="s">
        <v>190</v>
      </c>
      <c r="C97" s="174">
        <f>'Input Sheet'!G96</f>
        <v>87.272727272727266</v>
      </c>
      <c r="D97" s="241" t="str">
        <f>'Input Sheet'!H96</f>
        <v>Hourly</v>
      </c>
      <c r="E97" s="179">
        <f>'Input Sheet'!I96</f>
        <v>24</v>
      </c>
      <c r="F97" s="205">
        <f>'Input Sheet'!J96</f>
        <v>106</v>
      </c>
      <c r="G97" s="205">
        <f>'Input Sheet'!K96</f>
        <v>96.363636363636374</v>
      </c>
      <c r="I97" s="160">
        <f>IF($D97="Hourly",'Input Sheet'!H208,'Input Sheet'!H208*'Standard Hour Calcs'!$E97)</f>
        <v>10</v>
      </c>
      <c r="J97" s="160">
        <f>IF($D97="Hourly",'Input Sheet'!I208,'Input Sheet'!I208*'Standard Hour Calcs'!$E97)</f>
        <v>6</v>
      </c>
      <c r="K97" s="160">
        <f>IF($D97="Hourly",'Input Sheet'!J208,'Input Sheet'!J208*'Standard Hour Calcs'!$E97)</f>
        <v>3</v>
      </c>
      <c r="L97" s="219">
        <f t="shared" si="35"/>
        <v>19</v>
      </c>
      <c r="M97" s="246"/>
      <c r="N97" s="160">
        <f t="shared" si="36"/>
        <v>240</v>
      </c>
      <c r="O97" s="160">
        <f t="shared" si="37"/>
        <v>144</v>
      </c>
      <c r="P97" s="160">
        <f t="shared" si="38"/>
        <v>72</v>
      </c>
      <c r="Q97" s="182">
        <f t="shared" si="39"/>
        <v>456</v>
      </c>
      <c r="R97" s="106"/>
      <c r="S97" s="160">
        <f>+N97/N$101*'Input Sheet'!H$248</f>
        <v>221.51649017518676</v>
      </c>
      <c r="T97" s="160">
        <f>+O97/O$101*'Input Sheet'!I$248</f>
        <v>151.04346694445235</v>
      </c>
      <c r="U97" s="160">
        <f>+P97/P$101*'Input Sheet'!J$248</f>
        <v>66.780037931834045</v>
      </c>
      <c r="V97" s="182">
        <f t="shared" si="40"/>
        <v>439.33999505147312</v>
      </c>
      <c r="W97" s="108"/>
      <c r="X97" s="243">
        <f t="shared" si="41"/>
        <v>23.123157634288059</v>
      </c>
      <c r="Y97" s="243">
        <v>23</v>
      </c>
      <c r="Z97" s="243" t="str">
        <f t="shared" si="42"/>
        <v>Hourly</v>
      </c>
      <c r="AA97" s="160">
        <f t="shared" si="43"/>
        <v>437</v>
      </c>
      <c r="AB97" s="115"/>
    </row>
    <row r="98" spans="2:28" ht="14.25" customHeight="1" x14ac:dyDescent="0.2">
      <c r="B98" s="212" t="s">
        <v>191</v>
      </c>
      <c r="C98" s="174">
        <f>'Input Sheet'!G97</f>
        <v>80</v>
      </c>
      <c r="D98" s="241" t="str">
        <f>'Input Sheet'!H97</f>
        <v>Hourly</v>
      </c>
      <c r="E98" s="179">
        <f>'Input Sheet'!I97</f>
        <v>10</v>
      </c>
      <c r="F98" s="205">
        <f>'Input Sheet'!J97</f>
        <v>88</v>
      </c>
      <c r="G98" s="205">
        <f>'Input Sheet'!K97</f>
        <v>80</v>
      </c>
      <c r="I98" s="160">
        <f>IF($D98="Hourly",'Input Sheet'!H209,'Input Sheet'!H209*'Standard Hour Calcs'!$E98)</f>
        <v>48</v>
      </c>
      <c r="J98" s="160">
        <f>IF($D98="Hourly",'Input Sheet'!I209,'Input Sheet'!I209*'Standard Hour Calcs'!$E98)</f>
        <v>48</v>
      </c>
      <c r="K98" s="160">
        <f>IF($D98="Hourly",'Input Sheet'!J209,'Input Sheet'!J209*'Standard Hour Calcs'!$E98)</f>
        <v>38</v>
      </c>
      <c r="L98" s="219">
        <f t="shared" si="35"/>
        <v>134</v>
      </c>
      <c r="M98" s="246"/>
      <c r="N98" s="160">
        <f t="shared" si="36"/>
        <v>480</v>
      </c>
      <c r="O98" s="160">
        <f t="shared" si="37"/>
        <v>480</v>
      </c>
      <c r="P98" s="160">
        <f t="shared" si="38"/>
        <v>380</v>
      </c>
      <c r="Q98" s="182">
        <f t="shared" si="39"/>
        <v>1340</v>
      </c>
      <c r="R98" s="106"/>
      <c r="S98" s="160">
        <f>+N98/N$101*'Input Sheet'!H$248</f>
        <v>443.03298035037352</v>
      </c>
      <c r="T98" s="160">
        <f>+O98/O$101*'Input Sheet'!I$248</f>
        <v>503.47822314817449</v>
      </c>
      <c r="U98" s="160">
        <f>+P98/P$101*'Input Sheet'!J$248</f>
        <v>352.45020019579079</v>
      </c>
      <c r="V98" s="182">
        <f t="shared" si="40"/>
        <v>1298.9614036943387</v>
      </c>
      <c r="W98" s="108"/>
      <c r="X98" s="243">
        <f t="shared" si="41"/>
        <v>9.6937418186144679</v>
      </c>
      <c r="Y98" s="243">
        <v>10</v>
      </c>
      <c r="Z98" s="243" t="str">
        <f t="shared" si="42"/>
        <v>Hourly</v>
      </c>
      <c r="AA98" s="160">
        <f t="shared" si="43"/>
        <v>1340</v>
      </c>
      <c r="AB98" s="115"/>
    </row>
    <row r="99" spans="2:28" ht="14.25" customHeight="1" x14ac:dyDescent="0.2">
      <c r="B99" s="212" t="s">
        <v>192</v>
      </c>
      <c r="C99" s="174">
        <f>'Input Sheet'!G98</f>
        <v>87.272727272727266</v>
      </c>
      <c r="D99" s="241" t="str">
        <f>'Input Sheet'!H98</f>
        <v>Hourly</v>
      </c>
      <c r="E99" s="179">
        <f>'Input Sheet'!I98</f>
        <v>7</v>
      </c>
      <c r="F99" s="205">
        <f>'Input Sheet'!J98</f>
        <v>106</v>
      </c>
      <c r="G99" s="205">
        <f>'Input Sheet'!K98</f>
        <v>96.363636363636374</v>
      </c>
      <c r="I99" s="160">
        <f>IF($D99="Hourly",'Input Sheet'!H210,'Input Sheet'!H210*'Standard Hour Calcs'!$E99)</f>
        <v>1</v>
      </c>
      <c r="J99" s="160">
        <f>IF($D99="Hourly",'Input Sheet'!I210,'Input Sheet'!I210*'Standard Hour Calcs'!$E99)</f>
        <v>2</v>
      </c>
      <c r="K99" s="160">
        <f>IF($D99="Hourly",'Input Sheet'!J210,'Input Sheet'!J210*'Standard Hour Calcs'!$E99)</f>
        <v>1</v>
      </c>
      <c r="L99" s="219">
        <f t="shared" si="35"/>
        <v>4</v>
      </c>
      <c r="M99" s="246"/>
      <c r="N99" s="160">
        <f t="shared" si="36"/>
        <v>7</v>
      </c>
      <c r="O99" s="160">
        <f t="shared" si="37"/>
        <v>14</v>
      </c>
      <c r="P99" s="160">
        <f t="shared" si="38"/>
        <v>7</v>
      </c>
      <c r="Q99" s="182">
        <f t="shared" si="39"/>
        <v>28</v>
      </c>
      <c r="R99" s="106"/>
      <c r="S99" s="160">
        <f>+N99/N$101*'Input Sheet'!H$248</f>
        <v>6.4608976301096144</v>
      </c>
      <c r="T99" s="160">
        <f>+O99/O$101*'Input Sheet'!I$248</f>
        <v>14.684781508488422</v>
      </c>
      <c r="U99" s="160">
        <f>+P99/P$101*'Input Sheet'!J$248</f>
        <v>6.4925036878171989</v>
      </c>
      <c r="V99" s="182">
        <f t="shared" si="40"/>
        <v>27.638182826415235</v>
      </c>
      <c r="W99" s="108"/>
      <c r="X99" s="243">
        <f t="shared" si="41"/>
        <v>6.9095457066038088</v>
      </c>
      <c r="Y99" s="243">
        <v>7</v>
      </c>
      <c r="Z99" s="243" t="str">
        <f t="shared" si="42"/>
        <v>Hourly</v>
      </c>
      <c r="AA99" s="160">
        <f t="shared" si="43"/>
        <v>28</v>
      </c>
      <c r="AB99" s="115"/>
    </row>
    <row r="100" spans="2:28" ht="14.25" customHeight="1" x14ac:dyDescent="0.25">
      <c r="B100" s="166"/>
      <c r="C100" s="166"/>
      <c r="D100" s="242"/>
      <c r="E100" s="273"/>
      <c r="F100" s="165"/>
      <c r="G100" s="167"/>
      <c r="I100" s="164"/>
      <c r="J100" s="164"/>
      <c r="K100" s="161"/>
      <c r="L100" s="164"/>
      <c r="M100" s="246"/>
      <c r="N100" s="164"/>
      <c r="O100" s="164"/>
      <c r="P100" s="164"/>
      <c r="Q100" s="164"/>
      <c r="R100" s="106"/>
      <c r="S100" s="162"/>
      <c r="T100" s="162"/>
      <c r="U100" s="162"/>
      <c r="V100" s="162"/>
      <c r="W100" s="112"/>
      <c r="X100" s="424"/>
      <c r="Y100" s="164"/>
      <c r="Z100" s="164"/>
      <c r="AA100" s="164"/>
    </row>
    <row r="101" spans="2:28" ht="14.25" customHeight="1" thickBot="1" x14ac:dyDescent="0.3">
      <c r="I101" s="163">
        <f>SUM(I10:I100)</f>
        <v>6315</v>
      </c>
      <c r="J101" s="163">
        <f t="shared" ref="J101:L101" si="44">SUM(J10:J100)</f>
        <v>7756</v>
      </c>
      <c r="K101" s="163">
        <f t="shared" si="44"/>
        <v>8825</v>
      </c>
      <c r="L101" s="163">
        <f t="shared" si="44"/>
        <v>22896</v>
      </c>
      <c r="M101" s="246"/>
      <c r="N101" s="163">
        <f t="shared" ref="N101:Q101" si="45">SUM(N10:N100)</f>
        <v>9568.4318181818198</v>
      </c>
      <c r="O101" s="163">
        <f t="shared" si="45"/>
        <v>8395.9772727272721</v>
      </c>
      <c r="P101" s="163">
        <f t="shared" si="45"/>
        <v>9419.5568181818162</v>
      </c>
      <c r="Q101" s="163">
        <f t="shared" si="45"/>
        <v>27383.965909090908</v>
      </c>
      <c r="S101" s="163">
        <f t="shared" ref="S101:V101" si="46">SUM(S10:S100)</f>
        <v>8831.5226368509066</v>
      </c>
      <c r="T101" s="163">
        <f t="shared" si="46"/>
        <v>8806.6494143024684</v>
      </c>
      <c r="U101" s="163">
        <f t="shared" si="46"/>
        <v>8736.6439113784454</v>
      </c>
      <c r="V101" s="163">
        <f t="shared" si="46"/>
        <v>26374.815962531815</v>
      </c>
      <c r="X101" s="187"/>
      <c r="Y101" s="187"/>
      <c r="Z101" s="187"/>
      <c r="AA101" s="163">
        <f>SUM(AA10:AA100)</f>
        <v>26688.7</v>
      </c>
    </row>
    <row r="102" spans="2:28" ht="14.25" customHeight="1" x14ac:dyDescent="0.2">
      <c r="M102" s="246"/>
      <c r="S102" s="220">
        <f>+S101-'Input Sheet'!H248</f>
        <v>0</v>
      </c>
      <c r="T102" s="220">
        <f>+T101-'Input Sheet'!I248</f>
        <v>0</v>
      </c>
      <c r="U102" s="220">
        <f>+U101-'Input Sheet'!J248</f>
        <v>0</v>
      </c>
      <c r="AA102" s="358"/>
    </row>
    <row r="103" spans="2:28" ht="14.25" customHeight="1" x14ac:dyDescent="0.25">
      <c r="M103" s="247"/>
      <c r="Y103" s="117"/>
      <c r="Z103" s="117"/>
      <c r="AA103" s="106"/>
    </row>
    <row r="104" spans="2:28" ht="14.25" customHeight="1" x14ac:dyDescent="0.25">
      <c r="M104" s="246"/>
      <c r="Y104" s="118"/>
      <c r="Z104" s="118"/>
      <c r="AA104" s="106"/>
    </row>
    <row r="105" spans="2:28" ht="14.25" customHeight="1" x14ac:dyDescent="0.25">
      <c r="M105" s="246"/>
      <c r="Y105" s="118"/>
      <c r="Z105" s="118"/>
      <c r="AA105" s="113"/>
    </row>
    <row r="106" spans="2:28" x14ac:dyDescent="0.25">
      <c r="M106" s="246"/>
      <c r="V106" s="106"/>
    </row>
    <row r="107" spans="2:28" x14ac:dyDescent="0.25">
      <c r="K107" s="112"/>
      <c r="L107" s="112"/>
      <c r="M107" s="248"/>
      <c r="N107" s="109"/>
      <c r="O107" s="109"/>
      <c r="P107" s="109"/>
      <c r="Q107" s="109"/>
      <c r="V107" s="106"/>
    </row>
    <row r="108" spans="2:28" x14ac:dyDescent="0.25">
      <c r="K108" s="112"/>
      <c r="L108" s="112"/>
      <c r="M108" s="249"/>
      <c r="N108" s="184"/>
      <c r="O108" s="184"/>
      <c r="P108" s="184"/>
      <c r="Q108" s="184"/>
      <c r="V108" s="106"/>
    </row>
    <row r="109" spans="2:28" x14ac:dyDescent="0.25">
      <c r="K109" s="112"/>
      <c r="L109" s="112"/>
      <c r="M109" s="248"/>
      <c r="N109" s="112"/>
      <c r="O109" s="112"/>
      <c r="P109" s="111"/>
      <c r="Q109" s="111"/>
      <c r="R109" s="116"/>
    </row>
    <row r="110" spans="2:28" x14ac:dyDescent="0.25">
      <c r="K110" s="112"/>
      <c r="L110" s="112"/>
      <c r="M110" s="248"/>
      <c r="N110" s="112"/>
      <c r="O110" s="112"/>
      <c r="P110" s="112"/>
      <c r="Q110" s="111"/>
    </row>
    <row r="111" spans="2:28" x14ac:dyDescent="0.25">
      <c r="K111" s="112"/>
      <c r="L111" s="112"/>
      <c r="M111" s="248"/>
      <c r="N111" s="112"/>
      <c r="O111" s="112"/>
      <c r="P111" s="112"/>
      <c r="Q111" s="112"/>
    </row>
    <row r="112" spans="2:28" x14ac:dyDescent="0.25">
      <c r="K112" s="112"/>
      <c r="L112" s="112"/>
      <c r="M112" s="248"/>
      <c r="N112" s="185"/>
      <c r="O112" s="185"/>
      <c r="P112" s="185"/>
      <c r="Q112" s="185"/>
    </row>
    <row r="113" spans="13:17" x14ac:dyDescent="0.25">
      <c r="M113" s="246"/>
      <c r="N113" s="119"/>
      <c r="O113" s="119"/>
      <c r="P113" s="119"/>
      <c r="Q113" s="119"/>
    </row>
    <row r="114" spans="13:17" x14ac:dyDescent="0.25">
      <c r="M114" s="246"/>
    </row>
    <row r="115" spans="13:17" x14ac:dyDescent="0.25">
      <c r="M115" s="246"/>
    </row>
    <row r="116" spans="13:17" x14ac:dyDescent="0.25">
      <c r="M116" s="246"/>
    </row>
    <row r="117" spans="13:17" x14ac:dyDescent="0.25">
      <c r="M117" s="246"/>
    </row>
    <row r="118" spans="13:17" x14ac:dyDescent="0.25">
      <c r="M118" s="246"/>
    </row>
    <row r="119" spans="13:17" x14ac:dyDescent="0.25">
      <c r="M119" s="246"/>
    </row>
    <row r="120" spans="13:17" x14ac:dyDescent="0.25">
      <c r="M120" s="246"/>
    </row>
    <row r="121" spans="13:17" x14ac:dyDescent="0.25">
      <c r="M121" s="246"/>
    </row>
    <row r="122" spans="13:17" x14ac:dyDescent="0.25">
      <c r="M122" s="246"/>
    </row>
    <row r="123" spans="13:17" x14ac:dyDescent="0.25">
      <c r="M123" s="246"/>
    </row>
  </sheetData>
  <mergeCells count="6">
    <mergeCell ref="B6:Q6"/>
    <mergeCell ref="C8:G8"/>
    <mergeCell ref="I8:L8"/>
    <mergeCell ref="X8:AA8"/>
    <mergeCell ref="S8:V8"/>
    <mergeCell ref="N8:Q8"/>
  </mergeCells>
  <pageMargins left="0.39370078740157483" right="0.39370078740157483" top="0.39370078740157483" bottom="0.39370078740157483" header="0.19685039370078741" footer="0.19685039370078741"/>
  <pageSetup paperSize="9" scale="41" fitToHeight="0" orientation="landscape" r:id="rId1"/>
  <headerFooter>
    <oddFooter>&amp;C&amp;F&amp;R&amp;A</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53</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6"/>
  <sheetViews>
    <sheetView showGridLines="0" tabSelected="1"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9" ht="21" x14ac:dyDescent="0.35">
      <c r="B2" s="128" t="s">
        <v>59</v>
      </c>
      <c r="C2" s="129"/>
      <c r="D2" s="129"/>
      <c r="E2" s="129"/>
      <c r="F2" s="129"/>
      <c r="G2" s="129"/>
      <c r="H2" s="129"/>
    </row>
    <row r="3" spans="2:9" x14ac:dyDescent="0.25">
      <c r="B3" s="11" t="s">
        <v>0</v>
      </c>
      <c r="C3" s="16" t="s">
        <v>100</v>
      </c>
      <c r="D3" s="17"/>
      <c r="E3" s="17"/>
      <c r="F3" s="17"/>
      <c r="G3" s="17"/>
      <c r="H3" s="17"/>
    </row>
    <row r="4" spans="2:9" x14ac:dyDescent="0.25">
      <c r="B4" s="11" t="s">
        <v>226</v>
      </c>
      <c r="C4" s="541" t="s">
        <v>242</v>
      </c>
      <c r="D4" s="542"/>
      <c r="E4" s="542"/>
      <c r="F4" s="542"/>
      <c r="G4" s="542"/>
      <c r="H4" s="542"/>
    </row>
    <row r="5" spans="2:9" x14ac:dyDescent="0.25">
      <c r="B5" s="11" t="s">
        <v>206</v>
      </c>
      <c r="C5" s="541" t="s">
        <v>227</v>
      </c>
      <c r="D5" s="542"/>
      <c r="E5" s="542"/>
      <c r="F5" s="542"/>
      <c r="G5" s="542"/>
      <c r="H5" s="542"/>
    </row>
    <row r="6" spans="2:9" ht="31.5" customHeight="1" x14ac:dyDescent="0.25">
      <c r="B6" s="134" t="s">
        <v>207</v>
      </c>
      <c r="C6" s="543" t="s">
        <v>219</v>
      </c>
      <c r="D6" s="543"/>
      <c r="E6" s="543"/>
      <c r="F6" s="543"/>
      <c r="G6" s="543"/>
      <c r="H6" s="543"/>
    </row>
    <row r="7" spans="2:9" x14ac:dyDescent="0.25">
      <c r="B7" s="134"/>
      <c r="C7" s="274"/>
      <c r="D7" s="290" t="s">
        <v>17</v>
      </c>
      <c r="E7" s="290" t="s">
        <v>18</v>
      </c>
      <c r="F7" s="290" t="s">
        <v>19</v>
      </c>
      <c r="G7" s="290" t="s">
        <v>20</v>
      </c>
      <c r="H7" s="290" t="s">
        <v>21</v>
      </c>
    </row>
    <row r="8" spans="2:9" x14ac:dyDescent="0.25">
      <c r="B8" s="134"/>
      <c r="C8" s="274"/>
      <c r="D8" s="291">
        <f>+'Input Sheet'!G281</f>
        <v>202.58079139378449</v>
      </c>
      <c r="E8" s="291">
        <f>+'Input Sheet'!H281</f>
        <v>211.41933457916826</v>
      </c>
      <c r="F8" s="291">
        <f>+'Input Sheet'!I281</f>
        <v>218.57750684634706</v>
      </c>
      <c r="G8" s="291">
        <f>+'Input Sheet'!J281</f>
        <v>226.27758978315956</v>
      </c>
      <c r="H8" s="291">
        <f>+'Input Sheet'!K281</f>
        <v>234.06976377046144</v>
      </c>
    </row>
    <row r="10" spans="2:9" x14ac:dyDescent="0.25">
      <c r="B10" s="126" t="s">
        <v>68</v>
      </c>
      <c r="C10" s="123"/>
      <c r="D10" s="123"/>
      <c r="E10" s="123"/>
      <c r="F10" s="123"/>
      <c r="G10" s="123"/>
      <c r="H10" s="123"/>
    </row>
    <row r="11" spans="2:9" ht="30" customHeight="1" x14ac:dyDescent="0.25">
      <c r="B11" s="537" t="s">
        <v>203</v>
      </c>
      <c r="C11" s="537"/>
      <c r="D11" s="537"/>
      <c r="E11" s="537"/>
      <c r="F11" s="537"/>
      <c r="G11" s="537"/>
      <c r="H11" s="537"/>
      <c r="I11" s="275"/>
    </row>
    <row r="13" spans="2:9" x14ac:dyDescent="0.25">
      <c r="B13" s="126" t="s">
        <v>228</v>
      </c>
      <c r="C13" s="123"/>
      <c r="D13" s="123"/>
      <c r="E13" s="123"/>
      <c r="F13" s="123"/>
      <c r="G13" s="123"/>
      <c r="H13" s="123"/>
    </row>
    <row r="14" spans="2:9" ht="15" customHeight="1" x14ac:dyDescent="0.25">
      <c r="B14" s="536" t="s">
        <v>90</v>
      </c>
      <c r="C14" s="536"/>
      <c r="D14" s="536"/>
      <c r="E14" s="536"/>
      <c r="F14" s="536"/>
      <c r="G14" s="536"/>
      <c r="H14" s="536"/>
    </row>
    <row r="15" spans="2:9" ht="47.25" customHeight="1" x14ac:dyDescent="0.25">
      <c r="B15" s="537" t="s">
        <v>91</v>
      </c>
      <c r="C15" s="537"/>
      <c r="D15" s="537"/>
      <c r="E15" s="537"/>
      <c r="F15" s="537"/>
      <c r="G15" s="537"/>
      <c r="H15" s="537"/>
    </row>
    <row r="16" spans="2:9" ht="32.25" customHeight="1" x14ac:dyDescent="0.25">
      <c r="B16" s="537" t="s">
        <v>229</v>
      </c>
      <c r="C16" s="537"/>
      <c r="D16" s="537"/>
      <c r="E16" s="537"/>
      <c r="F16" s="537"/>
      <c r="G16" s="537"/>
      <c r="H16" s="537"/>
    </row>
    <row r="17" spans="2:8" ht="47.25" customHeight="1" x14ac:dyDescent="0.25">
      <c r="B17" s="537" t="s">
        <v>230</v>
      </c>
      <c r="C17" s="537"/>
      <c r="D17" s="537"/>
      <c r="E17" s="537"/>
      <c r="F17" s="537"/>
      <c r="G17" s="537"/>
      <c r="H17" s="537"/>
    </row>
    <row r="18" spans="2:8" ht="47.25" customHeight="1" x14ac:dyDescent="0.25">
      <c r="B18" s="537" t="s">
        <v>243</v>
      </c>
      <c r="C18" s="537"/>
      <c r="D18" s="537"/>
      <c r="E18" s="537"/>
      <c r="F18" s="537"/>
      <c r="G18" s="537"/>
      <c r="H18" s="537"/>
    </row>
    <row r="19" spans="2:8" ht="32.25" customHeight="1" x14ac:dyDescent="0.25">
      <c r="B19" s="537" t="s">
        <v>244</v>
      </c>
      <c r="C19" s="537"/>
      <c r="D19" s="537"/>
      <c r="E19" s="537"/>
      <c r="F19" s="537"/>
      <c r="G19" s="537"/>
      <c r="H19" s="537"/>
    </row>
    <row r="20" spans="2:8" ht="45.75" customHeight="1" x14ac:dyDescent="0.25">
      <c r="B20" s="537" t="s">
        <v>245</v>
      </c>
      <c r="C20" s="537"/>
      <c r="D20" s="537"/>
      <c r="E20" s="537"/>
      <c r="F20" s="537"/>
      <c r="G20" s="537"/>
      <c r="H20" s="537"/>
    </row>
    <row r="22" spans="2:8" x14ac:dyDescent="0.25">
      <c r="B22" s="126" t="s">
        <v>92</v>
      </c>
      <c r="C22" s="123"/>
      <c r="D22" s="123"/>
      <c r="E22" s="123"/>
      <c r="F22" s="123"/>
      <c r="G22" s="123"/>
      <c r="H22" s="123"/>
    </row>
    <row r="23" spans="2:8" ht="48" customHeight="1" x14ac:dyDescent="0.25">
      <c r="B23" s="536" t="s">
        <v>246</v>
      </c>
      <c r="C23" s="536"/>
      <c r="D23" s="536"/>
      <c r="E23" s="536"/>
      <c r="F23" s="536"/>
      <c r="G23" s="536"/>
      <c r="H23" s="536"/>
    </row>
    <row r="25" spans="2:8" x14ac:dyDescent="0.25">
      <c r="B25" s="14" t="s">
        <v>95</v>
      </c>
      <c r="C25" s="538" t="s">
        <v>5</v>
      </c>
      <c r="D25" s="539"/>
      <c r="E25" s="13" t="s">
        <v>13</v>
      </c>
      <c r="F25" s="13" t="s">
        <v>14</v>
      </c>
      <c r="G25" s="13" t="s">
        <v>15</v>
      </c>
      <c r="H25" s="199" t="s">
        <v>1</v>
      </c>
    </row>
    <row r="26" spans="2:8" x14ac:dyDescent="0.25">
      <c r="B26" s="15" t="s">
        <v>93</v>
      </c>
      <c r="C26" s="540" t="s">
        <v>96</v>
      </c>
      <c r="D26" s="540"/>
      <c r="E26" s="9">
        <f>+'Input Sheet'!H109+'Input Sheet'!H110</f>
        <v>1005542.0999999993</v>
      </c>
      <c r="F26" s="9">
        <f>+'Input Sheet'!I109+'Input Sheet'!I110</f>
        <v>845924.09999999939</v>
      </c>
      <c r="G26" s="9">
        <f>+'Input Sheet'!J109+'Input Sheet'!J110</f>
        <v>1025197.03</v>
      </c>
      <c r="H26" s="18">
        <f>SUM(D26:G26)</f>
        <v>2876663.2299999986</v>
      </c>
    </row>
    <row r="27" spans="2:8" x14ac:dyDescent="0.25">
      <c r="B27" s="15" t="s">
        <v>24</v>
      </c>
      <c r="C27" s="540" t="s">
        <v>231</v>
      </c>
      <c r="D27" s="540"/>
      <c r="E27" s="9">
        <f>'Input Sheet'!H253</f>
        <v>700142.52950444596</v>
      </c>
      <c r="F27" s="9">
        <f>'Input Sheet'!I253</f>
        <v>722288.02491656516</v>
      </c>
      <c r="G27" s="9">
        <f>'Input Sheet'!J253</f>
        <v>698189.57546967524</v>
      </c>
      <c r="H27" s="18">
        <f>SUM(D27:G27)</f>
        <v>2120620.1298906864</v>
      </c>
    </row>
    <row r="28" spans="2:8" x14ac:dyDescent="0.25">
      <c r="B28" t="s">
        <v>4</v>
      </c>
      <c r="C28" s="540" t="s">
        <v>97</v>
      </c>
      <c r="D28" s="540"/>
      <c r="E28" s="120">
        <f>+'Input Sheet'!H221</f>
        <v>1232</v>
      </c>
      <c r="F28" s="120">
        <f>'Input Sheet'!I221</f>
        <v>1094</v>
      </c>
      <c r="G28" s="120">
        <f>'Input Sheet'!J221</f>
        <v>1160</v>
      </c>
      <c r="H28" s="122">
        <f>SUM(D28:G28)</f>
        <v>3486</v>
      </c>
    </row>
    <row r="30" spans="2:8" x14ac:dyDescent="0.25">
      <c r="B30" s="126" t="s">
        <v>94</v>
      </c>
      <c r="C30" s="123"/>
      <c r="D30" s="123"/>
      <c r="E30" s="123"/>
      <c r="F30" s="123"/>
      <c r="G30" s="123"/>
      <c r="H30" s="123"/>
    </row>
    <row r="31" spans="2:8" ht="78.75" customHeight="1" x14ac:dyDescent="0.25">
      <c r="B31" s="536" t="s">
        <v>251</v>
      </c>
      <c r="C31" s="536"/>
      <c r="D31" s="536"/>
      <c r="E31" s="536"/>
      <c r="F31" s="536"/>
      <c r="G31" s="536"/>
      <c r="H31" s="536"/>
    </row>
    <row r="33" spans="2:8" x14ac:dyDescent="0.25">
      <c r="B33" s="12" t="s">
        <v>95</v>
      </c>
      <c r="C33" s="13" t="s">
        <v>17</v>
      </c>
      <c r="D33" s="13" t="s">
        <v>18</v>
      </c>
      <c r="E33" s="13" t="s">
        <v>19</v>
      </c>
      <c r="F33" s="13" t="s">
        <v>20</v>
      </c>
      <c r="G33" s="13" t="s">
        <v>21</v>
      </c>
      <c r="H33" s="199" t="s">
        <v>1</v>
      </c>
    </row>
    <row r="34" spans="2:8" s="2" customFormat="1" x14ac:dyDescent="0.25">
      <c r="B34" s="15" t="s">
        <v>93</v>
      </c>
      <c r="C34" s="9">
        <f>'Fee Breakdown'!AC107</f>
        <v>2166738.5059661372</v>
      </c>
      <c r="D34" s="9">
        <f>'Fee Breakdown'!AD107</f>
        <v>2261272.7000753386</v>
      </c>
      <c r="E34" s="9">
        <f>'Fee Breakdown'!AE107</f>
        <v>2337834.191305208</v>
      </c>
      <c r="F34" s="9">
        <f>'Fee Breakdown'!AF107</f>
        <v>2420191.783471453</v>
      </c>
      <c r="G34" s="9">
        <f>'Fee Breakdown'!AG107</f>
        <v>2503534.3516750475</v>
      </c>
      <c r="H34" s="18">
        <f>SUM(C34:G34)</f>
        <v>11689571.532493185</v>
      </c>
    </row>
    <row r="35" spans="2:8" s="2" customFormat="1" x14ac:dyDescent="0.25">
      <c r="B35" s="292"/>
      <c r="C35" s="293"/>
      <c r="D35" s="293"/>
      <c r="E35" s="293"/>
      <c r="F35" s="293"/>
      <c r="G35" s="293"/>
      <c r="H35" s="293"/>
    </row>
    <row r="36" spans="2:8" x14ac:dyDescent="0.25">
      <c r="B36" s="15" t="s">
        <v>24</v>
      </c>
      <c r="C36" s="9">
        <f>'Fee Breakdown'!Q213</f>
        <v>956661.9828050714</v>
      </c>
      <c r="D36" s="9">
        <f>'Fee Breakdown'!R213</f>
        <v>998400.87715266715</v>
      </c>
      <c r="E36" s="9">
        <f>'Fee Breakdown'!S213</f>
        <v>1032204.4338831184</v>
      </c>
      <c r="F36" s="9">
        <f>'Fee Breakdown'!T213</f>
        <v>1068567.0947228395</v>
      </c>
      <c r="G36" s="9">
        <f>'Fee Breakdown'!U213</f>
        <v>1105364.6438180257</v>
      </c>
      <c r="H36" s="18">
        <f>SUM(C36:G36)</f>
        <v>5161199.0323817227</v>
      </c>
    </row>
    <row r="37" spans="2:8" x14ac:dyDescent="0.25">
      <c r="B37" s="15" t="s">
        <v>26</v>
      </c>
      <c r="C37" s="9">
        <f>'Fee Breakdown'!W213</f>
        <v>1122597.2551703728</v>
      </c>
      <c r="D37" s="9">
        <f>'Fee Breakdown'!X213</f>
        <v>1257988.5798351397</v>
      </c>
      <c r="E37" s="9">
        <f>'Fee Breakdown'!Y213</f>
        <v>1311975.3558579069</v>
      </c>
      <c r="F37" s="9">
        <f>'Fee Breakdown'!Z213</f>
        <v>1386333.4302763713</v>
      </c>
      <c r="G37" s="9">
        <f>'Fee Breakdown'!AA213</f>
        <v>1461953.7394795443</v>
      </c>
      <c r="H37" s="18">
        <f>SUM(C37:G37)</f>
        <v>6540848.3606193354</v>
      </c>
    </row>
    <row r="38" spans="2:8" ht="15.75" thickBot="1" x14ac:dyDescent="0.3">
      <c r="B38" s="124" t="s">
        <v>72</v>
      </c>
      <c r="C38" s="125">
        <f>SUM(C36:C37)</f>
        <v>2079259.2379754442</v>
      </c>
      <c r="D38" s="125">
        <f t="shared" ref="D38:H38" si="0">SUM(D36:D37)</f>
        <v>2256389.4569878066</v>
      </c>
      <c r="E38" s="125">
        <f t="shared" si="0"/>
        <v>2344179.7897410253</v>
      </c>
      <c r="F38" s="125">
        <f t="shared" si="0"/>
        <v>2454900.5249992106</v>
      </c>
      <c r="G38" s="125">
        <f t="shared" si="0"/>
        <v>2567318.38329757</v>
      </c>
      <c r="H38" s="125">
        <f t="shared" si="0"/>
        <v>11702047.393001057</v>
      </c>
    </row>
    <row r="39" spans="2:8" x14ac:dyDescent="0.25">
      <c r="B39" s="15"/>
      <c r="C39" s="9"/>
      <c r="D39" s="9"/>
      <c r="E39" s="9"/>
      <c r="F39" s="9"/>
      <c r="G39" s="9"/>
      <c r="H39" s="18"/>
    </row>
    <row r="40" spans="2:8" x14ac:dyDescent="0.25">
      <c r="B40" t="s">
        <v>4</v>
      </c>
      <c r="C40" s="197">
        <f>'Fee Breakdown'!H213</f>
        <v>1182</v>
      </c>
      <c r="D40" s="197">
        <f>'Fee Breakdown'!I213</f>
        <v>1182</v>
      </c>
      <c r="E40" s="197">
        <f>'Fee Breakdown'!J213</f>
        <v>1182</v>
      </c>
      <c r="F40" s="197">
        <f>'Fee Breakdown'!K213</f>
        <v>1182</v>
      </c>
      <c r="G40" s="197">
        <f>'Fee Breakdown'!L213</f>
        <v>1182</v>
      </c>
      <c r="H40" s="198">
        <f>SUM(C40:G40)</f>
        <v>5910</v>
      </c>
    </row>
    <row r="41" spans="2:8" x14ac:dyDescent="0.25">
      <c r="C41" s="3"/>
      <c r="D41" s="4"/>
      <c r="E41" s="3"/>
      <c r="F41" s="3"/>
      <c r="G41" s="3"/>
    </row>
    <row r="42" spans="2:8" x14ac:dyDescent="0.25">
      <c r="B42" s="126" t="s">
        <v>69</v>
      </c>
      <c r="C42" s="123"/>
      <c r="D42" s="123"/>
      <c r="E42" s="123"/>
      <c r="F42" s="123"/>
      <c r="G42" s="123"/>
      <c r="H42" s="123"/>
    </row>
    <row r="43" spans="2:8" ht="64.5" customHeight="1" x14ac:dyDescent="0.25">
      <c r="B43" s="536" t="s">
        <v>247</v>
      </c>
      <c r="C43" s="536"/>
      <c r="D43" s="536"/>
      <c r="E43" s="536"/>
      <c r="F43" s="536"/>
      <c r="G43" s="536"/>
      <c r="H43" s="536"/>
    </row>
    <row r="45" spans="2:8" x14ac:dyDescent="0.25">
      <c r="B45" s="12" t="s">
        <v>95</v>
      </c>
      <c r="C45" s="13" t="s">
        <v>17</v>
      </c>
      <c r="D45" s="13" t="s">
        <v>18</v>
      </c>
      <c r="E45" s="13" t="s">
        <v>19</v>
      </c>
      <c r="F45" s="13" t="s">
        <v>20</v>
      </c>
      <c r="G45" s="13" t="s">
        <v>21</v>
      </c>
      <c r="H45" s="199" t="s">
        <v>71</v>
      </c>
    </row>
    <row r="46" spans="2:8" x14ac:dyDescent="0.25">
      <c r="B46" t="s">
        <v>70</v>
      </c>
      <c r="C46" s="8">
        <f>+'Input Sheet'!G298</f>
        <v>2.1734523534412387</v>
      </c>
      <c r="D46" s="8">
        <f>+'Input Sheet'!H298</f>
        <v>2.2600034801880273</v>
      </c>
      <c r="E46" s="8">
        <f>+'Input Sheet'!I298</f>
        <v>2.2710421625707418</v>
      </c>
      <c r="F46" s="8">
        <f>+'Input Sheet'!J298</f>
        <v>2.2973761190315822</v>
      </c>
      <c r="G46" s="8">
        <f>+'Input Sheet'!K298</f>
        <v>2.3225986082111594</v>
      </c>
      <c r="H46" s="121">
        <f>AVERAGE(C46:G46)</f>
        <v>2.2648945446885498</v>
      </c>
    </row>
  </sheetData>
  <mergeCells count="18">
    <mergeCell ref="C4:H4"/>
    <mergeCell ref="C5:H5"/>
    <mergeCell ref="C27:D27"/>
    <mergeCell ref="C28:D28"/>
    <mergeCell ref="C6:H6"/>
    <mergeCell ref="B11:H11"/>
    <mergeCell ref="B43:H43"/>
    <mergeCell ref="B14:H14"/>
    <mergeCell ref="B15:H15"/>
    <mergeCell ref="B16:H16"/>
    <mergeCell ref="B23:H23"/>
    <mergeCell ref="B17:H17"/>
    <mergeCell ref="B19:H19"/>
    <mergeCell ref="B20:H20"/>
    <mergeCell ref="B18:H18"/>
    <mergeCell ref="B31:H31"/>
    <mergeCell ref="C25:D25"/>
    <mergeCell ref="C26:D26"/>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128" t="s">
        <v>58</v>
      </c>
      <c r="C2" s="128"/>
      <c r="D2" s="127"/>
      <c r="E2" s="127"/>
      <c r="F2" s="127"/>
      <c r="G2" s="127"/>
      <c r="H2" s="127"/>
      <c r="I2" s="127"/>
      <c r="J2" s="127"/>
      <c r="K2" s="127"/>
    </row>
    <row r="3" spans="2:13" x14ac:dyDescent="0.25">
      <c r="B3" s="14" t="s">
        <v>0</v>
      </c>
      <c r="C3" s="12"/>
      <c r="D3" s="544" t="str">
        <f>'AER Summary'!C3</f>
        <v>Inspection of Service Work (Level 1 work)</v>
      </c>
      <c r="E3" s="545"/>
      <c r="F3" s="545"/>
      <c r="G3" s="545"/>
      <c r="H3" s="545"/>
      <c r="I3" s="545"/>
      <c r="J3" s="545"/>
      <c r="K3" s="545"/>
      <c r="M3" s="6"/>
    </row>
    <row r="4" spans="2:13" x14ac:dyDescent="0.25">
      <c r="M4" s="6"/>
    </row>
    <row r="5" spans="2:13" x14ac:dyDescent="0.25">
      <c r="B5" s="126" t="s">
        <v>98</v>
      </c>
      <c r="C5" s="126"/>
      <c r="D5" s="126"/>
      <c r="E5" s="126"/>
      <c r="F5" s="126"/>
      <c r="G5" s="126"/>
      <c r="H5" s="126"/>
      <c r="I5" s="126"/>
      <c r="J5" s="126"/>
      <c r="K5" s="126"/>
      <c r="M5" s="7"/>
    </row>
    <row r="6" spans="2:13" ht="32.25" customHeight="1" x14ac:dyDescent="0.25">
      <c r="B6" s="536" t="s">
        <v>205</v>
      </c>
      <c r="C6" s="536"/>
      <c r="D6" s="536"/>
      <c r="E6" s="536"/>
      <c r="F6" s="536"/>
      <c r="G6" s="536"/>
      <c r="H6" s="536"/>
      <c r="I6" s="536"/>
      <c r="J6" s="536"/>
      <c r="K6" s="536"/>
      <c r="M6" s="7"/>
    </row>
    <row r="8" spans="2:13" x14ac:dyDescent="0.25">
      <c r="B8" s="126" t="s">
        <v>7</v>
      </c>
      <c r="C8" s="126"/>
      <c r="D8" s="126"/>
      <c r="E8" s="126"/>
      <c r="F8" s="126"/>
      <c r="G8" s="126"/>
      <c r="H8" s="126"/>
      <c r="I8" s="126"/>
      <c r="J8" s="126"/>
      <c r="K8" s="126"/>
    </row>
    <row r="9" spans="2:13" ht="30" customHeight="1" x14ac:dyDescent="0.25">
      <c r="B9" s="546" t="s">
        <v>203</v>
      </c>
      <c r="C9" s="546"/>
      <c r="D9" s="546"/>
      <c r="E9" s="546"/>
      <c r="F9" s="546"/>
      <c r="G9" s="546"/>
      <c r="H9" s="546"/>
      <c r="I9" s="546"/>
      <c r="J9" s="546"/>
      <c r="K9" s="546"/>
    </row>
    <row r="11" spans="2:13" x14ac:dyDescent="0.25">
      <c r="B11" s="126" t="s">
        <v>99</v>
      </c>
      <c r="C11" s="126"/>
      <c r="D11" s="126"/>
      <c r="E11" s="126"/>
      <c r="F11" s="126"/>
      <c r="G11" s="126"/>
      <c r="H11" s="126"/>
      <c r="I11" s="126"/>
      <c r="J11" s="126"/>
      <c r="K11" s="126"/>
    </row>
    <row r="12" spans="2:13" ht="33.75" customHeight="1" x14ac:dyDescent="0.25">
      <c r="B12" s="536" t="s">
        <v>204</v>
      </c>
      <c r="C12" s="536"/>
      <c r="D12" s="536"/>
      <c r="E12" s="536"/>
      <c r="F12" s="536"/>
      <c r="G12" s="536"/>
      <c r="H12" s="536"/>
      <c r="I12" s="536"/>
      <c r="J12" s="536"/>
      <c r="K12" s="536"/>
    </row>
    <row r="13" spans="2:13" x14ac:dyDescent="0.25">
      <c r="B13" s="10"/>
    </row>
  </sheetData>
  <mergeCells count="4">
    <mergeCell ref="D3:K3"/>
    <mergeCell ref="B9:K9"/>
    <mergeCell ref="B6:K6"/>
    <mergeCell ref="B12:K12"/>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H379"/>
  <sheetViews>
    <sheetView showGridLines="0" zoomScaleNormal="100" workbookViewId="0"/>
  </sheetViews>
  <sheetFormatPr defaultColWidth="9.140625" defaultRowHeight="12.75" zeroHeight="1" x14ac:dyDescent="0.25"/>
  <cols>
    <col min="1" max="1" width="2.5703125" style="26" customWidth="1"/>
    <col min="2" max="2" width="76.42578125" style="26" customWidth="1"/>
    <col min="3" max="6" width="10" style="26" customWidth="1"/>
    <col min="7" max="7" width="2.85546875" style="26" customWidth="1"/>
    <col min="8" max="9" width="10" style="26" customWidth="1"/>
    <col min="10" max="12" width="10" style="63" customWidth="1"/>
    <col min="13" max="13" width="2.85546875" style="63" customWidth="1"/>
    <col min="14" max="15" width="10" style="79" customWidth="1"/>
    <col min="16" max="16" width="3.140625" style="63" customWidth="1"/>
    <col min="17" max="21" width="10" style="63" customWidth="1"/>
    <col min="22" max="22" width="3.7109375" style="79" customWidth="1"/>
    <col min="23" max="27" width="10" style="80" customWidth="1"/>
    <col min="28" max="28" width="3.7109375" style="26" customWidth="1"/>
    <col min="29" max="33" width="10" style="330" customWidth="1"/>
    <col min="34" max="34" width="2.85546875" style="26" customWidth="1"/>
    <col min="35" max="64" width="9.140625" style="26" customWidth="1"/>
    <col min="65" max="16384" width="9.140625" style="26"/>
  </cols>
  <sheetData>
    <row r="1" spans="2:34" x14ac:dyDescent="0.25"/>
    <row r="2" spans="2:34" ht="21" x14ac:dyDescent="0.25">
      <c r="B2" s="147" t="s">
        <v>60</v>
      </c>
      <c r="C2" s="148"/>
      <c r="D2" s="148"/>
      <c r="E2" s="148"/>
      <c r="F2" s="148"/>
      <c r="G2" s="148"/>
      <c r="H2" s="148"/>
      <c r="I2" s="148"/>
      <c r="J2" s="149"/>
      <c r="K2" s="149"/>
      <c r="L2" s="149"/>
      <c r="M2" s="149"/>
      <c r="N2" s="265"/>
      <c r="O2" s="265"/>
      <c r="P2" s="149"/>
      <c r="Q2" s="149"/>
      <c r="R2" s="149"/>
      <c r="S2" s="149"/>
      <c r="T2" s="149"/>
      <c r="U2" s="149"/>
      <c r="V2" s="149"/>
      <c r="W2" s="149"/>
      <c r="X2" s="149"/>
      <c r="Y2" s="149"/>
      <c r="Z2" s="149"/>
      <c r="AA2" s="149"/>
      <c r="AB2" s="149"/>
      <c r="AC2" s="331"/>
      <c r="AD2" s="331"/>
      <c r="AE2" s="331"/>
      <c r="AF2" s="331"/>
      <c r="AG2" s="331"/>
    </row>
    <row r="3" spans="2:34" ht="15" x14ac:dyDescent="0.25">
      <c r="B3" s="77" t="s">
        <v>0</v>
      </c>
      <c r="C3" s="78" t="str">
        <f>+'AER Summary'!C3</f>
        <v>Inspection of Service Work (Level 1 work)</v>
      </c>
      <c r="D3" s="78"/>
      <c r="E3" s="78"/>
      <c r="F3" s="78"/>
      <c r="G3" s="78"/>
      <c r="H3" s="78"/>
      <c r="I3" s="78"/>
      <c r="J3" s="78"/>
      <c r="K3" s="78"/>
      <c r="L3" s="78"/>
      <c r="M3" s="78"/>
      <c r="N3" s="266"/>
      <c r="O3" s="266"/>
      <c r="P3" s="78"/>
      <c r="Q3" s="78"/>
      <c r="R3" s="78"/>
      <c r="S3" s="78"/>
      <c r="T3" s="78"/>
      <c r="U3" s="78"/>
      <c r="V3" s="78"/>
      <c r="W3" s="78"/>
      <c r="X3" s="78"/>
      <c r="Y3" s="78"/>
      <c r="Z3" s="78"/>
      <c r="AA3" s="78"/>
      <c r="AB3" s="78"/>
      <c r="AC3" s="332"/>
      <c r="AD3" s="332"/>
      <c r="AE3" s="332"/>
      <c r="AF3" s="332"/>
      <c r="AG3" s="332"/>
    </row>
    <row r="4" spans="2:34" x14ac:dyDescent="0.25"/>
    <row r="5" spans="2:34" ht="15" x14ac:dyDescent="0.25">
      <c r="B5" s="126" t="str">
        <f>"Proposed "&amp;'AER Summary'!C3&amp;" Fees &amp; Revenue"</f>
        <v>Proposed Inspection of Service Work (Level 1 work) Fees &amp; Revenue</v>
      </c>
      <c r="C5" s="126"/>
      <c r="D5" s="126"/>
      <c r="E5" s="126"/>
      <c r="F5" s="126"/>
      <c r="G5" s="126"/>
      <c r="H5" s="126"/>
      <c r="I5" s="126"/>
      <c r="J5" s="126"/>
      <c r="K5" s="126"/>
      <c r="L5" s="126"/>
      <c r="M5" s="126"/>
      <c r="N5" s="262"/>
      <c r="O5" s="262"/>
      <c r="P5" s="126"/>
      <c r="Q5" s="126"/>
      <c r="R5" s="126"/>
      <c r="S5" s="126"/>
      <c r="T5" s="126"/>
      <c r="U5" s="126"/>
      <c r="V5" s="126"/>
      <c r="W5" s="126"/>
      <c r="X5" s="126"/>
      <c r="Y5" s="126"/>
      <c r="Z5" s="126"/>
      <c r="AA5" s="126"/>
      <c r="AB5" s="126"/>
      <c r="AC5" s="333"/>
      <c r="AD5" s="333"/>
      <c r="AE5" s="333"/>
      <c r="AF5" s="333"/>
      <c r="AG5" s="333"/>
    </row>
    <row r="6" spans="2:34" x14ac:dyDescent="0.25">
      <c r="M6" s="100"/>
      <c r="N6" s="263"/>
      <c r="O6" s="263"/>
      <c r="P6" s="100"/>
      <c r="W6" s="68"/>
      <c r="X6" s="68"/>
      <c r="Y6" s="68"/>
      <c r="Z6" s="68"/>
      <c r="AA6" s="68"/>
    </row>
    <row r="7" spans="2:34" x14ac:dyDescent="0.25">
      <c r="C7" s="556" t="s">
        <v>6</v>
      </c>
      <c r="D7" s="557"/>
      <c r="E7" s="557"/>
      <c r="F7" s="558"/>
      <c r="H7" s="559" t="s">
        <v>73</v>
      </c>
      <c r="I7" s="560"/>
      <c r="J7" s="560"/>
      <c r="K7" s="560"/>
      <c r="L7" s="561"/>
      <c r="M7" s="81"/>
      <c r="N7" s="267"/>
      <c r="O7" s="267"/>
      <c r="P7" s="81"/>
      <c r="Q7" s="559" t="s">
        <v>87</v>
      </c>
      <c r="R7" s="560"/>
      <c r="S7" s="560"/>
      <c r="T7" s="560"/>
      <c r="U7" s="561"/>
      <c r="W7" s="562"/>
      <c r="X7" s="562"/>
      <c r="Y7" s="562"/>
      <c r="Z7" s="562"/>
      <c r="AA7" s="562"/>
      <c r="AB7" s="142"/>
      <c r="AC7" s="547" t="s">
        <v>220</v>
      </c>
      <c r="AD7" s="548"/>
      <c r="AE7" s="548"/>
      <c r="AF7" s="548"/>
      <c r="AG7" s="549"/>
      <c r="AH7" s="142"/>
    </row>
    <row r="8" spans="2:34" ht="51" x14ac:dyDescent="0.25">
      <c r="B8" s="82" t="s">
        <v>10</v>
      </c>
      <c r="C8" s="223" t="s">
        <v>62</v>
      </c>
      <c r="D8" s="224" t="s">
        <v>8</v>
      </c>
      <c r="E8" s="224" t="s">
        <v>74</v>
      </c>
      <c r="F8" s="225" t="s">
        <v>61</v>
      </c>
      <c r="H8" s="138" t="s">
        <v>17</v>
      </c>
      <c r="I8" s="139" t="s">
        <v>18</v>
      </c>
      <c r="J8" s="139" t="s">
        <v>19</v>
      </c>
      <c r="K8" s="139" t="s">
        <v>20</v>
      </c>
      <c r="L8" s="140" t="s">
        <v>21</v>
      </c>
      <c r="M8" s="83"/>
      <c r="N8" s="268" t="s">
        <v>85</v>
      </c>
      <c r="O8" s="304"/>
      <c r="P8" s="83"/>
      <c r="Q8" s="84" t="s">
        <v>17</v>
      </c>
      <c r="R8" s="85" t="s">
        <v>18</v>
      </c>
      <c r="S8" s="85" t="s">
        <v>19</v>
      </c>
      <c r="T8" s="85" t="s">
        <v>20</v>
      </c>
      <c r="U8" s="86" t="s">
        <v>21</v>
      </c>
      <c r="W8" s="143"/>
      <c r="X8" s="143"/>
      <c r="Y8" s="143"/>
      <c r="Z8" s="143"/>
      <c r="AA8" s="143"/>
      <c r="AB8" s="142"/>
      <c r="AC8" s="334" t="s">
        <v>17</v>
      </c>
      <c r="AD8" s="335" t="s">
        <v>18</v>
      </c>
      <c r="AE8" s="335" t="s">
        <v>19</v>
      </c>
      <c r="AF8" s="335" t="s">
        <v>20</v>
      </c>
      <c r="AG8" s="336" t="s">
        <v>21</v>
      </c>
      <c r="AH8" s="142"/>
    </row>
    <row r="9" spans="2:34" x14ac:dyDescent="0.25">
      <c r="B9" s="89"/>
      <c r="C9" s="226"/>
      <c r="D9" s="90"/>
      <c r="E9" s="222"/>
      <c r="F9" s="204"/>
      <c r="G9" s="95"/>
      <c r="H9" s="136"/>
      <c r="I9" s="130"/>
      <c r="J9" s="130"/>
      <c r="K9" s="130"/>
      <c r="L9" s="131"/>
      <c r="M9" s="91"/>
      <c r="N9" s="264"/>
      <c r="O9" s="304"/>
      <c r="P9" s="91"/>
      <c r="Q9" s="188"/>
      <c r="R9" s="189"/>
      <c r="S9" s="189"/>
      <c r="T9" s="189"/>
      <c r="U9" s="190"/>
      <c r="V9" s="92"/>
      <c r="W9" s="144"/>
      <c r="X9" s="144"/>
      <c r="Y9" s="144"/>
      <c r="Z9" s="144"/>
      <c r="AA9" s="144"/>
      <c r="AB9" s="142"/>
      <c r="AC9" s="393"/>
      <c r="AD9" s="394"/>
      <c r="AE9" s="394"/>
      <c r="AF9" s="394"/>
      <c r="AG9" s="395"/>
      <c r="AH9" s="142"/>
    </row>
    <row r="10" spans="2:34" x14ac:dyDescent="0.25">
      <c r="B10" s="276" t="s">
        <v>193</v>
      </c>
      <c r="C10" s="276"/>
      <c r="D10" s="277"/>
      <c r="E10" s="277"/>
      <c r="F10" s="278"/>
      <c r="G10" s="95"/>
      <c r="H10" s="279"/>
      <c r="I10" s="280"/>
      <c r="J10" s="280"/>
      <c r="K10" s="280"/>
      <c r="L10" s="281"/>
      <c r="M10" s="91"/>
      <c r="N10" s="282"/>
      <c r="O10" s="304"/>
      <c r="P10" s="91"/>
      <c r="Q10" s="283"/>
      <c r="R10" s="284"/>
      <c r="S10" s="284"/>
      <c r="T10" s="284"/>
      <c r="U10" s="285"/>
      <c r="V10" s="92"/>
      <c r="W10" s="144"/>
      <c r="X10" s="144"/>
      <c r="Y10" s="144"/>
      <c r="Z10" s="144"/>
      <c r="AA10" s="144"/>
      <c r="AB10" s="142"/>
      <c r="AC10" s="397"/>
      <c r="AD10" s="398"/>
      <c r="AE10" s="398"/>
      <c r="AF10" s="398"/>
      <c r="AG10" s="399"/>
      <c r="AH10" s="142"/>
    </row>
    <row r="11" spans="2:34" x14ac:dyDescent="0.2">
      <c r="B11" s="212" t="s">
        <v>107</v>
      </c>
      <c r="C11" s="174">
        <f>'Input Sheet'!G11</f>
        <v>80</v>
      </c>
      <c r="D11" s="259">
        <f>'Input Sheet'!H11</f>
        <v>0.5</v>
      </c>
      <c r="E11" s="104">
        <f>'Input Sheet'!J11</f>
        <v>44</v>
      </c>
      <c r="F11" s="103">
        <f>'Input Sheet'!K11</f>
        <v>40</v>
      </c>
      <c r="G11" s="95"/>
      <c r="H11" s="136">
        <f>+'Input Sheet'!G$281</f>
        <v>202.58079139378449</v>
      </c>
      <c r="I11" s="130">
        <f>+'Input Sheet'!H$281</f>
        <v>211.41933457916826</v>
      </c>
      <c r="J11" s="130">
        <f>+'Input Sheet'!I$281</f>
        <v>218.57750684634706</v>
      </c>
      <c r="K11" s="130">
        <f>+'Input Sheet'!J$281</f>
        <v>226.27758978315956</v>
      </c>
      <c r="L11" s="131">
        <f>+'Input Sheet'!K$281</f>
        <v>234.06976377046144</v>
      </c>
      <c r="M11" s="91"/>
      <c r="N11" s="260">
        <f>+'Standard Hour Calcs'!Z12</f>
        <v>0.5</v>
      </c>
      <c r="O11" s="304"/>
      <c r="P11" s="91"/>
      <c r="Q11" s="191">
        <f t="shared" ref="Q11" si="0">IF($N11="Hourly",H11,H11*$N11)</f>
        <v>101.29039569689225</v>
      </c>
      <c r="R11" s="192">
        <f t="shared" ref="R11" si="1">IF($N11="Hourly",I11,I11*$N11)</f>
        <v>105.70966728958413</v>
      </c>
      <c r="S11" s="192">
        <f t="shared" ref="S11" si="2">IF($N11="Hourly",J11,J11*$N11)</f>
        <v>109.28875342317353</v>
      </c>
      <c r="T11" s="192">
        <f t="shared" ref="T11" si="3">IF($N11="Hourly",K11,K11*$N11)</f>
        <v>113.13879489157978</v>
      </c>
      <c r="U11" s="193">
        <f t="shared" ref="U11" si="4">IF($N11="Hourly",L11,L11*$N11)</f>
        <v>117.03488188523072</v>
      </c>
      <c r="V11" s="92"/>
      <c r="W11" s="144"/>
      <c r="X11" s="144"/>
      <c r="Y11" s="144"/>
      <c r="Z11" s="144"/>
      <c r="AA11" s="144"/>
      <c r="AB11" s="142"/>
      <c r="AC11" s="425">
        <f t="shared" ref="AC11:AG12" si="5">IF($N11="Hourly",$N115*Q11*H115,Q11*H115*$N115)</f>
        <v>23803.242988769678</v>
      </c>
      <c r="AD11" s="426">
        <f t="shared" ref="AD11:AG11" si="6">IF($N11="Hourly",$N115*R11*I115,R11*I115*$N115)</f>
        <v>24841.77181305227</v>
      </c>
      <c r="AE11" s="426">
        <f t="shared" si="6"/>
        <v>25682.85705444578</v>
      </c>
      <c r="AF11" s="426">
        <f t="shared" si="6"/>
        <v>26587.616799521245</v>
      </c>
      <c r="AG11" s="427">
        <f t="shared" si="6"/>
        <v>27503.197243029215</v>
      </c>
      <c r="AH11" s="142"/>
    </row>
    <row r="12" spans="2:34" x14ac:dyDescent="0.2">
      <c r="B12" s="212" t="s">
        <v>108</v>
      </c>
      <c r="C12" s="174">
        <f>'Input Sheet'!G12</f>
        <v>80</v>
      </c>
      <c r="D12" s="259">
        <f>'Input Sheet'!H12</f>
        <v>0.29545454545454547</v>
      </c>
      <c r="E12" s="104">
        <f>'Input Sheet'!J12</f>
        <v>26</v>
      </c>
      <c r="F12" s="103">
        <f>'Input Sheet'!K12</f>
        <v>23.636363636363637</v>
      </c>
      <c r="G12" s="95"/>
      <c r="H12" s="136">
        <f>+'Input Sheet'!G$281</f>
        <v>202.58079139378449</v>
      </c>
      <c r="I12" s="130">
        <f>+'Input Sheet'!H$281</f>
        <v>211.41933457916826</v>
      </c>
      <c r="J12" s="130">
        <f>+'Input Sheet'!I$281</f>
        <v>218.57750684634706</v>
      </c>
      <c r="K12" s="130">
        <f>+'Input Sheet'!J$281</f>
        <v>226.27758978315956</v>
      </c>
      <c r="L12" s="131">
        <f>+'Input Sheet'!K$281</f>
        <v>234.06976377046144</v>
      </c>
      <c r="M12" s="91"/>
      <c r="N12" s="260">
        <f>+'Standard Hour Calcs'!Z13</f>
        <v>0.3</v>
      </c>
      <c r="O12" s="304"/>
      <c r="P12" s="91"/>
      <c r="Q12" s="191">
        <f t="shared" ref="Q12:Q62" si="7">IF($N12="Hourly",H12,H12*$N12)</f>
        <v>60.774237418135343</v>
      </c>
      <c r="R12" s="192">
        <f t="shared" ref="R12:R62" si="8">IF($N12="Hourly",I12,I12*$N12)</f>
        <v>63.425800373750477</v>
      </c>
      <c r="S12" s="192">
        <f t="shared" ref="S12:S62" si="9">IF($N12="Hourly",J12,J12*$N12)</f>
        <v>65.573252053904113</v>
      </c>
      <c r="T12" s="192">
        <f t="shared" ref="T12:T62" si="10">IF($N12="Hourly",K12,K12*$N12)</f>
        <v>67.883276934947858</v>
      </c>
      <c r="U12" s="193">
        <f t="shared" ref="U12:U62" si="11">IF($N12="Hourly",L12,L12*$N12)</f>
        <v>70.220929131138433</v>
      </c>
      <c r="V12" s="92"/>
      <c r="W12" s="144"/>
      <c r="X12" s="144"/>
      <c r="Y12" s="144"/>
      <c r="Z12" s="144"/>
      <c r="AA12" s="144"/>
      <c r="AB12" s="142"/>
      <c r="AC12" s="425">
        <f t="shared" si="5"/>
        <v>130421.51349931845</v>
      </c>
      <c r="AD12" s="426">
        <f t="shared" si="5"/>
        <v>136111.76760206852</v>
      </c>
      <c r="AE12" s="426">
        <f t="shared" si="5"/>
        <v>140720.19890767822</v>
      </c>
      <c r="AF12" s="426">
        <f t="shared" si="5"/>
        <v>145677.5123023981</v>
      </c>
      <c r="AG12" s="427">
        <f t="shared" si="5"/>
        <v>150694.11391542308</v>
      </c>
      <c r="AH12" s="142"/>
    </row>
    <row r="13" spans="2:34" x14ac:dyDescent="0.2">
      <c r="B13" s="212" t="s">
        <v>109</v>
      </c>
      <c r="C13" s="174">
        <f>'Input Sheet'!G13</f>
        <v>80</v>
      </c>
      <c r="D13" s="259">
        <f>'Input Sheet'!H13</f>
        <v>0.10227272727272727</v>
      </c>
      <c r="E13" s="104">
        <f>'Input Sheet'!J13</f>
        <v>9</v>
      </c>
      <c r="F13" s="103">
        <f>'Input Sheet'!K13</f>
        <v>8.1818181818181817</v>
      </c>
      <c r="G13" s="95"/>
      <c r="H13" s="136">
        <f>+'Input Sheet'!G$281</f>
        <v>202.58079139378449</v>
      </c>
      <c r="I13" s="130">
        <f>+'Input Sheet'!H$281</f>
        <v>211.41933457916826</v>
      </c>
      <c r="J13" s="130">
        <f>+'Input Sheet'!I$281</f>
        <v>218.57750684634706</v>
      </c>
      <c r="K13" s="130">
        <f>+'Input Sheet'!J$281</f>
        <v>226.27758978315956</v>
      </c>
      <c r="L13" s="131">
        <f>+'Input Sheet'!K$281</f>
        <v>234.06976377046144</v>
      </c>
      <c r="M13" s="91"/>
      <c r="N13" s="260">
        <f>+'Standard Hour Calcs'!Z14</f>
        <v>0.1</v>
      </c>
      <c r="O13" s="304"/>
      <c r="P13" s="91"/>
      <c r="Q13" s="191">
        <f t="shared" si="7"/>
        <v>20.258079139378452</v>
      </c>
      <c r="R13" s="192">
        <f t="shared" si="8"/>
        <v>21.141933457916828</v>
      </c>
      <c r="S13" s="192">
        <f t="shared" si="9"/>
        <v>21.857750684634709</v>
      </c>
      <c r="T13" s="192">
        <f t="shared" si="10"/>
        <v>22.627758978315956</v>
      </c>
      <c r="U13" s="193">
        <f t="shared" si="11"/>
        <v>23.406976377046146</v>
      </c>
      <c r="V13" s="92"/>
      <c r="W13" s="144"/>
      <c r="X13" s="144"/>
      <c r="Y13" s="144"/>
      <c r="Z13" s="144"/>
      <c r="AA13" s="144"/>
      <c r="AB13" s="142"/>
      <c r="AC13" s="425">
        <f t="shared" ref="AC13:AG13" si="12">IF($N13="Hourly",$N117*Q13*H117,Q13*H117*$N117)</f>
        <v>59072.558770427568</v>
      </c>
      <c r="AD13" s="426">
        <f t="shared" si="12"/>
        <v>61649.877963285471</v>
      </c>
      <c r="AE13" s="426">
        <f t="shared" si="12"/>
        <v>63737.200996394815</v>
      </c>
      <c r="AF13" s="426">
        <f t="shared" si="12"/>
        <v>65982.545180769332</v>
      </c>
      <c r="AG13" s="427">
        <f t="shared" si="12"/>
        <v>68254.743115466554</v>
      </c>
      <c r="AH13" s="142"/>
    </row>
    <row r="14" spans="2:34" x14ac:dyDescent="0.2">
      <c r="B14" s="212" t="s">
        <v>110</v>
      </c>
      <c r="C14" s="174">
        <f>'Input Sheet'!G14</f>
        <v>80</v>
      </c>
      <c r="D14" s="259">
        <f>'Input Sheet'!H14</f>
        <v>1.2045454545454546</v>
      </c>
      <c r="E14" s="104">
        <f>'Input Sheet'!J14</f>
        <v>106</v>
      </c>
      <c r="F14" s="103">
        <f>'Input Sheet'!K14</f>
        <v>96.363636363636374</v>
      </c>
      <c r="G14" s="95"/>
      <c r="H14" s="136">
        <f>+'Input Sheet'!G$281</f>
        <v>202.58079139378449</v>
      </c>
      <c r="I14" s="130">
        <f>+'Input Sheet'!H$281</f>
        <v>211.41933457916826</v>
      </c>
      <c r="J14" s="130">
        <f>+'Input Sheet'!I$281</f>
        <v>218.57750684634706</v>
      </c>
      <c r="K14" s="130">
        <f>+'Input Sheet'!J$281</f>
        <v>226.27758978315956</v>
      </c>
      <c r="L14" s="131">
        <f>+'Input Sheet'!K$281</f>
        <v>234.06976377046144</v>
      </c>
      <c r="M14" s="91"/>
      <c r="N14" s="260">
        <f>+'Standard Hour Calcs'!Z15</f>
        <v>1.1499999999999999</v>
      </c>
      <c r="O14" s="304"/>
      <c r="P14" s="91"/>
      <c r="Q14" s="191">
        <f t="shared" si="7"/>
        <v>232.96791010285216</v>
      </c>
      <c r="R14" s="192">
        <f t="shared" si="8"/>
        <v>243.1322347660435</v>
      </c>
      <c r="S14" s="192">
        <f t="shared" si="9"/>
        <v>251.3641328732991</v>
      </c>
      <c r="T14" s="192">
        <f t="shared" si="10"/>
        <v>260.21922825063348</v>
      </c>
      <c r="U14" s="193">
        <f t="shared" si="11"/>
        <v>269.18022833603061</v>
      </c>
      <c r="V14" s="92"/>
      <c r="W14" s="144"/>
      <c r="X14" s="144"/>
      <c r="Y14" s="144"/>
      <c r="Z14" s="144"/>
      <c r="AA14" s="144"/>
      <c r="AB14" s="142"/>
      <c r="AC14" s="425">
        <f t="shared" ref="AC14:AG14" si="13">IF($N14="Hourly",$N118*Q14*H118,Q14*H118*$N118)</f>
        <v>38439.705166970605</v>
      </c>
      <c r="AD14" s="426">
        <f t="shared" si="13"/>
        <v>40116.818736397174</v>
      </c>
      <c r="AE14" s="426">
        <f t="shared" si="13"/>
        <v>41475.081924094346</v>
      </c>
      <c r="AF14" s="426">
        <f t="shared" si="13"/>
        <v>42936.172661354518</v>
      </c>
      <c r="AG14" s="427">
        <f t="shared" si="13"/>
        <v>44414.737675445052</v>
      </c>
      <c r="AH14" s="142"/>
    </row>
    <row r="15" spans="2:34" x14ac:dyDescent="0.2">
      <c r="B15" s="212" t="s">
        <v>111</v>
      </c>
      <c r="C15" s="174">
        <f>'Input Sheet'!G15</f>
        <v>80</v>
      </c>
      <c r="D15" s="259">
        <f>'Input Sheet'!H15</f>
        <v>0.70454545454545459</v>
      </c>
      <c r="E15" s="104">
        <f>'Input Sheet'!J15</f>
        <v>62</v>
      </c>
      <c r="F15" s="103">
        <f>'Input Sheet'!K15</f>
        <v>56.363636363636367</v>
      </c>
      <c r="G15" s="95"/>
      <c r="H15" s="136">
        <f>+'Input Sheet'!G$281</f>
        <v>202.58079139378449</v>
      </c>
      <c r="I15" s="130">
        <f>+'Input Sheet'!H$281</f>
        <v>211.41933457916826</v>
      </c>
      <c r="J15" s="130">
        <f>+'Input Sheet'!I$281</f>
        <v>218.57750684634706</v>
      </c>
      <c r="K15" s="130">
        <f>+'Input Sheet'!J$281</f>
        <v>226.27758978315956</v>
      </c>
      <c r="L15" s="131">
        <f>+'Input Sheet'!K$281</f>
        <v>234.06976377046144</v>
      </c>
      <c r="M15" s="91"/>
      <c r="N15" s="260">
        <f>+'Standard Hour Calcs'!Z16</f>
        <v>0.7</v>
      </c>
      <c r="O15" s="304"/>
      <c r="P15" s="91"/>
      <c r="Q15" s="191">
        <f t="shared" si="7"/>
        <v>141.80655397564914</v>
      </c>
      <c r="R15" s="192">
        <f t="shared" si="8"/>
        <v>147.99353420541777</v>
      </c>
      <c r="S15" s="192">
        <f t="shared" si="9"/>
        <v>153.00425479244294</v>
      </c>
      <c r="T15" s="192">
        <f t="shared" si="10"/>
        <v>158.39431284821168</v>
      </c>
      <c r="U15" s="193">
        <f t="shared" si="11"/>
        <v>163.848834639323</v>
      </c>
      <c r="V15" s="92"/>
      <c r="W15" s="144"/>
      <c r="X15" s="144"/>
      <c r="Y15" s="144"/>
      <c r="Z15" s="144"/>
      <c r="AA15" s="144"/>
      <c r="AB15" s="142"/>
      <c r="AC15" s="425">
        <f t="shared" ref="AC15:AG15" si="14">IF($N15="Hourly",$N119*Q15*H119,Q15*H119*$N119)</f>
        <v>103235.17129427257</v>
      </c>
      <c r="AD15" s="426">
        <f t="shared" si="14"/>
        <v>107739.29290154415</v>
      </c>
      <c r="AE15" s="426">
        <f t="shared" si="14"/>
        <v>111387.09748889846</v>
      </c>
      <c r="AF15" s="426">
        <f t="shared" si="14"/>
        <v>115311.05975349811</v>
      </c>
      <c r="AG15" s="427">
        <f t="shared" si="14"/>
        <v>119281.95161742714</v>
      </c>
      <c r="AH15" s="142"/>
    </row>
    <row r="16" spans="2:34" x14ac:dyDescent="0.2">
      <c r="B16" s="212" t="s">
        <v>112</v>
      </c>
      <c r="C16" s="174">
        <f>'Input Sheet'!G16</f>
        <v>80</v>
      </c>
      <c r="D16" s="259">
        <f>'Input Sheet'!H16</f>
        <v>0.39772727272727271</v>
      </c>
      <c r="E16" s="104">
        <f>'Input Sheet'!J16</f>
        <v>35</v>
      </c>
      <c r="F16" s="103">
        <f>'Input Sheet'!K16</f>
        <v>31.818181818181817</v>
      </c>
      <c r="G16" s="95"/>
      <c r="H16" s="136">
        <f>+'Input Sheet'!G$281</f>
        <v>202.58079139378449</v>
      </c>
      <c r="I16" s="130">
        <f>+'Input Sheet'!H$281</f>
        <v>211.41933457916826</v>
      </c>
      <c r="J16" s="130">
        <f>+'Input Sheet'!I$281</f>
        <v>218.57750684634706</v>
      </c>
      <c r="K16" s="130">
        <f>+'Input Sheet'!J$281</f>
        <v>226.27758978315956</v>
      </c>
      <c r="L16" s="131">
        <f>+'Input Sheet'!K$281</f>
        <v>234.06976377046144</v>
      </c>
      <c r="M16" s="91"/>
      <c r="N16" s="260">
        <f>+'Standard Hour Calcs'!Z17</f>
        <v>0.4</v>
      </c>
      <c r="O16" s="304"/>
      <c r="P16" s="91"/>
      <c r="Q16" s="191">
        <f t="shared" si="7"/>
        <v>81.032316557513809</v>
      </c>
      <c r="R16" s="192">
        <f t="shared" si="8"/>
        <v>84.567733831667312</v>
      </c>
      <c r="S16" s="192">
        <f t="shared" si="9"/>
        <v>87.431002738538837</v>
      </c>
      <c r="T16" s="192">
        <f t="shared" si="10"/>
        <v>90.511035913263825</v>
      </c>
      <c r="U16" s="193">
        <f t="shared" si="11"/>
        <v>93.627905508184583</v>
      </c>
      <c r="V16" s="92"/>
      <c r="W16" s="144"/>
      <c r="X16" s="144"/>
      <c r="Y16" s="144"/>
      <c r="Z16" s="144"/>
      <c r="AA16" s="144"/>
      <c r="AB16" s="142"/>
      <c r="AC16" s="425">
        <f t="shared" ref="AC16:AG16" si="15">IF($N16="Hourly",$N120*Q16*H120,Q16*H120*$N120)</f>
        <v>55101.975259109393</v>
      </c>
      <c r="AD16" s="426">
        <f t="shared" si="15"/>
        <v>57506.059005533774</v>
      </c>
      <c r="AE16" s="426">
        <f t="shared" si="15"/>
        <v>59453.081862206411</v>
      </c>
      <c r="AF16" s="426">
        <f t="shared" si="15"/>
        <v>61547.504421019403</v>
      </c>
      <c r="AG16" s="427">
        <f t="shared" si="15"/>
        <v>63666.975745565513</v>
      </c>
      <c r="AH16" s="142"/>
    </row>
    <row r="17" spans="2:34" x14ac:dyDescent="0.2">
      <c r="B17" s="212" t="s">
        <v>113</v>
      </c>
      <c r="C17" s="174">
        <f>'Input Sheet'!G17</f>
        <v>80</v>
      </c>
      <c r="D17" s="259">
        <f>'Input Sheet'!H17</f>
        <v>2.5</v>
      </c>
      <c r="E17" s="104">
        <f>'Input Sheet'!J17</f>
        <v>220</v>
      </c>
      <c r="F17" s="103">
        <f>'Input Sheet'!K17</f>
        <v>200</v>
      </c>
      <c r="G17" s="95"/>
      <c r="H17" s="136">
        <f>+'Input Sheet'!G$281</f>
        <v>202.58079139378449</v>
      </c>
      <c r="I17" s="130">
        <f>+'Input Sheet'!H$281</f>
        <v>211.41933457916826</v>
      </c>
      <c r="J17" s="130">
        <f>+'Input Sheet'!I$281</f>
        <v>218.57750684634706</v>
      </c>
      <c r="K17" s="130">
        <f>+'Input Sheet'!J$281</f>
        <v>226.27758978315956</v>
      </c>
      <c r="L17" s="131">
        <f>+'Input Sheet'!K$281</f>
        <v>234.06976377046144</v>
      </c>
      <c r="M17" s="91"/>
      <c r="N17" s="260">
        <f>+'Standard Hour Calcs'!Z18</f>
        <v>2.5</v>
      </c>
      <c r="O17" s="304"/>
      <c r="P17" s="91"/>
      <c r="Q17" s="191">
        <f t="shared" si="7"/>
        <v>506.45197848446122</v>
      </c>
      <c r="R17" s="192">
        <f t="shared" si="8"/>
        <v>528.54833644792063</v>
      </c>
      <c r="S17" s="192">
        <f t="shared" si="9"/>
        <v>546.44376711586767</v>
      </c>
      <c r="T17" s="192">
        <f t="shared" si="10"/>
        <v>565.69397445789889</v>
      </c>
      <c r="U17" s="193">
        <f t="shared" si="11"/>
        <v>585.1744094261536</v>
      </c>
      <c r="V17" s="92"/>
      <c r="W17" s="144"/>
      <c r="X17" s="144"/>
      <c r="Y17" s="144"/>
      <c r="Z17" s="144"/>
      <c r="AA17" s="144"/>
      <c r="AB17" s="142"/>
      <c r="AC17" s="425">
        <f t="shared" ref="AC17:AG17" si="16">IF($N17="Hourly",$N121*Q17*H121,Q17*H121*$N121)</f>
        <v>30387.118709067672</v>
      </c>
      <c r="AD17" s="426">
        <f t="shared" si="16"/>
        <v>31712.900186875238</v>
      </c>
      <c r="AE17" s="426">
        <f t="shared" si="16"/>
        <v>32786.626026952064</v>
      </c>
      <c r="AF17" s="426">
        <f t="shared" si="16"/>
        <v>33941.638467473931</v>
      </c>
      <c r="AG17" s="427">
        <f t="shared" si="16"/>
        <v>35110.464565569215</v>
      </c>
      <c r="AH17" s="142"/>
    </row>
    <row r="18" spans="2:34" x14ac:dyDescent="0.2">
      <c r="B18" s="212" t="s">
        <v>114</v>
      </c>
      <c r="C18" s="174">
        <f>'Input Sheet'!G18</f>
        <v>80</v>
      </c>
      <c r="D18" s="259">
        <f>'Input Sheet'!H18</f>
        <v>1.5</v>
      </c>
      <c r="E18" s="104">
        <f>'Input Sheet'!J18</f>
        <v>132</v>
      </c>
      <c r="F18" s="103">
        <f>'Input Sheet'!K18</f>
        <v>120</v>
      </c>
      <c r="G18" s="95"/>
      <c r="H18" s="136">
        <f>+'Input Sheet'!G$281</f>
        <v>202.58079139378449</v>
      </c>
      <c r="I18" s="130">
        <f>+'Input Sheet'!H$281</f>
        <v>211.41933457916826</v>
      </c>
      <c r="J18" s="130">
        <f>+'Input Sheet'!I$281</f>
        <v>218.57750684634706</v>
      </c>
      <c r="K18" s="130">
        <f>+'Input Sheet'!J$281</f>
        <v>226.27758978315956</v>
      </c>
      <c r="L18" s="131">
        <f>+'Input Sheet'!K$281</f>
        <v>234.06976377046144</v>
      </c>
      <c r="M18" s="91"/>
      <c r="N18" s="260">
        <f>+'Standard Hour Calcs'!Z19</f>
        <v>1.4</v>
      </c>
      <c r="O18" s="304"/>
      <c r="P18" s="91"/>
      <c r="Q18" s="191">
        <f t="shared" si="7"/>
        <v>283.61310795129828</v>
      </c>
      <c r="R18" s="192">
        <f t="shared" si="8"/>
        <v>295.98706841083555</v>
      </c>
      <c r="S18" s="192">
        <f t="shared" si="9"/>
        <v>306.00850958488587</v>
      </c>
      <c r="T18" s="192">
        <f t="shared" si="10"/>
        <v>316.78862569642337</v>
      </c>
      <c r="U18" s="193">
        <f t="shared" si="11"/>
        <v>327.697669278646</v>
      </c>
      <c r="V18" s="92"/>
      <c r="W18" s="144"/>
      <c r="X18" s="144"/>
      <c r="Y18" s="144"/>
      <c r="Z18" s="144"/>
      <c r="AA18" s="144"/>
      <c r="AB18" s="142"/>
      <c r="AC18" s="425">
        <f t="shared" ref="AC18:AG18" si="17">IF($N18="Hourly",$N122*Q18*H122,Q18*H122*$N122)</f>
        <v>24674.340391762951</v>
      </c>
      <c r="AD18" s="426">
        <f t="shared" si="17"/>
        <v>25750.874951742695</v>
      </c>
      <c r="AE18" s="426">
        <f t="shared" si="17"/>
        <v>26622.740333885071</v>
      </c>
      <c r="AF18" s="426">
        <f t="shared" si="17"/>
        <v>27560.610435588831</v>
      </c>
      <c r="AG18" s="427">
        <f t="shared" si="17"/>
        <v>28509.697227242203</v>
      </c>
      <c r="AH18" s="142"/>
    </row>
    <row r="19" spans="2:34" x14ac:dyDescent="0.2">
      <c r="B19" s="212" t="s">
        <v>115</v>
      </c>
      <c r="C19" s="174">
        <f>'Input Sheet'!G19</f>
        <v>80</v>
      </c>
      <c r="D19" s="259">
        <f>'Input Sheet'!H19</f>
        <v>0.70454545454545459</v>
      </c>
      <c r="E19" s="104">
        <f>'Input Sheet'!J19</f>
        <v>62</v>
      </c>
      <c r="F19" s="103">
        <f>'Input Sheet'!K19</f>
        <v>56.363636363636367</v>
      </c>
      <c r="G19" s="95"/>
      <c r="H19" s="136">
        <f>+'Input Sheet'!G$281</f>
        <v>202.58079139378449</v>
      </c>
      <c r="I19" s="130">
        <f>+'Input Sheet'!H$281</f>
        <v>211.41933457916826</v>
      </c>
      <c r="J19" s="130">
        <f>+'Input Sheet'!I$281</f>
        <v>218.57750684634706</v>
      </c>
      <c r="K19" s="130">
        <f>+'Input Sheet'!J$281</f>
        <v>226.27758978315956</v>
      </c>
      <c r="L19" s="131">
        <f>+'Input Sheet'!K$281</f>
        <v>234.06976377046144</v>
      </c>
      <c r="M19" s="91"/>
      <c r="N19" s="260">
        <f>+'Standard Hour Calcs'!Z20</f>
        <v>0.65</v>
      </c>
      <c r="O19" s="304"/>
      <c r="P19" s="91"/>
      <c r="Q19" s="191">
        <f t="shared" si="7"/>
        <v>131.67751440595993</v>
      </c>
      <c r="R19" s="192">
        <f t="shared" si="8"/>
        <v>137.42256747645936</v>
      </c>
      <c r="S19" s="192">
        <f t="shared" si="9"/>
        <v>142.07537945012561</v>
      </c>
      <c r="T19" s="192">
        <f t="shared" si="10"/>
        <v>147.08043335905373</v>
      </c>
      <c r="U19" s="193">
        <f t="shared" si="11"/>
        <v>152.14534645079993</v>
      </c>
      <c r="V19" s="92"/>
      <c r="W19" s="144"/>
      <c r="X19" s="144"/>
      <c r="Y19" s="144"/>
      <c r="Z19" s="144"/>
      <c r="AA19" s="144"/>
      <c r="AB19" s="142"/>
      <c r="AC19" s="425">
        <f t="shared" ref="AC19:AG19" si="18">IF($N19="Hourly",$N123*Q19*H123,Q19*H123*$N123)</f>
        <v>5135.4230618324373</v>
      </c>
      <c r="AD19" s="426">
        <f t="shared" si="18"/>
        <v>5359.480131581915</v>
      </c>
      <c r="AE19" s="426">
        <f t="shared" si="18"/>
        <v>5540.9397985548985</v>
      </c>
      <c r="AF19" s="426">
        <f t="shared" si="18"/>
        <v>5736.1369010030958</v>
      </c>
      <c r="AG19" s="427">
        <f t="shared" si="18"/>
        <v>5933.6685115811979</v>
      </c>
      <c r="AH19" s="142"/>
    </row>
    <row r="20" spans="2:34" x14ac:dyDescent="0.2">
      <c r="B20" s="212" t="s">
        <v>116</v>
      </c>
      <c r="C20" s="174">
        <f>'Input Sheet'!G20</f>
        <v>80</v>
      </c>
      <c r="D20" s="259" t="str">
        <f>'Input Sheet'!H20</f>
        <v>Hourly</v>
      </c>
      <c r="E20" s="104">
        <f>'Input Sheet'!J20</f>
        <v>88</v>
      </c>
      <c r="F20" s="103">
        <f>'Input Sheet'!K20</f>
        <v>80</v>
      </c>
      <c r="G20" s="95"/>
      <c r="H20" s="136">
        <f>+'Input Sheet'!G$281</f>
        <v>202.58079139378449</v>
      </c>
      <c r="I20" s="130">
        <f>+'Input Sheet'!H$281</f>
        <v>211.41933457916826</v>
      </c>
      <c r="J20" s="130">
        <f>+'Input Sheet'!I$281</f>
        <v>218.57750684634706</v>
      </c>
      <c r="K20" s="130">
        <f>+'Input Sheet'!J$281</f>
        <v>226.27758978315956</v>
      </c>
      <c r="L20" s="131">
        <f>+'Input Sheet'!K$281</f>
        <v>234.06976377046144</v>
      </c>
      <c r="M20" s="91"/>
      <c r="N20" s="260" t="str">
        <f>+'Standard Hour Calcs'!Z21</f>
        <v>Hourly</v>
      </c>
      <c r="O20" s="304"/>
      <c r="P20" s="91"/>
      <c r="Q20" s="191">
        <f t="shared" si="7"/>
        <v>202.58079139378449</v>
      </c>
      <c r="R20" s="192">
        <f t="shared" si="8"/>
        <v>211.41933457916826</v>
      </c>
      <c r="S20" s="192">
        <f t="shared" si="9"/>
        <v>218.57750684634706</v>
      </c>
      <c r="T20" s="192">
        <f t="shared" si="10"/>
        <v>226.27758978315956</v>
      </c>
      <c r="U20" s="193">
        <f t="shared" si="11"/>
        <v>234.06976377046144</v>
      </c>
      <c r="V20" s="92"/>
      <c r="W20" s="144"/>
      <c r="X20" s="144"/>
      <c r="Y20" s="144"/>
      <c r="Z20" s="144"/>
      <c r="AA20" s="144"/>
      <c r="AB20" s="142"/>
      <c r="AC20" s="425">
        <f t="shared" ref="AC20:AG20" si="19">IF($N20="Hourly",$N124*Q20*H124,Q20*H124*$N124)</f>
        <v>6077.4237418135344</v>
      </c>
      <c r="AD20" s="426">
        <f t="shared" si="19"/>
        <v>6342.5800373750481</v>
      </c>
      <c r="AE20" s="426">
        <f t="shared" si="19"/>
        <v>6557.3252053904116</v>
      </c>
      <c r="AF20" s="426">
        <f t="shared" si="19"/>
        <v>6788.3276934947862</v>
      </c>
      <c r="AG20" s="427">
        <f t="shared" si="19"/>
        <v>7022.0929131138428</v>
      </c>
      <c r="AH20" s="142"/>
    </row>
    <row r="21" spans="2:34" x14ac:dyDescent="0.2">
      <c r="B21" s="212" t="s">
        <v>117</v>
      </c>
      <c r="C21" s="174">
        <f>'Input Sheet'!G21</f>
        <v>80</v>
      </c>
      <c r="D21" s="259">
        <f>'Input Sheet'!H21</f>
        <v>0.5</v>
      </c>
      <c r="E21" s="104">
        <f>'Input Sheet'!J21</f>
        <v>44</v>
      </c>
      <c r="F21" s="103">
        <f>'Input Sheet'!K21</f>
        <v>40</v>
      </c>
      <c r="G21" s="95"/>
      <c r="H21" s="136">
        <f>+'Input Sheet'!G$281</f>
        <v>202.58079139378449</v>
      </c>
      <c r="I21" s="130">
        <f>+'Input Sheet'!H$281</f>
        <v>211.41933457916826</v>
      </c>
      <c r="J21" s="130">
        <f>+'Input Sheet'!I$281</f>
        <v>218.57750684634706</v>
      </c>
      <c r="K21" s="130">
        <f>+'Input Sheet'!J$281</f>
        <v>226.27758978315956</v>
      </c>
      <c r="L21" s="131">
        <f>+'Input Sheet'!K$281</f>
        <v>234.06976377046144</v>
      </c>
      <c r="M21" s="91"/>
      <c r="N21" s="260">
        <f>+'Standard Hour Calcs'!Z22</f>
        <v>0.5</v>
      </c>
      <c r="O21" s="304"/>
      <c r="P21" s="91"/>
      <c r="Q21" s="191">
        <f t="shared" si="7"/>
        <v>101.29039569689225</v>
      </c>
      <c r="R21" s="192">
        <f t="shared" si="8"/>
        <v>105.70966728958413</v>
      </c>
      <c r="S21" s="192">
        <f t="shared" si="9"/>
        <v>109.28875342317353</v>
      </c>
      <c r="T21" s="192">
        <f t="shared" si="10"/>
        <v>113.13879489157978</v>
      </c>
      <c r="U21" s="193">
        <f t="shared" si="11"/>
        <v>117.03488188523072</v>
      </c>
      <c r="V21" s="92"/>
      <c r="W21" s="144"/>
      <c r="X21" s="144"/>
      <c r="Y21" s="144"/>
      <c r="Z21" s="144"/>
      <c r="AA21" s="144"/>
      <c r="AB21" s="142"/>
      <c r="AC21" s="425">
        <f t="shared" ref="AC21:AG21" si="20">IF($N21="Hourly",$N125*Q21*H125,Q21*H125*$N125)</f>
        <v>607.74237418135351</v>
      </c>
      <c r="AD21" s="426">
        <f t="shared" si="20"/>
        <v>634.25800373750485</v>
      </c>
      <c r="AE21" s="426">
        <f t="shared" si="20"/>
        <v>655.73252053904116</v>
      </c>
      <c r="AF21" s="426">
        <f t="shared" si="20"/>
        <v>678.83276934947867</v>
      </c>
      <c r="AG21" s="427">
        <f t="shared" si="20"/>
        <v>702.20929131138428</v>
      </c>
      <c r="AH21" s="142"/>
    </row>
    <row r="22" spans="2:34" x14ac:dyDescent="0.2">
      <c r="B22" s="212" t="s">
        <v>118</v>
      </c>
      <c r="C22" s="174">
        <f>'Input Sheet'!G22</f>
        <v>80</v>
      </c>
      <c r="D22" s="259">
        <f>'Input Sheet'!H22</f>
        <v>0.29545454545454547</v>
      </c>
      <c r="E22" s="104">
        <f>'Input Sheet'!J22</f>
        <v>26</v>
      </c>
      <c r="F22" s="103">
        <f>'Input Sheet'!K22</f>
        <v>23.636363636363637</v>
      </c>
      <c r="G22" s="95"/>
      <c r="H22" s="136">
        <f>+'Input Sheet'!G$281</f>
        <v>202.58079139378449</v>
      </c>
      <c r="I22" s="130">
        <f>+'Input Sheet'!H$281</f>
        <v>211.41933457916826</v>
      </c>
      <c r="J22" s="130">
        <f>+'Input Sheet'!I$281</f>
        <v>218.57750684634706</v>
      </c>
      <c r="K22" s="130">
        <f>+'Input Sheet'!J$281</f>
        <v>226.27758978315956</v>
      </c>
      <c r="L22" s="131">
        <f>+'Input Sheet'!K$281</f>
        <v>234.06976377046144</v>
      </c>
      <c r="M22" s="91"/>
      <c r="N22" s="260">
        <f>+'Standard Hour Calcs'!Z23</f>
        <v>0.3</v>
      </c>
      <c r="O22" s="304"/>
      <c r="P22" s="91"/>
      <c r="Q22" s="191">
        <f t="shared" si="7"/>
        <v>60.774237418135343</v>
      </c>
      <c r="R22" s="192">
        <f t="shared" si="8"/>
        <v>63.425800373750477</v>
      </c>
      <c r="S22" s="192">
        <f t="shared" si="9"/>
        <v>65.573252053904113</v>
      </c>
      <c r="T22" s="192">
        <f t="shared" si="10"/>
        <v>67.883276934947858</v>
      </c>
      <c r="U22" s="193">
        <f t="shared" si="11"/>
        <v>70.220929131138433</v>
      </c>
      <c r="V22" s="92"/>
      <c r="W22" s="144"/>
      <c r="X22" s="144"/>
      <c r="Y22" s="144"/>
      <c r="Z22" s="144"/>
      <c r="AA22" s="144"/>
      <c r="AB22" s="142"/>
      <c r="AC22" s="425">
        <f t="shared" ref="AC22:AG22" si="21">IF($N22="Hourly",$N126*Q22*H126,Q22*H126*$N126)</f>
        <v>668.51661159948878</v>
      </c>
      <c r="AD22" s="426">
        <f t="shared" si="21"/>
        <v>697.6838041112552</v>
      </c>
      <c r="AE22" s="426">
        <f t="shared" si="21"/>
        <v>721.30577259294523</v>
      </c>
      <c r="AF22" s="426">
        <f t="shared" si="21"/>
        <v>746.7160462844264</v>
      </c>
      <c r="AG22" s="427">
        <f t="shared" si="21"/>
        <v>772.4302204425228</v>
      </c>
      <c r="AH22" s="142"/>
    </row>
    <row r="23" spans="2:34" x14ac:dyDescent="0.2">
      <c r="B23" s="212" t="s">
        <v>119</v>
      </c>
      <c r="C23" s="174">
        <f>'Input Sheet'!G23</f>
        <v>80</v>
      </c>
      <c r="D23" s="259">
        <f>'Input Sheet'!H23</f>
        <v>0.10227272727272727</v>
      </c>
      <c r="E23" s="104">
        <f>'Input Sheet'!J23</f>
        <v>9</v>
      </c>
      <c r="F23" s="103">
        <f>'Input Sheet'!K23</f>
        <v>8.1818181818181817</v>
      </c>
      <c r="G23" s="95"/>
      <c r="H23" s="136">
        <f>+'Input Sheet'!G$281</f>
        <v>202.58079139378449</v>
      </c>
      <c r="I23" s="130">
        <f>+'Input Sheet'!H$281</f>
        <v>211.41933457916826</v>
      </c>
      <c r="J23" s="130">
        <f>+'Input Sheet'!I$281</f>
        <v>218.57750684634706</v>
      </c>
      <c r="K23" s="130">
        <f>+'Input Sheet'!J$281</f>
        <v>226.27758978315956</v>
      </c>
      <c r="L23" s="131">
        <f>+'Input Sheet'!K$281</f>
        <v>234.06976377046144</v>
      </c>
      <c r="M23" s="91"/>
      <c r="N23" s="260">
        <f>+'Standard Hour Calcs'!Z24</f>
        <v>0.1</v>
      </c>
      <c r="O23" s="304"/>
      <c r="P23" s="91"/>
      <c r="Q23" s="191">
        <f t="shared" si="7"/>
        <v>20.258079139378452</v>
      </c>
      <c r="R23" s="192">
        <f t="shared" si="8"/>
        <v>21.141933457916828</v>
      </c>
      <c r="S23" s="192">
        <f t="shared" si="9"/>
        <v>21.857750684634709</v>
      </c>
      <c r="T23" s="192">
        <f t="shared" si="10"/>
        <v>22.627758978315956</v>
      </c>
      <c r="U23" s="193">
        <f t="shared" si="11"/>
        <v>23.406976377046146</v>
      </c>
      <c r="V23" s="92"/>
      <c r="W23" s="144"/>
      <c r="X23" s="144"/>
      <c r="Y23" s="144"/>
      <c r="Z23" s="144"/>
      <c r="AA23" s="144"/>
      <c r="AB23" s="142"/>
      <c r="AC23" s="425">
        <f t="shared" ref="AC23:AG23" si="22">IF($N23="Hourly",$N127*Q23*H127,Q23*H127*$N127)</f>
        <v>0</v>
      </c>
      <c r="AD23" s="426">
        <f t="shared" si="22"/>
        <v>0</v>
      </c>
      <c r="AE23" s="426">
        <f t="shared" si="22"/>
        <v>0</v>
      </c>
      <c r="AF23" s="426">
        <f t="shared" si="22"/>
        <v>0</v>
      </c>
      <c r="AG23" s="427">
        <f t="shared" si="22"/>
        <v>0</v>
      </c>
      <c r="AH23" s="142"/>
    </row>
    <row r="24" spans="2:34" x14ac:dyDescent="0.2">
      <c r="B24" s="212" t="s">
        <v>120</v>
      </c>
      <c r="C24" s="174">
        <f>'Input Sheet'!G24</f>
        <v>80</v>
      </c>
      <c r="D24" s="259">
        <f>'Input Sheet'!H24</f>
        <v>1.2045454545454546</v>
      </c>
      <c r="E24" s="104">
        <f>'Input Sheet'!J24</f>
        <v>106</v>
      </c>
      <c r="F24" s="103">
        <f>'Input Sheet'!K24</f>
        <v>96.363636363636374</v>
      </c>
      <c r="G24" s="95"/>
      <c r="H24" s="136">
        <f>+'Input Sheet'!G$281</f>
        <v>202.58079139378449</v>
      </c>
      <c r="I24" s="130">
        <f>+'Input Sheet'!H$281</f>
        <v>211.41933457916826</v>
      </c>
      <c r="J24" s="130">
        <f>+'Input Sheet'!I$281</f>
        <v>218.57750684634706</v>
      </c>
      <c r="K24" s="130">
        <f>+'Input Sheet'!J$281</f>
        <v>226.27758978315956</v>
      </c>
      <c r="L24" s="131">
        <f>+'Input Sheet'!K$281</f>
        <v>234.06976377046144</v>
      </c>
      <c r="M24" s="91"/>
      <c r="N24" s="260">
        <f>+'Standard Hour Calcs'!Z25</f>
        <v>1.2</v>
      </c>
      <c r="O24" s="304"/>
      <c r="P24" s="91"/>
      <c r="Q24" s="191">
        <f t="shared" si="7"/>
        <v>243.09694967254137</v>
      </c>
      <c r="R24" s="192">
        <f t="shared" si="8"/>
        <v>253.70320149500191</v>
      </c>
      <c r="S24" s="192">
        <f t="shared" si="9"/>
        <v>262.29300821561645</v>
      </c>
      <c r="T24" s="192">
        <f t="shared" si="10"/>
        <v>271.53310773979143</v>
      </c>
      <c r="U24" s="193">
        <f t="shared" si="11"/>
        <v>280.88371652455373</v>
      </c>
      <c r="V24" s="92"/>
      <c r="W24" s="144"/>
      <c r="X24" s="144"/>
      <c r="Y24" s="144"/>
      <c r="Z24" s="144"/>
      <c r="AA24" s="144"/>
      <c r="AB24" s="142"/>
      <c r="AC24" s="425">
        <f t="shared" ref="AC24:AG24" si="23">IF($N24="Hourly",$N128*Q24*H128,Q24*H128*$N128)</f>
        <v>3889.5511947606619</v>
      </c>
      <c r="AD24" s="426">
        <f t="shared" si="23"/>
        <v>4059.2512239200305</v>
      </c>
      <c r="AE24" s="426">
        <f t="shared" si="23"/>
        <v>4196.6881314498632</v>
      </c>
      <c r="AF24" s="426">
        <f t="shared" si="23"/>
        <v>4344.5297238366629</v>
      </c>
      <c r="AG24" s="427">
        <f t="shared" si="23"/>
        <v>4494.1394643928597</v>
      </c>
      <c r="AH24" s="142"/>
    </row>
    <row r="25" spans="2:34" x14ac:dyDescent="0.2">
      <c r="B25" s="212" t="s">
        <v>121</v>
      </c>
      <c r="C25" s="174">
        <f>'Input Sheet'!G25</f>
        <v>80</v>
      </c>
      <c r="D25" s="259">
        <f>'Input Sheet'!H25</f>
        <v>0.70454545454545459</v>
      </c>
      <c r="E25" s="104">
        <f>'Input Sheet'!J25</f>
        <v>62</v>
      </c>
      <c r="F25" s="103">
        <f>'Input Sheet'!K25</f>
        <v>56.363636363636367</v>
      </c>
      <c r="G25" s="95"/>
      <c r="H25" s="136">
        <f>+'Input Sheet'!G$281</f>
        <v>202.58079139378449</v>
      </c>
      <c r="I25" s="130">
        <f>+'Input Sheet'!H$281</f>
        <v>211.41933457916826</v>
      </c>
      <c r="J25" s="130">
        <f>+'Input Sheet'!I$281</f>
        <v>218.57750684634706</v>
      </c>
      <c r="K25" s="130">
        <f>+'Input Sheet'!J$281</f>
        <v>226.27758978315956</v>
      </c>
      <c r="L25" s="131">
        <f>+'Input Sheet'!K$281</f>
        <v>234.06976377046144</v>
      </c>
      <c r="M25" s="91"/>
      <c r="N25" s="260">
        <f>+'Standard Hour Calcs'!Z26</f>
        <v>0.65</v>
      </c>
      <c r="O25" s="304"/>
      <c r="P25" s="91"/>
      <c r="Q25" s="191">
        <f t="shared" si="7"/>
        <v>131.67751440595993</v>
      </c>
      <c r="R25" s="192">
        <f t="shared" si="8"/>
        <v>137.42256747645936</v>
      </c>
      <c r="S25" s="192">
        <f t="shared" si="9"/>
        <v>142.07537945012561</v>
      </c>
      <c r="T25" s="192">
        <f t="shared" si="10"/>
        <v>147.08043335905373</v>
      </c>
      <c r="U25" s="193">
        <f t="shared" si="11"/>
        <v>152.14534645079993</v>
      </c>
      <c r="V25" s="92"/>
      <c r="W25" s="144"/>
      <c r="X25" s="144"/>
      <c r="Y25" s="144"/>
      <c r="Z25" s="144"/>
      <c r="AA25" s="144"/>
      <c r="AB25" s="142"/>
      <c r="AC25" s="425">
        <f t="shared" ref="AC25:AG25" si="24">IF($N25="Hourly",$N129*Q25*H129,Q25*H129*$N129)</f>
        <v>526.7100576238397</v>
      </c>
      <c r="AD25" s="426">
        <f t="shared" si="24"/>
        <v>549.69026990583745</v>
      </c>
      <c r="AE25" s="426">
        <f t="shared" si="24"/>
        <v>568.30151780050244</v>
      </c>
      <c r="AF25" s="426">
        <f t="shared" si="24"/>
        <v>588.32173343621491</v>
      </c>
      <c r="AG25" s="427">
        <f t="shared" si="24"/>
        <v>608.58138580319974</v>
      </c>
      <c r="AH25" s="142"/>
    </row>
    <row r="26" spans="2:34" x14ac:dyDescent="0.2">
      <c r="B26" s="212" t="s">
        <v>122</v>
      </c>
      <c r="C26" s="174">
        <f>'Input Sheet'!G26</f>
        <v>80</v>
      </c>
      <c r="D26" s="259">
        <f>'Input Sheet'!H26</f>
        <v>0.39772727272727271</v>
      </c>
      <c r="E26" s="104">
        <f>'Input Sheet'!J26</f>
        <v>35</v>
      </c>
      <c r="F26" s="103">
        <f>'Input Sheet'!K26</f>
        <v>31.818181818181817</v>
      </c>
      <c r="G26" s="95"/>
      <c r="H26" s="136">
        <f>+'Input Sheet'!G$281</f>
        <v>202.58079139378449</v>
      </c>
      <c r="I26" s="130">
        <f>+'Input Sheet'!H$281</f>
        <v>211.41933457916826</v>
      </c>
      <c r="J26" s="130">
        <f>+'Input Sheet'!I$281</f>
        <v>218.57750684634706</v>
      </c>
      <c r="K26" s="130">
        <f>+'Input Sheet'!J$281</f>
        <v>226.27758978315956</v>
      </c>
      <c r="L26" s="131">
        <f>+'Input Sheet'!K$281</f>
        <v>234.06976377046144</v>
      </c>
      <c r="M26" s="91"/>
      <c r="N26" s="260">
        <f>+'Standard Hour Calcs'!Z27</f>
        <v>0.4</v>
      </c>
      <c r="O26" s="304"/>
      <c r="P26" s="91"/>
      <c r="Q26" s="191">
        <f t="shared" si="7"/>
        <v>81.032316557513809</v>
      </c>
      <c r="R26" s="192">
        <f t="shared" si="8"/>
        <v>84.567733831667312</v>
      </c>
      <c r="S26" s="192">
        <f t="shared" si="9"/>
        <v>87.431002738538837</v>
      </c>
      <c r="T26" s="192">
        <f t="shared" si="10"/>
        <v>90.511035913263825</v>
      </c>
      <c r="U26" s="193">
        <f t="shared" si="11"/>
        <v>93.627905508184583</v>
      </c>
      <c r="V26" s="92"/>
      <c r="W26" s="144"/>
      <c r="X26" s="144"/>
      <c r="Y26" s="144"/>
      <c r="Z26" s="144"/>
      <c r="AA26" s="144"/>
      <c r="AB26" s="142"/>
      <c r="AC26" s="425">
        <f t="shared" ref="AC26:AG26" si="25">IF($N26="Hourly",$N130*Q26*H130,Q26*H130*$N130)</f>
        <v>0</v>
      </c>
      <c r="AD26" s="426">
        <f t="shared" si="25"/>
        <v>0</v>
      </c>
      <c r="AE26" s="426">
        <f t="shared" si="25"/>
        <v>0</v>
      </c>
      <c r="AF26" s="426">
        <f t="shared" si="25"/>
        <v>0</v>
      </c>
      <c r="AG26" s="427">
        <f t="shared" si="25"/>
        <v>0</v>
      </c>
      <c r="AH26" s="142"/>
    </row>
    <row r="27" spans="2:34" x14ac:dyDescent="0.2">
      <c r="B27" s="212" t="s">
        <v>123</v>
      </c>
      <c r="C27" s="174">
        <f>'Input Sheet'!G27</f>
        <v>80</v>
      </c>
      <c r="D27" s="259">
        <f>'Input Sheet'!H27</f>
        <v>2.5</v>
      </c>
      <c r="E27" s="104">
        <f>'Input Sheet'!J27</f>
        <v>220</v>
      </c>
      <c r="F27" s="103">
        <f>'Input Sheet'!K27</f>
        <v>200</v>
      </c>
      <c r="G27" s="95"/>
      <c r="H27" s="136">
        <f>+'Input Sheet'!G$281</f>
        <v>202.58079139378449</v>
      </c>
      <c r="I27" s="130">
        <f>+'Input Sheet'!H$281</f>
        <v>211.41933457916826</v>
      </c>
      <c r="J27" s="130">
        <f>+'Input Sheet'!I$281</f>
        <v>218.57750684634706</v>
      </c>
      <c r="K27" s="130">
        <f>+'Input Sheet'!J$281</f>
        <v>226.27758978315956</v>
      </c>
      <c r="L27" s="131">
        <f>+'Input Sheet'!K$281</f>
        <v>234.06976377046144</v>
      </c>
      <c r="M27" s="91"/>
      <c r="N27" s="260">
        <f>+'Standard Hour Calcs'!Z28</f>
        <v>2.5499999999999998</v>
      </c>
      <c r="O27" s="304"/>
      <c r="P27" s="91"/>
      <c r="Q27" s="191">
        <f t="shared" si="7"/>
        <v>516.58101805415038</v>
      </c>
      <c r="R27" s="192">
        <f t="shared" si="8"/>
        <v>539.11930317687904</v>
      </c>
      <c r="S27" s="192">
        <f t="shared" si="9"/>
        <v>557.37264245818494</v>
      </c>
      <c r="T27" s="192">
        <f t="shared" si="10"/>
        <v>577.00785394705679</v>
      </c>
      <c r="U27" s="193">
        <f t="shared" si="11"/>
        <v>596.87789761467661</v>
      </c>
      <c r="V27" s="92"/>
      <c r="W27" s="144"/>
      <c r="X27" s="144"/>
      <c r="Y27" s="144"/>
      <c r="Z27" s="144"/>
      <c r="AA27" s="144"/>
      <c r="AB27" s="142"/>
      <c r="AC27" s="425">
        <f t="shared" ref="AC27:AG27" si="26">IF($N27="Hourly",$N131*Q27*H131,Q27*H131*$N131)</f>
        <v>7748.7152708122558</v>
      </c>
      <c r="AD27" s="426">
        <f t="shared" si="26"/>
        <v>8086.7895476531849</v>
      </c>
      <c r="AE27" s="426">
        <f t="shared" si="26"/>
        <v>8360.5896368727736</v>
      </c>
      <c r="AF27" s="426">
        <f t="shared" si="26"/>
        <v>8655.1178092058526</v>
      </c>
      <c r="AG27" s="427">
        <f t="shared" si="26"/>
        <v>8953.1684642201508</v>
      </c>
      <c r="AH27" s="142"/>
    </row>
    <row r="28" spans="2:34" x14ac:dyDescent="0.2">
      <c r="B28" s="212" t="s">
        <v>124</v>
      </c>
      <c r="C28" s="174">
        <f>'Input Sheet'!G28</f>
        <v>80</v>
      </c>
      <c r="D28" s="259">
        <f>'Input Sheet'!H28</f>
        <v>1.5</v>
      </c>
      <c r="E28" s="104">
        <f>'Input Sheet'!J28</f>
        <v>132</v>
      </c>
      <c r="F28" s="103">
        <f>'Input Sheet'!K28</f>
        <v>120</v>
      </c>
      <c r="G28" s="95"/>
      <c r="H28" s="136">
        <f>+'Input Sheet'!G$281</f>
        <v>202.58079139378449</v>
      </c>
      <c r="I28" s="130">
        <f>+'Input Sheet'!H$281</f>
        <v>211.41933457916826</v>
      </c>
      <c r="J28" s="130">
        <f>+'Input Sheet'!I$281</f>
        <v>218.57750684634706</v>
      </c>
      <c r="K28" s="130">
        <f>+'Input Sheet'!J$281</f>
        <v>226.27758978315956</v>
      </c>
      <c r="L28" s="131">
        <f>+'Input Sheet'!K$281</f>
        <v>234.06976377046144</v>
      </c>
      <c r="M28" s="91"/>
      <c r="N28" s="260">
        <f>+'Standard Hour Calcs'!Z29</f>
        <v>1.5</v>
      </c>
      <c r="O28" s="304"/>
      <c r="P28" s="91"/>
      <c r="Q28" s="191">
        <f t="shared" si="7"/>
        <v>303.87118709067676</v>
      </c>
      <c r="R28" s="192">
        <f t="shared" si="8"/>
        <v>317.12900186875243</v>
      </c>
      <c r="S28" s="192">
        <f t="shared" si="9"/>
        <v>327.86626026952058</v>
      </c>
      <c r="T28" s="192">
        <f t="shared" si="10"/>
        <v>339.41638467473933</v>
      </c>
      <c r="U28" s="193">
        <f t="shared" si="11"/>
        <v>351.10464565569214</v>
      </c>
      <c r="V28" s="92"/>
      <c r="W28" s="144"/>
      <c r="X28" s="144"/>
      <c r="Y28" s="144"/>
      <c r="Z28" s="144"/>
      <c r="AA28" s="144"/>
      <c r="AB28" s="142"/>
      <c r="AC28" s="425">
        <f t="shared" ref="AC28:AG28" si="27">IF($N28="Hourly",$N132*Q28*H132,Q28*H132*$N132)</f>
        <v>0</v>
      </c>
      <c r="AD28" s="426">
        <f t="shared" si="27"/>
        <v>0</v>
      </c>
      <c r="AE28" s="426">
        <f t="shared" si="27"/>
        <v>0</v>
      </c>
      <c r="AF28" s="426">
        <f t="shared" si="27"/>
        <v>0</v>
      </c>
      <c r="AG28" s="427">
        <f t="shared" si="27"/>
        <v>0</v>
      </c>
      <c r="AH28" s="142"/>
    </row>
    <row r="29" spans="2:34" x14ac:dyDescent="0.2">
      <c r="B29" s="212" t="s">
        <v>125</v>
      </c>
      <c r="C29" s="174">
        <f>'Input Sheet'!G29</f>
        <v>80</v>
      </c>
      <c r="D29" s="259">
        <f>'Input Sheet'!H29</f>
        <v>0.70454545454545459</v>
      </c>
      <c r="E29" s="104">
        <f>'Input Sheet'!J29</f>
        <v>62</v>
      </c>
      <c r="F29" s="103">
        <f>'Input Sheet'!K29</f>
        <v>56.363636363636367</v>
      </c>
      <c r="G29" s="95"/>
      <c r="H29" s="136">
        <f>+'Input Sheet'!G$281</f>
        <v>202.58079139378449</v>
      </c>
      <c r="I29" s="130">
        <f>+'Input Sheet'!H$281</f>
        <v>211.41933457916826</v>
      </c>
      <c r="J29" s="130">
        <f>+'Input Sheet'!I$281</f>
        <v>218.57750684634706</v>
      </c>
      <c r="K29" s="130">
        <f>+'Input Sheet'!J$281</f>
        <v>226.27758978315956</v>
      </c>
      <c r="L29" s="131">
        <f>+'Input Sheet'!K$281</f>
        <v>234.06976377046144</v>
      </c>
      <c r="M29" s="91"/>
      <c r="N29" s="260">
        <f>+'Standard Hour Calcs'!Z30</f>
        <v>0.7</v>
      </c>
      <c r="O29" s="304"/>
      <c r="P29" s="91"/>
      <c r="Q29" s="191">
        <f t="shared" si="7"/>
        <v>141.80655397564914</v>
      </c>
      <c r="R29" s="192">
        <f t="shared" si="8"/>
        <v>147.99353420541777</v>
      </c>
      <c r="S29" s="192">
        <f t="shared" si="9"/>
        <v>153.00425479244294</v>
      </c>
      <c r="T29" s="192">
        <f t="shared" si="10"/>
        <v>158.39431284821168</v>
      </c>
      <c r="U29" s="193">
        <f t="shared" si="11"/>
        <v>163.848834639323</v>
      </c>
      <c r="V29" s="92"/>
      <c r="W29" s="144"/>
      <c r="X29" s="144"/>
      <c r="Y29" s="144"/>
      <c r="Z29" s="144"/>
      <c r="AA29" s="144"/>
      <c r="AB29" s="142"/>
      <c r="AC29" s="425">
        <f t="shared" ref="AC29:AG29" si="28">IF($N29="Hourly",$N133*Q29*H133,Q29*H133*$N133)</f>
        <v>0</v>
      </c>
      <c r="AD29" s="426">
        <f t="shared" si="28"/>
        <v>0</v>
      </c>
      <c r="AE29" s="426">
        <f t="shared" si="28"/>
        <v>0</v>
      </c>
      <c r="AF29" s="426">
        <f t="shared" si="28"/>
        <v>0</v>
      </c>
      <c r="AG29" s="427">
        <f t="shared" si="28"/>
        <v>0</v>
      </c>
      <c r="AH29" s="142"/>
    </row>
    <row r="30" spans="2:34" x14ac:dyDescent="0.2">
      <c r="B30" s="212" t="s">
        <v>126</v>
      </c>
      <c r="C30" s="174">
        <f>'Input Sheet'!G30</f>
        <v>80</v>
      </c>
      <c r="D30" s="259">
        <f>'Input Sheet'!H30</f>
        <v>0.60227272727272729</v>
      </c>
      <c r="E30" s="104">
        <f>'Input Sheet'!J30</f>
        <v>53</v>
      </c>
      <c r="F30" s="103">
        <f>'Input Sheet'!K30</f>
        <v>48.181818181818187</v>
      </c>
      <c r="G30" s="95"/>
      <c r="H30" s="136">
        <f>+'Input Sheet'!G$281</f>
        <v>202.58079139378449</v>
      </c>
      <c r="I30" s="130">
        <f>+'Input Sheet'!H$281</f>
        <v>211.41933457916826</v>
      </c>
      <c r="J30" s="130">
        <f>+'Input Sheet'!I$281</f>
        <v>218.57750684634706</v>
      </c>
      <c r="K30" s="130">
        <f>+'Input Sheet'!J$281</f>
        <v>226.27758978315956</v>
      </c>
      <c r="L30" s="131">
        <f>+'Input Sheet'!K$281</f>
        <v>234.06976377046144</v>
      </c>
      <c r="M30" s="91"/>
      <c r="N30" s="260">
        <f>+'Standard Hour Calcs'!Z31</f>
        <v>0.6</v>
      </c>
      <c r="O30" s="304"/>
      <c r="P30" s="91"/>
      <c r="Q30" s="191">
        <f t="shared" si="7"/>
        <v>121.54847483627069</v>
      </c>
      <c r="R30" s="192">
        <f t="shared" si="8"/>
        <v>126.85160074750095</v>
      </c>
      <c r="S30" s="192">
        <f t="shared" si="9"/>
        <v>131.14650410780823</v>
      </c>
      <c r="T30" s="192">
        <f t="shared" si="10"/>
        <v>135.76655386989572</v>
      </c>
      <c r="U30" s="193">
        <f t="shared" si="11"/>
        <v>140.44185826227687</v>
      </c>
      <c r="V30" s="92"/>
      <c r="W30" s="144"/>
      <c r="X30" s="144"/>
      <c r="Y30" s="144"/>
      <c r="Z30" s="144"/>
      <c r="AA30" s="144"/>
      <c r="AB30" s="142"/>
      <c r="AC30" s="425">
        <f t="shared" ref="AC30:AG30" si="29">IF($N30="Hourly",$N134*Q30*H134,Q30*H134*$N134)</f>
        <v>1215.4847483627068</v>
      </c>
      <c r="AD30" s="426">
        <f t="shared" si="29"/>
        <v>1268.5160074750095</v>
      </c>
      <c r="AE30" s="426">
        <f t="shared" si="29"/>
        <v>1311.4650410780823</v>
      </c>
      <c r="AF30" s="426">
        <f t="shared" si="29"/>
        <v>1357.6655386989571</v>
      </c>
      <c r="AG30" s="427">
        <f t="shared" si="29"/>
        <v>1404.4185826227686</v>
      </c>
      <c r="AH30" s="142"/>
    </row>
    <row r="31" spans="2:34" x14ac:dyDescent="0.2">
      <c r="B31" s="212" t="s">
        <v>127</v>
      </c>
      <c r="C31" s="174">
        <f>'Input Sheet'!G31</f>
        <v>80</v>
      </c>
      <c r="D31" s="259">
        <f>'Input Sheet'!H31</f>
        <v>0.5</v>
      </c>
      <c r="E31" s="104">
        <f>'Input Sheet'!J31</f>
        <v>44</v>
      </c>
      <c r="F31" s="103">
        <f>'Input Sheet'!K31</f>
        <v>40</v>
      </c>
      <c r="G31" s="95"/>
      <c r="H31" s="136">
        <f>+'Input Sheet'!G$281</f>
        <v>202.58079139378449</v>
      </c>
      <c r="I31" s="130">
        <f>+'Input Sheet'!H$281</f>
        <v>211.41933457916826</v>
      </c>
      <c r="J31" s="130">
        <f>+'Input Sheet'!I$281</f>
        <v>218.57750684634706</v>
      </c>
      <c r="K31" s="130">
        <f>+'Input Sheet'!J$281</f>
        <v>226.27758978315956</v>
      </c>
      <c r="L31" s="131">
        <f>+'Input Sheet'!K$281</f>
        <v>234.06976377046144</v>
      </c>
      <c r="M31" s="91"/>
      <c r="N31" s="260">
        <f>+'Standard Hour Calcs'!Z32</f>
        <v>0.5</v>
      </c>
      <c r="O31" s="304"/>
      <c r="P31" s="91"/>
      <c r="Q31" s="191">
        <f t="shared" si="7"/>
        <v>101.29039569689225</v>
      </c>
      <c r="R31" s="192">
        <f t="shared" si="8"/>
        <v>105.70966728958413</v>
      </c>
      <c r="S31" s="192">
        <f t="shared" si="9"/>
        <v>109.28875342317353</v>
      </c>
      <c r="T31" s="192">
        <f t="shared" si="10"/>
        <v>113.13879489157978</v>
      </c>
      <c r="U31" s="193">
        <f t="shared" si="11"/>
        <v>117.03488188523072</v>
      </c>
      <c r="V31" s="92"/>
      <c r="W31" s="144"/>
      <c r="X31" s="144"/>
      <c r="Y31" s="144"/>
      <c r="Z31" s="144"/>
      <c r="AA31" s="144"/>
      <c r="AB31" s="142"/>
      <c r="AC31" s="425">
        <f t="shared" ref="AC31:AG31" si="30">IF($N31="Hourly",$N135*Q31*H135,Q31*H135*$N135)</f>
        <v>506.45197848446122</v>
      </c>
      <c r="AD31" s="426">
        <f t="shared" si="30"/>
        <v>528.54833644792063</v>
      </c>
      <c r="AE31" s="426">
        <f t="shared" si="30"/>
        <v>546.44376711586767</v>
      </c>
      <c r="AF31" s="426">
        <f t="shared" si="30"/>
        <v>565.69397445789889</v>
      </c>
      <c r="AG31" s="427">
        <f t="shared" si="30"/>
        <v>585.1744094261536</v>
      </c>
      <c r="AH31" s="142"/>
    </row>
    <row r="32" spans="2:34" x14ac:dyDescent="0.2">
      <c r="B32" s="212" t="s">
        <v>128</v>
      </c>
      <c r="C32" s="174">
        <f>'Input Sheet'!G32</f>
        <v>80</v>
      </c>
      <c r="D32" s="259">
        <f>'Input Sheet'!H32</f>
        <v>0.39772727272727271</v>
      </c>
      <c r="E32" s="104">
        <f>'Input Sheet'!J32</f>
        <v>35</v>
      </c>
      <c r="F32" s="103">
        <f>'Input Sheet'!K32</f>
        <v>31.818181818181817</v>
      </c>
      <c r="G32" s="95"/>
      <c r="H32" s="136">
        <f>+'Input Sheet'!G$281</f>
        <v>202.58079139378449</v>
      </c>
      <c r="I32" s="130">
        <f>+'Input Sheet'!H$281</f>
        <v>211.41933457916826</v>
      </c>
      <c r="J32" s="130">
        <f>+'Input Sheet'!I$281</f>
        <v>218.57750684634706</v>
      </c>
      <c r="K32" s="130">
        <f>+'Input Sheet'!J$281</f>
        <v>226.27758978315956</v>
      </c>
      <c r="L32" s="131">
        <f>+'Input Sheet'!K$281</f>
        <v>234.06976377046144</v>
      </c>
      <c r="M32" s="91"/>
      <c r="N32" s="260">
        <f>+'Standard Hour Calcs'!Z33</f>
        <v>0.4</v>
      </c>
      <c r="O32" s="304"/>
      <c r="P32" s="91"/>
      <c r="Q32" s="191">
        <f t="shared" si="7"/>
        <v>81.032316557513809</v>
      </c>
      <c r="R32" s="192">
        <f t="shared" si="8"/>
        <v>84.567733831667312</v>
      </c>
      <c r="S32" s="192">
        <f t="shared" si="9"/>
        <v>87.431002738538837</v>
      </c>
      <c r="T32" s="192">
        <f t="shared" si="10"/>
        <v>90.511035913263825</v>
      </c>
      <c r="U32" s="193">
        <f t="shared" si="11"/>
        <v>93.627905508184583</v>
      </c>
      <c r="V32" s="92"/>
      <c r="W32" s="144"/>
      <c r="X32" s="144"/>
      <c r="Y32" s="144"/>
      <c r="Z32" s="144"/>
      <c r="AA32" s="144"/>
      <c r="AB32" s="142"/>
      <c r="AC32" s="425">
        <f t="shared" ref="AC32:AG32" si="31">IF($N32="Hourly",$N136*Q32*H136,Q32*H136*$N136)</f>
        <v>486.19389934508285</v>
      </c>
      <c r="AD32" s="426">
        <f t="shared" si="31"/>
        <v>507.40640299000387</v>
      </c>
      <c r="AE32" s="426">
        <f t="shared" si="31"/>
        <v>524.58601643123302</v>
      </c>
      <c r="AF32" s="426">
        <f t="shared" si="31"/>
        <v>543.06621547958298</v>
      </c>
      <c r="AG32" s="427">
        <f t="shared" si="31"/>
        <v>561.76743304910747</v>
      </c>
      <c r="AH32" s="142"/>
    </row>
    <row r="33" spans="2:34" s="351" customFormat="1" x14ac:dyDescent="0.2">
      <c r="B33" s="250" t="s">
        <v>129</v>
      </c>
      <c r="C33" s="251">
        <f>'Input Sheet'!G33</f>
        <v>80</v>
      </c>
      <c r="D33" s="428">
        <f>'Input Sheet'!H33</f>
        <v>3.5</v>
      </c>
      <c r="E33" s="429">
        <f>'Input Sheet'!J33</f>
        <v>308</v>
      </c>
      <c r="F33" s="103">
        <f>'Input Sheet'!K33</f>
        <v>280</v>
      </c>
      <c r="G33" s="430"/>
      <c r="H33" s="136">
        <f>+'Input Sheet'!G$281</f>
        <v>202.58079139378449</v>
      </c>
      <c r="I33" s="130">
        <f>+'Input Sheet'!H$281</f>
        <v>211.41933457916826</v>
      </c>
      <c r="J33" s="130">
        <f>+'Input Sheet'!I$281</f>
        <v>218.57750684634706</v>
      </c>
      <c r="K33" s="130">
        <f>+'Input Sheet'!J$281</f>
        <v>226.27758978315956</v>
      </c>
      <c r="L33" s="131">
        <f>+'Input Sheet'!K$281</f>
        <v>234.06976377046144</v>
      </c>
      <c r="M33" s="91"/>
      <c r="N33" s="431">
        <f>+'Standard Hour Calcs'!Z34</f>
        <v>3.4</v>
      </c>
      <c r="O33" s="227"/>
      <c r="P33" s="91"/>
      <c r="Q33" s="432">
        <f t="shared" si="7"/>
        <v>688.77469073886721</v>
      </c>
      <c r="R33" s="433">
        <f t="shared" si="8"/>
        <v>718.82573756917213</v>
      </c>
      <c r="S33" s="433">
        <f t="shared" si="9"/>
        <v>743.16352327758</v>
      </c>
      <c r="T33" s="433">
        <f t="shared" si="10"/>
        <v>769.34380526274242</v>
      </c>
      <c r="U33" s="434">
        <f t="shared" si="11"/>
        <v>795.83719681956882</v>
      </c>
      <c r="V33" s="435"/>
      <c r="W33" s="144"/>
      <c r="X33" s="144"/>
      <c r="Y33" s="144"/>
      <c r="Z33" s="144"/>
      <c r="AA33" s="144"/>
      <c r="AB33" s="142"/>
      <c r="AC33" s="436">
        <f>IF($N33="Hourly",$N137*Q33*H137,Q33*H137*$N137)</f>
        <v>2066.3240722166015</v>
      </c>
      <c r="AD33" s="437">
        <f t="shared" ref="AD33:AG33" si="32">IF($N33="Hourly",$N137*R33*I137,R33*I137*$N137)</f>
        <v>2156.4772127075166</v>
      </c>
      <c r="AE33" s="437">
        <f t="shared" si="32"/>
        <v>2229.4905698327402</v>
      </c>
      <c r="AF33" s="437">
        <f t="shared" si="32"/>
        <v>2308.0314157882272</v>
      </c>
      <c r="AG33" s="438">
        <f t="shared" si="32"/>
        <v>2387.5115904587065</v>
      </c>
      <c r="AH33" s="142"/>
    </row>
    <row r="34" spans="2:34" s="351" customFormat="1" x14ac:dyDescent="0.2">
      <c r="B34" s="250" t="s">
        <v>130</v>
      </c>
      <c r="C34" s="251">
        <f>'Input Sheet'!G34</f>
        <v>80</v>
      </c>
      <c r="D34" s="428">
        <f>'Input Sheet'!H34</f>
        <v>1.2045454545454546</v>
      </c>
      <c r="E34" s="429">
        <f>'Input Sheet'!J34</f>
        <v>106</v>
      </c>
      <c r="F34" s="103">
        <f>'Input Sheet'!K34</f>
        <v>96.363636363636374</v>
      </c>
      <c r="G34" s="430"/>
      <c r="H34" s="136">
        <f>+'Input Sheet'!G$281</f>
        <v>202.58079139378449</v>
      </c>
      <c r="I34" s="130">
        <f>+'Input Sheet'!H$281</f>
        <v>211.41933457916826</v>
      </c>
      <c r="J34" s="130">
        <f>+'Input Sheet'!I$281</f>
        <v>218.57750684634706</v>
      </c>
      <c r="K34" s="130">
        <f>+'Input Sheet'!J$281</f>
        <v>226.27758978315956</v>
      </c>
      <c r="L34" s="131">
        <f>+'Input Sheet'!K$281</f>
        <v>234.06976377046144</v>
      </c>
      <c r="M34" s="91"/>
      <c r="N34" s="431">
        <f>+'Standard Hour Calcs'!Z35</f>
        <v>1.2</v>
      </c>
      <c r="O34" s="227"/>
      <c r="P34" s="91"/>
      <c r="Q34" s="432">
        <f t="shared" si="7"/>
        <v>243.09694967254137</v>
      </c>
      <c r="R34" s="433">
        <f t="shared" si="8"/>
        <v>253.70320149500191</v>
      </c>
      <c r="S34" s="433">
        <f t="shared" si="9"/>
        <v>262.29300821561645</v>
      </c>
      <c r="T34" s="433">
        <f t="shared" si="10"/>
        <v>271.53310773979143</v>
      </c>
      <c r="U34" s="434">
        <f t="shared" si="11"/>
        <v>280.88371652455373</v>
      </c>
      <c r="V34" s="435"/>
      <c r="W34" s="144"/>
      <c r="X34" s="144"/>
      <c r="Y34" s="144"/>
      <c r="Z34" s="144"/>
      <c r="AA34" s="144"/>
      <c r="AB34" s="142"/>
      <c r="AC34" s="436">
        <f t="shared" ref="AC34:AG34" si="33">IF($N34="Hourly",$N138*Q34*H138,Q34*H138*$N138)</f>
        <v>2430.9694967254136</v>
      </c>
      <c r="AD34" s="437">
        <f t="shared" si="33"/>
        <v>2537.0320149500189</v>
      </c>
      <c r="AE34" s="437">
        <f t="shared" si="33"/>
        <v>2622.9300821561646</v>
      </c>
      <c r="AF34" s="437">
        <f t="shared" si="33"/>
        <v>2715.3310773979142</v>
      </c>
      <c r="AG34" s="438">
        <f t="shared" si="33"/>
        <v>2808.8371652455371</v>
      </c>
      <c r="AH34" s="142"/>
    </row>
    <row r="35" spans="2:34" s="351" customFormat="1" x14ac:dyDescent="0.2">
      <c r="B35" s="250" t="s">
        <v>131</v>
      </c>
      <c r="C35" s="251">
        <f>'Input Sheet'!G35</f>
        <v>80</v>
      </c>
      <c r="D35" s="428">
        <f>'Input Sheet'!H35</f>
        <v>1</v>
      </c>
      <c r="E35" s="429">
        <f>'Input Sheet'!J35</f>
        <v>88</v>
      </c>
      <c r="F35" s="103">
        <f>'Input Sheet'!K35</f>
        <v>80</v>
      </c>
      <c r="G35" s="430"/>
      <c r="H35" s="136">
        <f>+'Input Sheet'!G$281</f>
        <v>202.58079139378449</v>
      </c>
      <c r="I35" s="130">
        <f>+'Input Sheet'!H$281</f>
        <v>211.41933457916826</v>
      </c>
      <c r="J35" s="130">
        <f>+'Input Sheet'!I$281</f>
        <v>218.57750684634706</v>
      </c>
      <c r="K35" s="130">
        <f>+'Input Sheet'!J$281</f>
        <v>226.27758978315956</v>
      </c>
      <c r="L35" s="131">
        <f>+'Input Sheet'!K$281</f>
        <v>234.06976377046144</v>
      </c>
      <c r="M35" s="91"/>
      <c r="N35" s="431">
        <f>+'Standard Hour Calcs'!Z36</f>
        <v>1</v>
      </c>
      <c r="O35" s="227"/>
      <c r="P35" s="91"/>
      <c r="Q35" s="432">
        <f t="shared" si="7"/>
        <v>202.58079139378449</v>
      </c>
      <c r="R35" s="433">
        <f t="shared" si="8"/>
        <v>211.41933457916826</v>
      </c>
      <c r="S35" s="433">
        <f t="shared" si="9"/>
        <v>218.57750684634706</v>
      </c>
      <c r="T35" s="433">
        <f t="shared" si="10"/>
        <v>226.27758978315956</v>
      </c>
      <c r="U35" s="434">
        <f t="shared" si="11"/>
        <v>234.06976377046144</v>
      </c>
      <c r="V35" s="435"/>
      <c r="W35" s="144"/>
      <c r="X35" s="144"/>
      <c r="Y35" s="144"/>
      <c r="Z35" s="144"/>
      <c r="AA35" s="144"/>
      <c r="AB35" s="142"/>
      <c r="AC35" s="436">
        <f t="shared" ref="AC35:AG35" si="34">IF($N35="Hourly",$N139*Q35*H139,Q35*H139*$N139)</f>
        <v>4861.9389934508281</v>
      </c>
      <c r="AD35" s="437">
        <f t="shared" si="34"/>
        <v>5074.0640299000388</v>
      </c>
      <c r="AE35" s="437">
        <f t="shared" si="34"/>
        <v>5245.8601643123293</v>
      </c>
      <c r="AF35" s="437">
        <f t="shared" si="34"/>
        <v>5430.6621547958293</v>
      </c>
      <c r="AG35" s="438">
        <f t="shared" si="34"/>
        <v>5617.6743304910742</v>
      </c>
      <c r="AH35" s="142"/>
    </row>
    <row r="36" spans="2:34" s="351" customFormat="1" x14ac:dyDescent="0.2">
      <c r="B36" s="250" t="s">
        <v>132</v>
      </c>
      <c r="C36" s="251">
        <f>'Input Sheet'!G36</f>
        <v>80</v>
      </c>
      <c r="D36" s="428">
        <f>'Input Sheet'!H36</f>
        <v>0.70454545454545459</v>
      </c>
      <c r="E36" s="429">
        <f>'Input Sheet'!J36</f>
        <v>62</v>
      </c>
      <c r="F36" s="103">
        <f>'Input Sheet'!K36</f>
        <v>56.363636363636367</v>
      </c>
      <c r="G36" s="430"/>
      <c r="H36" s="136">
        <f>+'Input Sheet'!G$281</f>
        <v>202.58079139378449</v>
      </c>
      <c r="I36" s="130">
        <f>+'Input Sheet'!H$281</f>
        <v>211.41933457916826</v>
      </c>
      <c r="J36" s="130">
        <f>+'Input Sheet'!I$281</f>
        <v>218.57750684634706</v>
      </c>
      <c r="K36" s="130">
        <f>+'Input Sheet'!J$281</f>
        <v>226.27758978315956</v>
      </c>
      <c r="L36" s="131">
        <f>+'Input Sheet'!K$281</f>
        <v>234.06976377046144</v>
      </c>
      <c r="M36" s="91"/>
      <c r="N36" s="431">
        <f>+'Standard Hour Calcs'!Z37</f>
        <v>0.65</v>
      </c>
      <c r="O36" s="227"/>
      <c r="P36" s="91"/>
      <c r="Q36" s="432">
        <f t="shared" si="7"/>
        <v>131.67751440595993</v>
      </c>
      <c r="R36" s="433">
        <f t="shared" si="8"/>
        <v>137.42256747645936</v>
      </c>
      <c r="S36" s="433">
        <f t="shared" si="9"/>
        <v>142.07537945012561</v>
      </c>
      <c r="T36" s="433">
        <f t="shared" si="10"/>
        <v>147.08043335905373</v>
      </c>
      <c r="U36" s="434">
        <f t="shared" si="11"/>
        <v>152.14534645079993</v>
      </c>
      <c r="V36" s="435"/>
      <c r="W36" s="144"/>
      <c r="X36" s="144"/>
      <c r="Y36" s="144"/>
      <c r="Z36" s="144"/>
      <c r="AA36" s="144"/>
      <c r="AB36" s="142"/>
      <c r="AC36" s="436">
        <f t="shared" ref="AC36:AG36" si="35">IF($N36="Hourly",$N140*Q36*H140,Q36*H140*$N140)</f>
        <v>658.38757202979968</v>
      </c>
      <c r="AD36" s="437">
        <f t="shared" si="35"/>
        <v>687.11283738229679</v>
      </c>
      <c r="AE36" s="437">
        <f t="shared" si="35"/>
        <v>710.37689725062808</v>
      </c>
      <c r="AF36" s="437">
        <f t="shared" si="35"/>
        <v>735.40216679526861</v>
      </c>
      <c r="AG36" s="438">
        <f t="shared" si="35"/>
        <v>760.72673225399967</v>
      </c>
      <c r="AH36" s="142"/>
    </row>
    <row r="37" spans="2:34" s="351" customFormat="1" x14ac:dyDescent="0.2">
      <c r="B37" s="250" t="s">
        <v>133</v>
      </c>
      <c r="C37" s="251">
        <f>'Input Sheet'!G37</f>
        <v>80</v>
      </c>
      <c r="D37" s="428">
        <f>'Input Sheet'!H37</f>
        <v>7</v>
      </c>
      <c r="E37" s="429">
        <f>'Input Sheet'!J37</f>
        <v>616</v>
      </c>
      <c r="F37" s="103">
        <f>'Input Sheet'!K37</f>
        <v>560</v>
      </c>
      <c r="G37" s="430"/>
      <c r="H37" s="136">
        <f>+'Input Sheet'!G$281</f>
        <v>202.58079139378449</v>
      </c>
      <c r="I37" s="130">
        <f>+'Input Sheet'!H$281</f>
        <v>211.41933457916826</v>
      </c>
      <c r="J37" s="130">
        <f>+'Input Sheet'!I$281</f>
        <v>218.57750684634706</v>
      </c>
      <c r="K37" s="130">
        <f>+'Input Sheet'!J$281</f>
        <v>226.27758978315956</v>
      </c>
      <c r="L37" s="131">
        <f>+'Input Sheet'!K$281</f>
        <v>234.06976377046144</v>
      </c>
      <c r="M37" s="91"/>
      <c r="N37" s="431">
        <f>+'Standard Hour Calcs'!Z38</f>
        <v>7</v>
      </c>
      <c r="O37" s="227"/>
      <c r="P37" s="91"/>
      <c r="Q37" s="432">
        <f t="shared" si="7"/>
        <v>1418.0655397564915</v>
      </c>
      <c r="R37" s="433">
        <f t="shared" si="8"/>
        <v>1479.9353420541779</v>
      </c>
      <c r="S37" s="433">
        <f t="shared" si="9"/>
        <v>1530.0425479244295</v>
      </c>
      <c r="T37" s="433">
        <f t="shared" si="10"/>
        <v>1583.9431284821169</v>
      </c>
      <c r="U37" s="434">
        <f t="shared" si="11"/>
        <v>1638.4883463932301</v>
      </c>
      <c r="V37" s="435"/>
      <c r="W37" s="144"/>
      <c r="X37" s="144"/>
      <c r="Y37" s="144"/>
      <c r="Z37" s="144"/>
      <c r="AA37" s="144"/>
      <c r="AB37" s="142"/>
      <c r="AC37" s="436">
        <f t="shared" ref="AC37:AG37" si="36">IF($N37="Hourly",$N141*Q37*H141,Q37*H141*$N141)</f>
        <v>7090.3276987824574</v>
      </c>
      <c r="AD37" s="437">
        <f t="shared" si="36"/>
        <v>7399.6767102708891</v>
      </c>
      <c r="AE37" s="437">
        <f t="shared" si="36"/>
        <v>7650.2127396221476</v>
      </c>
      <c r="AF37" s="437">
        <f t="shared" si="36"/>
        <v>7919.7156424105842</v>
      </c>
      <c r="AG37" s="438">
        <f t="shared" si="36"/>
        <v>8192.4417319661516</v>
      </c>
      <c r="AH37" s="142"/>
    </row>
    <row r="38" spans="2:34" s="351" customFormat="1" x14ac:dyDescent="0.2">
      <c r="B38" s="250" t="s">
        <v>134</v>
      </c>
      <c r="C38" s="251">
        <f>'Input Sheet'!G38</f>
        <v>80</v>
      </c>
      <c r="D38" s="428">
        <f>'Input Sheet'!H38</f>
        <v>2.2045454545454546</v>
      </c>
      <c r="E38" s="429">
        <f>'Input Sheet'!J38</f>
        <v>194</v>
      </c>
      <c r="F38" s="103">
        <f>'Input Sheet'!K38</f>
        <v>176.36363636363637</v>
      </c>
      <c r="G38" s="430"/>
      <c r="H38" s="136">
        <f>+'Input Sheet'!G$281</f>
        <v>202.58079139378449</v>
      </c>
      <c r="I38" s="130">
        <f>+'Input Sheet'!H$281</f>
        <v>211.41933457916826</v>
      </c>
      <c r="J38" s="130">
        <f>+'Input Sheet'!I$281</f>
        <v>218.57750684634706</v>
      </c>
      <c r="K38" s="130">
        <f>+'Input Sheet'!J$281</f>
        <v>226.27758978315956</v>
      </c>
      <c r="L38" s="131">
        <f>+'Input Sheet'!K$281</f>
        <v>234.06976377046144</v>
      </c>
      <c r="M38" s="91"/>
      <c r="N38" s="431">
        <f>+'Standard Hour Calcs'!Z39</f>
        <v>2</v>
      </c>
      <c r="O38" s="227"/>
      <c r="P38" s="91"/>
      <c r="Q38" s="432">
        <f t="shared" si="7"/>
        <v>405.16158278756899</v>
      </c>
      <c r="R38" s="433">
        <f t="shared" si="8"/>
        <v>422.83866915833653</v>
      </c>
      <c r="S38" s="433">
        <f t="shared" si="9"/>
        <v>437.15501369269413</v>
      </c>
      <c r="T38" s="433">
        <f t="shared" si="10"/>
        <v>452.55517956631911</v>
      </c>
      <c r="U38" s="434">
        <f t="shared" si="11"/>
        <v>468.13952754092287</v>
      </c>
      <c r="V38" s="435"/>
      <c r="W38" s="144"/>
      <c r="X38" s="144"/>
      <c r="Y38" s="144"/>
      <c r="Z38" s="144"/>
      <c r="AA38" s="144"/>
      <c r="AB38" s="142"/>
      <c r="AC38" s="436">
        <f t="shared" ref="AC38:AG38" si="37">IF($N38="Hourly",$N142*Q38*H142,Q38*H142*$N142)</f>
        <v>1620.646331150276</v>
      </c>
      <c r="AD38" s="437">
        <f t="shared" si="37"/>
        <v>1691.3546766333461</v>
      </c>
      <c r="AE38" s="437">
        <f t="shared" si="37"/>
        <v>1748.6200547707765</v>
      </c>
      <c r="AF38" s="437">
        <f t="shared" si="37"/>
        <v>1810.2207182652764</v>
      </c>
      <c r="AG38" s="438">
        <f t="shared" si="37"/>
        <v>1872.5581101636915</v>
      </c>
      <c r="AH38" s="142"/>
    </row>
    <row r="39" spans="2:34" s="351" customFormat="1" x14ac:dyDescent="0.2">
      <c r="B39" s="250" t="s">
        <v>135</v>
      </c>
      <c r="C39" s="251">
        <f>'Input Sheet'!G39</f>
        <v>80</v>
      </c>
      <c r="D39" s="428">
        <f>'Input Sheet'!H39</f>
        <v>1.9886363636363638</v>
      </c>
      <c r="E39" s="429">
        <f>'Input Sheet'!J39</f>
        <v>175</v>
      </c>
      <c r="F39" s="103">
        <f>'Input Sheet'!K39</f>
        <v>159.09090909090909</v>
      </c>
      <c r="G39" s="430"/>
      <c r="H39" s="136">
        <f>+'Input Sheet'!G$281</f>
        <v>202.58079139378449</v>
      </c>
      <c r="I39" s="130">
        <f>+'Input Sheet'!H$281</f>
        <v>211.41933457916826</v>
      </c>
      <c r="J39" s="130">
        <f>+'Input Sheet'!I$281</f>
        <v>218.57750684634706</v>
      </c>
      <c r="K39" s="130">
        <f>+'Input Sheet'!J$281</f>
        <v>226.27758978315956</v>
      </c>
      <c r="L39" s="131">
        <f>+'Input Sheet'!K$281</f>
        <v>234.06976377046144</v>
      </c>
      <c r="M39" s="91"/>
      <c r="N39" s="431">
        <f>+'Standard Hour Calcs'!Z40</f>
        <v>1.85</v>
      </c>
      <c r="O39" s="227"/>
      <c r="P39" s="91"/>
      <c r="Q39" s="432">
        <f t="shared" si="7"/>
        <v>374.77446407850135</v>
      </c>
      <c r="R39" s="433">
        <f t="shared" si="8"/>
        <v>391.1257689714613</v>
      </c>
      <c r="S39" s="433">
        <f t="shared" si="9"/>
        <v>404.36838766574209</v>
      </c>
      <c r="T39" s="433">
        <f t="shared" si="10"/>
        <v>418.61354109884519</v>
      </c>
      <c r="U39" s="434">
        <f t="shared" si="11"/>
        <v>433.02906297535367</v>
      </c>
      <c r="V39" s="435"/>
      <c r="W39" s="144"/>
      <c r="X39" s="144"/>
      <c r="Y39" s="144"/>
      <c r="Z39" s="144"/>
      <c r="AA39" s="144"/>
      <c r="AB39" s="142"/>
      <c r="AC39" s="436">
        <f t="shared" ref="AC39:AG39" si="38">IF($N39="Hourly",$N143*Q39*H143,Q39*H143*$N143)</f>
        <v>749.54892815700271</v>
      </c>
      <c r="AD39" s="437">
        <f t="shared" si="38"/>
        <v>782.2515379429226</v>
      </c>
      <c r="AE39" s="437">
        <f t="shared" si="38"/>
        <v>808.73677533148418</v>
      </c>
      <c r="AF39" s="437">
        <f t="shared" si="38"/>
        <v>837.22708219769038</v>
      </c>
      <c r="AG39" s="438">
        <f t="shared" si="38"/>
        <v>866.05812595070734</v>
      </c>
      <c r="AH39" s="142"/>
    </row>
    <row r="40" spans="2:34" s="351" customFormat="1" x14ac:dyDescent="0.2">
      <c r="B40" s="250" t="s">
        <v>136</v>
      </c>
      <c r="C40" s="251">
        <f>'Input Sheet'!G40</f>
        <v>80</v>
      </c>
      <c r="D40" s="428">
        <f>'Input Sheet'!H40</f>
        <v>1.5</v>
      </c>
      <c r="E40" s="429">
        <f>'Input Sheet'!J40</f>
        <v>132</v>
      </c>
      <c r="F40" s="103">
        <f>'Input Sheet'!K40</f>
        <v>120</v>
      </c>
      <c r="G40" s="430"/>
      <c r="H40" s="136">
        <f>+'Input Sheet'!G$281</f>
        <v>202.58079139378449</v>
      </c>
      <c r="I40" s="130">
        <f>+'Input Sheet'!H$281</f>
        <v>211.41933457916826</v>
      </c>
      <c r="J40" s="130">
        <f>+'Input Sheet'!I$281</f>
        <v>218.57750684634706</v>
      </c>
      <c r="K40" s="130">
        <f>+'Input Sheet'!J$281</f>
        <v>226.27758978315956</v>
      </c>
      <c r="L40" s="131">
        <f>+'Input Sheet'!K$281</f>
        <v>234.06976377046144</v>
      </c>
      <c r="M40" s="91"/>
      <c r="N40" s="431">
        <f>+'Standard Hour Calcs'!Z41</f>
        <v>1.4</v>
      </c>
      <c r="O40" s="227"/>
      <c r="P40" s="91"/>
      <c r="Q40" s="432">
        <f t="shared" si="7"/>
        <v>283.61310795129828</v>
      </c>
      <c r="R40" s="433">
        <f t="shared" si="8"/>
        <v>295.98706841083555</v>
      </c>
      <c r="S40" s="433">
        <f t="shared" si="9"/>
        <v>306.00850958488587</v>
      </c>
      <c r="T40" s="433">
        <f t="shared" si="10"/>
        <v>316.78862569642337</v>
      </c>
      <c r="U40" s="434">
        <f t="shared" si="11"/>
        <v>327.697669278646</v>
      </c>
      <c r="V40" s="435"/>
      <c r="W40" s="144"/>
      <c r="X40" s="144"/>
      <c r="Y40" s="144"/>
      <c r="Z40" s="144"/>
      <c r="AA40" s="144"/>
      <c r="AB40" s="142"/>
      <c r="AC40" s="436">
        <f t="shared" ref="AC40:AG40" si="39">IF($N40="Hourly",$N144*Q40*H144,Q40*H144*$N144)</f>
        <v>1418.0655397564915</v>
      </c>
      <c r="AD40" s="437">
        <f t="shared" si="39"/>
        <v>1479.9353420541777</v>
      </c>
      <c r="AE40" s="437">
        <f t="shared" si="39"/>
        <v>1530.0425479244293</v>
      </c>
      <c r="AF40" s="437">
        <f t="shared" si="39"/>
        <v>1583.9431284821169</v>
      </c>
      <c r="AG40" s="438">
        <f t="shared" si="39"/>
        <v>1638.4883463932301</v>
      </c>
      <c r="AH40" s="142"/>
    </row>
    <row r="41" spans="2:34" s="351" customFormat="1" x14ac:dyDescent="0.2">
      <c r="B41" s="250" t="s">
        <v>137</v>
      </c>
      <c r="C41" s="251">
        <f>'Input Sheet'!G41</f>
        <v>80</v>
      </c>
      <c r="D41" s="428">
        <f>'Input Sheet'!H41</f>
        <v>8.795454545454545</v>
      </c>
      <c r="E41" s="429">
        <f>'Input Sheet'!J41</f>
        <v>774</v>
      </c>
      <c r="F41" s="103">
        <f>'Input Sheet'!K41</f>
        <v>703.63636363636363</v>
      </c>
      <c r="G41" s="430"/>
      <c r="H41" s="136">
        <f>+'Input Sheet'!G$281</f>
        <v>202.58079139378449</v>
      </c>
      <c r="I41" s="130">
        <f>+'Input Sheet'!H$281</f>
        <v>211.41933457916826</v>
      </c>
      <c r="J41" s="130">
        <f>+'Input Sheet'!I$281</f>
        <v>218.57750684634706</v>
      </c>
      <c r="K41" s="130">
        <f>+'Input Sheet'!J$281</f>
        <v>226.27758978315956</v>
      </c>
      <c r="L41" s="131">
        <f>+'Input Sheet'!K$281</f>
        <v>234.06976377046144</v>
      </c>
      <c r="M41" s="91"/>
      <c r="N41" s="431">
        <f>+'Standard Hour Calcs'!Z42</f>
        <v>8.5</v>
      </c>
      <c r="O41" s="227"/>
      <c r="P41" s="91"/>
      <c r="Q41" s="432">
        <f t="shared" si="7"/>
        <v>1721.9367268471683</v>
      </c>
      <c r="R41" s="433">
        <f t="shared" si="8"/>
        <v>1797.0643439229302</v>
      </c>
      <c r="S41" s="433">
        <f t="shared" si="9"/>
        <v>1857.9088081939501</v>
      </c>
      <c r="T41" s="433">
        <f t="shared" si="10"/>
        <v>1923.3595131568563</v>
      </c>
      <c r="U41" s="434">
        <f t="shared" si="11"/>
        <v>1989.5929920489223</v>
      </c>
      <c r="V41" s="435"/>
      <c r="W41" s="144"/>
      <c r="X41" s="144"/>
      <c r="Y41" s="144"/>
      <c r="Z41" s="144"/>
      <c r="AA41" s="144"/>
      <c r="AB41" s="142"/>
      <c r="AC41" s="436">
        <f t="shared" ref="AC41:AG41" si="40">IF($N41="Hourly",$N145*Q41*H145,Q41*H145*$N145)</f>
        <v>1721.9367268471683</v>
      </c>
      <c r="AD41" s="437">
        <f t="shared" si="40"/>
        <v>1797.0643439229302</v>
      </c>
      <c r="AE41" s="437">
        <f t="shared" si="40"/>
        <v>1857.9088081939501</v>
      </c>
      <c r="AF41" s="437">
        <f t="shared" si="40"/>
        <v>1923.3595131568563</v>
      </c>
      <c r="AG41" s="438">
        <f t="shared" si="40"/>
        <v>1989.5929920489223</v>
      </c>
      <c r="AH41" s="142"/>
    </row>
    <row r="42" spans="2:34" s="351" customFormat="1" x14ac:dyDescent="0.2">
      <c r="B42" s="250" t="s">
        <v>138</v>
      </c>
      <c r="C42" s="251">
        <f>'Input Sheet'!G42</f>
        <v>80</v>
      </c>
      <c r="D42" s="428">
        <f>'Input Sheet'!H42</f>
        <v>0.60227272727272729</v>
      </c>
      <c r="E42" s="429">
        <f>'Input Sheet'!J42</f>
        <v>53</v>
      </c>
      <c r="F42" s="103">
        <f>'Input Sheet'!K42</f>
        <v>48.181818181818187</v>
      </c>
      <c r="G42" s="430"/>
      <c r="H42" s="136">
        <f>+'Input Sheet'!G$281</f>
        <v>202.58079139378449</v>
      </c>
      <c r="I42" s="130">
        <f>+'Input Sheet'!H$281</f>
        <v>211.41933457916826</v>
      </c>
      <c r="J42" s="130">
        <f>+'Input Sheet'!I$281</f>
        <v>218.57750684634706</v>
      </c>
      <c r="K42" s="130">
        <f>+'Input Sheet'!J$281</f>
        <v>226.27758978315956</v>
      </c>
      <c r="L42" s="131">
        <f>+'Input Sheet'!K$281</f>
        <v>234.06976377046144</v>
      </c>
      <c r="M42" s="91"/>
      <c r="N42" s="431">
        <f>+'Standard Hour Calcs'!Z43</f>
        <v>0.6</v>
      </c>
      <c r="O42" s="227"/>
      <c r="P42" s="91"/>
      <c r="Q42" s="432">
        <f t="shared" si="7"/>
        <v>121.54847483627069</v>
      </c>
      <c r="R42" s="433">
        <f t="shared" si="8"/>
        <v>126.85160074750095</v>
      </c>
      <c r="S42" s="433">
        <f t="shared" si="9"/>
        <v>131.14650410780823</v>
      </c>
      <c r="T42" s="433">
        <f t="shared" si="10"/>
        <v>135.76655386989572</v>
      </c>
      <c r="U42" s="434">
        <f t="shared" si="11"/>
        <v>140.44185826227687</v>
      </c>
      <c r="V42" s="435"/>
      <c r="W42" s="144"/>
      <c r="X42" s="144"/>
      <c r="Y42" s="144"/>
      <c r="Z42" s="144"/>
      <c r="AA42" s="144"/>
      <c r="AB42" s="142"/>
      <c r="AC42" s="436">
        <f t="shared" ref="AC42:AG42" si="41">IF($N42="Hourly",$N146*Q42*H146,Q42*H146*$N146)</f>
        <v>0</v>
      </c>
      <c r="AD42" s="437">
        <f t="shared" si="41"/>
        <v>0</v>
      </c>
      <c r="AE42" s="437">
        <f t="shared" si="41"/>
        <v>0</v>
      </c>
      <c r="AF42" s="437">
        <f t="shared" si="41"/>
        <v>0</v>
      </c>
      <c r="AG42" s="438">
        <f t="shared" si="41"/>
        <v>0</v>
      </c>
      <c r="AH42" s="142"/>
    </row>
    <row r="43" spans="2:34" s="351" customFormat="1" x14ac:dyDescent="0.2">
      <c r="B43" s="250" t="s">
        <v>139</v>
      </c>
      <c r="C43" s="251">
        <f>'Input Sheet'!G43</f>
        <v>80</v>
      </c>
      <c r="D43" s="428">
        <f>'Input Sheet'!H43</f>
        <v>0.5</v>
      </c>
      <c r="E43" s="429">
        <f>'Input Sheet'!J43</f>
        <v>44</v>
      </c>
      <c r="F43" s="103">
        <f>'Input Sheet'!K43</f>
        <v>40</v>
      </c>
      <c r="G43" s="430"/>
      <c r="H43" s="136">
        <f>+'Input Sheet'!G$281</f>
        <v>202.58079139378449</v>
      </c>
      <c r="I43" s="130">
        <f>+'Input Sheet'!H$281</f>
        <v>211.41933457916826</v>
      </c>
      <c r="J43" s="130">
        <f>+'Input Sheet'!I$281</f>
        <v>218.57750684634706</v>
      </c>
      <c r="K43" s="130">
        <f>+'Input Sheet'!J$281</f>
        <v>226.27758978315956</v>
      </c>
      <c r="L43" s="131">
        <f>+'Input Sheet'!K$281</f>
        <v>234.06976377046144</v>
      </c>
      <c r="M43" s="91"/>
      <c r="N43" s="431">
        <f>+'Standard Hour Calcs'!Z44</f>
        <v>0.5</v>
      </c>
      <c r="O43" s="227"/>
      <c r="P43" s="91"/>
      <c r="Q43" s="432">
        <f t="shared" si="7"/>
        <v>101.29039569689225</v>
      </c>
      <c r="R43" s="433">
        <f t="shared" si="8"/>
        <v>105.70966728958413</v>
      </c>
      <c r="S43" s="433">
        <f t="shared" si="9"/>
        <v>109.28875342317353</v>
      </c>
      <c r="T43" s="433">
        <f t="shared" si="10"/>
        <v>113.13879489157978</v>
      </c>
      <c r="U43" s="434">
        <f t="shared" si="11"/>
        <v>117.03488188523072</v>
      </c>
      <c r="V43" s="435"/>
      <c r="W43" s="144"/>
      <c r="X43" s="144"/>
      <c r="Y43" s="144"/>
      <c r="Z43" s="144"/>
      <c r="AA43" s="144"/>
      <c r="AB43" s="142"/>
      <c r="AC43" s="436">
        <f t="shared" ref="AC43:AG43" si="42">IF($N43="Hourly",$N147*Q43*H147,Q43*H147*$N147)</f>
        <v>0</v>
      </c>
      <c r="AD43" s="437">
        <f t="shared" si="42"/>
        <v>0</v>
      </c>
      <c r="AE43" s="437">
        <f t="shared" si="42"/>
        <v>0</v>
      </c>
      <c r="AF43" s="437">
        <f t="shared" si="42"/>
        <v>0</v>
      </c>
      <c r="AG43" s="438">
        <f t="shared" si="42"/>
        <v>0</v>
      </c>
      <c r="AH43" s="142"/>
    </row>
    <row r="44" spans="2:34" s="351" customFormat="1" x14ac:dyDescent="0.2">
      <c r="B44" s="250" t="s">
        <v>140</v>
      </c>
      <c r="C44" s="251">
        <f>'Input Sheet'!G44</f>
        <v>80</v>
      </c>
      <c r="D44" s="428">
        <f>'Input Sheet'!H44</f>
        <v>0.39772727272727271</v>
      </c>
      <c r="E44" s="429">
        <f>'Input Sheet'!J44</f>
        <v>35</v>
      </c>
      <c r="F44" s="103">
        <f>'Input Sheet'!K44</f>
        <v>31.818181818181817</v>
      </c>
      <c r="G44" s="430"/>
      <c r="H44" s="136">
        <f>+'Input Sheet'!G$281</f>
        <v>202.58079139378449</v>
      </c>
      <c r="I44" s="130">
        <f>+'Input Sheet'!H$281</f>
        <v>211.41933457916826</v>
      </c>
      <c r="J44" s="130">
        <f>+'Input Sheet'!I$281</f>
        <v>218.57750684634706</v>
      </c>
      <c r="K44" s="130">
        <f>+'Input Sheet'!J$281</f>
        <v>226.27758978315956</v>
      </c>
      <c r="L44" s="131">
        <f>+'Input Sheet'!K$281</f>
        <v>234.06976377046144</v>
      </c>
      <c r="M44" s="91"/>
      <c r="N44" s="431">
        <f>+'Standard Hour Calcs'!Z45</f>
        <v>0.4</v>
      </c>
      <c r="O44" s="227"/>
      <c r="P44" s="91"/>
      <c r="Q44" s="432">
        <f t="shared" si="7"/>
        <v>81.032316557513809</v>
      </c>
      <c r="R44" s="433">
        <f t="shared" si="8"/>
        <v>84.567733831667312</v>
      </c>
      <c r="S44" s="433">
        <f t="shared" si="9"/>
        <v>87.431002738538837</v>
      </c>
      <c r="T44" s="433">
        <f t="shared" si="10"/>
        <v>90.511035913263825</v>
      </c>
      <c r="U44" s="434">
        <f t="shared" si="11"/>
        <v>93.627905508184583</v>
      </c>
      <c r="V44" s="435"/>
      <c r="W44" s="144"/>
      <c r="X44" s="144"/>
      <c r="Y44" s="144"/>
      <c r="Z44" s="144"/>
      <c r="AA44" s="144"/>
      <c r="AB44" s="142"/>
      <c r="AC44" s="436">
        <f t="shared" ref="AC44:AG44" si="43">IF($N44="Hourly",$N148*Q44*H148,Q44*H148*$N148)</f>
        <v>0</v>
      </c>
      <c r="AD44" s="437">
        <f t="shared" si="43"/>
        <v>0</v>
      </c>
      <c r="AE44" s="437">
        <f t="shared" si="43"/>
        <v>0</v>
      </c>
      <c r="AF44" s="437">
        <f t="shared" si="43"/>
        <v>0</v>
      </c>
      <c r="AG44" s="438">
        <f t="shared" si="43"/>
        <v>0</v>
      </c>
      <c r="AH44" s="142"/>
    </row>
    <row r="45" spans="2:34" s="351" customFormat="1" x14ac:dyDescent="0.2">
      <c r="B45" s="250" t="s">
        <v>141</v>
      </c>
      <c r="C45" s="251">
        <f>'Input Sheet'!G45</f>
        <v>80</v>
      </c>
      <c r="D45" s="428">
        <f>'Input Sheet'!H45</f>
        <v>3.5</v>
      </c>
      <c r="E45" s="429">
        <f>'Input Sheet'!J45</f>
        <v>308</v>
      </c>
      <c r="F45" s="103">
        <f>'Input Sheet'!K45</f>
        <v>280</v>
      </c>
      <c r="G45" s="430"/>
      <c r="H45" s="136">
        <f>+'Input Sheet'!G$281</f>
        <v>202.58079139378449</v>
      </c>
      <c r="I45" s="130">
        <f>+'Input Sheet'!H$281</f>
        <v>211.41933457916826</v>
      </c>
      <c r="J45" s="130">
        <f>+'Input Sheet'!I$281</f>
        <v>218.57750684634706</v>
      </c>
      <c r="K45" s="130">
        <f>+'Input Sheet'!J$281</f>
        <v>226.27758978315956</v>
      </c>
      <c r="L45" s="131">
        <f>+'Input Sheet'!K$281</f>
        <v>234.06976377046144</v>
      </c>
      <c r="M45" s="91"/>
      <c r="N45" s="431">
        <f>+'Standard Hour Calcs'!Z46</f>
        <v>3.5</v>
      </c>
      <c r="O45" s="227"/>
      <c r="P45" s="91"/>
      <c r="Q45" s="432">
        <f t="shared" si="7"/>
        <v>709.03276987824574</v>
      </c>
      <c r="R45" s="433">
        <f t="shared" si="8"/>
        <v>739.96767102708895</v>
      </c>
      <c r="S45" s="433">
        <f t="shared" si="9"/>
        <v>765.02127396221476</v>
      </c>
      <c r="T45" s="433">
        <f t="shared" si="10"/>
        <v>791.97156424105845</v>
      </c>
      <c r="U45" s="434">
        <f t="shared" si="11"/>
        <v>819.24417319661507</v>
      </c>
      <c r="V45" s="435"/>
      <c r="W45" s="144"/>
      <c r="X45" s="144"/>
      <c r="Y45" s="144"/>
      <c r="Z45" s="144"/>
      <c r="AA45" s="144"/>
      <c r="AB45" s="142"/>
      <c r="AC45" s="436">
        <f t="shared" ref="AC45:AG45" si="44">IF($N45="Hourly",$N149*Q45*H149,Q45*H149*$N149)</f>
        <v>0</v>
      </c>
      <c r="AD45" s="437">
        <f t="shared" si="44"/>
        <v>0</v>
      </c>
      <c r="AE45" s="437">
        <f t="shared" si="44"/>
        <v>0</v>
      </c>
      <c r="AF45" s="437">
        <f t="shared" si="44"/>
        <v>0</v>
      </c>
      <c r="AG45" s="438">
        <f t="shared" si="44"/>
        <v>0</v>
      </c>
      <c r="AH45" s="142"/>
    </row>
    <row r="46" spans="2:34" s="351" customFormat="1" x14ac:dyDescent="0.2">
      <c r="B46" s="250" t="s">
        <v>142</v>
      </c>
      <c r="C46" s="251">
        <f>'Input Sheet'!G46</f>
        <v>80</v>
      </c>
      <c r="D46" s="428">
        <f>'Input Sheet'!H46</f>
        <v>1.2045454545454546</v>
      </c>
      <c r="E46" s="429">
        <f>'Input Sheet'!J46</f>
        <v>106</v>
      </c>
      <c r="F46" s="103">
        <f>'Input Sheet'!K46</f>
        <v>96.363636363636374</v>
      </c>
      <c r="G46" s="430"/>
      <c r="H46" s="136">
        <f>+'Input Sheet'!G$281</f>
        <v>202.58079139378449</v>
      </c>
      <c r="I46" s="130">
        <f>+'Input Sheet'!H$281</f>
        <v>211.41933457916826</v>
      </c>
      <c r="J46" s="130">
        <f>+'Input Sheet'!I$281</f>
        <v>218.57750684634706</v>
      </c>
      <c r="K46" s="130">
        <f>+'Input Sheet'!J$281</f>
        <v>226.27758978315956</v>
      </c>
      <c r="L46" s="131">
        <f>+'Input Sheet'!K$281</f>
        <v>234.06976377046144</v>
      </c>
      <c r="M46" s="91"/>
      <c r="N46" s="431">
        <f>+'Standard Hour Calcs'!Z47</f>
        <v>1.1000000000000001</v>
      </c>
      <c r="O46" s="227"/>
      <c r="P46" s="91"/>
      <c r="Q46" s="432">
        <f t="shared" si="7"/>
        <v>222.83887053316298</v>
      </c>
      <c r="R46" s="433">
        <f t="shared" si="8"/>
        <v>232.56126803708511</v>
      </c>
      <c r="S46" s="433">
        <f t="shared" si="9"/>
        <v>240.4352575309818</v>
      </c>
      <c r="T46" s="433">
        <f t="shared" si="10"/>
        <v>248.90534876147552</v>
      </c>
      <c r="U46" s="434">
        <f t="shared" si="11"/>
        <v>257.4767401475076</v>
      </c>
      <c r="V46" s="435"/>
      <c r="W46" s="144"/>
      <c r="X46" s="144"/>
      <c r="Y46" s="144"/>
      <c r="Z46" s="144"/>
      <c r="AA46" s="144"/>
      <c r="AB46" s="142"/>
      <c r="AC46" s="436">
        <f t="shared" ref="AC46:AG46" si="45">IF($N46="Hourly",$N150*Q46*H150,Q46*H150*$N150)</f>
        <v>222.83887053316298</v>
      </c>
      <c r="AD46" s="437">
        <f t="shared" si="45"/>
        <v>232.56126803708511</v>
      </c>
      <c r="AE46" s="437">
        <f t="shared" si="45"/>
        <v>240.4352575309818</v>
      </c>
      <c r="AF46" s="437">
        <f t="shared" si="45"/>
        <v>248.90534876147552</v>
      </c>
      <c r="AG46" s="438">
        <f t="shared" si="45"/>
        <v>257.4767401475076</v>
      </c>
      <c r="AH46" s="142"/>
    </row>
    <row r="47" spans="2:34" s="351" customFormat="1" x14ac:dyDescent="0.2">
      <c r="B47" s="250" t="s">
        <v>143</v>
      </c>
      <c r="C47" s="251">
        <f>'Input Sheet'!G47</f>
        <v>80</v>
      </c>
      <c r="D47" s="428">
        <f>'Input Sheet'!H47</f>
        <v>1</v>
      </c>
      <c r="E47" s="429">
        <f>'Input Sheet'!J47</f>
        <v>88</v>
      </c>
      <c r="F47" s="103">
        <f>'Input Sheet'!K47</f>
        <v>80</v>
      </c>
      <c r="G47" s="430"/>
      <c r="H47" s="136">
        <f>+'Input Sheet'!G$281</f>
        <v>202.58079139378449</v>
      </c>
      <c r="I47" s="130">
        <f>+'Input Sheet'!H$281</f>
        <v>211.41933457916826</v>
      </c>
      <c r="J47" s="130">
        <f>+'Input Sheet'!I$281</f>
        <v>218.57750684634706</v>
      </c>
      <c r="K47" s="130">
        <f>+'Input Sheet'!J$281</f>
        <v>226.27758978315956</v>
      </c>
      <c r="L47" s="131">
        <f>+'Input Sheet'!K$281</f>
        <v>234.06976377046144</v>
      </c>
      <c r="M47" s="91"/>
      <c r="N47" s="431">
        <f>+'Standard Hour Calcs'!Z48</f>
        <v>1</v>
      </c>
      <c r="O47" s="227"/>
      <c r="P47" s="91"/>
      <c r="Q47" s="432">
        <f t="shared" si="7"/>
        <v>202.58079139378449</v>
      </c>
      <c r="R47" s="433">
        <f t="shared" si="8"/>
        <v>211.41933457916826</v>
      </c>
      <c r="S47" s="433">
        <f t="shared" si="9"/>
        <v>218.57750684634706</v>
      </c>
      <c r="T47" s="433">
        <f t="shared" si="10"/>
        <v>226.27758978315956</v>
      </c>
      <c r="U47" s="434">
        <f t="shared" si="11"/>
        <v>234.06976377046144</v>
      </c>
      <c r="V47" s="435"/>
      <c r="W47" s="144"/>
      <c r="X47" s="144"/>
      <c r="Y47" s="144"/>
      <c r="Z47" s="144"/>
      <c r="AA47" s="144"/>
      <c r="AB47" s="142"/>
      <c r="AC47" s="436">
        <f t="shared" ref="AC47:AG47" si="46">IF($N47="Hourly",$N151*Q47*H151,Q47*H151*$N151)</f>
        <v>0</v>
      </c>
      <c r="AD47" s="437">
        <f t="shared" si="46"/>
        <v>0</v>
      </c>
      <c r="AE47" s="437">
        <f t="shared" si="46"/>
        <v>0</v>
      </c>
      <c r="AF47" s="437">
        <f t="shared" si="46"/>
        <v>0</v>
      </c>
      <c r="AG47" s="438">
        <f t="shared" si="46"/>
        <v>0</v>
      </c>
      <c r="AH47" s="142"/>
    </row>
    <row r="48" spans="2:34" s="351" customFormat="1" x14ac:dyDescent="0.2">
      <c r="B48" s="250" t="s">
        <v>144</v>
      </c>
      <c r="C48" s="251">
        <f>'Input Sheet'!G48</f>
        <v>80</v>
      </c>
      <c r="D48" s="428">
        <f>'Input Sheet'!H48</f>
        <v>0.70454545454545459</v>
      </c>
      <c r="E48" s="429">
        <f>'Input Sheet'!J48</f>
        <v>62</v>
      </c>
      <c r="F48" s="103">
        <f>'Input Sheet'!K48</f>
        <v>56.363636363636367</v>
      </c>
      <c r="G48" s="430"/>
      <c r="H48" s="136">
        <f>+'Input Sheet'!G$281</f>
        <v>202.58079139378449</v>
      </c>
      <c r="I48" s="130">
        <f>+'Input Sheet'!H$281</f>
        <v>211.41933457916826</v>
      </c>
      <c r="J48" s="130">
        <f>+'Input Sheet'!I$281</f>
        <v>218.57750684634706</v>
      </c>
      <c r="K48" s="130">
        <f>+'Input Sheet'!J$281</f>
        <v>226.27758978315956</v>
      </c>
      <c r="L48" s="131">
        <f>+'Input Sheet'!K$281</f>
        <v>234.06976377046144</v>
      </c>
      <c r="M48" s="91"/>
      <c r="N48" s="431">
        <f>+'Standard Hour Calcs'!Z49</f>
        <v>0.7</v>
      </c>
      <c r="O48" s="227"/>
      <c r="P48" s="91"/>
      <c r="Q48" s="432">
        <f t="shared" si="7"/>
        <v>141.80655397564914</v>
      </c>
      <c r="R48" s="433">
        <f t="shared" si="8"/>
        <v>147.99353420541777</v>
      </c>
      <c r="S48" s="433">
        <f t="shared" si="9"/>
        <v>153.00425479244294</v>
      </c>
      <c r="T48" s="433">
        <f t="shared" si="10"/>
        <v>158.39431284821168</v>
      </c>
      <c r="U48" s="434">
        <f t="shared" si="11"/>
        <v>163.848834639323</v>
      </c>
      <c r="V48" s="435"/>
      <c r="W48" s="144"/>
      <c r="X48" s="144"/>
      <c r="Y48" s="144"/>
      <c r="Z48" s="144"/>
      <c r="AA48" s="144"/>
      <c r="AB48" s="142"/>
      <c r="AC48" s="436">
        <f t="shared" ref="AC48:AG48" si="47">IF($N48="Hourly",$N152*Q48*H152,Q48*H152*$N152)</f>
        <v>0</v>
      </c>
      <c r="AD48" s="437">
        <f t="shared" si="47"/>
        <v>0</v>
      </c>
      <c r="AE48" s="437">
        <f t="shared" si="47"/>
        <v>0</v>
      </c>
      <c r="AF48" s="437">
        <f t="shared" si="47"/>
        <v>0</v>
      </c>
      <c r="AG48" s="438">
        <f t="shared" si="47"/>
        <v>0</v>
      </c>
      <c r="AH48" s="142"/>
    </row>
    <row r="49" spans="2:34" s="351" customFormat="1" x14ac:dyDescent="0.2">
      <c r="B49" s="250" t="s">
        <v>145</v>
      </c>
      <c r="C49" s="251">
        <f>'Input Sheet'!G49</f>
        <v>80</v>
      </c>
      <c r="D49" s="428">
        <f>'Input Sheet'!H49</f>
        <v>7</v>
      </c>
      <c r="E49" s="429">
        <f>'Input Sheet'!J49</f>
        <v>616</v>
      </c>
      <c r="F49" s="103">
        <f>'Input Sheet'!K49</f>
        <v>560</v>
      </c>
      <c r="G49" s="430"/>
      <c r="H49" s="136">
        <f>+'Input Sheet'!G$281</f>
        <v>202.58079139378449</v>
      </c>
      <c r="I49" s="130">
        <f>+'Input Sheet'!H$281</f>
        <v>211.41933457916826</v>
      </c>
      <c r="J49" s="130">
        <f>+'Input Sheet'!I$281</f>
        <v>218.57750684634706</v>
      </c>
      <c r="K49" s="130">
        <f>+'Input Sheet'!J$281</f>
        <v>226.27758978315956</v>
      </c>
      <c r="L49" s="131">
        <f>+'Input Sheet'!K$281</f>
        <v>234.06976377046144</v>
      </c>
      <c r="M49" s="91"/>
      <c r="N49" s="431">
        <f>+'Standard Hour Calcs'!Z50</f>
        <v>7</v>
      </c>
      <c r="O49" s="227"/>
      <c r="P49" s="91"/>
      <c r="Q49" s="432">
        <f t="shared" si="7"/>
        <v>1418.0655397564915</v>
      </c>
      <c r="R49" s="433">
        <f t="shared" si="8"/>
        <v>1479.9353420541779</v>
      </c>
      <c r="S49" s="433">
        <f t="shared" si="9"/>
        <v>1530.0425479244295</v>
      </c>
      <c r="T49" s="433">
        <f t="shared" si="10"/>
        <v>1583.9431284821169</v>
      </c>
      <c r="U49" s="434">
        <f t="shared" si="11"/>
        <v>1638.4883463932301</v>
      </c>
      <c r="V49" s="435"/>
      <c r="W49" s="144"/>
      <c r="X49" s="144"/>
      <c r="Y49" s="144"/>
      <c r="Z49" s="144"/>
      <c r="AA49" s="144"/>
      <c r="AB49" s="142"/>
      <c r="AC49" s="436">
        <f t="shared" ref="AC49:AG49" si="48">IF($N49="Hourly",$N153*Q49*H153,Q49*H153*$N153)</f>
        <v>0</v>
      </c>
      <c r="AD49" s="437">
        <f t="shared" si="48"/>
        <v>0</v>
      </c>
      <c r="AE49" s="437">
        <f t="shared" si="48"/>
        <v>0</v>
      </c>
      <c r="AF49" s="437">
        <f t="shared" si="48"/>
        <v>0</v>
      </c>
      <c r="AG49" s="438">
        <f t="shared" si="48"/>
        <v>0</v>
      </c>
      <c r="AH49" s="142"/>
    </row>
    <row r="50" spans="2:34" s="351" customFormat="1" x14ac:dyDescent="0.2">
      <c r="B50" s="250" t="s">
        <v>146</v>
      </c>
      <c r="C50" s="251">
        <f>'Input Sheet'!G50</f>
        <v>80</v>
      </c>
      <c r="D50" s="428">
        <f>'Input Sheet'!H50</f>
        <v>2.2045454545454546</v>
      </c>
      <c r="E50" s="429">
        <f>'Input Sheet'!J50</f>
        <v>194</v>
      </c>
      <c r="F50" s="103">
        <f>'Input Sheet'!K50</f>
        <v>176.36363636363637</v>
      </c>
      <c r="G50" s="430"/>
      <c r="H50" s="136">
        <f>+'Input Sheet'!G$281</f>
        <v>202.58079139378449</v>
      </c>
      <c r="I50" s="130">
        <f>+'Input Sheet'!H$281</f>
        <v>211.41933457916826</v>
      </c>
      <c r="J50" s="130">
        <f>+'Input Sheet'!I$281</f>
        <v>218.57750684634706</v>
      </c>
      <c r="K50" s="130">
        <f>+'Input Sheet'!J$281</f>
        <v>226.27758978315956</v>
      </c>
      <c r="L50" s="131">
        <f>+'Input Sheet'!K$281</f>
        <v>234.06976377046144</v>
      </c>
      <c r="M50" s="91"/>
      <c r="N50" s="431">
        <f>+'Standard Hour Calcs'!Z51</f>
        <v>2.2000000000000002</v>
      </c>
      <c r="O50" s="227"/>
      <c r="P50" s="91"/>
      <c r="Q50" s="432">
        <f t="shared" si="7"/>
        <v>445.67774106632595</v>
      </c>
      <c r="R50" s="433">
        <f t="shared" si="8"/>
        <v>465.12253607417023</v>
      </c>
      <c r="S50" s="433">
        <f t="shared" si="9"/>
        <v>480.8705150619636</v>
      </c>
      <c r="T50" s="433">
        <f t="shared" si="10"/>
        <v>497.81069752295105</v>
      </c>
      <c r="U50" s="434">
        <f t="shared" si="11"/>
        <v>514.9534802950152</v>
      </c>
      <c r="V50" s="435"/>
      <c r="W50" s="144"/>
      <c r="X50" s="144"/>
      <c r="Y50" s="144"/>
      <c r="Z50" s="144"/>
      <c r="AA50" s="144"/>
      <c r="AB50" s="142"/>
      <c r="AC50" s="436">
        <f t="shared" ref="AC50:AG50" si="49">IF($N50="Hourly",$N154*Q50*H154,Q50*H154*$N154)</f>
        <v>0</v>
      </c>
      <c r="AD50" s="437">
        <f t="shared" si="49"/>
        <v>0</v>
      </c>
      <c r="AE50" s="437">
        <f t="shared" si="49"/>
        <v>0</v>
      </c>
      <c r="AF50" s="437">
        <f t="shared" si="49"/>
        <v>0</v>
      </c>
      <c r="AG50" s="438">
        <f t="shared" si="49"/>
        <v>0</v>
      </c>
      <c r="AH50" s="142"/>
    </row>
    <row r="51" spans="2:34" s="351" customFormat="1" x14ac:dyDescent="0.2">
      <c r="B51" s="250" t="s">
        <v>147</v>
      </c>
      <c r="C51" s="251">
        <f>'Input Sheet'!G51</f>
        <v>80</v>
      </c>
      <c r="D51" s="428">
        <f>'Input Sheet'!H51</f>
        <v>1.9886363636363638</v>
      </c>
      <c r="E51" s="429">
        <f>'Input Sheet'!J51</f>
        <v>175</v>
      </c>
      <c r="F51" s="103">
        <f>'Input Sheet'!K51</f>
        <v>159.09090909090909</v>
      </c>
      <c r="G51" s="430"/>
      <c r="H51" s="136">
        <f>+'Input Sheet'!G$281</f>
        <v>202.58079139378449</v>
      </c>
      <c r="I51" s="130">
        <f>+'Input Sheet'!H$281</f>
        <v>211.41933457916826</v>
      </c>
      <c r="J51" s="130">
        <f>+'Input Sheet'!I$281</f>
        <v>218.57750684634706</v>
      </c>
      <c r="K51" s="130">
        <f>+'Input Sheet'!J$281</f>
        <v>226.27758978315956</v>
      </c>
      <c r="L51" s="131">
        <f>+'Input Sheet'!K$281</f>
        <v>234.06976377046144</v>
      </c>
      <c r="M51" s="91"/>
      <c r="N51" s="431">
        <f>+'Standard Hour Calcs'!Z52</f>
        <v>1.99</v>
      </c>
      <c r="O51" s="227"/>
      <c r="P51" s="91"/>
      <c r="Q51" s="432">
        <f t="shared" si="7"/>
        <v>403.13577487363114</v>
      </c>
      <c r="R51" s="433">
        <f t="shared" si="8"/>
        <v>420.72447581254482</v>
      </c>
      <c r="S51" s="433">
        <f t="shared" si="9"/>
        <v>434.96923862423063</v>
      </c>
      <c r="T51" s="433">
        <f t="shared" si="10"/>
        <v>450.29240366848751</v>
      </c>
      <c r="U51" s="434">
        <f t="shared" si="11"/>
        <v>465.79882990321823</v>
      </c>
      <c r="V51" s="435"/>
      <c r="W51" s="144"/>
      <c r="X51" s="144"/>
      <c r="Y51" s="144"/>
      <c r="Z51" s="144"/>
      <c r="AA51" s="144"/>
      <c r="AB51" s="142"/>
      <c r="AC51" s="436">
        <f t="shared" ref="AC51:AG51" si="50">IF($N51="Hourly",$N155*Q51*H155,Q51*H155*$N155)</f>
        <v>0</v>
      </c>
      <c r="AD51" s="437">
        <f t="shared" si="50"/>
        <v>0</v>
      </c>
      <c r="AE51" s="437">
        <f t="shared" si="50"/>
        <v>0</v>
      </c>
      <c r="AF51" s="437">
        <f t="shared" si="50"/>
        <v>0</v>
      </c>
      <c r="AG51" s="438">
        <f t="shared" si="50"/>
        <v>0</v>
      </c>
      <c r="AH51" s="142"/>
    </row>
    <row r="52" spans="2:34" s="351" customFormat="1" x14ac:dyDescent="0.2">
      <c r="B52" s="250" t="s">
        <v>148</v>
      </c>
      <c r="C52" s="251">
        <f>'Input Sheet'!G52</f>
        <v>80</v>
      </c>
      <c r="D52" s="428">
        <f>'Input Sheet'!H52</f>
        <v>1.5</v>
      </c>
      <c r="E52" s="429">
        <f>'Input Sheet'!J52</f>
        <v>132</v>
      </c>
      <c r="F52" s="103">
        <f>'Input Sheet'!K52</f>
        <v>120</v>
      </c>
      <c r="G52" s="430"/>
      <c r="H52" s="136">
        <f>+'Input Sheet'!G$281</f>
        <v>202.58079139378449</v>
      </c>
      <c r="I52" s="130">
        <f>+'Input Sheet'!H$281</f>
        <v>211.41933457916826</v>
      </c>
      <c r="J52" s="130">
        <f>+'Input Sheet'!I$281</f>
        <v>218.57750684634706</v>
      </c>
      <c r="K52" s="130">
        <f>+'Input Sheet'!J$281</f>
        <v>226.27758978315956</v>
      </c>
      <c r="L52" s="131">
        <f>+'Input Sheet'!K$281</f>
        <v>234.06976377046144</v>
      </c>
      <c r="M52" s="91"/>
      <c r="N52" s="431">
        <f>+'Standard Hour Calcs'!Z53</f>
        <v>1.5</v>
      </c>
      <c r="O52" s="227"/>
      <c r="P52" s="91"/>
      <c r="Q52" s="432">
        <f t="shared" si="7"/>
        <v>303.87118709067676</v>
      </c>
      <c r="R52" s="433">
        <f t="shared" si="8"/>
        <v>317.12900186875243</v>
      </c>
      <c r="S52" s="433">
        <f t="shared" si="9"/>
        <v>327.86626026952058</v>
      </c>
      <c r="T52" s="433">
        <f t="shared" si="10"/>
        <v>339.41638467473933</v>
      </c>
      <c r="U52" s="434">
        <f t="shared" si="11"/>
        <v>351.10464565569214</v>
      </c>
      <c r="V52" s="435"/>
      <c r="W52" s="144"/>
      <c r="X52" s="144"/>
      <c r="Y52" s="144"/>
      <c r="Z52" s="144"/>
      <c r="AA52" s="144"/>
      <c r="AB52" s="142"/>
      <c r="AC52" s="436">
        <f t="shared" ref="AC52:AG52" si="51">IF($N52="Hourly",$N156*Q52*H156,Q52*H156*$N156)</f>
        <v>0</v>
      </c>
      <c r="AD52" s="437">
        <f t="shared" si="51"/>
        <v>0</v>
      </c>
      <c r="AE52" s="437">
        <f t="shared" si="51"/>
        <v>0</v>
      </c>
      <c r="AF52" s="437">
        <f t="shared" si="51"/>
        <v>0</v>
      </c>
      <c r="AG52" s="438">
        <f t="shared" si="51"/>
        <v>0</v>
      </c>
      <c r="AH52" s="142"/>
    </row>
    <row r="53" spans="2:34" s="351" customFormat="1" x14ac:dyDescent="0.2">
      <c r="B53" s="250" t="s">
        <v>149</v>
      </c>
      <c r="C53" s="251">
        <f>'Input Sheet'!G53</f>
        <v>80</v>
      </c>
      <c r="D53" s="428">
        <f>'Input Sheet'!H53</f>
        <v>8.795454545454545</v>
      </c>
      <c r="E53" s="429">
        <f>'Input Sheet'!J53</f>
        <v>774</v>
      </c>
      <c r="F53" s="103">
        <f>'Input Sheet'!K53</f>
        <v>703.63636363636363</v>
      </c>
      <c r="G53" s="430"/>
      <c r="H53" s="136">
        <f>+'Input Sheet'!G$281</f>
        <v>202.58079139378449</v>
      </c>
      <c r="I53" s="130">
        <f>+'Input Sheet'!H$281</f>
        <v>211.41933457916826</v>
      </c>
      <c r="J53" s="130">
        <f>+'Input Sheet'!I$281</f>
        <v>218.57750684634706</v>
      </c>
      <c r="K53" s="130">
        <f>+'Input Sheet'!J$281</f>
        <v>226.27758978315956</v>
      </c>
      <c r="L53" s="131">
        <f>+'Input Sheet'!K$281</f>
        <v>234.06976377046144</v>
      </c>
      <c r="M53" s="91"/>
      <c r="N53" s="431">
        <f>+'Standard Hour Calcs'!Z54</f>
        <v>8.8000000000000007</v>
      </c>
      <c r="O53" s="227"/>
      <c r="P53" s="91"/>
      <c r="Q53" s="432">
        <f t="shared" si="7"/>
        <v>1782.7109642653038</v>
      </c>
      <c r="R53" s="433">
        <f t="shared" si="8"/>
        <v>1860.4901442966809</v>
      </c>
      <c r="S53" s="433">
        <f t="shared" si="9"/>
        <v>1923.4820602478544</v>
      </c>
      <c r="T53" s="433">
        <f t="shared" si="10"/>
        <v>1991.2427900918042</v>
      </c>
      <c r="U53" s="434">
        <f t="shared" si="11"/>
        <v>2059.8139211800608</v>
      </c>
      <c r="V53" s="435"/>
      <c r="W53" s="144"/>
      <c r="X53" s="144"/>
      <c r="Y53" s="144"/>
      <c r="Z53" s="144"/>
      <c r="AA53" s="144"/>
      <c r="AB53" s="142"/>
      <c r="AC53" s="436">
        <f t="shared" ref="AC53:AG53" si="52">IF($N53="Hourly",$N157*Q53*H157,Q53*H157*$N157)</f>
        <v>0</v>
      </c>
      <c r="AD53" s="437">
        <f t="shared" si="52"/>
        <v>0</v>
      </c>
      <c r="AE53" s="437">
        <f t="shared" si="52"/>
        <v>0</v>
      </c>
      <c r="AF53" s="437">
        <f t="shared" si="52"/>
        <v>0</v>
      </c>
      <c r="AG53" s="438">
        <f t="shared" si="52"/>
        <v>0</v>
      </c>
      <c r="AH53" s="142"/>
    </row>
    <row r="54" spans="2:34" s="351" customFormat="1" x14ac:dyDescent="0.2">
      <c r="B54" s="250" t="s">
        <v>150</v>
      </c>
      <c r="C54" s="251">
        <f>'Input Sheet'!G54</f>
        <v>80</v>
      </c>
      <c r="D54" s="428">
        <f>'Input Sheet'!H54</f>
        <v>0.5</v>
      </c>
      <c r="E54" s="429">
        <f>'Input Sheet'!J54</f>
        <v>44</v>
      </c>
      <c r="F54" s="103">
        <f>'Input Sheet'!K54</f>
        <v>40</v>
      </c>
      <c r="G54" s="430"/>
      <c r="H54" s="136">
        <f>+'Input Sheet'!G$281</f>
        <v>202.58079139378449</v>
      </c>
      <c r="I54" s="130">
        <f>+'Input Sheet'!H$281</f>
        <v>211.41933457916826</v>
      </c>
      <c r="J54" s="130">
        <f>+'Input Sheet'!I$281</f>
        <v>218.57750684634706</v>
      </c>
      <c r="K54" s="130">
        <f>+'Input Sheet'!J$281</f>
        <v>226.27758978315956</v>
      </c>
      <c r="L54" s="131">
        <f>+'Input Sheet'!K$281</f>
        <v>234.06976377046144</v>
      </c>
      <c r="M54" s="91"/>
      <c r="N54" s="431">
        <f>+'Standard Hour Calcs'!Z55</f>
        <v>0.5</v>
      </c>
      <c r="O54" s="227"/>
      <c r="P54" s="91"/>
      <c r="Q54" s="432">
        <f t="shared" si="7"/>
        <v>101.29039569689225</v>
      </c>
      <c r="R54" s="433">
        <f t="shared" si="8"/>
        <v>105.70966728958413</v>
      </c>
      <c r="S54" s="433">
        <f t="shared" si="9"/>
        <v>109.28875342317353</v>
      </c>
      <c r="T54" s="433">
        <f t="shared" si="10"/>
        <v>113.13879489157978</v>
      </c>
      <c r="U54" s="434">
        <f t="shared" si="11"/>
        <v>117.03488188523072</v>
      </c>
      <c r="V54" s="435"/>
      <c r="W54" s="144"/>
      <c r="X54" s="144"/>
      <c r="Y54" s="144"/>
      <c r="Z54" s="144"/>
      <c r="AA54" s="144"/>
      <c r="AB54" s="142"/>
      <c r="AC54" s="436">
        <f t="shared" ref="AC54:AG54" si="53">IF($N54="Hourly",$N158*Q54*H158,Q54*H158*$N158)</f>
        <v>1620.646331150276</v>
      </c>
      <c r="AD54" s="437">
        <f t="shared" si="53"/>
        <v>1691.3546766333461</v>
      </c>
      <c r="AE54" s="437">
        <f t="shared" si="53"/>
        <v>1748.6200547707765</v>
      </c>
      <c r="AF54" s="437">
        <f t="shared" si="53"/>
        <v>1810.2207182652764</v>
      </c>
      <c r="AG54" s="438">
        <f t="shared" si="53"/>
        <v>1872.5581101636915</v>
      </c>
      <c r="AH54" s="142"/>
    </row>
    <row r="55" spans="2:34" s="351" customFormat="1" x14ac:dyDescent="0.2">
      <c r="B55" s="250" t="s">
        <v>151</v>
      </c>
      <c r="C55" s="251">
        <f>'Input Sheet'!G55</f>
        <v>80</v>
      </c>
      <c r="D55" s="428">
        <f>'Input Sheet'!H55</f>
        <v>0.5</v>
      </c>
      <c r="E55" s="429">
        <f>'Input Sheet'!J55</f>
        <v>44</v>
      </c>
      <c r="F55" s="103">
        <f>'Input Sheet'!K55</f>
        <v>40</v>
      </c>
      <c r="G55" s="430"/>
      <c r="H55" s="136">
        <f>+'Input Sheet'!G$281</f>
        <v>202.58079139378449</v>
      </c>
      <c r="I55" s="130">
        <f>+'Input Sheet'!H$281</f>
        <v>211.41933457916826</v>
      </c>
      <c r="J55" s="130">
        <f>+'Input Sheet'!I$281</f>
        <v>218.57750684634706</v>
      </c>
      <c r="K55" s="130">
        <f>+'Input Sheet'!J$281</f>
        <v>226.27758978315956</v>
      </c>
      <c r="L55" s="131">
        <f>+'Input Sheet'!K$281</f>
        <v>234.06976377046144</v>
      </c>
      <c r="M55" s="91"/>
      <c r="N55" s="431">
        <f>+'Standard Hour Calcs'!Z56</f>
        <v>0.5</v>
      </c>
      <c r="O55" s="227"/>
      <c r="P55" s="91"/>
      <c r="Q55" s="432">
        <f t="shared" si="7"/>
        <v>101.29039569689225</v>
      </c>
      <c r="R55" s="433">
        <f t="shared" si="8"/>
        <v>105.70966728958413</v>
      </c>
      <c r="S55" s="433">
        <f t="shared" si="9"/>
        <v>109.28875342317353</v>
      </c>
      <c r="T55" s="433">
        <f t="shared" si="10"/>
        <v>113.13879489157978</v>
      </c>
      <c r="U55" s="434">
        <f t="shared" si="11"/>
        <v>117.03488188523072</v>
      </c>
      <c r="V55" s="435"/>
      <c r="W55" s="144"/>
      <c r="X55" s="144"/>
      <c r="Y55" s="144"/>
      <c r="Z55" s="144"/>
      <c r="AA55" s="144"/>
      <c r="AB55" s="142"/>
      <c r="AC55" s="436">
        <f t="shared" ref="AC55:AG55" si="54">IF($N55="Hourly",$N159*Q55*H159,Q55*H159*$N159)</f>
        <v>405.16158278756899</v>
      </c>
      <c r="AD55" s="437">
        <f t="shared" si="54"/>
        <v>422.83866915833653</v>
      </c>
      <c r="AE55" s="437">
        <f t="shared" si="54"/>
        <v>437.15501369269413</v>
      </c>
      <c r="AF55" s="437">
        <f t="shared" si="54"/>
        <v>452.55517956631911</v>
      </c>
      <c r="AG55" s="438">
        <f t="shared" si="54"/>
        <v>468.13952754092287</v>
      </c>
      <c r="AH55" s="142"/>
    </row>
    <row r="56" spans="2:34" s="351" customFormat="1" x14ac:dyDescent="0.2">
      <c r="B56" s="250" t="s">
        <v>152</v>
      </c>
      <c r="C56" s="251">
        <f>'Input Sheet'!G56</f>
        <v>80</v>
      </c>
      <c r="D56" s="428">
        <f>'Input Sheet'!H56</f>
        <v>0.5</v>
      </c>
      <c r="E56" s="429">
        <f>'Input Sheet'!J56</f>
        <v>44</v>
      </c>
      <c r="F56" s="103">
        <f>'Input Sheet'!K56</f>
        <v>40</v>
      </c>
      <c r="G56" s="430"/>
      <c r="H56" s="136">
        <f>+'Input Sheet'!G$281</f>
        <v>202.58079139378449</v>
      </c>
      <c r="I56" s="130">
        <f>+'Input Sheet'!H$281</f>
        <v>211.41933457916826</v>
      </c>
      <c r="J56" s="130">
        <f>+'Input Sheet'!I$281</f>
        <v>218.57750684634706</v>
      </c>
      <c r="K56" s="130">
        <f>+'Input Sheet'!J$281</f>
        <v>226.27758978315956</v>
      </c>
      <c r="L56" s="131">
        <f>+'Input Sheet'!K$281</f>
        <v>234.06976377046144</v>
      </c>
      <c r="M56" s="91"/>
      <c r="N56" s="431">
        <f>+'Standard Hour Calcs'!Z57</f>
        <v>0.5</v>
      </c>
      <c r="O56" s="227"/>
      <c r="P56" s="91"/>
      <c r="Q56" s="432">
        <f t="shared" si="7"/>
        <v>101.29039569689225</v>
      </c>
      <c r="R56" s="433">
        <f t="shared" si="8"/>
        <v>105.70966728958413</v>
      </c>
      <c r="S56" s="433">
        <f t="shared" si="9"/>
        <v>109.28875342317353</v>
      </c>
      <c r="T56" s="433">
        <f t="shared" si="10"/>
        <v>113.13879489157978</v>
      </c>
      <c r="U56" s="434">
        <f t="shared" si="11"/>
        <v>117.03488188523072</v>
      </c>
      <c r="V56" s="435"/>
      <c r="W56" s="144"/>
      <c r="X56" s="144"/>
      <c r="Y56" s="144"/>
      <c r="Z56" s="144"/>
      <c r="AA56" s="144"/>
      <c r="AB56" s="142"/>
      <c r="AC56" s="436">
        <f t="shared" ref="AC56:AG56" si="55">IF($N56="Hourly",$N160*Q56*H160,Q56*H160*$N160)</f>
        <v>0</v>
      </c>
      <c r="AD56" s="437">
        <f t="shared" si="55"/>
        <v>0</v>
      </c>
      <c r="AE56" s="437">
        <f t="shared" si="55"/>
        <v>0</v>
      </c>
      <c r="AF56" s="437">
        <f t="shared" si="55"/>
        <v>0</v>
      </c>
      <c r="AG56" s="438">
        <f t="shared" si="55"/>
        <v>0</v>
      </c>
      <c r="AH56" s="142"/>
    </row>
    <row r="57" spans="2:34" s="351" customFormat="1" x14ac:dyDescent="0.2">
      <c r="B57" s="250" t="s">
        <v>153</v>
      </c>
      <c r="C57" s="251">
        <f>'Input Sheet'!G57</f>
        <v>80</v>
      </c>
      <c r="D57" s="428">
        <f>'Input Sheet'!H57</f>
        <v>1.2045454545454546</v>
      </c>
      <c r="E57" s="429">
        <f>'Input Sheet'!J57</f>
        <v>106</v>
      </c>
      <c r="F57" s="103">
        <f>'Input Sheet'!K57</f>
        <v>96.363636363636374</v>
      </c>
      <c r="G57" s="430"/>
      <c r="H57" s="136">
        <f>+'Input Sheet'!G$281</f>
        <v>202.58079139378449</v>
      </c>
      <c r="I57" s="130">
        <f>+'Input Sheet'!H$281</f>
        <v>211.41933457916826</v>
      </c>
      <c r="J57" s="130">
        <f>+'Input Sheet'!I$281</f>
        <v>218.57750684634706</v>
      </c>
      <c r="K57" s="130">
        <f>+'Input Sheet'!J$281</f>
        <v>226.27758978315956</v>
      </c>
      <c r="L57" s="131">
        <f>+'Input Sheet'!K$281</f>
        <v>234.06976377046144</v>
      </c>
      <c r="M57" s="91"/>
      <c r="N57" s="431">
        <f>+'Standard Hour Calcs'!Z58</f>
        <v>1.2</v>
      </c>
      <c r="O57" s="227"/>
      <c r="P57" s="91"/>
      <c r="Q57" s="432">
        <f t="shared" si="7"/>
        <v>243.09694967254137</v>
      </c>
      <c r="R57" s="433">
        <f t="shared" si="8"/>
        <v>253.70320149500191</v>
      </c>
      <c r="S57" s="433">
        <f t="shared" si="9"/>
        <v>262.29300821561645</v>
      </c>
      <c r="T57" s="433">
        <f t="shared" si="10"/>
        <v>271.53310773979143</v>
      </c>
      <c r="U57" s="434">
        <f t="shared" si="11"/>
        <v>280.88371652455373</v>
      </c>
      <c r="V57" s="435"/>
      <c r="W57" s="144"/>
      <c r="X57" s="144"/>
      <c r="Y57" s="144"/>
      <c r="Z57" s="144"/>
      <c r="AA57" s="144"/>
      <c r="AB57" s="142"/>
      <c r="AC57" s="436">
        <f t="shared" ref="AC57:AG57" si="56">IF($N57="Hourly",$N161*Q57*H161,Q57*H161*$N161)</f>
        <v>2917.1633960704967</v>
      </c>
      <c r="AD57" s="437">
        <f t="shared" si="56"/>
        <v>3044.4384179400231</v>
      </c>
      <c r="AE57" s="437">
        <f t="shared" si="56"/>
        <v>3147.5160985873972</v>
      </c>
      <c r="AF57" s="437">
        <f t="shared" si="56"/>
        <v>3258.3972928774974</v>
      </c>
      <c r="AG57" s="438">
        <f t="shared" si="56"/>
        <v>3370.6045982946448</v>
      </c>
      <c r="AH57" s="142"/>
    </row>
    <row r="58" spans="2:34" s="351" customFormat="1" x14ac:dyDescent="0.2">
      <c r="B58" s="250" t="s">
        <v>154</v>
      </c>
      <c r="C58" s="251">
        <f>'Input Sheet'!G58</f>
        <v>80</v>
      </c>
      <c r="D58" s="428">
        <f>'Input Sheet'!H58</f>
        <v>1.2045454545454546</v>
      </c>
      <c r="E58" s="429">
        <f>'Input Sheet'!J58</f>
        <v>106</v>
      </c>
      <c r="F58" s="103">
        <f>'Input Sheet'!K58</f>
        <v>96.363636363636374</v>
      </c>
      <c r="G58" s="430"/>
      <c r="H58" s="136">
        <f>+'Input Sheet'!G$281</f>
        <v>202.58079139378449</v>
      </c>
      <c r="I58" s="130">
        <f>+'Input Sheet'!H$281</f>
        <v>211.41933457916826</v>
      </c>
      <c r="J58" s="130">
        <f>+'Input Sheet'!I$281</f>
        <v>218.57750684634706</v>
      </c>
      <c r="K58" s="130">
        <f>+'Input Sheet'!J$281</f>
        <v>226.27758978315956</v>
      </c>
      <c r="L58" s="131">
        <f>+'Input Sheet'!K$281</f>
        <v>234.06976377046144</v>
      </c>
      <c r="M58" s="91"/>
      <c r="N58" s="431">
        <f>+'Standard Hour Calcs'!Z59</f>
        <v>1.2</v>
      </c>
      <c r="O58" s="227"/>
      <c r="P58" s="91"/>
      <c r="Q58" s="432">
        <f t="shared" si="7"/>
        <v>243.09694967254137</v>
      </c>
      <c r="R58" s="433">
        <f t="shared" si="8"/>
        <v>253.70320149500191</v>
      </c>
      <c r="S58" s="433">
        <f t="shared" si="9"/>
        <v>262.29300821561645</v>
      </c>
      <c r="T58" s="433">
        <f t="shared" si="10"/>
        <v>271.53310773979143</v>
      </c>
      <c r="U58" s="434">
        <f t="shared" si="11"/>
        <v>280.88371652455373</v>
      </c>
      <c r="V58" s="435"/>
      <c r="W58" s="144"/>
      <c r="X58" s="144"/>
      <c r="Y58" s="144"/>
      <c r="Z58" s="144"/>
      <c r="AA58" s="144"/>
      <c r="AB58" s="142"/>
      <c r="AC58" s="436">
        <f t="shared" ref="AC58:AG58" si="57">IF($N58="Hourly",$N162*Q58*H162,Q58*H162*$N162)</f>
        <v>0</v>
      </c>
      <c r="AD58" s="437">
        <f t="shared" si="57"/>
        <v>0</v>
      </c>
      <c r="AE58" s="437">
        <f t="shared" si="57"/>
        <v>0</v>
      </c>
      <c r="AF58" s="437">
        <f t="shared" si="57"/>
        <v>0</v>
      </c>
      <c r="AG58" s="438">
        <f t="shared" si="57"/>
        <v>0</v>
      </c>
      <c r="AH58" s="142"/>
    </row>
    <row r="59" spans="2:34" s="351" customFormat="1" x14ac:dyDescent="0.2">
      <c r="B59" s="250" t="s">
        <v>155</v>
      </c>
      <c r="C59" s="251">
        <f>'Input Sheet'!G59</f>
        <v>80</v>
      </c>
      <c r="D59" s="428">
        <f>'Input Sheet'!H59</f>
        <v>1.2045454545454546</v>
      </c>
      <c r="E59" s="429">
        <f>'Input Sheet'!J59</f>
        <v>106</v>
      </c>
      <c r="F59" s="103">
        <f>'Input Sheet'!K59</f>
        <v>96.363636363636374</v>
      </c>
      <c r="G59" s="430"/>
      <c r="H59" s="136">
        <f>+'Input Sheet'!G$281</f>
        <v>202.58079139378449</v>
      </c>
      <c r="I59" s="130">
        <f>+'Input Sheet'!H$281</f>
        <v>211.41933457916826</v>
      </c>
      <c r="J59" s="130">
        <f>+'Input Sheet'!I$281</f>
        <v>218.57750684634706</v>
      </c>
      <c r="K59" s="130">
        <f>+'Input Sheet'!J$281</f>
        <v>226.27758978315956</v>
      </c>
      <c r="L59" s="131">
        <f>+'Input Sheet'!K$281</f>
        <v>234.06976377046144</v>
      </c>
      <c r="M59" s="91"/>
      <c r="N59" s="431">
        <f>+'Standard Hour Calcs'!Z60</f>
        <v>1.2</v>
      </c>
      <c r="O59" s="227"/>
      <c r="P59" s="91"/>
      <c r="Q59" s="432">
        <f t="shared" si="7"/>
        <v>243.09694967254137</v>
      </c>
      <c r="R59" s="433">
        <f t="shared" si="8"/>
        <v>253.70320149500191</v>
      </c>
      <c r="S59" s="433">
        <f t="shared" si="9"/>
        <v>262.29300821561645</v>
      </c>
      <c r="T59" s="433">
        <f t="shared" si="10"/>
        <v>271.53310773979143</v>
      </c>
      <c r="U59" s="434">
        <f t="shared" si="11"/>
        <v>280.88371652455373</v>
      </c>
      <c r="V59" s="435"/>
      <c r="W59" s="144"/>
      <c r="X59" s="144"/>
      <c r="Y59" s="144"/>
      <c r="Z59" s="144"/>
      <c r="AA59" s="144"/>
      <c r="AB59" s="142"/>
      <c r="AC59" s="436">
        <f t="shared" ref="AC59:AG59" si="58">IF($N59="Hourly",$N163*Q59*H163,Q59*H163*$N163)</f>
        <v>0</v>
      </c>
      <c r="AD59" s="437">
        <f t="shared" si="58"/>
        <v>0</v>
      </c>
      <c r="AE59" s="437">
        <f t="shared" si="58"/>
        <v>0</v>
      </c>
      <c r="AF59" s="437">
        <f t="shared" si="58"/>
        <v>0</v>
      </c>
      <c r="AG59" s="438">
        <f t="shared" si="58"/>
        <v>0</v>
      </c>
      <c r="AH59" s="142"/>
    </row>
    <row r="60" spans="2:34" s="351" customFormat="1" x14ac:dyDescent="0.2">
      <c r="B60" s="250" t="s">
        <v>156</v>
      </c>
      <c r="C60" s="251">
        <f>'Input Sheet'!G60</f>
        <v>80</v>
      </c>
      <c r="D60" s="428">
        <f>'Input Sheet'!H60</f>
        <v>2.5</v>
      </c>
      <c r="E60" s="429">
        <f>'Input Sheet'!J60</f>
        <v>220</v>
      </c>
      <c r="F60" s="103">
        <f>'Input Sheet'!K60</f>
        <v>200</v>
      </c>
      <c r="G60" s="430"/>
      <c r="H60" s="136">
        <f>+'Input Sheet'!G$281</f>
        <v>202.58079139378449</v>
      </c>
      <c r="I60" s="130">
        <f>+'Input Sheet'!H$281</f>
        <v>211.41933457916826</v>
      </c>
      <c r="J60" s="130">
        <f>+'Input Sheet'!I$281</f>
        <v>218.57750684634706</v>
      </c>
      <c r="K60" s="130">
        <f>+'Input Sheet'!J$281</f>
        <v>226.27758978315956</v>
      </c>
      <c r="L60" s="131">
        <f>+'Input Sheet'!K$281</f>
        <v>234.06976377046144</v>
      </c>
      <c r="M60" s="91"/>
      <c r="N60" s="431">
        <f>+'Standard Hour Calcs'!Z61</f>
        <v>2.5</v>
      </c>
      <c r="O60" s="227"/>
      <c r="P60" s="91"/>
      <c r="Q60" s="432">
        <f t="shared" si="7"/>
        <v>506.45197848446122</v>
      </c>
      <c r="R60" s="433">
        <f t="shared" si="8"/>
        <v>528.54833644792063</v>
      </c>
      <c r="S60" s="433">
        <f t="shared" si="9"/>
        <v>546.44376711586767</v>
      </c>
      <c r="T60" s="433">
        <f t="shared" si="10"/>
        <v>565.69397445789889</v>
      </c>
      <c r="U60" s="434">
        <f t="shared" si="11"/>
        <v>585.1744094261536</v>
      </c>
      <c r="V60" s="435"/>
      <c r="W60" s="144"/>
      <c r="X60" s="144"/>
      <c r="Y60" s="144"/>
      <c r="Z60" s="144"/>
      <c r="AA60" s="144"/>
      <c r="AB60" s="142"/>
      <c r="AC60" s="436">
        <f t="shared" ref="AC60:AG60" si="59">IF($N60="Hourly",$N164*Q60*H164,Q60*H164*$N164)</f>
        <v>4051.6158278756898</v>
      </c>
      <c r="AD60" s="437">
        <f t="shared" si="59"/>
        <v>4228.3866915833651</v>
      </c>
      <c r="AE60" s="437">
        <f t="shared" si="59"/>
        <v>4371.5501369269414</v>
      </c>
      <c r="AF60" s="437">
        <f t="shared" si="59"/>
        <v>4525.5517956631911</v>
      </c>
      <c r="AG60" s="438">
        <f t="shared" si="59"/>
        <v>4681.3952754092288</v>
      </c>
      <c r="AH60" s="142"/>
    </row>
    <row r="61" spans="2:34" s="351" customFormat="1" x14ac:dyDescent="0.2">
      <c r="B61" s="250" t="s">
        <v>157</v>
      </c>
      <c r="C61" s="251">
        <f>'Input Sheet'!G61</f>
        <v>80</v>
      </c>
      <c r="D61" s="428">
        <f>'Input Sheet'!H61</f>
        <v>2.5</v>
      </c>
      <c r="E61" s="429">
        <f>'Input Sheet'!J61</f>
        <v>220</v>
      </c>
      <c r="F61" s="103">
        <f>'Input Sheet'!K61</f>
        <v>200</v>
      </c>
      <c r="G61" s="430"/>
      <c r="H61" s="136">
        <f>+'Input Sheet'!G$281</f>
        <v>202.58079139378449</v>
      </c>
      <c r="I61" s="130">
        <f>+'Input Sheet'!H$281</f>
        <v>211.41933457916826</v>
      </c>
      <c r="J61" s="130">
        <f>+'Input Sheet'!I$281</f>
        <v>218.57750684634706</v>
      </c>
      <c r="K61" s="130">
        <f>+'Input Sheet'!J$281</f>
        <v>226.27758978315956</v>
      </c>
      <c r="L61" s="131">
        <f>+'Input Sheet'!K$281</f>
        <v>234.06976377046144</v>
      </c>
      <c r="M61" s="91"/>
      <c r="N61" s="431">
        <f>+'Standard Hour Calcs'!Z62</f>
        <v>2.5</v>
      </c>
      <c r="O61" s="227"/>
      <c r="P61" s="91"/>
      <c r="Q61" s="432">
        <f t="shared" si="7"/>
        <v>506.45197848446122</v>
      </c>
      <c r="R61" s="433">
        <f t="shared" si="8"/>
        <v>528.54833644792063</v>
      </c>
      <c r="S61" s="433">
        <f t="shared" si="9"/>
        <v>546.44376711586767</v>
      </c>
      <c r="T61" s="433">
        <f t="shared" si="10"/>
        <v>565.69397445789889</v>
      </c>
      <c r="U61" s="434">
        <f t="shared" si="11"/>
        <v>585.1744094261536</v>
      </c>
      <c r="V61" s="435"/>
      <c r="W61" s="144"/>
      <c r="X61" s="144"/>
      <c r="Y61" s="144"/>
      <c r="Z61" s="144"/>
      <c r="AA61" s="144"/>
      <c r="AB61" s="142"/>
      <c r="AC61" s="436">
        <f t="shared" ref="AC61:AG61" si="60">IF($N61="Hourly",$N165*Q61*H165,Q61*H165*$N165)</f>
        <v>0</v>
      </c>
      <c r="AD61" s="437">
        <f t="shared" si="60"/>
        <v>0</v>
      </c>
      <c r="AE61" s="437">
        <f t="shared" si="60"/>
        <v>0</v>
      </c>
      <c r="AF61" s="437">
        <f t="shared" si="60"/>
        <v>0</v>
      </c>
      <c r="AG61" s="438">
        <f t="shared" si="60"/>
        <v>0</v>
      </c>
      <c r="AH61" s="142"/>
    </row>
    <row r="62" spans="2:34" s="351" customFormat="1" x14ac:dyDescent="0.2">
      <c r="B62" s="250" t="s">
        <v>158</v>
      </c>
      <c r="C62" s="251">
        <f>'Input Sheet'!G62</f>
        <v>80</v>
      </c>
      <c r="D62" s="428">
        <f>'Input Sheet'!H62</f>
        <v>2.5</v>
      </c>
      <c r="E62" s="429">
        <f>'Input Sheet'!J62</f>
        <v>220</v>
      </c>
      <c r="F62" s="103">
        <f>'Input Sheet'!K62</f>
        <v>200</v>
      </c>
      <c r="G62" s="430"/>
      <c r="H62" s="136">
        <f>+'Input Sheet'!G$281</f>
        <v>202.58079139378449</v>
      </c>
      <c r="I62" s="130">
        <f>+'Input Sheet'!H$281</f>
        <v>211.41933457916826</v>
      </c>
      <c r="J62" s="130">
        <f>+'Input Sheet'!I$281</f>
        <v>218.57750684634706</v>
      </c>
      <c r="K62" s="130">
        <f>+'Input Sheet'!J$281</f>
        <v>226.27758978315956</v>
      </c>
      <c r="L62" s="131">
        <f>+'Input Sheet'!K$281</f>
        <v>234.06976377046144</v>
      </c>
      <c r="M62" s="91"/>
      <c r="N62" s="431">
        <f>+'Standard Hour Calcs'!Z63</f>
        <v>2.5</v>
      </c>
      <c r="O62" s="227"/>
      <c r="P62" s="91"/>
      <c r="Q62" s="432">
        <f t="shared" si="7"/>
        <v>506.45197848446122</v>
      </c>
      <c r="R62" s="433">
        <f t="shared" si="8"/>
        <v>528.54833644792063</v>
      </c>
      <c r="S62" s="433">
        <f t="shared" si="9"/>
        <v>546.44376711586767</v>
      </c>
      <c r="T62" s="433">
        <f t="shared" si="10"/>
        <v>565.69397445789889</v>
      </c>
      <c r="U62" s="434">
        <f t="shared" si="11"/>
        <v>585.1744094261536</v>
      </c>
      <c r="V62" s="435"/>
      <c r="W62" s="144"/>
      <c r="X62" s="144"/>
      <c r="Y62" s="144"/>
      <c r="Z62" s="144"/>
      <c r="AA62" s="144"/>
      <c r="AB62" s="142"/>
      <c r="AC62" s="436">
        <f t="shared" ref="AC62:AG62" si="61">IF($N62="Hourly",$N166*Q62*H166,Q62*H166*$N166)</f>
        <v>0</v>
      </c>
      <c r="AD62" s="437">
        <f t="shared" si="61"/>
        <v>0</v>
      </c>
      <c r="AE62" s="437">
        <f t="shared" si="61"/>
        <v>0</v>
      </c>
      <c r="AF62" s="437">
        <f t="shared" si="61"/>
        <v>0</v>
      </c>
      <c r="AG62" s="438">
        <f t="shared" si="61"/>
        <v>0</v>
      </c>
      <c r="AH62" s="142"/>
    </row>
    <row r="63" spans="2:34" s="351" customFormat="1" x14ac:dyDescent="0.2">
      <c r="B63" s="250"/>
      <c r="C63" s="251"/>
      <c r="D63" s="428"/>
      <c r="E63" s="429"/>
      <c r="F63" s="103"/>
      <c r="G63" s="430"/>
      <c r="H63" s="136"/>
      <c r="I63" s="130"/>
      <c r="J63" s="130"/>
      <c r="K63" s="130"/>
      <c r="L63" s="131"/>
      <c r="M63" s="91"/>
      <c r="N63" s="431"/>
      <c r="O63" s="227"/>
      <c r="P63" s="91"/>
      <c r="Q63" s="432"/>
      <c r="R63" s="433"/>
      <c r="S63" s="433"/>
      <c r="T63" s="433"/>
      <c r="U63" s="434"/>
      <c r="V63" s="435"/>
      <c r="W63" s="144"/>
      <c r="X63" s="144"/>
      <c r="Y63" s="144"/>
      <c r="Z63" s="144"/>
      <c r="AA63" s="144"/>
      <c r="AB63" s="142"/>
      <c r="AC63" s="436"/>
      <c r="AD63" s="437"/>
      <c r="AE63" s="437"/>
      <c r="AF63" s="437"/>
      <c r="AG63" s="438"/>
      <c r="AH63" s="142"/>
    </row>
    <row r="64" spans="2:34" s="351" customFormat="1" x14ac:dyDescent="0.2">
      <c r="B64" s="250" t="s">
        <v>159</v>
      </c>
      <c r="C64" s="251">
        <f>'Input Sheet'!G64</f>
        <v>80</v>
      </c>
      <c r="D64" s="428" t="str">
        <f>'Input Sheet'!H64</f>
        <v>Hourly</v>
      </c>
      <c r="E64" s="429">
        <f>'Input Sheet'!J64</f>
        <v>88</v>
      </c>
      <c r="F64" s="103">
        <f>'Input Sheet'!K64</f>
        <v>80</v>
      </c>
      <c r="G64" s="430"/>
      <c r="H64" s="136">
        <f>+'Input Sheet'!G$281</f>
        <v>202.58079139378449</v>
      </c>
      <c r="I64" s="130">
        <f>+'Input Sheet'!H$281</f>
        <v>211.41933457916826</v>
      </c>
      <c r="J64" s="130">
        <f>+'Input Sheet'!I$281</f>
        <v>218.57750684634706</v>
      </c>
      <c r="K64" s="130">
        <f>+'Input Sheet'!J$281</f>
        <v>226.27758978315956</v>
      </c>
      <c r="L64" s="131">
        <f>+'Input Sheet'!K$281</f>
        <v>234.06976377046144</v>
      </c>
      <c r="M64" s="91"/>
      <c r="N64" s="431" t="str">
        <f>+'Standard Hour Calcs'!Z65</f>
        <v>Hourly</v>
      </c>
      <c r="O64" s="227"/>
      <c r="P64" s="91"/>
      <c r="Q64" s="432">
        <f t="shared" ref="Q64:Q93" si="62">IF($N64="Hourly",H64,H64*$N64)</f>
        <v>202.58079139378449</v>
      </c>
      <c r="R64" s="433">
        <f t="shared" ref="R64:R93" si="63">IF($N64="Hourly",I64,I64*$N64)</f>
        <v>211.41933457916826</v>
      </c>
      <c r="S64" s="433">
        <f t="shared" ref="S64:S93" si="64">IF($N64="Hourly",J64,J64*$N64)</f>
        <v>218.57750684634706</v>
      </c>
      <c r="T64" s="433">
        <f t="shared" ref="T64:T93" si="65">IF($N64="Hourly",K64,K64*$N64)</f>
        <v>226.27758978315956</v>
      </c>
      <c r="U64" s="434">
        <f t="shared" ref="U64:U93" si="66">IF($N64="Hourly",L64,L64*$N64)</f>
        <v>234.06976377046144</v>
      </c>
      <c r="V64" s="435"/>
      <c r="W64" s="144"/>
      <c r="X64" s="144"/>
      <c r="Y64" s="144"/>
      <c r="Z64" s="144"/>
      <c r="AA64" s="144"/>
      <c r="AB64" s="142"/>
      <c r="AC64" s="436">
        <f t="shared" ref="AC64:AG64" si="67">IF($N64="Hourly",$N168*Q64*H168,Q64*H168*$N168)</f>
        <v>168142.05685684114</v>
      </c>
      <c r="AD64" s="437">
        <f t="shared" si="67"/>
        <v>175478.04770070966</v>
      </c>
      <c r="AE64" s="437">
        <f t="shared" si="67"/>
        <v>181419.33068246808</v>
      </c>
      <c r="AF64" s="437">
        <f t="shared" si="67"/>
        <v>187810.39952002245</v>
      </c>
      <c r="AG64" s="438">
        <f t="shared" si="67"/>
        <v>194277.903929483</v>
      </c>
      <c r="AH64" s="142"/>
    </row>
    <row r="65" spans="2:34" s="351" customFormat="1" x14ac:dyDescent="0.2">
      <c r="B65" s="250" t="s">
        <v>160</v>
      </c>
      <c r="C65" s="251">
        <f>'Input Sheet'!G65</f>
        <v>87.272727272727266</v>
      </c>
      <c r="D65" s="428" t="str">
        <f>'Input Sheet'!H65</f>
        <v>Hourly</v>
      </c>
      <c r="E65" s="429">
        <f>'Input Sheet'!J65</f>
        <v>106</v>
      </c>
      <c r="F65" s="103">
        <f>'Input Sheet'!K65</f>
        <v>96.363636363636374</v>
      </c>
      <c r="G65" s="430"/>
      <c r="H65" s="136">
        <f>+'Input Sheet'!G$281</f>
        <v>202.58079139378449</v>
      </c>
      <c r="I65" s="130">
        <f>+'Input Sheet'!H$281</f>
        <v>211.41933457916826</v>
      </c>
      <c r="J65" s="130">
        <f>+'Input Sheet'!I$281</f>
        <v>218.57750684634706</v>
      </c>
      <c r="K65" s="130">
        <f>+'Input Sheet'!J$281</f>
        <v>226.27758978315956</v>
      </c>
      <c r="L65" s="131">
        <f>+'Input Sheet'!K$281</f>
        <v>234.06976377046144</v>
      </c>
      <c r="M65" s="91"/>
      <c r="N65" s="431" t="str">
        <f>+'Standard Hour Calcs'!Z66</f>
        <v>Hourly</v>
      </c>
      <c r="O65" s="227"/>
      <c r="P65" s="91"/>
      <c r="Q65" s="432">
        <f t="shared" si="62"/>
        <v>202.58079139378449</v>
      </c>
      <c r="R65" s="433">
        <f t="shared" si="63"/>
        <v>211.41933457916826</v>
      </c>
      <c r="S65" s="433">
        <f t="shared" si="64"/>
        <v>218.57750684634706</v>
      </c>
      <c r="T65" s="433">
        <f t="shared" si="65"/>
        <v>226.27758978315956</v>
      </c>
      <c r="U65" s="434">
        <f t="shared" si="66"/>
        <v>234.06976377046144</v>
      </c>
      <c r="V65" s="435"/>
      <c r="W65" s="144"/>
      <c r="X65" s="144"/>
      <c r="Y65" s="144"/>
      <c r="Z65" s="144"/>
      <c r="AA65" s="144"/>
      <c r="AB65" s="142"/>
      <c r="AC65" s="436">
        <f t="shared" ref="AC65:AG65" si="68">IF($N65="Hourly",$N169*Q65*H169,Q65*H169*$N169)</f>
        <v>9723.8779869016562</v>
      </c>
      <c r="AD65" s="437">
        <f t="shared" si="68"/>
        <v>10148.128059800078</v>
      </c>
      <c r="AE65" s="437">
        <f t="shared" si="68"/>
        <v>10491.720328624659</v>
      </c>
      <c r="AF65" s="437">
        <f t="shared" si="68"/>
        <v>10861.324309591659</v>
      </c>
      <c r="AG65" s="438">
        <f t="shared" si="68"/>
        <v>11235.348660982148</v>
      </c>
      <c r="AH65" s="142"/>
    </row>
    <row r="66" spans="2:34" s="351" customFormat="1" x14ac:dyDescent="0.2">
      <c r="B66" s="250" t="s">
        <v>161</v>
      </c>
      <c r="C66" s="251">
        <f>'Input Sheet'!G66</f>
        <v>80</v>
      </c>
      <c r="D66" s="428" t="str">
        <f>'Input Sheet'!H66</f>
        <v>Hourly</v>
      </c>
      <c r="E66" s="429">
        <f>'Input Sheet'!J66</f>
        <v>88</v>
      </c>
      <c r="F66" s="103">
        <f>'Input Sheet'!K66</f>
        <v>80</v>
      </c>
      <c r="G66" s="430"/>
      <c r="H66" s="136">
        <f>+'Input Sheet'!G$281</f>
        <v>202.58079139378449</v>
      </c>
      <c r="I66" s="130">
        <f>+'Input Sheet'!H$281</f>
        <v>211.41933457916826</v>
      </c>
      <c r="J66" s="130">
        <f>+'Input Sheet'!I$281</f>
        <v>218.57750684634706</v>
      </c>
      <c r="K66" s="130">
        <f>+'Input Sheet'!J$281</f>
        <v>226.27758978315956</v>
      </c>
      <c r="L66" s="131">
        <f>+'Input Sheet'!K$281</f>
        <v>234.06976377046144</v>
      </c>
      <c r="M66" s="91"/>
      <c r="N66" s="431" t="str">
        <f>+'Standard Hour Calcs'!Z67</f>
        <v>Hourly</v>
      </c>
      <c r="O66" s="227"/>
      <c r="P66" s="91"/>
      <c r="Q66" s="432">
        <f t="shared" si="62"/>
        <v>202.58079139378449</v>
      </c>
      <c r="R66" s="433">
        <f t="shared" si="63"/>
        <v>211.41933457916826</v>
      </c>
      <c r="S66" s="433">
        <f t="shared" si="64"/>
        <v>218.57750684634706</v>
      </c>
      <c r="T66" s="433">
        <f t="shared" si="65"/>
        <v>226.27758978315956</v>
      </c>
      <c r="U66" s="434">
        <f t="shared" si="66"/>
        <v>234.06976377046144</v>
      </c>
      <c r="V66" s="435"/>
      <c r="W66" s="144"/>
      <c r="X66" s="144"/>
      <c r="Y66" s="144"/>
      <c r="Z66" s="144"/>
      <c r="AA66" s="144"/>
      <c r="AB66" s="142"/>
      <c r="AC66" s="436">
        <f t="shared" ref="AC66:AG66" si="69">IF($N66="Hourly",$N170*Q66*H170,Q66*H170*$N170)</f>
        <v>48619.389934508275</v>
      </c>
      <c r="AD66" s="437">
        <f t="shared" si="69"/>
        <v>50740.640299000384</v>
      </c>
      <c r="AE66" s="437">
        <f t="shared" si="69"/>
        <v>52458.601643123293</v>
      </c>
      <c r="AF66" s="437">
        <f t="shared" si="69"/>
        <v>54306.62154795829</v>
      </c>
      <c r="AG66" s="438">
        <f t="shared" si="69"/>
        <v>56176.743304910742</v>
      </c>
      <c r="AH66" s="142"/>
    </row>
    <row r="67" spans="2:34" s="351" customFormat="1" x14ac:dyDescent="0.2">
      <c r="B67" s="250" t="s">
        <v>162</v>
      </c>
      <c r="C67" s="251">
        <f>'Input Sheet'!G67</f>
        <v>87.272727272727266</v>
      </c>
      <c r="D67" s="428" t="str">
        <f>'Input Sheet'!H67</f>
        <v>Hourly</v>
      </c>
      <c r="E67" s="429">
        <f>'Input Sheet'!J67</f>
        <v>106</v>
      </c>
      <c r="F67" s="103">
        <f>'Input Sheet'!K67</f>
        <v>96.363636363636374</v>
      </c>
      <c r="G67" s="430"/>
      <c r="H67" s="136">
        <f>+'Input Sheet'!G$281</f>
        <v>202.58079139378449</v>
      </c>
      <c r="I67" s="130">
        <f>+'Input Sheet'!H$281</f>
        <v>211.41933457916826</v>
      </c>
      <c r="J67" s="130">
        <f>+'Input Sheet'!I$281</f>
        <v>218.57750684634706</v>
      </c>
      <c r="K67" s="130">
        <f>+'Input Sheet'!J$281</f>
        <v>226.27758978315956</v>
      </c>
      <c r="L67" s="131">
        <f>+'Input Sheet'!K$281</f>
        <v>234.06976377046144</v>
      </c>
      <c r="M67" s="91"/>
      <c r="N67" s="431" t="str">
        <f>+'Standard Hour Calcs'!Z68</f>
        <v>Hourly</v>
      </c>
      <c r="O67" s="227"/>
      <c r="P67" s="91"/>
      <c r="Q67" s="432">
        <f t="shared" si="62"/>
        <v>202.58079139378449</v>
      </c>
      <c r="R67" s="433">
        <f t="shared" si="63"/>
        <v>211.41933457916826</v>
      </c>
      <c r="S67" s="433">
        <f t="shared" si="64"/>
        <v>218.57750684634706</v>
      </c>
      <c r="T67" s="433">
        <f t="shared" si="65"/>
        <v>226.27758978315956</v>
      </c>
      <c r="U67" s="434">
        <f t="shared" si="66"/>
        <v>234.06976377046144</v>
      </c>
      <c r="V67" s="435"/>
      <c r="W67" s="144"/>
      <c r="X67" s="144"/>
      <c r="Y67" s="144"/>
      <c r="Z67" s="144"/>
      <c r="AA67" s="144"/>
      <c r="AB67" s="142"/>
      <c r="AC67" s="436">
        <f t="shared" ref="AC67:AG67" si="70">IF($N67="Hourly",$N171*Q67*H171,Q67*H171*$N171)</f>
        <v>1215.484748362707</v>
      </c>
      <c r="AD67" s="437">
        <f t="shared" si="70"/>
        <v>1268.5160074750097</v>
      </c>
      <c r="AE67" s="437">
        <f t="shared" si="70"/>
        <v>1311.4650410780823</v>
      </c>
      <c r="AF67" s="437">
        <f t="shared" si="70"/>
        <v>1357.6655386989573</v>
      </c>
      <c r="AG67" s="438">
        <f t="shared" si="70"/>
        <v>1404.4185826227686</v>
      </c>
      <c r="AH67" s="142"/>
    </row>
    <row r="68" spans="2:34" s="351" customFormat="1" x14ac:dyDescent="0.2">
      <c r="B68" s="250" t="s">
        <v>163</v>
      </c>
      <c r="C68" s="251">
        <f>'Input Sheet'!G68</f>
        <v>80</v>
      </c>
      <c r="D68" s="428">
        <f>'Input Sheet'!H68</f>
        <v>0.60227272727272729</v>
      </c>
      <c r="E68" s="429">
        <f>'Input Sheet'!J68</f>
        <v>53</v>
      </c>
      <c r="F68" s="103">
        <f>'Input Sheet'!K68</f>
        <v>48.181818181818187</v>
      </c>
      <c r="G68" s="430"/>
      <c r="H68" s="136">
        <f>+'Input Sheet'!G$281</f>
        <v>202.58079139378449</v>
      </c>
      <c r="I68" s="130">
        <f>+'Input Sheet'!H$281</f>
        <v>211.41933457916826</v>
      </c>
      <c r="J68" s="130">
        <f>+'Input Sheet'!I$281</f>
        <v>218.57750684634706</v>
      </c>
      <c r="K68" s="130">
        <f>+'Input Sheet'!J$281</f>
        <v>226.27758978315956</v>
      </c>
      <c r="L68" s="131">
        <f>+'Input Sheet'!K$281</f>
        <v>234.06976377046144</v>
      </c>
      <c r="M68" s="91"/>
      <c r="N68" s="431">
        <f>+'Standard Hour Calcs'!Z69</f>
        <v>0.6</v>
      </c>
      <c r="O68" s="227"/>
      <c r="P68" s="91"/>
      <c r="Q68" s="432">
        <f t="shared" si="62"/>
        <v>121.54847483627069</v>
      </c>
      <c r="R68" s="433">
        <f t="shared" si="63"/>
        <v>126.85160074750095</v>
      </c>
      <c r="S68" s="433">
        <f t="shared" si="64"/>
        <v>131.14650410780823</v>
      </c>
      <c r="T68" s="433">
        <f t="shared" si="65"/>
        <v>135.76655386989572</v>
      </c>
      <c r="U68" s="434">
        <f t="shared" si="66"/>
        <v>140.44185826227687</v>
      </c>
      <c r="V68" s="435"/>
      <c r="W68" s="144"/>
      <c r="X68" s="144"/>
      <c r="Y68" s="144"/>
      <c r="Z68" s="144"/>
      <c r="AA68" s="144"/>
      <c r="AB68" s="142"/>
      <c r="AC68" s="436">
        <f t="shared" ref="AC68:AG68" si="71">IF($N68="Hourly",$N172*Q68*H172,Q68*H172*$N172)</f>
        <v>3646.4542450881204</v>
      </c>
      <c r="AD68" s="437">
        <f t="shared" si="71"/>
        <v>3805.5480224250286</v>
      </c>
      <c r="AE68" s="437">
        <f t="shared" si="71"/>
        <v>3934.395123234247</v>
      </c>
      <c r="AF68" s="437">
        <f t="shared" si="71"/>
        <v>4072.9966160968715</v>
      </c>
      <c r="AG68" s="438">
        <f t="shared" si="71"/>
        <v>4213.2557478683057</v>
      </c>
      <c r="AH68" s="142"/>
    </row>
    <row r="69" spans="2:34" s="351" customFormat="1" x14ac:dyDescent="0.2">
      <c r="B69" s="250" t="s">
        <v>164</v>
      </c>
      <c r="C69" s="251">
        <f>'Input Sheet'!G69</f>
        <v>80</v>
      </c>
      <c r="D69" s="428">
        <f>'Input Sheet'!H69</f>
        <v>1.2045454545454546</v>
      </c>
      <c r="E69" s="429">
        <f>'Input Sheet'!J69</f>
        <v>106</v>
      </c>
      <c r="F69" s="103">
        <f>'Input Sheet'!K69</f>
        <v>96.363636363636374</v>
      </c>
      <c r="G69" s="430"/>
      <c r="H69" s="136">
        <f>+'Input Sheet'!G$281</f>
        <v>202.58079139378449</v>
      </c>
      <c r="I69" s="130">
        <f>+'Input Sheet'!H$281</f>
        <v>211.41933457916826</v>
      </c>
      <c r="J69" s="130">
        <f>+'Input Sheet'!I$281</f>
        <v>218.57750684634706</v>
      </c>
      <c r="K69" s="130">
        <f>+'Input Sheet'!J$281</f>
        <v>226.27758978315956</v>
      </c>
      <c r="L69" s="131">
        <f>+'Input Sheet'!K$281</f>
        <v>234.06976377046144</v>
      </c>
      <c r="M69" s="91"/>
      <c r="N69" s="431">
        <f>+'Standard Hour Calcs'!Z70</f>
        <v>1.2</v>
      </c>
      <c r="O69" s="227"/>
      <c r="P69" s="91"/>
      <c r="Q69" s="432">
        <f t="shared" si="62"/>
        <v>243.09694967254137</v>
      </c>
      <c r="R69" s="433">
        <f t="shared" si="63"/>
        <v>253.70320149500191</v>
      </c>
      <c r="S69" s="433">
        <f t="shared" si="64"/>
        <v>262.29300821561645</v>
      </c>
      <c r="T69" s="433">
        <f t="shared" si="65"/>
        <v>271.53310773979143</v>
      </c>
      <c r="U69" s="434">
        <f t="shared" si="66"/>
        <v>280.88371652455373</v>
      </c>
      <c r="V69" s="435"/>
      <c r="W69" s="144"/>
      <c r="X69" s="144"/>
      <c r="Y69" s="144"/>
      <c r="Z69" s="144"/>
      <c r="AA69" s="144"/>
      <c r="AB69" s="142"/>
      <c r="AC69" s="436">
        <f t="shared" ref="AC69:AG69" si="72">IF($N69="Hourly",$N173*Q69*H173,Q69*H173*$N173)</f>
        <v>10696.265785591821</v>
      </c>
      <c r="AD69" s="437">
        <f t="shared" si="72"/>
        <v>11162.940865780083</v>
      </c>
      <c r="AE69" s="437">
        <f t="shared" si="72"/>
        <v>11540.892361487124</v>
      </c>
      <c r="AF69" s="437">
        <f t="shared" si="72"/>
        <v>11947.456740550822</v>
      </c>
      <c r="AG69" s="438">
        <f t="shared" si="72"/>
        <v>12358.883527080365</v>
      </c>
      <c r="AH69" s="142"/>
    </row>
    <row r="70" spans="2:34" s="351" customFormat="1" x14ac:dyDescent="0.2">
      <c r="B70" s="250" t="s">
        <v>165</v>
      </c>
      <c r="C70" s="251">
        <f>'Input Sheet'!G70</f>
        <v>80</v>
      </c>
      <c r="D70" s="428">
        <f>'Input Sheet'!H70</f>
        <v>2.2045454545454546</v>
      </c>
      <c r="E70" s="429">
        <f>'Input Sheet'!J70</f>
        <v>194</v>
      </c>
      <c r="F70" s="103">
        <f>'Input Sheet'!K70</f>
        <v>176.36363636363637</v>
      </c>
      <c r="G70" s="430"/>
      <c r="H70" s="136">
        <f>+'Input Sheet'!G$281</f>
        <v>202.58079139378449</v>
      </c>
      <c r="I70" s="130">
        <f>+'Input Sheet'!H$281</f>
        <v>211.41933457916826</v>
      </c>
      <c r="J70" s="130">
        <f>+'Input Sheet'!I$281</f>
        <v>218.57750684634706</v>
      </c>
      <c r="K70" s="130">
        <f>+'Input Sheet'!J$281</f>
        <v>226.27758978315956</v>
      </c>
      <c r="L70" s="131">
        <f>+'Input Sheet'!K$281</f>
        <v>234.06976377046144</v>
      </c>
      <c r="M70" s="91"/>
      <c r="N70" s="431">
        <f>+'Standard Hour Calcs'!Z71</f>
        <v>2.2000000000000002</v>
      </c>
      <c r="O70" s="227"/>
      <c r="P70" s="91"/>
      <c r="Q70" s="432">
        <f t="shared" si="62"/>
        <v>445.67774106632595</v>
      </c>
      <c r="R70" s="433">
        <f t="shared" si="63"/>
        <v>465.12253607417023</v>
      </c>
      <c r="S70" s="433">
        <f t="shared" si="64"/>
        <v>480.8705150619636</v>
      </c>
      <c r="T70" s="433">
        <f t="shared" si="65"/>
        <v>497.81069752295105</v>
      </c>
      <c r="U70" s="434">
        <f t="shared" si="66"/>
        <v>514.9534802950152</v>
      </c>
      <c r="V70" s="435"/>
      <c r="W70" s="144"/>
      <c r="X70" s="144"/>
      <c r="Y70" s="144"/>
      <c r="Z70" s="144"/>
      <c r="AA70" s="144"/>
      <c r="AB70" s="142"/>
      <c r="AC70" s="436">
        <f t="shared" ref="AC70:AG70" si="73">IF($N70="Hourly",$N174*Q70*H174,Q70*H174*$N174)</f>
        <v>11587.621267724475</v>
      </c>
      <c r="AD70" s="437">
        <f t="shared" si="73"/>
        <v>12093.185937928425</v>
      </c>
      <c r="AE70" s="437">
        <f t="shared" si="73"/>
        <v>12502.633391611054</v>
      </c>
      <c r="AF70" s="437">
        <f t="shared" si="73"/>
        <v>12943.078135596726</v>
      </c>
      <c r="AG70" s="438">
        <f t="shared" si="73"/>
        <v>13388.790487670394</v>
      </c>
      <c r="AH70" s="142"/>
    </row>
    <row r="71" spans="2:34" s="351" customFormat="1" x14ac:dyDescent="0.2">
      <c r="B71" s="250" t="s">
        <v>166</v>
      </c>
      <c r="C71" s="251">
        <f>'Input Sheet'!G71</f>
        <v>80</v>
      </c>
      <c r="D71" s="428">
        <f>'Input Sheet'!H71</f>
        <v>0.5</v>
      </c>
      <c r="E71" s="429">
        <f>'Input Sheet'!J71</f>
        <v>44</v>
      </c>
      <c r="F71" s="103">
        <f>'Input Sheet'!K71</f>
        <v>40</v>
      </c>
      <c r="G71" s="430"/>
      <c r="H71" s="136">
        <f>+'Input Sheet'!G$281</f>
        <v>202.58079139378449</v>
      </c>
      <c r="I71" s="130">
        <f>+'Input Sheet'!H$281</f>
        <v>211.41933457916826</v>
      </c>
      <c r="J71" s="130">
        <f>+'Input Sheet'!I$281</f>
        <v>218.57750684634706</v>
      </c>
      <c r="K71" s="130">
        <f>+'Input Sheet'!J$281</f>
        <v>226.27758978315956</v>
      </c>
      <c r="L71" s="131">
        <f>+'Input Sheet'!K$281</f>
        <v>234.06976377046144</v>
      </c>
      <c r="M71" s="91"/>
      <c r="N71" s="431">
        <f>+'Standard Hour Calcs'!Z72</f>
        <v>0.5</v>
      </c>
      <c r="O71" s="227"/>
      <c r="P71" s="91"/>
      <c r="Q71" s="432">
        <f t="shared" si="62"/>
        <v>101.29039569689225</v>
      </c>
      <c r="R71" s="433">
        <f t="shared" si="63"/>
        <v>105.70966728958413</v>
      </c>
      <c r="S71" s="433">
        <f t="shared" si="64"/>
        <v>109.28875342317353</v>
      </c>
      <c r="T71" s="433">
        <f t="shared" si="65"/>
        <v>113.13879489157978</v>
      </c>
      <c r="U71" s="434">
        <f t="shared" si="66"/>
        <v>117.03488188523072</v>
      </c>
      <c r="V71" s="435"/>
      <c r="W71" s="144"/>
      <c r="X71" s="144"/>
      <c r="Y71" s="144"/>
      <c r="Z71" s="144"/>
      <c r="AA71" s="144"/>
      <c r="AB71" s="142"/>
      <c r="AC71" s="436">
        <f t="shared" ref="AC71:AG71" si="74">IF($N71="Hourly",$N175*Q71*H175,Q71*H175*$N175)</f>
        <v>1215.484748362707</v>
      </c>
      <c r="AD71" s="437">
        <f t="shared" si="74"/>
        <v>1268.5160074750097</v>
      </c>
      <c r="AE71" s="437">
        <f t="shared" si="74"/>
        <v>1311.4650410780823</v>
      </c>
      <c r="AF71" s="437">
        <f t="shared" si="74"/>
        <v>1357.6655386989573</v>
      </c>
      <c r="AG71" s="438">
        <f t="shared" si="74"/>
        <v>1404.4185826227686</v>
      </c>
      <c r="AH71" s="142"/>
    </row>
    <row r="72" spans="2:34" s="351" customFormat="1" x14ac:dyDescent="0.2">
      <c r="B72" s="250" t="s">
        <v>167</v>
      </c>
      <c r="C72" s="251">
        <f>'Input Sheet'!G72</f>
        <v>80</v>
      </c>
      <c r="D72" s="428">
        <f>'Input Sheet'!H72</f>
        <v>1</v>
      </c>
      <c r="E72" s="429">
        <f>'Input Sheet'!J72</f>
        <v>88</v>
      </c>
      <c r="F72" s="103">
        <f>'Input Sheet'!K72</f>
        <v>80</v>
      </c>
      <c r="G72" s="430"/>
      <c r="H72" s="136">
        <f>+'Input Sheet'!G$281</f>
        <v>202.58079139378449</v>
      </c>
      <c r="I72" s="130">
        <f>+'Input Sheet'!H$281</f>
        <v>211.41933457916826</v>
      </c>
      <c r="J72" s="130">
        <f>+'Input Sheet'!I$281</f>
        <v>218.57750684634706</v>
      </c>
      <c r="K72" s="130">
        <f>+'Input Sheet'!J$281</f>
        <v>226.27758978315956</v>
      </c>
      <c r="L72" s="131">
        <f>+'Input Sheet'!K$281</f>
        <v>234.06976377046144</v>
      </c>
      <c r="M72" s="91"/>
      <c r="N72" s="431">
        <f>+'Standard Hour Calcs'!Z73</f>
        <v>1</v>
      </c>
      <c r="O72" s="227"/>
      <c r="P72" s="91"/>
      <c r="Q72" s="432">
        <f t="shared" si="62"/>
        <v>202.58079139378449</v>
      </c>
      <c r="R72" s="433">
        <f t="shared" si="63"/>
        <v>211.41933457916826</v>
      </c>
      <c r="S72" s="433">
        <f t="shared" si="64"/>
        <v>218.57750684634706</v>
      </c>
      <c r="T72" s="433">
        <f t="shared" si="65"/>
        <v>226.27758978315956</v>
      </c>
      <c r="U72" s="434">
        <f t="shared" si="66"/>
        <v>234.06976377046144</v>
      </c>
      <c r="V72" s="435"/>
      <c r="W72" s="144"/>
      <c r="X72" s="144"/>
      <c r="Y72" s="144"/>
      <c r="Z72" s="144"/>
      <c r="AA72" s="144"/>
      <c r="AB72" s="142"/>
      <c r="AC72" s="436">
        <f t="shared" ref="AC72:AG72" si="75">IF($N72="Hourly",$N176*Q72*H176,Q72*H176*$N176)</f>
        <v>4254.1966192694745</v>
      </c>
      <c r="AD72" s="437">
        <f t="shared" si="75"/>
        <v>4439.8060261625342</v>
      </c>
      <c r="AE72" s="437">
        <f t="shared" si="75"/>
        <v>4590.1276437732886</v>
      </c>
      <c r="AF72" s="437">
        <f t="shared" si="75"/>
        <v>4751.8293854463509</v>
      </c>
      <c r="AG72" s="438">
        <f t="shared" si="75"/>
        <v>4915.4650391796895</v>
      </c>
      <c r="AH72" s="142"/>
    </row>
    <row r="73" spans="2:34" s="351" customFormat="1" x14ac:dyDescent="0.2">
      <c r="B73" s="250" t="s">
        <v>168</v>
      </c>
      <c r="C73" s="251">
        <f>'Input Sheet'!G73</f>
        <v>80</v>
      </c>
      <c r="D73" s="428">
        <f>'Input Sheet'!H73</f>
        <v>1.9886363636363638</v>
      </c>
      <c r="E73" s="429">
        <f>'Input Sheet'!J73</f>
        <v>175</v>
      </c>
      <c r="F73" s="103">
        <f>'Input Sheet'!K73</f>
        <v>159.09090909090909</v>
      </c>
      <c r="G73" s="430"/>
      <c r="H73" s="136">
        <f>+'Input Sheet'!G$281</f>
        <v>202.58079139378449</v>
      </c>
      <c r="I73" s="130">
        <f>+'Input Sheet'!H$281</f>
        <v>211.41933457916826</v>
      </c>
      <c r="J73" s="130">
        <f>+'Input Sheet'!I$281</f>
        <v>218.57750684634706</v>
      </c>
      <c r="K73" s="130">
        <f>+'Input Sheet'!J$281</f>
        <v>226.27758978315956</v>
      </c>
      <c r="L73" s="131">
        <f>+'Input Sheet'!K$281</f>
        <v>234.06976377046144</v>
      </c>
      <c r="M73" s="91"/>
      <c r="N73" s="431">
        <f>+'Standard Hour Calcs'!Z74</f>
        <v>1.99</v>
      </c>
      <c r="O73" s="227"/>
      <c r="P73" s="91"/>
      <c r="Q73" s="432">
        <f t="shared" si="62"/>
        <v>403.13577487363114</v>
      </c>
      <c r="R73" s="433">
        <f t="shared" si="63"/>
        <v>420.72447581254482</v>
      </c>
      <c r="S73" s="433">
        <f t="shared" si="64"/>
        <v>434.96923862423063</v>
      </c>
      <c r="T73" s="433">
        <f t="shared" si="65"/>
        <v>450.29240366848751</v>
      </c>
      <c r="U73" s="434">
        <f t="shared" si="66"/>
        <v>465.79882990321823</v>
      </c>
      <c r="V73" s="435"/>
      <c r="W73" s="144"/>
      <c r="X73" s="144"/>
      <c r="Y73" s="144"/>
      <c r="Z73" s="144"/>
      <c r="AA73" s="144"/>
      <c r="AB73" s="142"/>
      <c r="AC73" s="436">
        <f t="shared" ref="AC73:AG73" si="76">IF($N73="Hourly",$N177*Q73*H177,Q73*H177*$N177)</f>
        <v>0</v>
      </c>
      <c r="AD73" s="437">
        <f t="shared" si="76"/>
        <v>0</v>
      </c>
      <c r="AE73" s="437">
        <f t="shared" si="76"/>
        <v>0</v>
      </c>
      <c r="AF73" s="437">
        <f t="shared" si="76"/>
        <v>0</v>
      </c>
      <c r="AG73" s="438">
        <f t="shared" si="76"/>
        <v>0</v>
      </c>
      <c r="AH73" s="142"/>
    </row>
    <row r="74" spans="2:34" s="351" customFormat="1" x14ac:dyDescent="0.2">
      <c r="B74" s="250" t="s">
        <v>169</v>
      </c>
      <c r="C74" s="251">
        <f>'Input Sheet'!G74</f>
        <v>80</v>
      </c>
      <c r="D74" s="428">
        <f>'Input Sheet'!H74</f>
        <v>0.39772727272727271</v>
      </c>
      <c r="E74" s="429">
        <f>'Input Sheet'!J74</f>
        <v>35</v>
      </c>
      <c r="F74" s="103">
        <f>'Input Sheet'!K74</f>
        <v>31.818181818181817</v>
      </c>
      <c r="G74" s="430"/>
      <c r="H74" s="136">
        <f>+'Input Sheet'!G$281</f>
        <v>202.58079139378449</v>
      </c>
      <c r="I74" s="130">
        <f>+'Input Sheet'!H$281</f>
        <v>211.41933457916826</v>
      </c>
      <c r="J74" s="130">
        <f>+'Input Sheet'!I$281</f>
        <v>218.57750684634706</v>
      </c>
      <c r="K74" s="130">
        <f>+'Input Sheet'!J$281</f>
        <v>226.27758978315956</v>
      </c>
      <c r="L74" s="131">
        <f>+'Input Sheet'!K$281</f>
        <v>234.06976377046144</v>
      </c>
      <c r="M74" s="91"/>
      <c r="N74" s="431">
        <f>+'Standard Hour Calcs'!Z75</f>
        <v>0.4</v>
      </c>
      <c r="O74" s="227"/>
      <c r="P74" s="91"/>
      <c r="Q74" s="432">
        <f t="shared" si="62"/>
        <v>81.032316557513809</v>
      </c>
      <c r="R74" s="433">
        <f t="shared" si="63"/>
        <v>84.567733831667312</v>
      </c>
      <c r="S74" s="433">
        <f t="shared" si="64"/>
        <v>87.431002738538837</v>
      </c>
      <c r="T74" s="433">
        <f t="shared" si="65"/>
        <v>90.511035913263825</v>
      </c>
      <c r="U74" s="434">
        <f t="shared" si="66"/>
        <v>93.627905508184583</v>
      </c>
      <c r="V74" s="435"/>
      <c r="W74" s="144"/>
      <c r="X74" s="144"/>
      <c r="Y74" s="144"/>
      <c r="Z74" s="144"/>
      <c r="AA74" s="144"/>
      <c r="AB74" s="142"/>
      <c r="AC74" s="436">
        <f t="shared" ref="AC74:AG74" si="77">IF($N74="Hourly",$N178*Q74*H178,Q74*H178*$N178)</f>
        <v>405.16158278756905</v>
      </c>
      <c r="AD74" s="437">
        <f t="shared" si="77"/>
        <v>422.83866915833653</v>
      </c>
      <c r="AE74" s="437">
        <f t="shared" si="77"/>
        <v>437.15501369269418</v>
      </c>
      <c r="AF74" s="437">
        <f t="shared" si="77"/>
        <v>452.55517956631911</v>
      </c>
      <c r="AG74" s="438">
        <f t="shared" si="77"/>
        <v>468.13952754092293</v>
      </c>
      <c r="AH74" s="142"/>
    </row>
    <row r="75" spans="2:34" s="351" customFormat="1" x14ac:dyDescent="0.2">
      <c r="B75" s="250" t="s">
        <v>170</v>
      </c>
      <c r="C75" s="251">
        <f>'Input Sheet'!G75</f>
        <v>80</v>
      </c>
      <c r="D75" s="428">
        <f>'Input Sheet'!H75</f>
        <v>0.70454545454545459</v>
      </c>
      <c r="E75" s="429">
        <f>'Input Sheet'!J75</f>
        <v>62</v>
      </c>
      <c r="F75" s="103">
        <f>'Input Sheet'!K75</f>
        <v>56.363636363636367</v>
      </c>
      <c r="G75" s="430"/>
      <c r="H75" s="136">
        <f>+'Input Sheet'!G$281</f>
        <v>202.58079139378449</v>
      </c>
      <c r="I75" s="130">
        <f>+'Input Sheet'!H$281</f>
        <v>211.41933457916826</v>
      </c>
      <c r="J75" s="130">
        <f>+'Input Sheet'!I$281</f>
        <v>218.57750684634706</v>
      </c>
      <c r="K75" s="130">
        <f>+'Input Sheet'!J$281</f>
        <v>226.27758978315956</v>
      </c>
      <c r="L75" s="131">
        <f>+'Input Sheet'!K$281</f>
        <v>234.06976377046144</v>
      </c>
      <c r="M75" s="91"/>
      <c r="N75" s="431">
        <f>+'Standard Hour Calcs'!Z76</f>
        <v>0.7</v>
      </c>
      <c r="O75" s="227"/>
      <c r="P75" s="91"/>
      <c r="Q75" s="432">
        <f t="shared" si="62"/>
        <v>141.80655397564914</v>
      </c>
      <c r="R75" s="433">
        <f t="shared" si="63"/>
        <v>147.99353420541777</v>
      </c>
      <c r="S75" s="433">
        <f t="shared" si="64"/>
        <v>153.00425479244294</v>
      </c>
      <c r="T75" s="433">
        <f t="shared" si="65"/>
        <v>158.39431284821168</v>
      </c>
      <c r="U75" s="434">
        <f t="shared" si="66"/>
        <v>163.848834639323</v>
      </c>
      <c r="V75" s="435"/>
      <c r="W75" s="144"/>
      <c r="X75" s="144"/>
      <c r="Y75" s="144"/>
      <c r="Z75" s="144"/>
      <c r="AA75" s="144"/>
      <c r="AB75" s="142"/>
      <c r="AC75" s="436">
        <f t="shared" ref="AC75:AG75" si="78">IF($N75="Hourly",$N179*Q75*H179,Q75*H179*$N179)</f>
        <v>2127.0983096347372</v>
      </c>
      <c r="AD75" s="437">
        <f t="shared" si="78"/>
        <v>2219.9030130812666</v>
      </c>
      <c r="AE75" s="437">
        <f t="shared" si="78"/>
        <v>2295.0638218866438</v>
      </c>
      <c r="AF75" s="437">
        <f t="shared" si="78"/>
        <v>2375.9146927231754</v>
      </c>
      <c r="AG75" s="438">
        <f t="shared" si="78"/>
        <v>2457.7325195898452</v>
      </c>
      <c r="AH75" s="142"/>
    </row>
    <row r="76" spans="2:34" s="351" customFormat="1" x14ac:dyDescent="0.2">
      <c r="B76" s="250" t="s">
        <v>171</v>
      </c>
      <c r="C76" s="251">
        <f>'Input Sheet'!G76</f>
        <v>80</v>
      </c>
      <c r="D76" s="428">
        <f>'Input Sheet'!H76</f>
        <v>1.5</v>
      </c>
      <c r="E76" s="429">
        <f>'Input Sheet'!J76</f>
        <v>132</v>
      </c>
      <c r="F76" s="103">
        <f>'Input Sheet'!K76</f>
        <v>120</v>
      </c>
      <c r="G76" s="430"/>
      <c r="H76" s="136">
        <f>+'Input Sheet'!G$281</f>
        <v>202.58079139378449</v>
      </c>
      <c r="I76" s="130">
        <f>+'Input Sheet'!H$281</f>
        <v>211.41933457916826</v>
      </c>
      <c r="J76" s="130">
        <f>+'Input Sheet'!I$281</f>
        <v>218.57750684634706</v>
      </c>
      <c r="K76" s="130">
        <f>+'Input Sheet'!J$281</f>
        <v>226.27758978315956</v>
      </c>
      <c r="L76" s="131">
        <f>+'Input Sheet'!K$281</f>
        <v>234.06976377046144</v>
      </c>
      <c r="M76" s="91"/>
      <c r="N76" s="431">
        <f>+'Standard Hour Calcs'!Z77</f>
        <v>1.5</v>
      </c>
      <c r="O76" s="227"/>
      <c r="P76" s="91"/>
      <c r="Q76" s="432">
        <f t="shared" si="62"/>
        <v>303.87118709067676</v>
      </c>
      <c r="R76" s="433">
        <f t="shared" si="63"/>
        <v>317.12900186875243</v>
      </c>
      <c r="S76" s="433">
        <f t="shared" si="64"/>
        <v>327.86626026952058</v>
      </c>
      <c r="T76" s="433">
        <f t="shared" si="65"/>
        <v>339.41638467473933</v>
      </c>
      <c r="U76" s="434">
        <f t="shared" si="66"/>
        <v>351.10464565569214</v>
      </c>
      <c r="V76" s="435"/>
      <c r="W76" s="144"/>
      <c r="X76" s="144"/>
      <c r="Y76" s="144"/>
      <c r="Z76" s="144"/>
      <c r="AA76" s="144"/>
      <c r="AB76" s="142"/>
      <c r="AC76" s="436">
        <f t="shared" ref="AC76:AG76" si="79">IF($N76="Hourly",$N180*Q76*H180,Q76*H180*$N180)</f>
        <v>0</v>
      </c>
      <c r="AD76" s="437">
        <f t="shared" si="79"/>
        <v>0</v>
      </c>
      <c r="AE76" s="437">
        <f t="shared" si="79"/>
        <v>0</v>
      </c>
      <c r="AF76" s="437">
        <f t="shared" si="79"/>
        <v>0</v>
      </c>
      <c r="AG76" s="438">
        <f t="shared" si="79"/>
        <v>0</v>
      </c>
      <c r="AH76" s="142"/>
    </row>
    <row r="77" spans="2:34" s="351" customFormat="1" x14ac:dyDescent="0.2">
      <c r="B77" s="250" t="s">
        <v>172</v>
      </c>
      <c r="C77" s="251">
        <f>'Input Sheet'!G77</f>
        <v>80</v>
      </c>
      <c r="D77" s="428">
        <f>'Input Sheet'!H77</f>
        <v>3.5</v>
      </c>
      <c r="E77" s="429">
        <f>'Input Sheet'!J77</f>
        <v>308</v>
      </c>
      <c r="F77" s="103">
        <f>'Input Sheet'!K77</f>
        <v>280</v>
      </c>
      <c r="G77" s="430"/>
      <c r="H77" s="136">
        <f>+'Input Sheet'!G$281</f>
        <v>202.58079139378449</v>
      </c>
      <c r="I77" s="130">
        <f>+'Input Sheet'!H$281</f>
        <v>211.41933457916826</v>
      </c>
      <c r="J77" s="130">
        <f>+'Input Sheet'!I$281</f>
        <v>218.57750684634706</v>
      </c>
      <c r="K77" s="130">
        <f>+'Input Sheet'!J$281</f>
        <v>226.27758978315956</v>
      </c>
      <c r="L77" s="131">
        <f>+'Input Sheet'!K$281</f>
        <v>234.06976377046144</v>
      </c>
      <c r="M77" s="91"/>
      <c r="N77" s="431">
        <f>+'Standard Hour Calcs'!Z78</f>
        <v>3.4</v>
      </c>
      <c r="O77" s="227"/>
      <c r="P77" s="91"/>
      <c r="Q77" s="432">
        <f t="shared" si="62"/>
        <v>688.77469073886721</v>
      </c>
      <c r="R77" s="433">
        <f t="shared" si="63"/>
        <v>718.82573756917213</v>
      </c>
      <c r="S77" s="433">
        <f t="shared" si="64"/>
        <v>743.16352327758</v>
      </c>
      <c r="T77" s="433">
        <f t="shared" si="65"/>
        <v>769.34380526274242</v>
      </c>
      <c r="U77" s="434">
        <f t="shared" si="66"/>
        <v>795.83719681956882</v>
      </c>
      <c r="V77" s="435"/>
      <c r="W77" s="144"/>
      <c r="X77" s="144"/>
      <c r="Y77" s="144"/>
      <c r="Z77" s="144"/>
      <c r="AA77" s="144"/>
      <c r="AB77" s="142"/>
      <c r="AC77" s="436">
        <f t="shared" ref="AC77:AG77" si="80">IF($N77="Hourly",$N181*Q77*H181,Q77*H181*$N181)</f>
        <v>8954.0709796052743</v>
      </c>
      <c r="AD77" s="437">
        <f t="shared" si="80"/>
        <v>9344.7345883992384</v>
      </c>
      <c r="AE77" s="437">
        <f t="shared" si="80"/>
        <v>9661.1258026085397</v>
      </c>
      <c r="AF77" s="437">
        <f t="shared" si="80"/>
        <v>10001.469468415651</v>
      </c>
      <c r="AG77" s="438">
        <f t="shared" si="80"/>
        <v>10345.883558654394</v>
      </c>
      <c r="AH77" s="142"/>
    </row>
    <row r="78" spans="2:34" s="351" customFormat="1" x14ac:dyDescent="0.2">
      <c r="B78" s="250" t="s">
        <v>173</v>
      </c>
      <c r="C78" s="251">
        <f>'Input Sheet'!G78</f>
        <v>80</v>
      </c>
      <c r="D78" s="428">
        <f>'Input Sheet'!H78</f>
        <v>7</v>
      </c>
      <c r="E78" s="429">
        <f>'Input Sheet'!J78</f>
        <v>616</v>
      </c>
      <c r="F78" s="103">
        <f>'Input Sheet'!K78</f>
        <v>560</v>
      </c>
      <c r="G78" s="430"/>
      <c r="H78" s="136">
        <f>+'Input Sheet'!G$281</f>
        <v>202.58079139378449</v>
      </c>
      <c r="I78" s="130">
        <f>+'Input Sheet'!H$281</f>
        <v>211.41933457916826</v>
      </c>
      <c r="J78" s="130">
        <f>+'Input Sheet'!I$281</f>
        <v>218.57750684634706</v>
      </c>
      <c r="K78" s="130">
        <f>+'Input Sheet'!J$281</f>
        <v>226.27758978315956</v>
      </c>
      <c r="L78" s="131">
        <f>+'Input Sheet'!K$281</f>
        <v>234.06976377046144</v>
      </c>
      <c r="M78" s="91"/>
      <c r="N78" s="431">
        <f>+'Standard Hour Calcs'!Z79</f>
        <v>7</v>
      </c>
      <c r="O78" s="227"/>
      <c r="P78" s="91"/>
      <c r="Q78" s="432">
        <f t="shared" si="62"/>
        <v>1418.0655397564915</v>
      </c>
      <c r="R78" s="433">
        <f t="shared" si="63"/>
        <v>1479.9353420541779</v>
      </c>
      <c r="S78" s="433">
        <f t="shared" si="64"/>
        <v>1530.0425479244295</v>
      </c>
      <c r="T78" s="433">
        <f t="shared" si="65"/>
        <v>1583.9431284821169</v>
      </c>
      <c r="U78" s="434">
        <f t="shared" si="66"/>
        <v>1638.4883463932301</v>
      </c>
      <c r="V78" s="435"/>
      <c r="W78" s="144"/>
      <c r="X78" s="144"/>
      <c r="Y78" s="144"/>
      <c r="Z78" s="144"/>
      <c r="AA78" s="144"/>
      <c r="AB78" s="142"/>
      <c r="AC78" s="436">
        <f t="shared" ref="AC78:AG78" si="81">IF($N78="Hourly",$N182*Q78*H182,Q78*H182*$N182)</f>
        <v>24107.114175860355</v>
      </c>
      <c r="AD78" s="437">
        <f t="shared" si="81"/>
        <v>25158.900814921024</v>
      </c>
      <c r="AE78" s="437">
        <f t="shared" si="81"/>
        <v>26010.723314715302</v>
      </c>
      <c r="AF78" s="437">
        <f t="shared" si="81"/>
        <v>26927.033184195989</v>
      </c>
      <c r="AG78" s="438">
        <f t="shared" si="81"/>
        <v>27854.301888684913</v>
      </c>
      <c r="AH78" s="142"/>
    </row>
    <row r="79" spans="2:34" s="351" customFormat="1" x14ac:dyDescent="0.2">
      <c r="B79" s="250" t="s">
        <v>174</v>
      </c>
      <c r="C79" s="251">
        <f>'Input Sheet'!G79</f>
        <v>80</v>
      </c>
      <c r="D79" s="428">
        <f>'Input Sheet'!H79</f>
        <v>8.795454545454545</v>
      </c>
      <c r="E79" s="429">
        <f>'Input Sheet'!J79</f>
        <v>774</v>
      </c>
      <c r="F79" s="103">
        <f>'Input Sheet'!K79</f>
        <v>703.63636363636363</v>
      </c>
      <c r="G79" s="430"/>
      <c r="H79" s="136">
        <f>+'Input Sheet'!G$281</f>
        <v>202.58079139378449</v>
      </c>
      <c r="I79" s="130">
        <f>+'Input Sheet'!H$281</f>
        <v>211.41933457916826</v>
      </c>
      <c r="J79" s="130">
        <f>+'Input Sheet'!I$281</f>
        <v>218.57750684634706</v>
      </c>
      <c r="K79" s="130">
        <f>+'Input Sheet'!J$281</f>
        <v>226.27758978315956</v>
      </c>
      <c r="L79" s="131">
        <f>+'Input Sheet'!K$281</f>
        <v>234.06976377046144</v>
      </c>
      <c r="M79" s="91"/>
      <c r="N79" s="431">
        <f>+'Standard Hour Calcs'!Z80</f>
        <v>8.5</v>
      </c>
      <c r="O79" s="227"/>
      <c r="P79" s="91"/>
      <c r="Q79" s="432">
        <f t="shared" si="62"/>
        <v>1721.9367268471683</v>
      </c>
      <c r="R79" s="433">
        <f t="shared" si="63"/>
        <v>1797.0643439229302</v>
      </c>
      <c r="S79" s="433">
        <f t="shared" si="64"/>
        <v>1857.9088081939501</v>
      </c>
      <c r="T79" s="433">
        <f t="shared" si="65"/>
        <v>1923.3595131568563</v>
      </c>
      <c r="U79" s="434">
        <f t="shared" si="66"/>
        <v>1989.5929920489223</v>
      </c>
      <c r="V79" s="435"/>
      <c r="W79" s="144"/>
      <c r="X79" s="144"/>
      <c r="Y79" s="144"/>
      <c r="Z79" s="144"/>
      <c r="AA79" s="144"/>
      <c r="AB79" s="142"/>
      <c r="AC79" s="436">
        <f t="shared" ref="AC79:AG79" si="82">IF($N79="Hourly",$N183*Q79*H183,Q79*H183*$N183)</f>
        <v>17219.367268471684</v>
      </c>
      <c r="AD79" s="437">
        <f t="shared" si="82"/>
        <v>17970.643439229301</v>
      </c>
      <c r="AE79" s="437">
        <f t="shared" si="82"/>
        <v>18579.088081939502</v>
      </c>
      <c r="AF79" s="437">
        <f t="shared" si="82"/>
        <v>19233.595131568563</v>
      </c>
      <c r="AG79" s="438">
        <f t="shared" si="82"/>
        <v>19895.929920489223</v>
      </c>
      <c r="AH79" s="142"/>
    </row>
    <row r="80" spans="2:34" s="351" customFormat="1" x14ac:dyDescent="0.2">
      <c r="B80" s="250" t="s">
        <v>175</v>
      </c>
      <c r="C80" s="251">
        <f>'Input Sheet'!G80</f>
        <v>80</v>
      </c>
      <c r="D80" s="428" t="str">
        <f>'Input Sheet'!H80</f>
        <v>Hourly</v>
      </c>
      <c r="E80" s="429">
        <f>'Input Sheet'!J80</f>
        <v>88</v>
      </c>
      <c r="F80" s="103">
        <f>'Input Sheet'!K80</f>
        <v>80</v>
      </c>
      <c r="G80" s="430"/>
      <c r="H80" s="136">
        <f>+'Input Sheet'!G$281</f>
        <v>202.58079139378449</v>
      </c>
      <c r="I80" s="130">
        <f>+'Input Sheet'!H$281</f>
        <v>211.41933457916826</v>
      </c>
      <c r="J80" s="130">
        <f>+'Input Sheet'!I$281</f>
        <v>218.57750684634706</v>
      </c>
      <c r="K80" s="130">
        <f>+'Input Sheet'!J$281</f>
        <v>226.27758978315956</v>
      </c>
      <c r="L80" s="131">
        <f>+'Input Sheet'!K$281</f>
        <v>234.06976377046144</v>
      </c>
      <c r="M80" s="91"/>
      <c r="N80" s="431" t="str">
        <f>+'Standard Hour Calcs'!Z81</f>
        <v>Hourly</v>
      </c>
      <c r="O80" s="227"/>
      <c r="P80" s="91"/>
      <c r="Q80" s="432">
        <f t="shared" si="62"/>
        <v>202.58079139378449</v>
      </c>
      <c r="R80" s="433">
        <f t="shared" si="63"/>
        <v>211.41933457916826</v>
      </c>
      <c r="S80" s="433">
        <f t="shared" si="64"/>
        <v>218.57750684634706</v>
      </c>
      <c r="T80" s="433">
        <f t="shared" si="65"/>
        <v>226.27758978315956</v>
      </c>
      <c r="U80" s="434">
        <f t="shared" si="66"/>
        <v>234.06976377046144</v>
      </c>
      <c r="V80" s="435"/>
      <c r="W80" s="144"/>
      <c r="X80" s="144"/>
      <c r="Y80" s="144"/>
      <c r="Z80" s="144"/>
      <c r="AA80" s="144"/>
      <c r="AB80" s="142"/>
      <c r="AC80" s="436">
        <f t="shared" ref="AC80:AG80" si="83">IF($N80="Hourly",$N184*Q80*H184,Q80*H184*$N184)</f>
        <v>508275.20560700528</v>
      </c>
      <c r="AD80" s="437">
        <f t="shared" si="83"/>
        <v>530451.11045913317</v>
      </c>
      <c r="AE80" s="437">
        <f t="shared" si="83"/>
        <v>548410.96467748482</v>
      </c>
      <c r="AF80" s="437">
        <f t="shared" si="83"/>
        <v>567730.47276594734</v>
      </c>
      <c r="AG80" s="438">
        <f t="shared" si="83"/>
        <v>587281.03730008774</v>
      </c>
      <c r="AH80" s="142"/>
    </row>
    <row r="81" spans="2:34" s="351" customFormat="1" x14ac:dyDescent="0.2">
      <c r="B81" s="250" t="s">
        <v>176</v>
      </c>
      <c r="C81" s="251">
        <f>'Input Sheet'!G81</f>
        <v>87.272727272727266</v>
      </c>
      <c r="D81" s="428" t="str">
        <f>'Input Sheet'!H81</f>
        <v>Hourly</v>
      </c>
      <c r="E81" s="429">
        <f>'Input Sheet'!J81</f>
        <v>106</v>
      </c>
      <c r="F81" s="103">
        <f>'Input Sheet'!K81</f>
        <v>96.363636363636374</v>
      </c>
      <c r="G81" s="430"/>
      <c r="H81" s="136">
        <f>+'Input Sheet'!G$281</f>
        <v>202.58079139378449</v>
      </c>
      <c r="I81" s="130">
        <f>+'Input Sheet'!H$281</f>
        <v>211.41933457916826</v>
      </c>
      <c r="J81" s="130">
        <f>+'Input Sheet'!I$281</f>
        <v>218.57750684634706</v>
      </c>
      <c r="K81" s="130">
        <f>+'Input Sheet'!J$281</f>
        <v>226.27758978315956</v>
      </c>
      <c r="L81" s="131">
        <f>+'Input Sheet'!K$281</f>
        <v>234.06976377046144</v>
      </c>
      <c r="M81" s="91"/>
      <c r="N81" s="431" t="str">
        <f>+'Standard Hour Calcs'!Z82</f>
        <v>Hourly</v>
      </c>
      <c r="O81" s="227"/>
      <c r="P81" s="91"/>
      <c r="Q81" s="432">
        <f t="shared" si="62"/>
        <v>202.58079139378449</v>
      </c>
      <c r="R81" s="433">
        <f t="shared" si="63"/>
        <v>211.41933457916826</v>
      </c>
      <c r="S81" s="433">
        <f t="shared" si="64"/>
        <v>218.57750684634706</v>
      </c>
      <c r="T81" s="433">
        <f t="shared" si="65"/>
        <v>226.27758978315956</v>
      </c>
      <c r="U81" s="434">
        <f t="shared" si="66"/>
        <v>234.06976377046144</v>
      </c>
      <c r="V81" s="435"/>
      <c r="W81" s="144"/>
      <c r="X81" s="144"/>
      <c r="Y81" s="144"/>
      <c r="Z81" s="144"/>
      <c r="AA81" s="144"/>
      <c r="AB81" s="142"/>
      <c r="AC81" s="436">
        <f t="shared" ref="AC81:AG81" si="84">IF($N81="Hourly",$N185*Q81*H185,Q81*H185*$N185)</f>
        <v>27348.406838160903</v>
      </c>
      <c r="AD81" s="437">
        <f t="shared" si="84"/>
        <v>28541.610168187715</v>
      </c>
      <c r="AE81" s="437">
        <f t="shared" si="84"/>
        <v>29507.963424256854</v>
      </c>
      <c r="AF81" s="437">
        <f t="shared" si="84"/>
        <v>30547.474620726538</v>
      </c>
      <c r="AG81" s="438">
        <f t="shared" si="84"/>
        <v>31599.418109012291</v>
      </c>
      <c r="AH81" s="142"/>
    </row>
    <row r="82" spans="2:34" s="351" customFormat="1" x14ac:dyDescent="0.2">
      <c r="B82" s="250" t="s">
        <v>177</v>
      </c>
      <c r="C82" s="251">
        <f>'Input Sheet'!G82</f>
        <v>80</v>
      </c>
      <c r="D82" s="428">
        <f>'Input Sheet'!H82</f>
        <v>0.60227272727272729</v>
      </c>
      <c r="E82" s="429">
        <f>'Input Sheet'!J82</f>
        <v>53</v>
      </c>
      <c r="F82" s="103">
        <f>'Input Sheet'!K82</f>
        <v>48.181818181818187</v>
      </c>
      <c r="G82" s="430"/>
      <c r="H82" s="136">
        <f>+'Input Sheet'!G$281</f>
        <v>202.58079139378449</v>
      </c>
      <c r="I82" s="130">
        <f>+'Input Sheet'!H$281</f>
        <v>211.41933457916826</v>
      </c>
      <c r="J82" s="130">
        <f>+'Input Sheet'!I$281</f>
        <v>218.57750684634706</v>
      </c>
      <c r="K82" s="130">
        <f>+'Input Sheet'!J$281</f>
        <v>226.27758978315956</v>
      </c>
      <c r="L82" s="131">
        <f>+'Input Sheet'!K$281</f>
        <v>234.06976377046144</v>
      </c>
      <c r="M82" s="91"/>
      <c r="N82" s="431">
        <f>+'Standard Hour Calcs'!Z83</f>
        <v>0.6</v>
      </c>
      <c r="O82" s="227"/>
      <c r="P82" s="91"/>
      <c r="Q82" s="432">
        <f t="shared" si="62"/>
        <v>121.54847483627069</v>
      </c>
      <c r="R82" s="433">
        <f t="shared" si="63"/>
        <v>126.85160074750095</v>
      </c>
      <c r="S82" s="433">
        <f t="shared" si="64"/>
        <v>131.14650410780823</v>
      </c>
      <c r="T82" s="433">
        <f t="shared" si="65"/>
        <v>135.76655386989572</v>
      </c>
      <c r="U82" s="434">
        <f t="shared" si="66"/>
        <v>140.44185826227687</v>
      </c>
      <c r="V82" s="435"/>
      <c r="W82" s="144"/>
      <c r="X82" s="144"/>
      <c r="Y82" s="144"/>
      <c r="Z82" s="144"/>
      <c r="AA82" s="144"/>
      <c r="AB82" s="142"/>
      <c r="AC82" s="436">
        <f t="shared" ref="AC82:AG82" si="85">IF($N82="Hourly",$N186*Q82*H186,Q82*H186*$N186)</f>
        <v>121.54847483627069</v>
      </c>
      <c r="AD82" s="437">
        <f t="shared" si="85"/>
        <v>126.85160074750095</v>
      </c>
      <c r="AE82" s="437">
        <f t="shared" si="85"/>
        <v>131.14650410780823</v>
      </c>
      <c r="AF82" s="437">
        <f t="shared" si="85"/>
        <v>135.76655386989572</v>
      </c>
      <c r="AG82" s="438">
        <f t="shared" si="85"/>
        <v>140.44185826227687</v>
      </c>
      <c r="AH82" s="142"/>
    </row>
    <row r="83" spans="2:34" s="351" customFormat="1" x14ac:dyDescent="0.2">
      <c r="B83" s="250" t="s">
        <v>178</v>
      </c>
      <c r="C83" s="251">
        <f>'Input Sheet'!G83</f>
        <v>80</v>
      </c>
      <c r="D83" s="428">
        <f>'Input Sheet'!H83</f>
        <v>1.2045454545454546</v>
      </c>
      <c r="E83" s="429">
        <f>'Input Sheet'!J83</f>
        <v>106</v>
      </c>
      <c r="F83" s="103">
        <f>'Input Sheet'!K83</f>
        <v>96.363636363636374</v>
      </c>
      <c r="G83" s="430"/>
      <c r="H83" s="136">
        <f>+'Input Sheet'!G$281</f>
        <v>202.58079139378449</v>
      </c>
      <c r="I83" s="130">
        <f>+'Input Sheet'!H$281</f>
        <v>211.41933457916826</v>
      </c>
      <c r="J83" s="130">
        <f>+'Input Sheet'!I$281</f>
        <v>218.57750684634706</v>
      </c>
      <c r="K83" s="130">
        <f>+'Input Sheet'!J$281</f>
        <v>226.27758978315956</v>
      </c>
      <c r="L83" s="131">
        <f>+'Input Sheet'!K$281</f>
        <v>234.06976377046144</v>
      </c>
      <c r="M83" s="91"/>
      <c r="N83" s="431">
        <f>+'Standard Hour Calcs'!Z84</f>
        <v>1.1499999999999999</v>
      </c>
      <c r="O83" s="227"/>
      <c r="P83" s="91"/>
      <c r="Q83" s="432">
        <f t="shared" si="62"/>
        <v>232.96791010285216</v>
      </c>
      <c r="R83" s="433">
        <f t="shared" si="63"/>
        <v>243.1322347660435</v>
      </c>
      <c r="S83" s="433">
        <f t="shared" si="64"/>
        <v>251.3641328732991</v>
      </c>
      <c r="T83" s="433">
        <f t="shared" si="65"/>
        <v>260.21922825063348</v>
      </c>
      <c r="U83" s="434">
        <f t="shared" si="66"/>
        <v>269.18022833603061</v>
      </c>
      <c r="V83" s="435"/>
      <c r="W83" s="144"/>
      <c r="X83" s="144"/>
      <c r="Y83" s="144"/>
      <c r="Z83" s="144"/>
      <c r="AA83" s="144"/>
      <c r="AB83" s="142"/>
      <c r="AC83" s="436">
        <f t="shared" ref="AC83:AG83" si="86">IF($N83="Hourly",$N187*Q83*H187,Q83*H187*$N187)</f>
        <v>465.93582020570432</v>
      </c>
      <c r="AD83" s="437">
        <f t="shared" si="86"/>
        <v>486.26446953208699</v>
      </c>
      <c r="AE83" s="437">
        <f t="shared" si="86"/>
        <v>502.7282657465982</v>
      </c>
      <c r="AF83" s="437">
        <f t="shared" si="86"/>
        <v>520.43845650126696</v>
      </c>
      <c r="AG83" s="438">
        <f t="shared" si="86"/>
        <v>538.36045667206122</v>
      </c>
      <c r="AH83" s="142"/>
    </row>
    <row r="84" spans="2:34" s="351" customFormat="1" x14ac:dyDescent="0.2">
      <c r="B84" s="250" t="s">
        <v>179</v>
      </c>
      <c r="C84" s="251">
        <f>'Input Sheet'!G84</f>
        <v>80</v>
      </c>
      <c r="D84" s="428">
        <f>'Input Sheet'!H84</f>
        <v>2.2045454545454546</v>
      </c>
      <c r="E84" s="429">
        <f>'Input Sheet'!J84</f>
        <v>194</v>
      </c>
      <c r="F84" s="103">
        <f>'Input Sheet'!K84</f>
        <v>176.36363636363637</v>
      </c>
      <c r="G84" s="430"/>
      <c r="H84" s="136">
        <f>+'Input Sheet'!G$281</f>
        <v>202.58079139378449</v>
      </c>
      <c r="I84" s="130">
        <f>+'Input Sheet'!H$281</f>
        <v>211.41933457916826</v>
      </c>
      <c r="J84" s="130">
        <f>+'Input Sheet'!I$281</f>
        <v>218.57750684634706</v>
      </c>
      <c r="K84" s="130">
        <f>+'Input Sheet'!J$281</f>
        <v>226.27758978315956</v>
      </c>
      <c r="L84" s="131">
        <f>+'Input Sheet'!K$281</f>
        <v>234.06976377046144</v>
      </c>
      <c r="M84" s="91"/>
      <c r="N84" s="431">
        <f>+'Standard Hour Calcs'!Z85</f>
        <v>2.2000000000000002</v>
      </c>
      <c r="O84" s="227"/>
      <c r="P84" s="91"/>
      <c r="Q84" s="432">
        <f t="shared" si="62"/>
        <v>445.67774106632595</v>
      </c>
      <c r="R84" s="433">
        <f t="shared" si="63"/>
        <v>465.12253607417023</v>
      </c>
      <c r="S84" s="433">
        <f t="shared" si="64"/>
        <v>480.8705150619636</v>
      </c>
      <c r="T84" s="433">
        <f t="shared" si="65"/>
        <v>497.81069752295105</v>
      </c>
      <c r="U84" s="434">
        <f t="shared" si="66"/>
        <v>514.9534802950152</v>
      </c>
      <c r="V84" s="435"/>
      <c r="W84" s="144"/>
      <c r="X84" s="144"/>
      <c r="Y84" s="144"/>
      <c r="Z84" s="144"/>
      <c r="AA84" s="144"/>
      <c r="AB84" s="142"/>
      <c r="AC84" s="436">
        <f t="shared" ref="AC84:AG84" si="87">IF($N84="Hourly",$N188*Q84*H188,Q84*H188*$N188)</f>
        <v>0</v>
      </c>
      <c r="AD84" s="437">
        <f t="shared" si="87"/>
        <v>0</v>
      </c>
      <c r="AE84" s="437">
        <f t="shared" si="87"/>
        <v>0</v>
      </c>
      <c r="AF84" s="437">
        <f t="shared" si="87"/>
        <v>0</v>
      </c>
      <c r="AG84" s="438">
        <f t="shared" si="87"/>
        <v>0</v>
      </c>
      <c r="AH84" s="142"/>
    </row>
    <row r="85" spans="2:34" s="351" customFormat="1" x14ac:dyDescent="0.2">
      <c r="B85" s="250" t="s">
        <v>180</v>
      </c>
      <c r="C85" s="251">
        <f>'Input Sheet'!G85</f>
        <v>80</v>
      </c>
      <c r="D85" s="428">
        <f>'Input Sheet'!H85</f>
        <v>0.5</v>
      </c>
      <c r="E85" s="429">
        <f>'Input Sheet'!J85</f>
        <v>44</v>
      </c>
      <c r="F85" s="103">
        <f>'Input Sheet'!K85</f>
        <v>40</v>
      </c>
      <c r="G85" s="430"/>
      <c r="H85" s="136">
        <f>+'Input Sheet'!G$281</f>
        <v>202.58079139378449</v>
      </c>
      <c r="I85" s="130">
        <f>+'Input Sheet'!H$281</f>
        <v>211.41933457916826</v>
      </c>
      <c r="J85" s="130">
        <f>+'Input Sheet'!I$281</f>
        <v>218.57750684634706</v>
      </c>
      <c r="K85" s="130">
        <f>+'Input Sheet'!J$281</f>
        <v>226.27758978315956</v>
      </c>
      <c r="L85" s="131">
        <f>+'Input Sheet'!K$281</f>
        <v>234.06976377046144</v>
      </c>
      <c r="M85" s="91"/>
      <c r="N85" s="431">
        <f>+'Standard Hour Calcs'!Z86</f>
        <v>0.5</v>
      </c>
      <c r="O85" s="227"/>
      <c r="P85" s="91"/>
      <c r="Q85" s="432">
        <f t="shared" si="62"/>
        <v>101.29039569689225</v>
      </c>
      <c r="R85" s="433">
        <f t="shared" si="63"/>
        <v>105.70966728958413</v>
      </c>
      <c r="S85" s="433">
        <f t="shared" si="64"/>
        <v>109.28875342317353</v>
      </c>
      <c r="T85" s="433">
        <f t="shared" si="65"/>
        <v>113.13879489157978</v>
      </c>
      <c r="U85" s="434">
        <f t="shared" si="66"/>
        <v>117.03488188523072</v>
      </c>
      <c r="V85" s="435"/>
      <c r="W85" s="144"/>
      <c r="X85" s="144"/>
      <c r="Y85" s="144"/>
      <c r="Z85" s="144"/>
      <c r="AA85" s="144"/>
      <c r="AB85" s="142"/>
      <c r="AC85" s="436">
        <f t="shared" ref="AC85:AG85" si="88">IF($N85="Hourly",$N189*Q85*H189,Q85*H189*$N189)</f>
        <v>0</v>
      </c>
      <c r="AD85" s="437">
        <f t="shared" si="88"/>
        <v>0</v>
      </c>
      <c r="AE85" s="437">
        <f t="shared" si="88"/>
        <v>0</v>
      </c>
      <c r="AF85" s="437">
        <f t="shared" si="88"/>
        <v>0</v>
      </c>
      <c r="AG85" s="438">
        <f t="shared" si="88"/>
        <v>0</v>
      </c>
      <c r="AH85" s="142"/>
    </row>
    <row r="86" spans="2:34" s="351" customFormat="1" x14ac:dyDescent="0.2">
      <c r="B86" s="250" t="s">
        <v>181</v>
      </c>
      <c r="C86" s="251">
        <f>'Input Sheet'!G86</f>
        <v>80</v>
      </c>
      <c r="D86" s="428">
        <f>'Input Sheet'!H86</f>
        <v>1</v>
      </c>
      <c r="E86" s="429">
        <f>'Input Sheet'!J86</f>
        <v>88</v>
      </c>
      <c r="F86" s="103">
        <f>'Input Sheet'!K86</f>
        <v>80</v>
      </c>
      <c r="G86" s="430"/>
      <c r="H86" s="136">
        <f>+'Input Sheet'!G$281</f>
        <v>202.58079139378449</v>
      </c>
      <c r="I86" s="130">
        <f>+'Input Sheet'!H$281</f>
        <v>211.41933457916826</v>
      </c>
      <c r="J86" s="130">
        <f>+'Input Sheet'!I$281</f>
        <v>218.57750684634706</v>
      </c>
      <c r="K86" s="130">
        <f>+'Input Sheet'!J$281</f>
        <v>226.27758978315956</v>
      </c>
      <c r="L86" s="131">
        <f>+'Input Sheet'!K$281</f>
        <v>234.06976377046144</v>
      </c>
      <c r="M86" s="91"/>
      <c r="N86" s="431">
        <f>+'Standard Hour Calcs'!Z87</f>
        <v>1</v>
      </c>
      <c r="O86" s="227"/>
      <c r="P86" s="91"/>
      <c r="Q86" s="432">
        <f t="shared" si="62"/>
        <v>202.58079139378449</v>
      </c>
      <c r="R86" s="433">
        <f t="shared" si="63"/>
        <v>211.41933457916826</v>
      </c>
      <c r="S86" s="433">
        <f t="shared" si="64"/>
        <v>218.57750684634706</v>
      </c>
      <c r="T86" s="433">
        <f t="shared" si="65"/>
        <v>226.27758978315956</v>
      </c>
      <c r="U86" s="434">
        <f t="shared" si="66"/>
        <v>234.06976377046144</v>
      </c>
      <c r="V86" s="435"/>
      <c r="W86" s="144"/>
      <c r="X86" s="144"/>
      <c r="Y86" s="144"/>
      <c r="Z86" s="144"/>
      <c r="AA86" s="144"/>
      <c r="AB86" s="142"/>
      <c r="AC86" s="436">
        <f t="shared" ref="AC86:AG86" si="89">IF($N86="Hourly",$N190*Q86*H190,Q86*H190*$N190)</f>
        <v>0</v>
      </c>
      <c r="AD86" s="437">
        <f t="shared" si="89"/>
        <v>0</v>
      </c>
      <c r="AE86" s="437">
        <f t="shared" si="89"/>
        <v>0</v>
      </c>
      <c r="AF86" s="437">
        <f t="shared" si="89"/>
        <v>0</v>
      </c>
      <c r="AG86" s="438">
        <f t="shared" si="89"/>
        <v>0</v>
      </c>
      <c r="AH86" s="142"/>
    </row>
    <row r="87" spans="2:34" s="351" customFormat="1" x14ac:dyDescent="0.2">
      <c r="B87" s="250" t="s">
        <v>182</v>
      </c>
      <c r="C87" s="251">
        <f>'Input Sheet'!G87</f>
        <v>80</v>
      </c>
      <c r="D87" s="428">
        <f>'Input Sheet'!H87</f>
        <v>1.9886363636363638</v>
      </c>
      <c r="E87" s="429">
        <f>'Input Sheet'!J87</f>
        <v>175</v>
      </c>
      <c r="F87" s="103">
        <f>'Input Sheet'!K87</f>
        <v>159.09090909090909</v>
      </c>
      <c r="G87" s="430"/>
      <c r="H87" s="136">
        <f>+'Input Sheet'!G$281</f>
        <v>202.58079139378449</v>
      </c>
      <c r="I87" s="130">
        <f>+'Input Sheet'!H$281</f>
        <v>211.41933457916826</v>
      </c>
      <c r="J87" s="130">
        <f>+'Input Sheet'!I$281</f>
        <v>218.57750684634706</v>
      </c>
      <c r="K87" s="130">
        <f>+'Input Sheet'!J$281</f>
        <v>226.27758978315956</v>
      </c>
      <c r="L87" s="131">
        <f>+'Input Sheet'!K$281</f>
        <v>234.06976377046144</v>
      </c>
      <c r="M87" s="91"/>
      <c r="N87" s="431">
        <f>+'Standard Hour Calcs'!Z88</f>
        <v>1.99</v>
      </c>
      <c r="O87" s="227"/>
      <c r="P87" s="91"/>
      <c r="Q87" s="432">
        <f t="shared" si="62"/>
        <v>403.13577487363114</v>
      </c>
      <c r="R87" s="433">
        <f t="shared" si="63"/>
        <v>420.72447581254482</v>
      </c>
      <c r="S87" s="433">
        <f t="shared" si="64"/>
        <v>434.96923862423063</v>
      </c>
      <c r="T87" s="433">
        <f t="shared" si="65"/>
        <v>450.29240366848751</v>
      </c>
      <c r="U87" s="434">
        <f t="shared" si="66"/>
        <v>465.79882990321823</v>
      </c>
      <c r="V87" s="435"/>
      <c r="W87" s="144"/>
      <c r="X87" s="144"/>
      <c r="Y87" s="144"/>
      <c r="Z87" s="144"/>
      <c r="AA87" s="144"/>
      <c r="AB87" s="142"/>
      <c r="AC87" s="436">
        <f t="shared" ref="AC87:AG87" si="90">IF($N87="Hourly",$N191*Q87*H191,Q87*H191*$N191)</f>
        <v>0</v>
      </c>
      <c r="AD87" s="437">
        <f t="shared" si="90"/>
        <v>0</v>
      </c>
      <c r="AE87" s="437">
        <f t="shared" si="90"/>
        <v>0</v>
      </c>
      <c r="AF87" s="437">
        <f t="shared" si="90"/>
        <v>0</v>
      </c>
      <c r="AG87" s="438">
        <f t="shared" si="90"/>
        <v>0</v>
      </c>
      <c r="AH87" s="142"/>
    </row>
    <row r="88" spans="2:34" s="351" customFormat="1" x14ac:dyDescent="0.2">
      <c r="B88" s="250" t="s">
        <v>183</v>
      </c>
      <c r="C88" s="251">
        <f>'Input Sheet'!G88</f>
        <v>80</v>
      </c>
      <c r="D88" s="428">
        <f>'Input Sheet'!H88</f>
        <v>0.39772727272727271</v>
      </c>
      <c r="E88" s="429">
        <f>'Input Sheet'!J88</f>
        <v>35</v>
      </c>
      <c r="F88" s="103">
        <f>'Input Sheet'!K88</f>
        <v>31.818181818181817</v>
      </c>
      <c r="G88" s="430"/>
      <c r="H88" s="136">
        <f>+'Input Sheet'!G$281</f>
        <v>202.58079139378449</v>
      </c>
      <c r="I88" s="130">
        <f>+'Input Sheet'!H$281</f>
        <v>211.41933457916826</v>
      </c>
      <c r="J88" s="130">
        <f>+'Input Sheet'!I$281</f>
        <v>218.57750684634706</v>
      </c>
      <c r="K88" s="130">
        <f>+'Input Sheet'!J$281</f>
        <v>226.27758978315956</v>
      </c>
      <c r="L88" s="131">
        <f>+'Input Sheet'!K$281</f>
        <v>234.06976377046144</v>
      </c>
      <c r="M88" s="91"/>
      <c r="N88" s="431">
        <f>+'Standard Hour Calcs'!Z89</f>
        <v>0.4</v>
      </c>
      <c r="O88" s="227"/>
      <c r="P88" s="91"/>
      <c r="Q88" s="432">
        <f t="shared" si="62"/>
        <v>81.032316557513809</v>
      </c>
      <c r="R88" s="433">
        <f t="shared" si="63"/>
        <v>84.567733831667312</v>
      </c>
      <c r="S88" s="433">
        <f t="shared" si="64"/>
        <v>87.431002738538837</v>
      </c>
      <c r="T88" s="433">
        <f t="shared" si="65"/>
        <v>90.511035913263825</v>
      </c>
      <c r="U88" s="434">
        <f t="shared" si="66"/>
        <v>93.627905508184583</v>
      </c>
      <c r="V88" s="435"/>
      <c r="W88" s="144"/>
      <c r="X88" s="144"/>
      <c r="Y88" s="144"/>
      <c r="Z88" s="144"/>
      <c r="AA88" s="144"/>
      <c r="AB88" s="142"/>
      <c r="AC88" s="436">
        <f t="shared" ref="AC88:AG88" si="91">IF($N88="Hourly",$N192*Q88*H192,Q88*H192*$N192)</f>
        <v>0</v>
      </c>
      <c r="AD88" s="437">
        <f t="shared" si="91"/>
        <v>0</v>
      </c>
      <c r="AE88" s="437">
        <f t="shared" si="91"/>
        <v>0</v>
      </c>
      <c r="AF88" s="437">
        <f t="shared" si="91"/>
        <v>0</v>
      </c>
      <c r="AG88" s="438">
        <f t="shared" si="91"/>
        <v>0</v>
      </c>
      <c r="AH88" s="142"/>
    </row>
    <row r="89" spans="2:34" s="351" customFormat="1" x14ac:dyDescent="0.2">
      <c r="B89" s="250" t="s">
        <v>184</v>
      </c>
      <c r="C89" s="251">
        <f>'Input Sheet'!G89</f>
        <v>80</v>
      </c>
      <c r="D89" s="428">
        <f>'Input Sheet'!H89</f>
        <v>0.70454545454545459</v>
      </c>
      <c r="E89" s="429">
        <f>'Input Sheet'!J89</f>
        <v>62</v>
      </c>
      <c r="F89" s="103">
        <f>'Input Sheet'!K89</f>
        <v>56.363636363636367</v>
      </c>
      <c r="G89" s="430"/>
      <c r="H89" s="136">
        <f>+'Input Sheet'!G$281</f>
        <v>202.58079139378449</v>
      </c>
      <c r="I89" s="130">
        <f>+'Input Sheet'!H$281</f>
        <v>211.41933457916826</v>
      </c>
      <c r="J89" s="130">
        <f>+'Input Sheet'!I$281</f>
        <v>218.57750684634706</v>
      </c>
      <c r="K89" s="130">
        <f>+'Input Sheet'!J$281</f>
        <v>226.27758978315956</v>
      </c>
      <c r="L89" s="131">
        <f>+'Input Sheet'!K$281</f>
        <v>234.06976377046144</v>
      </c>
      <c r="M89" s="91"/>
      <c r="N89" s="431">
        <f>+'Standard Hour Calcs'!Z90</f>
        <v>0.7</v>
      </c>
      <c r="O89" s="227"/>
      <c r="P89" s="91"/>
      <c r="Q89" s="432">
        <f t="shared" si="62"/>
        <v>141.80655397564914</v>
      </c>
      <c r="R89" s="433">
        <f t="shared" si="63"/>
        <v>147.99353420541777</v>
      </c>
      <c r="S89" s="433">
        <f t="shared" si="64"/>
        <v>153.00425479244294</v>
      </c>
      <c r="T89" s="433">
        <f t="shared" si="65"/>
        <v>158.39431284821168</v>
      </c>
      <c r="U89" s="434">
        <f t="shared" si="66"/>
        <v>163.848834639323</v>
      </c>
      <c r="V89" s="435"/>
      <c r="W89" s="144"/>
      <c r="X89" s="144"/>
      <c r="Y89" s="144"/>
      <c r="Z89" s="144"/>
      <c r="AA89" s="144"/>
      <c r="AB89" s="142"/>
      <c r="AC89" s="436">
        <f t="shared" ref="AC89:AG89" si="92">IF($N89="Hourly",$N193*Q89*H193,Q89*H193*$N193)</f>
        <v>0</v>
      </c>
      <c r="AD89" s="437">
        <f t="shared" si="92"/>
        <v>0</v>
      </c>
      <c r="AE89" s="437">
        <f t="shared" si="92"/>
        <v>0</v>
      </c>
      <c r="AF89" s="437">
        <f t="shared" si="92"/>
        <v>0</v>
      </c>
      <c r="AG89" s="438">
        <f t="shared" si="92"/>
        <v>0</v>
      </c>
      <c r="AH89" s="142"/>
    </row>
    <row r="90" spans="2:34" s="351" customFormat="1" x14ac:dyDescent="0.2">
      <c r="B90" s="250" t="s">
        <v>185</v>
      </c>
      <c r="C90" s="251">
        <f>'Input Sheet'!G90</f>
        <v>80</v>
      </c>
      <c r="D90" s="428">
        <f>'Input Sheet'!H90</f>
        <v>1.5</v>
      </c>
      <c r="E90" s="429">
        <f>'Input Sheet'!J90</f>
        <v>132</v>
      </c>
      <c r="F90" s="103">
        <f>'Input Sheet'!K90</f>
        <v>120</v>
      </c>
      <c r="G90" s="430"/>
      <c r="H90" s="136">
        <f>+'Input Sheet'!G$281</f>
        <v>202.58079139378449</v>
      </c>
      <c r="I90" s="130">
        <f>+'Input Sheet'!H$281</f>
        <v>211.41933457916826</v>
      </c>
      <c r="J90" s="130">
        <f>+'Input Sheet'!I$281</f>
        <v>218.57750684634706</v>
      </c>
      <c r="K90" s="130">
        <f>+'Input Sheet'!J$281</f>
        <v>226.27758978315956</v>
      </c>
      <c r="L90" s="131">
        <f>+'Input Sheet'!K$281</f>
        <v>234.06976377046144</v>
      </c>
      <c r="M90" s="91"/>
      <c r="N90" s="431">
        <f>+'Standard Hour Calcs'!Z91</f>
        <v>1.5</v>
      </c>
      <c r="O90" s="227"/>
      <c r="P90" s="91"/>
      <c r="Q90" s="432">
        <f t="shared" si="62"/>
        <v>303.87118709067676</v>
      </c>
      <c r="R90" s="433">
        <f t="shared" si="63"/>
        <v>317.12900186875243</v>
      </c>
      <c r="S90" s="433">
        <f t="shared" si="64"/>
        <v>327.86626026952058</v>
      </c>
      <c r="T90" s="433">
        <f t="shared" si="65"/>
        <v>339.41638467473933</v>
      </c>
      <c r="U90" s="434">
        <f t="shared" si="66"/>
        <v>351.10464565569214</v>
      </c>
      <c r="V90" s="435"/>
      <c r="W90" s="144"/>
      <c r="X90" s="144"/>
      <c r="Y90" s="144"/>
      <c r="Z90" s="144"/>
      <c r="AA90" s="144"/>
      <c r="AB90" s="142"/>
      <c r="AC90" s="436">
        <f t="shared" ref="AC90:AG90" si="93">IF($N90="Hourly",$N194*Q90*H194,Q90*H194*$N194)</f>
        <v>0</v>
      </c>
      <c r="AD90" s="437">
        <f t="shared" si="93"/>
        <v>0</v>
      </c>
      <c r="AE90" s="437">
        <f t="shared" si="93"/>
        <v>0</v>
      </c>
      <c r="AF90" s="437">
        <f t="shared" si="93"/>
        <v>0</v>
      </c>
      <c r="AG90" s="438">
        <f t="shared" si="93"/>
        <v>0</v>
      </c>
      <c r="AH90" s="142"/>
    </row>
    <row r="91" spans="2:34" s="351" customFormat="1" x14ac:dyDescent="0.2">
      <c r="B91" s="250" t="s">
        <v>186</v>
      </c>
      <c r="C91" s="251">
        <f>'Input Sheet'!G91</f>
        <v>80</v>
      </c>
      <c r="D91" s="428">
        <f>'Input Sheet'!H91</f>
        <v>3.5</v>
      </c>
      <c r="E91" s="429">
        <f>'Input Sheet'!J91</f>
        <v>308</v>
      </c>
      <c r="F91" s="103">
        <f>'Input Sheet'!K91</f>
        <v>280</v>
      </c>
      <c r="G91" s="430"/>
      <c r="H91" s="136">
        <f>+'Input Sheet'!G$281</f>
        <v>202.58079139378449</v>
      </c>
      <c r="I91" s="130">
        <f>+'Input Sheet'!H$281</f>
        <v>211.41933457916826</v>
      </c>
      <c r="J91" s="130">
        <f>+'Input Sheet'!I$281</f>
        <v>218.57750684634706</v>
      </c>
      <c r="K91" s="130">
        <f>+'Input Sheet'!J$281</f>
        <v>226.27758978315956</v>
      </c>
      <c r="L91" s="131">
        <f>+'Input Sheet'!K$281</f>
        <v>234.06976377046144</v>
      </c>
      <c r="M91" s="91"/>
      <c r="N91" s="431">
        <f>+'Standard Hour Calcs'!Z92</f>
        <v>3.5</v>
      </c>
      <c r="O91" s="227"/>
      <c r="P91" s="91"/>
      <c r="Q91" s="432">
        <f t="shared" si="62"/>
        <v>709.03276987824574</v>
      </c>
      <c r="R91" s="433">
        <f t="shared" si="63"/>
        <v>739.96767102708895</v>
      </c>
      <c r="S91" s="433">
        <f t="shared" si="64"/>
        <v>765.02127396221476</v>
      </c>
      <c r="T91" s="433">
        <f t="shared" si="65"/>
        <v>791.97156424105845</v>
      </c>
      <c r="U91" s="434">
        <f t="shared" si="66"/>
        <v>819.24417319661507</v>
      </c>
      <c r="V91" s="435"/>
      <c r="W91" s="144"/>
      <c r="X91" s="144"/>
      <c r="Y91" s="144"/>
      <c r="Z91" s="144"/>
      <c r="AA91" s="144"/>
      <c r="AB91" s="142"/>
      <c r="AC91" s="436">
        <f t="shared" ref="AC91:AG91" si="94">IF($N91="Hourly",$N195*Q91*H195,Q91*H195*$N195)</f>
        <v>0</v>
      </c>
      <c r="AD91" s="437">
        <f t="shared" si="94"/>
        <v>0</v>
      </c>
      <c r="AE91" s="437">
        <f t="shared" si="94"/>
        <v>0</v>
      </c>
      <c r="AF91" s="437">
        <f t="shared" si="94"/>
        <v>0</v>
      </c>
      <c r="AG91" s="438">
        <f t="shared" si="94"/>
        <v>0</v>
      </c>
      <c r="AH91" s="142"/>
    </row>
    <row r="92" spans="2:34" s="351" customFormat="1" x14ac:dyDescent="0.2">
      <c r="B92" s="250" t="s">
        <v>187</v>
      </c>
      <c r="C92" s="251">
        <f>'Input Sheet'!G92</f>
        <v>80</v>
      </c>
      <c r="D92" s="428">
        <f>'Input Sheet'!H92</f>
        <v>7</v>
      </c>
      <c r="E92" s="429">
        <f>'Input Sheet'!J92</f>
        <v>616</v>
      </c>
      <c r="F92" s="103">
        <f>'Input Sheet'!K92</f>
        <v>560</v>
      </c>
      <c r="G92" s="430"/>
      <c r="H92" s="136">
        <f>+'Input Sheet'!G$281</f>
        <v>202.58079139378449</v>
      </c>
      <c r="I92" s="130">
        <f>+'Input Sheet'!H$281</f>
        <v>211.41933457916826</v>
      </c>
      <c r="J92" s="130">
        <f>+'Input Sheet'!I$281</f>
        <v>218.57750684634706</v>
      </c>
      <c r="K92" s="130">
        <f>+'Input Sheet'!J$281</f>
        <v>226.27758978315956</v>
      </c>
      <c r="L92" s="131">
        <f>+'Input Sheet'!K$281</f>
        <v>234.06976377046144</v>
      </c>
      <c r="M92" s="91"/>
      <c r="N92" s="431">
        <f>+'Standard Hour Calcs'!Z93</f>
        <v>7</v>
      </c>
      <c r="O92" s="227"/>
      <c r="P92" s="91"/>
      <c r="Q92" s="432">
        <f t="shared" si="62"/>
        <v>1418.0655397564915</v>
      </c>
      <c r="R92" s="433">
        <f t="shared" si="63"/>
        <v>1479.9353420541779</v>
      </c>
      <c r="S92" s="433">
        <f t="shared" si="64"/>
        <v>1530.0425479244295</v>
      </c>
      <c r="T92" s="433">
        <f t="shared" si="65"/>
        <v>1583.9431284821169</v>
      </c>
      <c r="U92" s="434">
        <f t="shared" si="66"/>
        <v>1638.4883463932301</v>
      </c>
      <c r="V92" s="435"/>
      <c r="W92" s="144"/>
      <c r="X92" s="144"/>
      <c r="Y92" s="144"/>
      <c r="Z92" s="144"/>
      <c r="AA92" s="144"/>
      <c r="AB92" s="142"/>
      <c r="AC92" s="436">
        <f t="shared" ref="AC92:AG92" si="95">IF($N92="Hourly",$N196*Q92*H196,Q92*H196*$N196)</f>
        <v>1418.0655397564915</v>
      </c>
      <c r="AD92" s="437">
        <f t="shared" si="95"/>
        <v>1479.9353420541779</v>
      </c>
      <c r="AE92" s="437">
        <f t="shared" si="95"/>
        <v>1530.0425479244295</v>
      </c>
      <c r="AF92" s="437">
        <f t="shared" si="95"/>
        <v>1583.9431284821169</v>
      </c>
      <c r="AG92" s="438">
        <f t="shared" si="95"/>
        <v>1638.4883463932301</v>
      </c>
      <c r="AH92" s="142"/>
    </row>
    <row r="93" spans="2:34" s="351" customFormat="1" x14ac:dyDescent="0.2">
      <c r="B93" s="250" t="s">
        <v>188</v>
      </c>
      <c r="C93" s="251">
        <f>'Input Sheet'!G93</f>
        <v>80</v>
      </c>
      <c r="D93" s="428">
        <f>'Input Sheet'!H93</f>
        <v>8.795454545454545</v>
      </c>
      <c r="E93" s="429">
        <f>'Input Sheet'!J93</f>
        <v>774</v>
      </c>
      <c r="F93" s="103">
        <f>'Input Sheet'!K93</f>
        <v>703.63636363636363</v>
      </c>
      <c r="G93" s="430"/>
      <c r="H93" s="136">
        <f>+'Input Sheet'!G$281</f>
        <v>202.58079139378449</v>
      </c>
      <c r="I93" s="130">
        <f>+'Input Sheet'!H$281</f>
        <v>211.41933457916826</v>
      </c>
      <c r="J93" s="130">
        <f>+'Input Sheet'!I$281</f>
        <v>218.57750684634706</v>
      </c>
      <c r="K93" s="130">
        <f>+'Input Sheet'!J$281</f>
        <v>226.27758978315956</v>
      </c>
      <c r="L93" s="131">
        <f>+'Input Sheet'!K$281</f>
        <v>234.06976377046144</v>
      </c>
      <c r="M93" s="91"/>
      <c r="N93" s="431">
        <f>+'Standard Hour Calcs'!Z94</f>
        <v>8.8000000000000007</v>
      </c>
      <c r="O93" s="227"/>
      <c r="P93" s="91"/>
      <c r="Q93" s="432">
        <f t="shared" si="62"/>
        <v>1782.7109642653038</v>
      </c>
      <c r="R93" s="433">
        <f t="shared" si="63"/>
        <v>1860.4901442966809</v>
      </c>
      <c r="S93" s="433">
        <f t="shared" si="64"/>
        <v>1923.4820602478544</v>
      </c>
      <c r="T93" s="433">
        <f t="shared" si="65"/>
        <v>1991.2427900918042</v>
      </c>
      <c r="U93" s="434">
        <f t="shared" si="66"/>
        <v>2059.8139211800608</v>
      </c>
      <c r="V93" s="435"/>
      <c r="W93" s="144"/>
      <c r="X93" s="144"/>
      <c r="Y93" s="144"/>
      <c r="Z93" s="144"/>
      <c r="AA93" s="144"/>
      <c r="AB93" s="142"/>
      <c r="AC93" s="436">
        <f t="shared" ref="AC93:AG93" si="96">IF($N93="Hourly",$N197*Q93*H197,Q93*H197*$N197)</f>
        <v>0</v>
      </c>
      <c r="AD93" s="437">
        <f t="shared" si="96"/>
        <v>0</v>
      </c>
      <c r="AE93" s="437">
        <f t="shared" si="96"/>
        <v>0</v>
      </c>
      <c r="AF93" s="437">
        <f t="shared" si="96"/>
        <v>0</v>
      </c>
      <c r="AG93" s="438">
        <f t="shared" si="96"/>
        <v>0</v>
      </c>
      <c r="AH93" s="142"/>
    </row>
    <row r="94" spans="2:34" s="351" customFormat="1" x14ac:dyDescent="0.2">
      <c r="B94" s="250"/>
      <c r="C94" s="251"/>
      <c r="D94" s="428"/>
      <c r="E94" s="429"/>
      <c r="F94" s="103"/>
      <c r="G94" s="430"/>
      <c r="H94" s="136"/>
      <c r="I94" s="130"/>
      <c r="J94" s="130"/>
      <c r="K94" s="130"/>
      <c r="L94" s="131"/>
      <c r="M94" s="91"/>
      <c r="N94" s="431"/>
      <c r="O94" s="227"/>
      <c r="P94" s="91"/>
      <c r="Q94" s="432"/>
      <c r="R94" s="433"/>
      <c r="S94" s="433"/>
      <c r="T94" s="433"/>
      <c r="U94" s="434"/>
      <c r="V94" s="435"/>
      <c r="W94" s="144"/>
      <c r="X94" s="144"/>
      <c r="Y94" s="144"/>
      <c r="Z94" s="144"/>
      <c r="AA94" s="144"/>
      <c r="AB94" s="142"/>
      <c r="AC94" s="436"/>
      <c r="AD94" s="437"/>
      <c r="AE94" s="437"/>
      <c r="AF94" s="437"/>
      <c r="AG94" s="438"/>
      <c r="AH94" s="142"/>
    </row>
    <row r="95" spans="2:34" s="351" customFormat="1" x14ac:dyDescent="0.2">
      <c r="B95" s="250" t="s">
        <v>189</v>
      </c>
      <c r="C95" s="251">
        <f>'Input Sheet'!G95</f>
        <v>80</v>
      </c>
      <c r="D95" s="428" t="str">
        <f>'Input Sheet'!H95</f>
        <v>Hourly</v>
      </c>
      <c r="E95" s="429">
        <f>'Input Sheet'!J95</f>
        <v>88</v>
      </c>
      <c r="F95" s="103">
        <f>'Input Sheet'!K95</f>
        <v>80</v>
      </c>
      <c r="G95" s="430"/>
      <c r="H95" s="136">
        <f>+'Input Sheet'!G$281</f>
        <v>202.58079139378449</v>
      </c>
      <c r="I95" s="130">
        <f>+'Input Sheet'!H$281</f>
        <v>211.41933457916826</v>
      </c>
      <c r="J95" s="130">
        <f>+'Input Sheet'!I$281</f>
        <v>218.57750684634706</v>
      </c>
      <c r="K95" s="130">
        <f>+'Input Sheet'!J$281</f>
        <v>226.27758978315956</v>
      </c>
      <c r="L95" s="131">
        <f>+'Input Sheet'!K$281</f>
        <v>234.06976377046144</v>
      </c>
      <c r="M95" s="91"/>
      <c r="N95" s="431" t="str">
        <f>+'Standard Hour Calcs'!Z96</f>
        <v>Hourly</v>
      </c>
      <c r="O95" s="227"/>
      <c r="P95" s="91"/>
      <c r="Q95" s="432">
        <f t="shared" ref="Q95:Q98" si="97">IF($N95="Hourly",H95,H95*$N95)</f>
        <v>202.58079139378449</v>
      </c>
      <c r="R95" s="433">
        <f t="shared" ref="R95:R98" si="98">IF($N95="Hourly",I95,I95*$N95)</f>
        <v>211.41933457916826</v>
      </c>
      <c r="S95" s="433">
        <f t="shared" ref="S95:S98" si="99">IF($N95="Hourly",J95,J95*$N95)</f>
        <v>218.57750684634706</v>
      </c>
      <c r="T95" s="433">
        <f t="shared" ref="T95:T98" si="100">IF($N95="Hourly",K95,K95*$N95)</f>
        <v>226.27758978315956</v>
      </c>
      <c r="U95" s="434">
        <f t="shared" ref="U95:U98" si="101">IF($N95="Hourly",L95,L95*$N95)</f>
        <v>234.06976377046144</v>
      </c>
      <c r="V95" s="435"/>
      <c r="W95" s="144"/>
      <c r="X95" s="144"/>
      <c r="Y95" s="144"/>
      <c r="Z95" s="144"/>
      <c r="AA95" s="144"/>
      <c r="AB95" s="142"/>
      <c r="AC95" s="436">
        <f t="shared" ref="AC95:AG95" si="102">IF($N95="Hourly",$N199*Q95*H199,Q95*H199*$N199)</f>
        <v>323318.94306448009</v>
      </c>
      <c r="AD95" s="437">
        <f t="shared" si="102"/>
        <v>337425.25798835256</v>
      </c>
      <c r="AE95" s="437">
        <f t="shared" si="102"/>
        <v>348849.70092676993</v>
      </c>
      <c r="AF95" s="437">
        <f t="shared" si="102"/>
        <v>361139.03329392266</v>
      </c>
      <c r="AG95" s="438">
        <f t="shared" si="102"/>
        <v>373575.34297765646</v>
      </c>
      <c r="AH95" s="142"/>
    </row>
    <row r="96" spans="2:34" s="351" customFormat="1" x14ac:dyDescent="0.2">
      <c r="B96" s="250" t="s">
        <v>190</v>
      </c>
      <c r="C96" s="251">
        <f>'Input Sheet'!G96</f>
        <v>87.272727272727266</v>
      </c>
      <c r="D96" s="428" t="str">
        <f>'Input Sheet'!H96</f>
        <v>Hourly</v>
      </c>
      <c r="E96" s="429">
        <f>'Input Sheet'!J96</f>
        <v>106</v>
      </c>
      <c r="F96" s="103">
        <f>'Input Sheet'!K96</f>
        <v>96.363636363636374</v>
      </c>
      <c r="G96" s="430"/>
      <c r="H96" s="136">
        <f>+'Input Sheet'!G$281</f>
        <v>202.58079139378449</v>
      </c>
      <c r="I96" s="130">
        <f>+'Input Sheet'!H$281</f>
        <v>211.41933457916826</v>
      </c>
      <c r="J96" s="130">
        <f>+'Input Sheet'!I$281</f>
        <v>218.57750684634706</v>
      </c>
      <c r="K96" s="130">
        <f>+'Input Sheet'!J$281</f>
        <v>226.27758978315956</v>
      </c>
      <c r="L96" s="131">
        <f>+'Input Sheet'!K$281</f>
        <v>234.06976377046144</v>
      </c>
      <c r="M96" s="91"/>
      <c r="N96" s="431" t="str">
        <f>+'Standard Hour Calcs'!Z97</f>
        <v>Hourly</v>
      </c>
      <c r="O96" s="227"/>
      <c r="P96" s="91"/>
      <c r="Q96" s="432">
        <f t="shared" si="97"/>
        <v>202.58079139378449</v>
      </c>
      <c r="R96" s="433">
        <f t="shared" si="98"/>
        <v>211.41933457916826</v>
      </c>
      <c r="S96" s="433">
        <f t="shared" si="99"/>
        <v>218.57750684634706</v>
      </c>
      <c r="T96" s="433">
        <f t="shared" si="100"/>
        <v>226.27758978315956</v>
      </c>
      <c r="U96" s="434">
        <f t="shared" si="101"/>
        <v>234.06976377046144</v>
      </c>
      <c r="V96" s="435"/>
      <c r="W96" s="144"/>
      <c r="X96" s="144"/>
      <c r="Y96" s="144"/>
      <c r="Z96" s="144"/>
      <c r="AA96" s="144"/>
      <c r="AB96" s="142"/>
      <c r="AC96" s="436">
        <f t="shared" ref="AC96:AG96" si="103">IF($N96="Hourly",$N200*Q96*H200,Q96*H200*$N200)</f>
        <v>27956.149212342258</v>
      </c>
      <c r="AD96" s="437">
        <f t="shared" si="103"/>
        <v>29175.86817192522</v>
      </c>
      <c r="AE96" s="437">
        <f t="shared" si="103"/>
        <v>30163.695944795894</v>
      </c>
      <c r="AF96" s="437">
        <f t="shared" si="103"/>
        <v>31226.307390076017</v>
      </c>
      <c r="AG96" s="438">
        <f t="shared" si="103"/>
        <v>32301.627400323676</v>
      </c>
      <c r="AH96" s="142"/>
    </row>
    <row r="97" spans="2:34" s="351" customFormat="1" x14ac:dyDescent="0.2">
      <c r="B97" s="250" t="s">
        <v>191</v>
      </c>
      <c r="C97" s="251">
        <f>'Input Sheet'!G97</f>
        <v>80</v>
      </c>
      <c r="D97" s="428" t="str">
        <f>'Input Sheet'!H97</f>
        <v>Hourly</v>
      </c>
      <c r="E97" s="429">
        <f>'Input Sheet'!J97</f>
        <v>88</v>
      </c>
      <c r="F97" s="103">
        <f>'Input Sheet'!K97</f>
        <v>80</v>
      </c>
      <c r="G97" s="430"/>
      <c r="H97" s="136">
        <f>+'Input Sheet'!G$281</f>
        <v>202.58079139378449</v>
      </c>
      <c r="I97" s="130">
        <f>+'Input Sheet'!H$281</f>
        <v>211.41933457916826</v>
      </c>
      <c r="J97" s="130">
        <f>+'Input Sheet'!I$281</f>
        <v>218.57750684634706</v>
      </c>
      <c r="K97" s="130">
        <f>+'Input Sheet'!J$281</f>
        <v>226.27758978315956</v>
      </c>
      <c r="L97" s="131">
        <f>+'Input Sheet'!K$281</f>
        <v>234.06976377046144</v>
      </c>
      <c r="M97" s="91"/>
      <c r="N97" s="431" t="str">
        <f>+'Standard Hour Calcs'!Z98</f>
        <v>Hourly</v>
      </c>
      <c r="O97" s="227"/>
      <c r="P97" s="91"/>
      <c r="Q97" s="432">
        <f t="shared" si="97"/>
        <v>202.58079139378449</v>
      </c>
      <c r="R97" s="433">
        <f t="shared" si="98"/>
        <v>211.41933457916826</v>
      </c>
      <c r="S97" s="433">
        <f t="shared" si="99"/>
        <v>218.57750684634706</v>
      </c>
      <c r="T97" s="433">
        <f t="shared" si="100"/>
        <v>226.27758978315956</v>
      </c>
      <c r="U97" s="434">
        <f t="shared" si="101"/>
        <v>234.06976377046144</v>
      </c>
      <c r="V97" s="435"/>
      <c r="W97" s="144"/>
      <c r="X97" s="144"/>
      <c r="Y97" s="144"/>
      <c r="Z97" s="144"/>
      <c r="AA97" s="144"/>
      <c r="AB97" s="142"/>
      <c r="AC97" s="436">
        <f t="shared" ref="AC97:AG97" si="104">IF($N97="Hourly",$N201*Q97*H201,Q97*H201*$N201)</f>
        <v>91161.35612720302</v>
      </c>
      <c r="AD97" s="437">
        <f t="shared" si="104"/>
        <v>95138.700560625715</v>
      </c>
      <c r="AE97" s="437">
        <f t="shared" si="104"/>
        <v>98359.878080856186</v>
      </c>
      <c r="AF97" s="437">
        <f t="shared" si="104"/>
        <v>101824.9154024218</v>
      </c>
      <c r="AG97" s="438">
        <f t="shared" si="104"/>
        <v>105331.39369670764</v>
      </c>
      <c r="AH97" s="142"/>
    </row>
    <row r="98" spans="2:34" s="351" customFormat="1" x14ac:dyDescent="0.2">
      <c r="B98" s="250" t="s">
        <v>192</v>
      </c>
      <c r="C98" s="251">
        <f>'Input Sheet'!G98</f>
        <v>87.272727272727266</v>
      </c>
      <c r="D98" s="428" t="str">
        <f>'Input Sheet'!H98</f>
        <v>Hourly</v>
      </c>
      <c r="E98" s="429">
        <f>'Input Sheet'!J98</f>
        <v>106</v>
      </c>
      <c r="F98" s="103">
        <f>'Input Sheet'!K98</f>
        <v>96.363636363636374</v>
      </c>
      <c r="G98" s="430"/>
      <c r="H98" s="136">
        <f>+'Input Sheet'!G$281</f>
        <v>202.58079139378449</v>
      </c>
      <c r="I98" s="130">
        <f>+'Input Sheet'!H$281</f>
        <v>211.41933457916826</v>
      </c>
      <c r="J98" s="130">
        <f>+'Input Sheet'!I$281</f>
        <v>218.57750684634706</v>
      </c>
      <c r="K98" s="130">
        <f>+'Input Sheet'!J$281</f>
        <v>226.27758978315956</v>
      </c>
      <c r="L98" s="131">
        <f>+'Input Sheet'!K$281</f>
        <v>234.06976377046144</v>
      </c>
      <c r="M98" s="91"/>
      <c r="N98" s="431" t="str">
        <f>+'Standard Hour Calcs'!Z99</f>
        <v>Hourly</v>
      </c>
      <c r="O98" s="227"/>
      <c r="P98" s="91"/>
      <c r="Q98" s="432">
        <f t="shared" si="97"/>
        <v>202.58079139378449</v>
      </c>
      <c r="R98" s="433">
        <f t="shared" si="98"/>
        <v>211.41933457916826</v>
      </c>
      <c r="S98" s="433">
        <f t="shared" si="99"/>
        <v>218.57750684634706</v>
      </c>
      <c r="T98" s="433">
        <f t="shared" si="100"/>
        <v>226.27758978315956</v>
      </c>
      <c r="U98" s="434">
        <f t="shared" si="101"/>
        <v>234.06976377046144</v>
      </c>
      <c r="V98" s="435"/>
      <c r="W98" s="144"/>
      <c r="X98" s="144"/>
      <c r="Y98" s="144"/>
      <c r="Z98" s="144"/>
      <c r="AA98" s="144"/>
      <c r="AB98" s="142"/>
      <c r="AC98" s="436">
        <f t="shared" ref="AC98:AG98" si="105">IF($N98="Hourly",$N202*Q98*H202,Q98*H202*$N202)</f>
        <v>1418.0655397564915</v>
      </c>
      <c r="AD98" s="437">
        <f t="shared" si="105"/>
        <v>1479.9353420541779</v>
      </c>
      <c r="AE98" s="437">
        <f t="shared" si="105"/>
        <v>1530.0425479244295</v>
      </c>
      <c r="AF98" s="437">
        <f t="shared" si="105"/>
        <v>1583.9431284821169</v>
      </c>
      <c r="AG98" s="438">
        <f t="shared" si="105"/>
        <v>1638.4883463932301</v>
      </c>
      <c r="AH98" s="142"/>
    </row>
    <row r="99" spans="2:34" s="351" customFormat="1" x14ac:dyDescent="0.2">
      <c r="B99" s="349"/>
      <c r="C99" s="251"/>
      <c r="D99" s="439"/>
      <c r="E99" s="429"/>
      <c r="F99" s="103"/>
      <c r="G99" s="430"/>
      <c r="H99" s="136"/>
      <c r="I99" s="130"/>
      <c r="J99" s="130"/>
      <c r="K99" s="130"/>
      <c r="L99" s="131"/>
      <c r="M99" s="91"/>
      <c r="N99" s="431"/>
      <c r="O99" s="227"/>
      <c r="P99" s="91"/>
      <c r="Q99" s="432"/>
      <c r="R99" s="433"/>
      <c r="S99" s="433"/>
      <c r="T99" s="433"/>
      <c r="U99" s="434"/>
      <c r="V99" s="435"/>
      <c r="W99" s="443"/>
      <c r="X99" s="443"/>
      <c r="Y99" s="443"/>
      <c r="Z99" s="443"/>
      <c r="AA99" s="443"/>
      <c r="AB99" s="142"/>
      <c r="AC99" s="440">
        <f>SUM(AC11:AC98)</f>
        <v>1817230.7311188038</v>
      </c>
      <c r="AD99" s="441">
        <f>SUM(AD11:AD98)</f>
        <v>1896515.9989089707</v>
      </c>
      <c r="AE99" s="441">
        <f>SUM(AE11:AE98)</f>
        <v>1960727.6674144715</v>
      </c>
      <c r="AF99" s="441">
        <f>SUM(AF11:AF98)</f>
        <v>2029800.4913908544</v>
      </c>
      <c r="AG99" s="442">
        <f>SUM(AG11:AG98)</f>
        <v>2099699.408926547</v>
      </c>
      <c r="AH99" s="142"/>
    </row>
    <row r="100" spans="2:34" x14ac:dyDescent="0.25">
      <c r="B100" s="71"/>
      <c r="C100" s="174"/>
      <c r="D100" s="221"/>
      <c r="E100" s="104"/>
      <c r="F100" s="103"/>
      <c r="G100" s="95"/>
      <c r="H100" s="136"/>
      <c r="I100" s="130"/>
      <c r="J100" s="130"/>
      <c r="K100" s="130"/>
      <c r="L100" s="131"/>
      <c r="M100" s="91"/>
      <c r="N100" s="260"/>
      <c r="O100" s="304"/>
      <c r="P100" s="91"/>
      <c r="Q100" s="191"/>
      <c r="R100" s="192"/>
      <c r="S100" s="192"/>
      <c r="T100" s="192"/>
      <c r="U100" s="193"/>
      <c r="V100" s="92"/>
      <c r="W100" s="144"/>
      <c r="X100" s="144"/>
      <c r="Y100" s="144"/>
      <c r="Z100" s="144"/>
      <c r="AA100" s="144"/>
      <c r="AB100" s="142"/>
      <c r="AC100" s="409"/>
      <c r="AD100" s="410"/>
      <c r="AE100" s="410"/>
      <c r="AF100" s="410"/>
      <c r="AG100" s="411"/>
      <c r="AH100" s="142"/>
    </row>
    <row r="101" spans="2:34" x14ac:dyDescent="0.25">
      <c r="B101" s="276" t="s">
        <v>194</v>
      </c>
      <c r="C101" s="276"/>
      <c r="D101" s="277"/>
      <c r="E101" s="277"/>
      <c r="F101" s="278"/>
      <c r="G101" s="95"/>
      <c r="H101" s="279"/>
      <c r="I101" s="280"/>
      <c r="J101" s="280"/>
      <c r="K101" s="280"/>
      <c r="L101" s="281"/>
      <c r="M101" s="91"/>
      <c r="N101" s="282"/>
      <c r="O101" s="304"/>
      <c r="P101" s="91"/>
      <c r="Q101" s="283"/>
      <c r="R101" s="284"/>
      <c r="S101" s="284"/>
      <c r="T101" s="284"/>
      <c r="U101" s="285"/>
      <c r="V101" s="92"/>
      <c r="W101" s="144"/>
      <c r="X101" s="144"/>
      <c r="Y101" s="144"/>
      <c r="Z101" s="144"/>
      <c r="AA101" s="144"/>
      <c r="AB101" s="142"/>
      <c r="AC101" s="397"/>
      <c r="AD101" s="398"/>
      <c r="AE101" s="398"/>
      <c r="AF101" s="398"/>
      <c r="AG101" s="399"/>
      <c r="AH101" s="142"/>
    </row>
    <row r="102" spans="2:34" x14ac:dyDescent="0.2">
      <c r="B102" s="212" t="s">
        <v>201</v>
      </c>
      <c r="C102" s="174">
        <f>'Input Sheet'!G101</f>
        <v>63.636363636363598</v>
      </c>
      <c r="D102" s="259">
        <f>'Input Sheet'!H101</f>
        <v>0.5</v>
      </c>
      <c r="E102" s="104">
        <f>'Input Sheet'!J101</f>
        <v>35</v>
      </c>
      <c r="F102" s="103">
        <f>'Input Sheet'!K101</f>
        <v>31.818181818181817</v>
      </c>
      <c r="G102" s="95"/>
      <c r="H102" s="136">
        <f>+'Input Sheet'!G$281</f>
        <v>202.58079139378449</v>
      </c>
      <c r="I102" s="130">
        <f>+'Input Sheet'!H$281</f>
        <v>211.41933457916826</v>
      </c>
      <c r="J102" s="130">
        <f>+'Input Sheet'!I$281</f>
        <v>218.57750684634706</v>
      </c>
      <c r="K102" s="130">
        <f>+'Input Sheet'!J$281</f>
        <v>226.27758978315956</v>
      </c>
      <c r="L102" s="131">
        <f>+'Input Sheet'!K$281</f>
        <v>234.06976377046144</v>
      </c>
      <c r="M102" s="91"/>
      <c r="N102" s="260"/>
      <c r="O102" s="304"/>
      <c r="P102" s="91"/>
      <c r="Q102" s="188">
        <f>'Input Sheet'!G$289</f>
        <v>101.29039569689225</v>
      </c>
      <c r="R102" s="189">
        <f>'Input Sheet'!H$289</f>
        <v>105.70966728958413</v>
      </c>
      <c r="S102" s="189">
        <f>'Input Sheet'!I$289</f>
        <v>109.28875342317353</v>
      </c>
      <c r="T102" s="189">
        <f>'Input Sheet'!J$289</f>
        <v>113.13879489157978</v>
      </c>
      <c r="U102" s="190">
        <f>'Input Sheet'!K$289</f>
        <v>117.03488188523072</v>
      </c>
      <c r="V102" s="92"/>
      <c r="W102" s="227"/>
      <c r="X102" s="227"/>
      <c r="Y102" s="227"/>
      <c r="Z102" s="227"/>
      <c r="AA102" s="227"/>
      <c r="AB102" s="142"/>
      <c r="AC102" s="393">
        <f>+Q102*H211</f>
        <v>31501.31306173349</v>
      </c>
      <c r="AD102" s="394">
        <f t="shared" ref="AD102:AG102" si="106">+R102*I211</f>
        <v>32875.706527060662</v>
      </c>
      <c r="AE102" s="394">
        <f t="shared" si="106"/>
        <v>33988.802314606968</v>
      </c>
      <c r="AF102" s="394">
        <f t="shared" si="106"/>
        <v>35186.16521128131</v>
      </c>
      <c r="AG102" s="395">
        <f t="shared" si="106"/>
        <v>36397.848266306755</v>
      </c>
      <c r="AH102" s="142"/>
    </row>
    <row r="103" spans="2:34" x14ac:dyDescent="0.2">
      <c r="B103" s="212" t="s">
        <v>202</v>
      </c>
      <c r="C103" s="174">
        <f>'Input Sheet'!G102</f>
        <v>60</v>
      </c>
      <c r="D103" s="259" t="str">
        <f>'Input Sheet'!H102</f>
        <v>Hourly</v>
      </c>
      <c r="E103" s="104">
        <f>'Input Sheet'!J102</f>
        <v>66</v>
      </c>
      <c r="F103" s="103">
        <f>'Input Sheet'!K102</f>
        <v>60</v>
      </c>
      <c r="G103" s="95"/>
      <c r="H103" s="136">
        <f>+'Input Sheet'!G$281</f>
        <v>202.58079139378449</v>
      </c>
      <c r="I103" s="130">
        <f>+'Input Sheet'!H$281</f>
        <v>211.41933457916826</v>
      </c>
      <c r="J103" s="130">
        <f>+'Input Sheet'!I$281</f>
        <v>218.57750684634706</v>
      </c>
      <c r="K103" s="130">
        <f>+'Input Sheet'!J$281</f>
        <v>226.27758978315956</v>
      </c>
      <c r="L103" s="131">
        <f>+'Input Sheet'!K$281</f>
        <v>234.06976377046144</v>
      </c>
      <c r="M103" s="91"/>
      <c r="N103" s="260"/>
      <c r="O103" s="304"/>
      <c r="P103" s="91"/>
      <c r="Q103" s="191">
        <f>+'Input Sheet'!G290</f>
        <v>151.93559354533835</v>
      </c>
      <c r="R103" s="192">
        <f>+'Input Sheet'!H290</f>
        <v>158.56450093437618</v>
      </c>
      <c r="S103" s="192">
        <f>+'Input Sheet'!I290</f>
        <v>163.93313013476029</v>
      </c>
      <c r="T103" s="192">
        <f>+'Input Sheet'!J290</f>
        <v>169.70819233736967</v>
      </c>
      <c r="U103" s="193">
        <f>+'Input Sheet'!K290</f>
        <v>175.55232282784607</v>
      </c>
      <c r="V103" s="92"/>
      <c r="W103" s="227"/>
      <c r="X103" s="227"/>
      <c r="Y103" s="227"/>
      <c r="Z103" s="227"/>
      <c r="AA103" s="227"/>
      <c r="AB103" s="142"/>
      <c r="AC103" s="409">
        <f>+Q$103*(($N206*H206)+($N207*H207)+($N208*H208)+($N209*H209)+($N210*H210))</f>
        <v>289285.37011032423</v>
      </c>
      <c r="AD103" s="410">
        <f t="shared" ref="AD103:AG103" si="107">+R$103*(($N206*I206)+($N207*I207)+($N208*I208)+($N209*I209)+($N210*I210))</f>
        <v>301906.80977905227</v>
      </c>
      <c r="AE103" s="410">
        <f t="shared" si="107"/>
        <v>312128.67977658357</v>
      </c>
      <c r="AF103" s="410">
        <f t="shared" si="107"/>
        <v>323124.39821035182</v>
      </c>
      <c r="AG103" s="411">
        <f t="shared" si="107"/>
        <v>334251.62266421894</v>
      </c>
      <c r="AH103" s="142"/>
    </row>
    <row r="104" spans="2:34" x14ac:dyDescent="0.2">
      <c r="B104" s="212" t="s">
        <v>233</v>
      </c>
      <c r="C104" s="174"/>
      <c r="D104" s="221"/>
      <c r="E104" s="104">
        <f>'Input Sheet'!J103</f>
        <v>1299</v>
      </c>
      <c r="F104" s="103">
        <f>'Input Sheet'!K103</f>
        <v>1180.909090909091</v>
      </c>
      <c r="G104" s="95"/>
      <c r="H104" s="136"/>
      <c r="I104" s="130"/>
      <c r="J104" s="130"/>
      <c r="K104" s="130"/>
      <c r="L104" s="131"/>
      <c r="M104" s="91"/>
      <c r="N104" s="260"/>
      <c r="O104" s="304"/>
      <c r="P104" s="91"/>
      <c r="Q104" s="191">
        <f>'[1]Input Sheet'!G$152</f>
        <v>3590.1364594094384</v>
      </c>
      <c r="R104" s="192">
        <f>'[1]Input Sheet'!H$152</f>
        <v>3746.7731075318661</v>
      </c>
      <c r="S104" s="192">
        <f>'[1]Input Sheet'!I$152</f>
        <v>3873.6302249432488</v>
      </c>
      <c r="T104" s="192">
        <f>'[1]Input Sheet'!J$152</f>
        <v>4010.0910823706977</v>
      </c>
      <c r="U104" s="193">
        <f>+'Input Sheet'!K291</f>
        <v>4148.1839772468729</v>
      </c>
      <c r="V104" s="92"/>
      <c r="W104" s="227"/>
      <c r="X104" s="227"/>
      <c r="Y104" s="227"/>
      <c r="Z104" s="227"/>
      <c r="AA104" s="227"/>
      <c r="AB104" s="142"/>
      <c r="AC104" s="409">
        <f>+Q104*SUM($O$206:$O$210)</f>
        <v>28721.091675275507</v>
      </c>
      <c r="AD104" s="410">
        <f t="shared" ref="AD104:AG104" si="108">+R104*SUM($O$206:$O$210)</f>
        <v>29974.184860254929</v>
      </c>
      <c r="AE104" s="410">
        <f t="shared" si="108"/>
        <v>30989.04179954599</v>
      </c>
      <c r="AF104" s="410">
        <f t="shared" si="108"/>
        <v>32080.728658965581</v>
      </c>
      <c r="AG104" s="411">
        <f t="shared" si="108"/>
        <v>33185.471817974983</v>
      </c>
      <c r="AH104" s="142"/>
    </row>
    <row r="105" spans="2:34" x14ac:dyDescent="0.2">
      <c r="B105" s="212"/>
      <c r="C105" s="174"/>
      <c r="D105" s="221"/>
      <c r="E105" s="104"/>
      <c r="F105" s="103"/>
      <c r="G105" s="95"/>
      <c r="H105" s="136"/>
      <c r="I105" s="130"/>
      <c r="J105" s="130"/>
      <c r="K105" s="130"/>
      <c r="L105" s="131"/>
      <c r="M105" s="91"/>
      <c r="N105" s="260"/>
      <c r="O105" s="304"/>
      <c r="P105" s="91"/>
      <c r="Q105" s="191"/>
      <c r="R105" s="192"/>
      <c r="S105" s="192"/>
      <c r="T105" s="192"/>
      <c r="U105" s="193"/>
      <c r="V105" s="92"/>
      <c r="W105" s="227"/>
      <c r="X105" s="227"/>
      <c r="Y105" s="227"/>
      <c r="Z105" s="227"/>
      <c r="AA105" s="227"/>
      <c r="AB105" s="142"/>
      <c r="AC105" s="412">
        <f>SUM(AC102:AC104)</f>
        <v>349507.77484733326</v>
      </c>
      <c r="AD105" s="413">
        <f t="shared" ref="AD105:AG105" si="109">SUM(AD102:AD104)</f>
        <v>364756.70116636786</v>
      </c>
      <c r="AE105" s="413">
        <f t="shared" si="109"/>
        <v>377106.52389073651</v>
      </c>
      <c r="AF105" s="413">
        <f t="shared" si="109"/>
        <v>390391.29208059871</v>
      </c>
      <c r="AG105" s="414">
        <f t="shared" si="109"/>
        <v>403834.94274850067</v>
      </c>
      <c r="AH105" s="142"/>
    </row>
    <row r="106" spans="2:34" x14ac:dyDescent="0.2">
      <c r="B106" s="324"/>
      <c r="C106" s="320"/>
      <c r="D106" s="321"/>
      <c r="E106" s="322"/>
      <c r="F106" s="323"/>
      <c r="G106" s="95"/>
      <c r="H106" s="136"/>
      <c r="I106" s="130"/>
      <c r="J106" s="130"/>
      <c r="K106" s="130"/>
      <c r="L106" s="131"/>
      <c r="M106" s="91"/>
      <c r="N106" s="260"/>
      <c r="O106" s="304"/>
      <c r="P106" s="91"/>
      <c r="Q106" s="191"/>
      <c r="R106" s="192"/>
      <c r="S106" s="192"/>
      <c r="T106" s="192"/>
      <c r="U106" s="193"/>
      <c r="V106" s="92"/>
      <c r="W106" s="227"/>
      <c r="X106" s="227"/>
      <c r="Y106" s="227"/>
      <c r="Z106" s="227"/>
      <c r="AA106" s="227"/>
      <c r="AB106" s="142"/>
      <c r="AC106" s="409"/>
      <c r="AD106" s="410"/>
      <c r="AE106" s="410"/>
      <c r="AF106" s="410"/>
      <c r="AG106" s="411"/>
      <c r="AH106" s="142"/>
    </row>
    <row r="107" spans="2:34" x14ac:dyDescent="0.2">
      <c r="B107" s="325"/>
      <c r="C107" s="326"/>
      <c r="D107" s="327"/>
      <c r="E107" s="328"/>
      <c r="F107" s="329"/>
      <c r="G107" s="95"/>
      <c r="H107" s="137"/>
      <c r="I107" s="132"/>
      <c r="J107" s="132"/>
      <c r="K107" s="132"/>
      <c r="L107" s="133"/>
      <c r="M107" s="91"/>
      <c r="N107" s="261"/>
      <c r="O107" s="304"/>
      <c r="P107" s="91"/>
      <c r="Q107" s="194"/>
      <c r="R107" s="195"/>
      <c r="S107" s="195"/>
      <c r="T107" s="195"/>
      <c r="U107" s="196"/>
      <c r="V107" s="92"/>
      <c r="W107" s="227"/>
      <c r="X107" s="227"/>
      <c r="Y107" s="227"/>
      <c r="Z107" s="227"/>
      <c r="AA107" s="227"/>
      <c r="AB107" s="142"/>
      <c r="AC107" s="415">
        <f>+AC105+AC99</f>
        <v>2166738.5059661372</v>
      </c>
      <c r="AD107" s="416">
        <f t="shared" ref="AD107:AG107" si="110">+AD105+AD99</f>
        <v>2261272.7000753386</v>
      </c>
      <c r="AE107" s="416">
        <f t="shared" si="110"/>
        <v>2337834.191305208</v>
      </c>
      <c r="AF107" s="416">
        <f t="shared" si="110"/>
        <v>2420191.783471453</v>
      </c>
      <c r="AG107" s="417">
        <f t="shared" si="110"/>
        <v>2503534.3516750475</v>
      </c>
      <c r="AH107" s="142"/>
    </row>
    <row r="108" spans="2:34" x14ac:dyDescent="0.25">
      <c r="C108" s="97"/>
      <c r="D108" s="65"/>
      <c r="E108" s="65"/>
      <c r="F108" s="65"/>
      <c r="G108" s="96"/>
      <c r="H108" s="96"/>
      <c r="I108" s="96"/>
      <c r="J108" s="99"/>
      <c r="K108" s="99"/>
      <c r="L108" s="99"/>
      <c r="M108" s="99"/>
      <c r="N108" s="68"/>
      <c r="O108" s="68"/>
      <c r="P108" s="99"/>
      <c r="Q108" s="99"/>
      <c r="R108" s="99"/>
      <c r="S108" s="99"/>
      <c r="T108" s="99"/>
      <c r="U108" s="99"/>
      <c r="W108" s="145"/>
      <c r="X108" s="145"/>
      <c r="Y108" s="145"/>
      <c r="Z108" s="145"/>
      <c r="AA108" s="145"/>
      <c r="AB108" s="142"/>
      <c r="AC108" s="337"/>
      <c r="AD108" s="337"/>
      <c r="AE108" s="337"/>
      <c r="AF108" s="337"/>
      <c r="AG108" s="337"/>
      <c r="AH108" s="142"/>
    </row>
    <row r="109" spans="2:34" ht="15" x14ac:dyDescent="0.25">
      <c r="B109" s="126" t="s">
        <v>89</v>
      </c>
      <c r="C109" s="126"/>
      <c r="D109" s="126"/>
      <c r="E109" s="126"/>
      <c r="F109" s="126"/>
      <c r="G109" s="126"/>
      <c r="H109" s="126"/>
      <c r="I109" s="126"/>
      <c r="J109" s="126"/>
      <c r="K109" s="126"/>
      <c r="L109" s="126"/>
      <c r="M109" s="126"/>
      <c r="N109" s="262"/>
      <c r="O109" s="262"/>
      <c r="P109" s="126"/>
      <c r="Q109" s="126"/>
      <c r="R109" s="126"/>
      <c r="S109" s="126"/>
      <c r="T109" s="126"/>
      <c r="U109" s="126"/>
      <c r="V109" s="126"/>
      <c r="W109" s="126"/>
      <c r="X109" s="126"/>
      <c r="Y109" s="126"/>
      <c r="Z109" s="126"/>
      <c r="AA109" s="126"/>
      <c r="AB109" s="126"/>
      <c r="AC109" s="333"/>
      <c r="AD109" s="333"/>
      <c r="AE109" s="333"/>
      <c r="AF109" s="333"/>
      <c r="AG109" s="333"/>
    </row>
    <row r="110" spans="2:34" x14ac:dyDescent="0.25">
      <c r="M110" s="100"/>
      <c r="N110" s="263"/>
      <c r="O110" s="263"/>
      <c r="P110" s="100"/>
      <c r="W110" s="68"/>
      <c r="X110" s="68"/>
      <c r="Y110" s="68"/>
      <c r="Z110" s="68"/>
      <c r="AA110" s="68"/>
    </row>
    <row r="111" spans="2:34" s="79" customFormat="1" x14ac:dyDescent="0.2">
      <c r="C111" s="550" t="s">
        <v>63</v>
      </c>
      <c r="D111" s="551"/>
      <c r="E111" s="551"/>
      <c r="F111" s="552"/>
      <c r="G111" s="26"/>
      <c r="H111" s="553" t="s">
        <v>88</v>
      </c>
      <c r="I111" s="554"/>
      <c r="J111" s="554"/>
      <c r="K111" s="554"/>
      <c r="L111" s="555"/>
      <c r="Q111" s="563" t="s">
        <v>65</v>
      </c>
      <c r="R111" s="564"/>
      <c r="S111" s="564"/>
      <c r="T111" s="564"/>
      <c r="U111" s="565"/>
      <c r="W111" s="550" t="s">
        <v>64</v>
      </c>
      <c r="X111" s="551"/>
      <c r="Y111" s="551"/>
      <c r="Z111" s="551"/>
      <c r="AA111" s="552"/>
      <c r="AC111" s="547" t="s">
        <v>47</v>
      </c>
      <c r="AD111" s="548"/>
      <c r="AE111" s="548"/>
      <c r="AF111" s="548"/>
      <c r="AG111" s="549"/>
    </row>
    <row r="112" spans="2:34" s="79" customFormat="1" ht="51" x14ac:dyDescent="0.25">
      <c r="B112" s="82" t="s">
        <v>10</v>
      </c>
      <c r="C112" s="84" t="s">
        <v>12</v>
      </c>
      <c r="D112" s="85" t="s">
        <v>13</v>
      </c>
      <c r="E112" s="85" t="s">
        <v>14</v>
      </c>
      <c r="F112" s="86" t="s">
        <v>15</v>
      </c>
      <c r="G112" s="26"/>
      <c r="H112" s="84" t="s">
        <v>17</v>
      </c>
      <c r="I112" s="85" t="s">
        <v>18</v>
      </c>
      <c r="J112" s="85" t="s">
        <v>19</v>
      </c>
      <c r="K112" s="85" t="s">
        <v>20</v>
      </c>
      <c r="L112" s="86" t="s">
        <v>21</v>
      </c>
      <c r="N112" s="135" t="s">
        <v>200</v>
      </c>
      <c r="O112" s="135" t="s">
        <v>208</v>
      </c>
      <c r="Q112" s="146" t="s">
        <v>17</v>
      </c>
      <c r="R112" s="87" t="s">
        <v>18</v>
      </c>
      <c r="S112" s="87" t="s">
        <v>19</v>
      </c>
      <c r="T112" s="87" t="s">
        <v>20</v>
      </c>
      <c r="U112" s="88" t="s">
        <v>21</v>
      </c>
      <c r="W112" s="146" t="s">
        <v>17</v>
      </c>
      <c r="X112" s="87" t="s">
        <v>18</v>
      </c>
      <c r="Y112" s="87" t="s">
        <v>19</v>
      </c>
      <c r="Z112" s="87" t="s">
        <v>20</v>
      </c>
      <c r="AA112" s="88" t="s">
        <v>21</v>
      </c>
      <c r="AC112" s="338" t="s">
        <v>17</v>
      </c>
      <c r="AD112" s="339" t="s">
        <v>18</v>
      </c>
      <c r="AE112" s="339" t="s">
        <v>19</v>
      </c>
      <c r="AF112" s="339" t="s">
        <v>20</v>
      </c>
      <c r="AG112" s="340" t="s">
        <v>21</v>
      </c>
    </row>
    <row r="113" spans="2:34" s="79" customFormat="1" x14ac:dyDescent="0.25">
      <c r="B113" s="89"/>
      <c r="C113" s="93"/>
      <c r="D113" s="90"/>
      <c r="E113" s="90"/>
      <c r="F113" s="94"/>
      <c r="G113" s="65"/>
      <c r="H113" s="93"/>
      <c r="I113" s="90"/>
      <c r="J113" s="90"/>
      <c r="K113" s="90"/>
      <c r="L113" s="94"/>
      <c r="N113" s="264"/>
      <c r="O113" s="264"/>
      <c r="Q113" s="393"/>
      <c r="R113" s="394"/>
      <c r="S113" s="394"/>
      <c r="T113" s="394"/>
      <c r="U113" s="395"/>
      <c r="V113" s="396"/>
      <c r="W113" s="393"/>
      <c r="X113" s="394"/>
      <c r="Y113" s="394"/>
      <c r="Z113" s="394"/>
      <c r="AA113" s="395"/>
      <c r="AB113" s="396"/>
      <c r="AC113" s="393"/>
      <c r="AD113" s="394"/>
      <c r="AE113" s="394"/>
      <c r="AF113" s="394"/>
      <c r="AG113" s="395"/>
    </row>
    <row r="114" spans="2:34" x14ac:dyDescent="0.25">
      <c r="B114" s="276" t="s">
        <v>193</v>
      </c>
      <c r="C114" s="276"/>
      <c r="D114" s="277"/>
      <c r="E114" s="277"/>
      <c r="F114" s="278"/>
      <c r="G114" s="95"/>
      <c r="H114" s="279"/>
      <c r="I114" s="280"/>
      <c r="J114" s="280"/>
      <c r="K114" s="280"/>
      <c r="L114" s="281"/>
      <c r="M114" s="91"/>
      <c r="N114" s="282"/>
      <c r="O114" s="282"/>
      <c r="P114" s="91"/>
      <c r="Q114" s="421"/>
      <c r="R114" s="422"/>
      <c r="S114" s="422"/>
      <c r="T114" s="422"/>
      <c r="U114" s="423"/>
      <c r="V114" s="400"/>
      <c r="W114" s="421"/>
      <c r="X114" s="422"/>
      <c r="Y114" s="422"/>
      <c r="Z114" s="422"/>
      <c r="AA114" s="423"/>
      <c r="AB114" s="401"/>
      <c r="AC114" s="421"/>
      <c r="AD114" s="422"/>
      <c r="AE114" s="422"/>
      <c r="AF114" s="422"/>
      <c r="AG114" s="423"/>
      <c r="AH114" s="142"/>
    </row>
    <row r="115" spans="2:34" s="263" customFormat="1" x14ac:dyDescent="0.2">
      <c r="B115" s="250" t="s">
        <v>107</v>
      </c>
      <c r="C115" s="363">
        <f>+'Input Sheet'!G123</f>
        <v>0</v>
      </c>
      <c r="D115" s="364">
        <f>+'Input Sheet'!H123</f>
        <v>32</v>
      </c>
      <c r="E115" s="364">
        <f>+'Input Sheet'!I123</f>
        <v>58</v>
      </c>
      <c r="F115" s="365">
        <f>+'Input Sheet'!K123</f>
        <v>50</v>
      </c>
      <c r="G115" s="362"/>
      <c r="H115" s="363">
        <f>ROUND(AVERAGE($D115:$F115),0)</f>
        <v>47</v>
      </c>
      <c r="I115" s="364">
        <f t="shared" ref="I115:L134" si="111">ROUND(AVERAGE($D115:$F115),0)</f>
        <v>47</v>
      </c>
      <c r="J115" s="364">
        <f t="shared" si="111"/>
        <v>47</v>
      </c>
      <c r="K115" s="364">
        <f t="shared" si="111"/>
        <v>47</v>
      </c>
      <c r="L115" s="365">
        <f t="shared" si="111"/>
        <v>47</v>
      </c>
      <c r="N115" s="418">
        <f>IF($N11="Hourly",'Standard Hour Calcs'!$Y12,'Standard Hour Calcs'!$E12)</f>
        <v>5</v>
      </c>
      <c r="O115" s="418"/>
      <c r="Q115" s="402">
        <f>IF($N11="Hourly",$N115*'Input Sheet'!G$280*'Fee Breakdown'!H115,'Input Sheet'!G$280*'Fee Breakdown'!$N11*'Fee Breakdown'!H115*$N115)</f>
        <v>10509.647367287427</v>
      </c>
      <c r="R115" s="403">
        <f>IF($N11="Hourly",$N115*'Input Sheet'!H$280*'Fee Breakdown'!I115,'Input Sheet'!H$280*'Fee Breakdown'!$N11*'Fee Breakdown'!I115*$N115)</f>
        <v>10968.180338157117</v>
      </c>
      <c r="S115" s="403">
        <f>IF($N11="Hourly",$N115*'Input Sheet'!I$280*'Fee Breakdown'!J115,'Input Sheet'!I$280*'Fee Breakdown'!$N11*'Fee Breakdown'!J115*$N115)</f>
        <v>11339.537690474448</v>
      </c>
      <c r="T115" s="403">
        <f>IF($N11="Hourly",$N115*'Input Sheet'!J$280*'Fee Breakdown'!K115,'Input Sheet'!J$280*'Fee Breakdown'!$N11*'Fee Breakdown'!K115*$N115)</f>
        <v>11739.008715382535</v>
      </c>
      <c r="U115" s="404">
        <f>IF($N11="Hourly",$N115*'Input Sheet'!K$280*'Fee Breakdown'!L115,'Input Sheet'!K$280*'Fee Breakdown'!$N11*'Fee Breakdown'!L115*$N115)</f>
        <v>12143.257313029218</v>
      </c>
      <c r="V115" s="405"/>
      <c r="W115" s="402">
        <f>+Q115*('Input Sheet'!G$298-1)</f>
        <v>12332.57043698095</v>
      </c>
      <c r="X115" s="403">
        <f>+R115*('Input Sheet'!H$298-1)</f>
        <v>13819.945397407862</v>
      </c>
      <c r="Y115" s="403">
        <f>+S115*('Input Sheet'!I$298-1)</f>
        <v>14413.030508653077</v>
      </c>
      <c r="Z115" s="403">
        <f>+T115*('Input Sheet'!J$298-1)</f>
        <v>15229.909568440913</v>
      </c>
      <c r="AA115" s="404">
        <f>+U115*('Input Sheet'!K$298-1)</f>
        <v>16060.655221362427</v>
      </c>
      <c r="AB115" s="405"/>
      <c r="AC115" s="402">
        <f t="shared" ref="AC115" si="112">+Q115+W115</f>
        <v>22842.217804268377</v>
      </c>
      <c r="AD115" s="403">
        <f t="shared" ref="AD115" si="113">+R115+X115</f>
        <v>24788.12573556498</v>
      </c>
      <c r="AE115" s="403">
        <f t="shared" ref="AE115" si="114">+S115+Y115</f>
        <v>25752.568199127527</v>
      </c>
      <c r="AF115" s="403">
        <f t="shared" ref="AF115" si="115">+T115+Z115</f>
        <v>26968.918283823448</v>
      </c>
      <c r="AG115" s="404">
        <f t="shared" ref="AG115" si="116">+U115+AA115</f>
        <v>28203.912534391646</v>
      </c>
    </row>
    <row r="116" spans="2:34" s="263" customFormat="1" x14ac:dyDescent="0.2">
      <c r="B116" s="250" t="s">
        <v>108</v>
      </c>
      <c r="C116" s="363">
        <f>+'Input Sheet'!G124</f>
        <v>0</v>
      </c>
      <c r="D116" s="364">
        <f>+'Input Sheet'!H124</f>
        <v>69</v>
      </c>
      <c r="E116" s="364">
        <f>+'Input Sheet'!I124</f>
        <v>73</v>
      </c>
      <c r="F116" s="365">
        <f>+'Input Sheet'!K124</f>
        <v>79</v>
      </c>
      <c r="G116" s="362"/>
      <c r="H116" s="363">
        <f t="shared" ref="H116:H131" si="117">ROUND(AVERAGE($D116:$F116),0)</f>
        <v>74</v>
      </c>
      <c r="I116" s="364">
        <f t="shared" si="111"/>
        <v>74</v>
      </c>
      <c r="J116" s="364">
        <f t="shared" si="111"/>
        <v>74</v>
      </c>
      <c r="K116" s="364">
        <f t="shared" si="111"/>
        <v>74</v>
      </c>
      <c r="L116" s="365">
        <f t="shared" si="111"/>
        <v>74</v>
      </c>
      <c r="N116" s="418">
        <f>IF($N12="Hourly",'Standard Hour Calcs'!$Y13,'Standard Hour Calcs'!$E13)</f>
        <v>29</v>
      </c>
      <c r="O116" s="418"/>
      <c r="Q116" s="402">
        <f>IF($N12="Hourly",$N116*'Input Sheet'!G$280*'Fee Breakdown'!H116,'Input Sheet'!G$280*'Fee Breakdown'!$N12*'Fee Breakdown'!H116*$N116)</f>
        <v>57583.923191996975</v>
      </c>
      <c r="R116" s="403">
        <f>IF($N12="Hourly",$N116*'Input Sheet'!H$280*'Fee Breakdown'!I116,'Input Sheet'!H$280*'Fee Breakdown'!$N12*'Fee Breakdown'!I116*$N116)</f>
        <v>60096.29363153661</v>
      </c>
      <c r="S116" s="403">
        <f>IF($N12="Hourly",$N116*'Input Sheet'!I$280*'Fee Breakdown'!J116,'Input Sheet'!I$280*'Fee Breakdown'!$N12*'Fee Breakdown'!J116*$N116)</f>
        <v>62131.015873425116</v>
      </c>
      <c r="T116" s="403">
        <f>IF($N12="Hourly",$N116*'Input Sheet'!J$280*'Fee Breakdown'!K116,'Input Sheet'!J$280*'Fee Breakdown'!$N12*'Fee Breakdown'!K116*$N116)</f>
        <v>64319.777114581077</v>
      </c>
      <c r="U116" s="404">
        <f>IF($N12="Hourly",$N116*'Input Sheet'!K$280*'Fee Breakdown'!L116,'Input Sheet'!K$280*'Fee Breakdown'!$N12*'Fee Breakdown'!L116*$N116)</f>
        <v>66534.715388325203</v>
      </c>
      <c r="V116" s="405"/>
      <c r="W116" s="402">
        <f>+Q116*('Input Sheet'!G$298-1)</f>
        <v>67571.990190028373</v>
      </c>
      <c r="X116" s="403">
        <f>+R116*('Input Sheet'!H$298-1)</f>
        <v>75721.539122137707</v>
      </c>
      <c r="Y116" s="403">
        <f>+S116*('Input Sheet'!I$298-1)</f>
        <v>78971.140778475339</v>
      </c>
      <c r="Z116" s="403">
        <f>+T116*('Input Sheet'!J$298-1)</f>
        <v>83446.942809891581</v>
      </c>
      <c r="AA116" s="404">
        <f>+U116*('Input Sheet'!K$298-1)</f>
        <v>87998.721970324521</v>
      </c>
      <c r="AB116" s="405"/>
      <c r="AC116" s="402">
        <f t="shared" ref="AC116:AC179" si="118">+Q116+W116</f>
        <v>125155.91338202535</v>
      </c>
      <c r="AD116" s="403">
        <f t="shared" ref="AD116:AD179" si="119">+R116+X116</f>
        <v>135817.8327536743</v>
      </c>
      <c r="AE116" s="403">
        <f t="shared" ref="AE116:AE179" si="120">+S116+Y116</f>
        <v>141102.15665190044</v>
      </c>
      <c r="AF116" s="403">
        <f t="shared" ref="AF116:AF179" si="121">+T116+Z116</f>
        <v>147766.71992447265</v>
      </c>
      <c r="AG116" s="404">
        <f t="shared" ref="AG116:AG179" si="122">+U116+AA116</f>
        <v>154533.43735864974</v>
      </c>
    </row>
    <row r="117" spans="2:34" s="263" customFormat="1" x14ac:dyDescent="0.2">
      <c r="B117" s="250" t="s">
        <v>109</v>
      </c>
      <c r="C117" s="363">
        <f>+'Input Sheet'!G125</f>
        <v>0</v>
      </c>
      <c r="D117" s="364">
        <f>+'Input Sheet'!H125</f>
        <v>24</v>
      </c>
      <c r="E117" s="364">
        <f>+'Input Sheet'!I125</f>
        <v>41</v>
      </c>
      <c r="F117" s="365">
        <f>+'Input Sheet'!K125</f>
        <v>44</v>
      </c>
      <c r="G117" s="362"/>
      <c r="H117" s="363">
        <f t="shared" si="117"/>
        <v>36</v>
      </c>
      <c r="I117" s="364">
        <f t="shared" si="111"/>
        <v>36</v>
      </c>
      <c r="J117" s="364">
        <f t="shared" si="111"/>
        <v>36</v>
      </c>
      <c r="K117" s="364">
        <f t="shared" si="111"/>
        <v>36</v>
      </c>
      <c r="L117" s="365">
        <f t="shared" si="111"/>
        <v>36</v>
      </c>
      <c r="N117" s="418">
        <f>IF($N13="Hourly",'Standard Hour Calcs'!$Y14,'Standard Hour Calcs'!$E14)</f>
        <v>81</v>
      </c>
      <c r="O117" s="418"/>
      <c r="Q117" s="402">
        <f>IF($N13="Hourly",$N117*'Input Sheet'!G$280*'Fee Breakdown'!H117,'Input Sheet'!G$280*'Fee Breakdown'!$N13*'Fee Breakdown'!H117*$N117)</f>
        <v>26081.814232349057</v>
      </c>
      <c r="R117" s="403">
        <f>IF($N13="Hourly",$N117*'Input Sheet'!H$280*'Fee Breakdown'!I117,'Input Sheet'!H$280*'Fee Breakdown'!$N13*'Fee Breakdown'!I117*$N117)</f>
        <v>27219.756481758432</v>
      </c>
      <c r="S117" s="403">
        <f>IF($N13="Hourly",$N117*'Input Sheet'!I$280*'Fee Breakdown'!J117,'Input Sheet'!I$280*'Fee Breakdown'!$N13*'Fee Breakdown'!J117*$N117)</f>
        <v>28141.354813126381</v>
      </c>
      <c r="T117" s="403">
        <f>IF($N13="Hourly",$N117*'Input Sheet'!J$280*'Fee Breakdown'!K117,'Input Sheet'!J$280*'Fee Breakdown'!$N13*'Fee Breakdown'!K117*$N117)</f>
        <v>29132.722905579132</v>
      </c>
      <c r="U117" s="404">
        <f>IF($N13="Hourly",$N117*'Input Sheet'!K$280*'Fee Breakdown'!L117,'Input Sheet'!K$280*'Fee Breakdown'!$N13*'Fee Breakdown'!L117*$N117)</f>
        <v>30135.947510462302</v>
      </c>
      <c r="V117" s="405"/>
      <c r="W117" s="402">
        <f>+Q117*('Input Sheet'!G$298-1)</f>
        <v>30605.766292967193</v>
      </c>
      <c r="X117" s="403">
        <f>+R117*('Input Sheet'!H$298-1)</f>
        <v>34296.987896886239</v>
      </c>
      <c r="Y117" s="403">
        <f>+S117*('Input Sheet'!I$298-1)</f>
        <v>35768.848479346707</v>
      </c>
      <c r="Z117" s="403">
        <f>+T117*('Input Sheet'!J$298-1)</f>
        <v>37796.098980062736</v>
      </c>
      <c r="AA117" s="404">
        <f>+U117*('Input Sheet'!K$298-1)</f>
        <v>39857.762234461996</v>
      </c>
      <c r="AB117" s="405"/>
      <c r="AC117" s="402">
        <f t="shared" si="118"/>
        <v>56687.580525316254</v>
      </c>
      <c r="AD117" s="403">
        <f t="shared" si="119"/>
        <v>61516.744378644667</v>
      </c>
      <c r="AE117" s="403">
        <f t="shared" si="120"/>
        <v>63910.203292473088</v>
      </c>
      <c r="AF117" s="403">
        <f t="shared" si="121"/>
        <v>66928.821885641868</v>
      </c>
      <c r="AG117" s="404">
        <f t="shared" si="122"/>
        <v>69993.709744924301</v>
      </c>
    </row>
    <row r="118" spans="2:34" s="263" customFormat="1" x14ac:dyDescent="0.2">
      <c r="B118" s="250" t="s">
        <v>110</v>
      </c>
      <c r="C118" s="363">
        <f>+'Input Sheet'!G126</f>
        <v>0</v>
      </c>
      <c r="D118" s="364">
        <f>+'Input Sheet'!H126</f>
        <v>19</v>
      </c>
      <c r="E118" s="364">
        <f>+'Input Sheet'!I126</f>
        <v>24</v>
      </c>
      <c r="F118" s="365">
        <f>+'Input Sheet'!K126</f>
        <v>55</v>
      </c>
      <c r="G118" s="362"/>
      <c r="H118" s="363">
        <f t="shared" si="117"/>
        <v>33</v>
      </c>
      <c r="I118" s="364">
        <f t="shared" si="111"/>
        <v>33</v>
      </c>
      <c r="J118" s="364">
        <f t="shared" si="111"/>
        <v>33</v>
      </c>
      <c r="K118" s="364">
        <f t="shared" si="111"/>
        <v>33</v>
      </c>
      <c r="L118" s="365">
        <f t="shared" si="111"/>
        <v>33</v>
      </c>
      <c r="N118" s="418">
        <f>IF($N14="Hourly",'Standard Hour Calcs'!$Y15,'Standard Hour Calcs'!$E15)</f>
        <v>5</v>
      </c>
      <c r="O118" s="418"/>
      <c r="Q118" s="402">
        <f>IF($N14="Hourly",$N118*'Input Sheet'!G$280*'Fee Breakdown'!H118,'Input Sheet'!G$280*'Fee Breakdown'!$N14*'Fee Breakdown'!H118*$N118)</f>
        <v>16971.962450576928</v>
      </c>
      <c r="R118" s="403">
        <f>IF($N14="Hourly",$N118*'Input Sheet'!H$280*'Fee Breakdown'!I118,'Input Sheet'!H$280*'Fee Breakdown'!$N14*'Fee Breakdown'!I118*$N118)</f>
        <v>17712.444418428197</v>
      </c>
      <c r="S118" s="403">
        <f>IF($N14="Hourly",$N118*'Input Sheet'!I$280*'Fee Breakdown'!J118,'Input Sheet'!I$280*'Fee Breakdown'!$N14*'Fee Breakdown'!J118*$N118)</f>
        <v>18312.147036319377</v>
      </c>
      <c r="T118" s="403">
        <f>IF($N14="Hourly",$N118*'Input Sheet'!J$280*'Fee Breakdown'!K118,'Input Sheet'!J$280*'Fee Breakdown'!$N14*'Fee Breakdown'!K118*$N118)</f>
        <v>18957.250244628391</v>
      </c>
      <c r="U118" s="404">
        <f>IF($N14="Hourly",$N118*'Input Sheet'!K$280*'Fee Breakdown'!L118,'Input Sheet'!K$280*'Fee Breakdown'!$N14*'Fee Breakdown'!L118*$N118)</f>
        <v>19610.068724657824</v>
      </c>
      <c r="V118" s="405"/>
      <c r="W118" s="402">
        <f>+Q118*('Input Sheet'!G$298-1)</f>
        <v>19915.789280145829</v>
      </c>
      <c r="X118" s="403">
        <f>+R118*('Input Sheet'!H$298-1)</f>
        <v>22317.741609856526</v>
      </c>
      <c r="Y118" s="403">
        <f>+S118*('Input Sheet'!I$298-1)</f>
        <v>23275.51097035678</v>
      </c>
      <c r="Z118" s="403">
        <f>+T118*('Input Sheet'!J$298-1)</f>
        <v>24594.683749886495</v>
      </c>
      <c r="AA118" s="404">
        <f>+U118*('Input Sheet'!K$298-1)</f>
        <v>25936.249602157623</v>
      </c>
      <c r="AB118" s="405"/>
      <c r="AC118" s="402">
        <f t="shared" si="118"/>
        <v>36887.751730722754</v>
      </c>
      <c r="AD118" s="403">
        <f t="shared" si="119"/>
        <v>40030.186028284719</v>
      </c>
      <c r="AE118" s="403">
        <f t="shared" si="120"/>
        <v>41587.658006676153</v>
      </c>
      <c r="AF118" s="403">
        <f t="shared" si="121"/>
        <v>43551.933994514882</v>
      </c>
      <c r="AG118" s="404">
        <f t="shared" si="122"/>
        <v>45546.318326815446</v>
      </c>
    </row>
    <row r="119" spans="2:34" s="263" customFormat="1" x14ac:dyDescent="0.2">
      <c r="B119" s="250" t="s">
        <v>111</v>
      </c>
      <c r="C119" s="363">
        <f>+'Input Sheet'!G127</f>
        <v>0</v>
      </c>
      <c r="D119" s="364">
        <f>+'Input Sheet'!H127</f>
        <v>28</v>
      </c>
      <c r="E119" s="364">
        <f>+'Input Sheet'!I127</f>
        <v>18</v>
      </c>
      <c r="F119" s="365">
        <f>+'Input Sheet'!K127</f>
        <v>38</v>
      </c>
      <c r="G119" s="362"/>
      <c r="H119" s="363">
        <f t="shared" si="117"/>
        <v>28</v>
      </c>
      <c r="I119" s="364">
        <f t="shared" si="111"/>
        <v>28</v>
      </c>
      <c r="J119" s="364">
        <f t="shared" si="111"/>
        <v>28</v>
      </c>
      <c r="K119" s="364">
        <f t="shared" si="111"/>
        <v>28</v>
      </c>
      <c r="L119" s="365">
        <f t="shared" si="111"/>
        <v>28</v>
      </c>
      <c r="N119" s="418">
        <f>IF($N15="Hourly",'Standard Hour Calcs'!$Y16,'Standard Hour Calcs'!$E16)</f>
        <v>26</v>
      </c>
      <c r="O119" s="418"/>
      <c r="Q119" s="402">
        <f>IF($N15="Hourly",$N119*'Input Sheet'!G$280*'Fee Breakdown'!H119,'Input Sheet'!G$280*'Fee Breakdown'!$N15*'Fee Breakdown'!H119*$N119)</f>
        <v>45580.564241444023</v>
      </c>
      <c r="R119" s="403">
        <f>IF($N15="Hourly",$N119*'Input Sheet'!H$280*'Fee Breakdown'!I119,'Input Sheet'!H$280*'Fee Breakdown'!$N15*'Fee Breakdown'!I119*$N119)</f>
        <v>47569.231492126521</v>
      </c>
      <c r="S119" s="403">
        <f>IF($N15="Hourly",$N119*'Input Sheet'!I$280*'Fee Breakdown'!J119,'Input Sheet'!I$280*'Fee Breakdown'!$N15*'Fee Breakdown'!J119*$N119)</f>
        <v>49179.816230347053</v>
      </c>
      <c r="T119" s="403">
        <f>IF($N15="Hourly",$N119*'Input Sheet'!J$280*'Fee Breakdown'!K119,'Input Sheet'!J$280*'Fee Breakdown'!$N15*'Fee Breakdown'!K119*$N119)</f>
        <v>50912.330564756929</v>
      </c>
      <c r="U119" s="404">
        <f>IF($N15="Hourly",$N119*'Input Sheet'!K$280*'Fee Breakdown'!L119,'Input Sheet'!K$280*'Fee Breakdown'!$N15*'Fee Breakdown'!L119*$N119)</f>
        <v>52665.565333784587</v>
      </c>
      <c r="V119" s="405"/>
      <c r="W119" s="402">
        <f>+Q119*('Input Sheet'!G$298-1)</f>
        <v>53486.620380302054</v>
      </c>
      <c r="X119" s="403">
        <f>+R119*('Input Sheet'!H$298-1)</f>
        <v>59937.397229949325</v>
      </c>
      <c r="Y119" s="403">
        <f>+S119*('Input Sheet'!I$298-1)</f>
        <v>62509.619976251983</v>
      </c>
      <c r="Z119" s="403">
        <f>+T119*('Input Sheet'!J$298-1)</f>
        <v>66052.44183895734</v>
      </c>
      <c r="AA119" s="404">
        <f>+U119*('Input Sheet'!K$298-1)</f>
        <v>69655.403411117382</v>
      </c>
      <c r="AB119" s="405"/>
      <c r="AC119" s="402">
        <f t="shared" si="118"/>
        <v>99067.18462174607</v>
      </c>
      <c r="AD119" s="403">
        <f t="shared" si="119"/>
        <v>107506.62872207584</v>
      </c>
      <c r="AE119" s="403">
        <f t="shared" si="120"/>
        <v>111689.43620659903</v>
      </c>
      <c r="AF119" s="403">
        <f t="shared" si="121"/>
        <v>116964.77240371428</v>
      </c>
      <c r="AG119" s="404">
        <f t="shared" si="122"/>
        <v>122320.96874490197</v>
      </c>
    </row>
    <row r="120" spans="2:34" s="263" customFormat="1" x14ac:dyDescent="0.2">
      <c r="B120" s="250" t="s">
        <v>112</v>
      </c>
      <c r="C120" s="363">
        <f>+'Input Sheet'!G128</f>
        <v>0</v>
      </c>
      <c r="D120" s="364">
        <f>+'Input Sheet'!H128</f>
        <v>5</v>
      </c>
      <c r="E120" s="364">
        <f>+'Input Sheet'!I128</f>
        <v>6</v>
      </c>
      <c r="F120" s="365">
        <f>+'Input Sheet'!K128</f>
        <v>12</v>
      </c>
      <c r="G120" s="362"/>
      <c r="H120" s="363">
        <f t="shared" si="117"/>
        <v>8</v>
      </c>
      <c r="I120" s="364">
        <f t="shared" si="111"/>
        <v>8</v>
      </c>
      <c r="J120" s="364">
        <f t="shared" si="111"/>
        <v>8</v>
      </c>
      <c r="K120" s="364">
        <f t="shared" si="111"/>
        <v>8</v>
      </c>
      <c r="L120" s="365">
        <f t="shared" si="111"/>
        <v>8</v>
      </c>
      <c r="N120" s="418">
        <f>IF($N16="Hourly",'Standard Hour Calcs'!$Y17,'Standard Hour Calcs'!$E17)</f>
        <v>85</v>
      </c>
      <c r="O120" s="418"/>
      <c r="Q120" s="402">
        <f>IF($N16="Hourly",$N120*'Input Sheet'!G$280*'Fee Breakdown'!H120,'Input Sheet'!G$280*'Fee Breakdown'!$N16*'Fee Breakdown'!H120*$N120)</f>
        <v>24328.715607678132</v>
      </c>
      <c r="R120" s="403">
        <f>IF($N16="Hourly",$N120*'Input Sheet'!H$280*'Fee Breakdown'!I120,'Input Sheet'!H$280*'Fee Breakdown'!$N16*'Fee Breakdown'!I120*$N120)</f>
        <v>25390.170655138179</v>
      </c>
      <c r="S120" s="403">
        <f>IF($N16="Hourly",$N120*'Input Sheet'!I$280*'Fee Breakdown'!J120,'Input Sheet'!I$280*'Fee Breakdown'!$N16*'Fee Breakdown'!J120*$N120)</f>
        <v>26249.823419651493</v>
      </c>
      <c r="T120" s="403">
        <f>IF($N16="Hourly",$N120*'Input Sheet'!J$280*'Fee Breakdown'!K120,'Input Sheet'!J$280*'Fee Breakdown'!$N16*'Fee Breakdown'!K120*$N120)</f>
        <v>27174.556345396169</v>
      </c>
      <c r="U120" s="404">
        <f>IF($N16="Hourly",$N120*'Input Sheet'!K$280*'Fee Breakdown'!L120,'Input Sheet'!K$280*'Fee Breakdown'!$N16*'Fee Breakdown'!L120*$N120)</f>
        <v>28110.348843778276</v>
      </c>
      <c r="V120" s="405"/>
      <c r="W120" s="402">
        <f>+Q120*('Input Sheet'!G$298-1)</f>
        <v>28548.5885860325</v>
      </c>
      <c r="X120" s="403">
        <f>+R120*('Input Sheet'!H$298-1)</f>
        <v>31991.703388042031</v>
      </c>
      <c r="Y120" s="403">
        <f>+S120*('Input Sheet'!I$298-1)</f>
        <v>33364.632326413936</v>
      </c>
      <c r="Z120" s="403">
        <f>+T120*('Input Sheet'!J$298-1)</f>
        <v>35255.62044779514</v>
      </c>
      <c r="AA120" s="404">
        <f>+U120*('Input Sheet'!K$298-1)</f>
        <v>37178.708257111321</v>
      </c>
      <c r="AB120" s="405"/>
      <c r="AC120" s="402">
        <f t="shared" si="118"/>
        <v>52877.304193710632</v>
      </c>
      <c r="AD120" s="403">
        <f t="shared" si="119"/>
        <v>57381.874043180214</v>
      </c>
      <c r="AE120" s="403">
        <f t="shared" si="120"/>
        <v>59614.455746065432</v>
      </c>
      <c r="AF120" s="403">
        <f t="shared" si="121"/>
        <v>62430.176793191305</v>
      </c>
      <c r="AG120" s="404">
        <f t="shared" si="122"/>
        <v>65289.057100889593</v>
      </c>
    </row>
    <row r="121" spans="2:34" s="263" customFormat="1" x14ac:dyDescent="0.2">
      <c r="B121" s="250" t="s">
        <v>113</v>
      </c>
      <c r="C121" s="363">
        <f>+'Input Sheet'!G129</f>
        <v>0</v>
      </c>
      <c r="D121" s="364">
        <f>+'Input Sheet'!H129</f>
        <v>11</v>
      </c>
      <c r="E121" s="364">
        <f>+'Input Sheet'!I129</f>
        <v>18</v>
      </c>
      <c r="F121" s="365">
        <f>+'Input Sheet'!K129</f>
        <v>8</v>
      </c>
      <c r="G121" s="362"/>
      <c r="H121" s="363">
        <f t="shared" si="117"/>
        <v>12</v>
      </c>
      <c r="I121" s="364">
        <f t="shared" si="111"/>
        <v>12</v>
      </c>
      <c r="J121" s="364">
        <f t="shared" si="111"/>
        <v>12</v>
      </c>
      <c r="K121" s="364">
        <f t="shared" si="111"/>
        <v>12</v>
      </c>
      <c r="L121" s="365">
        <f t="shared" si="111"/>
        <v>12</v>
      </c>
      <c r="N121" s="418">
        <f>IF($N17="Hourly",'Standard Hour Calcs'!$Y18,'Standard Hour Calcs'!$E18)</f>
        <v>5</v>
      </c>
      <c r="O121" s="418"/>
      <c r="Q121" s="402">
        <f>IF($N17="Hourly",$N121*'Input Sheet'!G$280*'Fee Breakdown'!H121,'Input Sheet'!G$280*'Fee Breakdown'!$N17*'Fee Breakdown'!H121*$N121)</f>
        <v>13416.571107175438</v>
      </c>
      <c r="R121" s="403">
        <f>IF($N17="Hourly",$N121*'Input Sheet'!H$280*'Fee Breakdown'!I121,'Input Sheet'!H$280*'Fee Breakdown'!$N17*'Fee Breakdown'!I121*$N121)</f>
        <v>14001.932346583553</v>
      </c>
      <c r="S121" s="403">
        <f>IF($N17="Hourly",$N121*'Input Sheet'!I$280*'Fee Breakdown'!J121,'Input Sheet'!I$280*'Fee Breakdown'!$N17*'Fee Breakdown'!J121*$N121)</f>
        <v>14476.00556230781</v>
      </c>
      <c r="T121" s="403">
        <f>IF($N17="Hourly",$N121*'Input Sheet'!J$280*'Fee Breakdown'!K121,'Input Sheet'!J$280*'Fee Breakdown'!$N17*'Fee Breakdown'!K121*$N121)</f>
        <v>14985.96857282877</v>
      </c>
      <c r="U121" s="404">
        <f>IF($N17="Hourly",$N121*'Input Sheet'!K$280*'Fee Breakdown'!L121,'Input Sheet'!K$280*'Fee Breakdown'!$N17*'Fee Breakdown'!L121*$N121)</f>
        <v>15502.030612377726</v>
      </c>
      <c r="V121" s="405"/>
      <c r="W121" s="402">
        <f>+Q121*('Input Sheet'!G$298-1)</f>
        <v>15743.706940826742</v>
      </c>
      <c r="X121" s="403">
        <f>+R121*('Input Sheet'!H$298-1)</f>
        <v>17642.483486052588</v>
      </c>
      <c r="Y121" s="403">
        <f>+S121*('Input Sheet'!I$298-1)</f>
        <v>18399.613415301807</v>
      </c>
      <c r="Z121" s="403">
        <f>+T121*('Input Sheet'!J$298-1)</f>
        <v>19442.437746945849</v>
      </c>
      <c r="AA121" s="404">
        <f>+U121*('Input Sheet'!K$298-1)</f>
        <v>20502.964112377569</v>
      </c>
      <c r="AB121" s="405"/>
      <c r="AC121" s="402">
        <f t="shared" si="118"/>
        <v>29160.278048002179</v>
      </c>
      <c r="AD121" s="403">
        <f t="shared" si="119"/>
        <v>31644.415832636143</v>
      </c>
      <c r="AE121" s="403">
        <f t="shared" si="120"/>
        <v>32875.618977609614</v>
      </c>
      <c r="AF121" s="403">
        <f t="shared" si="121"/>
        <v>34428.406319774615</v>
      </c>
      <c r="AG121" s="404">
        <f t="shared" si="122"/>
        <v>36004.994724755292</v>
      </c>
    </row>
    <row r="122" spans="2:34" s="263" customFormat="1" x14ac:dyDescent="0.2">
      <c r="B122" s="250" t="s">
        <v>114</v>
      </c>
      <c r="C122" s="363">
        <f>+'Input Sheet'!G130</f>
        <v>0</v>
      </c>
      <c r="D122" s="364">
        <f>+'Input Sheet'!H130</f>
        <v>1</v>
      </c>
      <c r="E122" s="364">
        <f>+'Input Sheet'!I130</f>
        <v>2</v>
      </c>
      <c r="F122" s="365">
        <f>+'Input Sheet'!K130</f>
        <v>7</v>
      </c>
      <c r="G122" s="362"/>
      <c r="H122" s="363">
        <f t="shared" si="117"/>
        <v>3</v>
      </c>
      <c r="I122" s="364">
        <f t="shared" si="111"/>
        <v>3</v>
      </c>
      <c r="J122" s="364">
        <f t="shared" si="111"/>
        <v>3</v>
      </c>
      <c r="K122" s="364">
        <f t="shared" si="111"/>
        <v>3</v>
      </c>
      <c r="L122" s="365">
        <f t="shared" si="111"/>
        <v>3</v>
      </c>
      <c r="N122" s="418">
        <f>IF($N18="Hourly",'Standard Hour Calcs'!$Y19,'Standard Hour Calcs'!$E19)</f>
        <v>29</v>
      </c>
      <c r="O122" s="418"/>
      <c r="Q122" s="402">
        <f>IF($N18="Hourly",$N122*'Input Sheet'!G$280*'Fee Breakdown'!H122,'Input Sheet'!G$280*'Fee Breakdown'!$N18*'Fee Breakdown'!H122*$N122)</f>
        <v>10894.255739026456</v>
      </c>
      <c r="R122" s="403">
        <f>IF($N18="Hourly",$N122*'Input Sheet'!H$280*'Fee Breakdown'!I122,'Input Sheet'!H$280*'Fee Breakdown'!$N18*'Fee Breakdown'!I122*$N122)</f>
        <v>11369.569065425845</v>
      </c>
      <c r="S122" s="403">
        <f>IF($N18="Hourly",$N122*'Input Sheet'!I$280*'Fee Breakdown'!J122,'Input Sheet'!I$280*'Fee Breakdown'!$N18*'Fee Breakdown'!J122*$N122)</f>
        <v>11754.51651659394</v>
      </c>
      <c r="T122" s="403">
        <f>IF($N18="Hourly",$N122*'Input Sheet'!J$280*'Fee Breakdown'!K122,'Input Sheet'!J$280*'Fee Breakdown'!$N18*'Fee Breakdown'!K122*$N122)</f>
        <v>12168.60648113696</v>
      </c>
      <c r="U122" s="404">
        <f>IF($N18="Hourly",$N122*'Input Sheet'!K$280*'Fee Breakdown'!L122,'Input Sheet'!K$280*'Fee Breakdown'!$N18*'Fee Breakdown'!L122*$N122)</f>
        <v>12587.648857250713</v>
      </c>
      <c r="V122" s="405"/>
      <c r="W122" s="402">
        <f>+Q122*('Input Sheet'!G$298-1)</f>
        <v>12783.890035951315</v>
      </c>
      <c r="X122" s="403">
        <f>+R122*('Input Sheet'!H$298-1)</f>
        <v>14325.696590674703</v>
      </c>
      <c r="Y122" s="403">
        <f>+S122*('Input Sheet'!I$298-1)</f>
        <v>14940.486093225063</v>
      </c>
      <c r="Z122" s="403">
        <f>+T122*('Input Sheet'!J$298-1)</f>
        <v>15787.259450520027</v>
      </c>
      <c r="AA122" s="404">
        <f>+U122*('Input Sheet'!K$298-1)</f>
        <v>16648.406859250583</v>
      </c>
      <c r="AB122" s="405"/>
      <c r="AC122" s="402">
        <f t="shared" si="118"/>
        <v>23678.145774977769</v>
      </c>
      <c r="AD122" s="403">
        <f t="shared" si="119"/>
        <v>25695.26565610055</v>
      </c>
      <c r="AE122" s="403">
        <f t="shared" si="120"/>
        <v>26695.002609819003</v>
      </c>
      <c r="AF122" s="403">
        <f t="shared" si="121"/>
        <v>27955.865931656987</v>
      </c>
      <c r="AG122" s="404">
        <f t="shared" si="122"/>
        <v>29236.055716501294</v>
      </c>
    </row>
    <row r="123" spans="2:34" s="263" customFormat="1" x14ac:dyDescent="0.2">
      <c r="B123" s="250" t="s">
        <v>115</v>
      </c>
      <c r="C123" s="363">
        <f>+'Input Sheet'!G131</f>
        <v>0</v>
      </c>
      <c r="D123" s="364">
        <f>+'Input Sheet'!H131</f>
        <v>1</v>
      </c>
      <c r="E123" s="364">
        <f>+'Input Sheet'!I131</f>
        <v>0</v>
      </c>
      <c r="F123" s="365">
        <f>+'Input Sheet'!K131</f>
        <v>1</v>
      </c>
      <c r="G123" s="362"/>
      <c r="H123" s="363">
        <f t="shared" si="117"/>
        <v>1</v>
      </c>
      <c r="I123" s="364">
        <f t="shared" si="111"/>
        <v>1</v>
      </c>
      <c r="J123" s="364">
        <f t="shared" si="111"/>
        <v>1</v>
      </c>
      <c r="K123" s="364">
        <f t="shared" si="111"/>
        <v>1</v>
      </c>
      <c r="L123" s="365">
        <f t="shared" si="111"/>
        <v>1</v>
      </c>
      <c r="N123" s="418">
        <f>IF($N19="Hourly",'Standard Hour Calcs'!$Y20,'Standard Hour Calcs'!$E20)</f>
        <v>39</v>
      </c>
      <c r="O123" s="418"/>
      <c r="Q123" s="402">
        <f>IF($N19="Hourly",$N123*'Input Sheet'!G$280*'Fee Breakdown'!H123,'Input Sheet'!G$280*'Fee Breakdown'!$N19*'Fee Breakdown'!H123*$N123)</f>
        <v>2267.4005171126491</v>
      </c>
      <c r="R123" s="403">
        <f>IF($N19="Hourly",$N123*'Input Sheet'!H$280*'Fee Breakdown'!I123,'Input Sheet'!H$280*'Fee Breakdown'!$N19*'Fee Breakdown'!I123*$N123)</f>
        <v>2366.3265665726208</v>
      </c>
      <c r="S123" s="403">
        <f>IF($N19="Hourly",$N123*'Input Sheet'!I$280*'Fee Breakdown'!J123,'Input Sheet'!I$280*'Fee Breakdown'!$N19*'Fee Breakdown'!J123*$N123)</f>
        <v>2446.4449400300196</v>
      </c>
      <c r="T123" s="403">
        <f>IF($N19="Hourly",$N123*'Input Sheet'!J$280*'Fee Breakdown'!K123,'Input Sheet'!J$280*'Fee Breakdown'!$N19*'Fee Breakdown'!K123*$N123)</f>
        <v>2532.6286888080617</v>
      </c>
      <c r="U123" s="404">
        <f>IF($N19="Hourly",$N123*'Input Sheet'!K$280*'Fee Breakdown'!L123,'Input Sheet'!K$280*'Fee Breakdown'!$N19*'Fee Breakdown'!L123*$N123)</f>
        <v>2619.8431734918358</v>
      </c>
      <c r="V123" s="405"/>
      <c r="W123" s="402">
        <f>+Q123*('Input Sheet'!G$298-1)</f>
        <v>2660.6864729997196</v>
      </c>
      <c r="X123" s="403">
        <f>+R123*('Input Sheet'!H$298-1)</f>
        <v>2981.5797091428881</v>
      </c>
      <c r="Y123" s="403">
        <f>+S123*('Input Sheet'!I$298-1)</f>
        <v>3109.5346671860048</v>
      </c>
      <c r="Z123" s="403">
        <f>+T123*('Input Sheet'!J$298-1)</f>
        <v>3285.771979233848</v>
      </c>
      <c r="AA123" s="404">
        <f>+U123*('Input Sheet'!K$298-1)</f>
        <v>3465.0009349918091</v>
      </c>
      <c r="AB123" s="405"/>
      <c r="AC123" s="402">
        <f t="shared" si="118"/>
        <v>4928.0869901123688</v>
      </c>
      <c r="AD123" s="403">
        <f t="shared" si="119"/>
        <v>5347.9062757155089</v>
      </c>
      <c r="AE123" s="403">
        <f t="shared" si="120"/>
        <v>5555.9796072160243</v>
      </c>
      <c r="AF123" s="403">
        <f t="shared" si="121"/>
        <v>5818.4006680419097</v>
      </c>
      <c r="AG123" s="404">
        <f t="shared" si="122"/>
        <v>6084.844108483645</v>
      </c>
    </row>
    <row r="124" spans="2:34" s="263" customFormat="1" x14ac:dyDescent="0.2">
      <c r="B124" s="250" t="s">
        <v>116</v>
      </c>
      <c r="C124" s="363">
        <f>+'Input Sheet'!G132</f>
        <v>0</v>
      </c>
      <c r="D124" s="364">
        <f>+'Input Sheet'!H132</f>
        <v>4</v>
      </c>
      <c r="E124" s="364">
        <f>+'Input Sheet'!I132</f>
        <v>2</v>
      </c>
      <c r="F124" s="365">
        <f>+'Input Sheet'!K132</f>
        <v>1</v>
      </c>
      <c r="G124" s="362"/>
      <c r="H124" s="363">
        <f t="shared" si="117"/>
        <v>2</v>
      </c>
      <c r="I124" s="364">
        <f t="shared" si="111"/>
        <v>2</v>
      </c>
      <c r="J124" s="364">
        <f t="shared" si="111"/>
        <v>2</v>
      </c>
      <c r="K124" s="364">
        <f t="shared" si="111"/>
        <v>2</v>
      </c>
      <c r="L124" s="365">
        <f t="shared" si="111"/>
        <v>2</v>
      </c>
      <c r="N124" s="418">
        <f>IF($N20="Hourly",'Standard Hour Calcs'!$Y21,'Standard Hour Calcs'!$E21)</f>
        <v>15</v>
      </c>
      <c r="O124" s="418"/>
      <c r="Q124" s="402">
        <f>IF($N20="Hourly",$N124*'Input Sheet'!G$280*'Fee Breakdown'!H124,'Input Sheet'!G$280*'Fee Breakdown'!$N20*'Fee Breakdown'!H124*$N124)</f>
        <v>2683.3142214350878</v>
      </c>
      <c r="R124" s="403">
        <f>IF($N20="Hourly",$N124*'Input Sheet'!H$280*'Fee Breakdown'!I124,'Input Sheet'!H$280*'Fee Breakdown'!$N20*'Fee Breakdown'!I124*$N124)</f>
        <v>2800.3864693167106</v>
      </c>
      <c r="S124" s="403">
        <f>IF($N20="Hourly",$N124*'Input Sheet'!I$280*'Fee Breakdown'!J124,'Input Sheet'!I$280*'Fee Breakdown'!$N20*'Fee Breakdown'!J124*$N124)</f>
        <v>2895.2011124615615</v>
      </c>
      <c r="T124" s="403">
        <f>IF($N20="Hourly",$N124*'Input Sheet'!J$280*'Fee Breakdown'!K124,'Input Sheet'!J$280*'Fee Breakdown'!$N20*'Fee Breakdown'!K124*$N124)</f>
        <v>2997.1937145657539</v>
      </c>
      <c r="U124" s="404">
        <f>IF($N20="Hourly",$N124*'Input Sheet'!K$280*'Fee Breakdown'!L124,'Input Sheet'!K$280*'Fee Breakdown'!$N20*'Fee Breakdown'!L124*$N124)</f>
        <v>3100.4061224755455</v>
      </c>
      <c r="V124" s="405"/>
      <c r="W124" s="402">
        <f>+Q124*('Input Sheet'!G$298-1)</f>
        <v>3148.7413881653488</v>
      </c>
      <c r="X124" s="403">
        <f>+R124*('Input Sheet'!H$298-1)</f>
        <v>3528.4966972105176</v>
      </c>
      <c r="Y124" s="403">
        <f>+S124*('Input Sheet'!I$298-1)</f>
        <v>3679.9226830603602</v>
      </c>
      <c r="Z124" s="403">
        <f>+T124*('Input Sheet'!J$298-1)</f>
        <v>3888.4875493891695</v>
      </c>
      <c r="AA124" s="404">
        <f>+U124*('Input Sheet'!K$298-1)</f>
        <v>4100.5928224755135</v>
      </c>
      <c r="AB124" s="405"/>
      <c r="AC124" s="402">
        <f t="shared" si="118"/>
        <v>5832.0556096004366</v>
      </c>
      <c r="AD124" s="403">
        <f t="shared" si="119"/>
        <v>6328.8831665272282</v>
      </c>
      <c r="AE124" s="403">
        <f t="shared" si="120"/>
        <v>6575.1237955219221</v>
      </c>
      <c r="AF124" s="403">
        <f t="shared" si="121"/>
        <v>6885.6812639549235</v>
      </c>
      <c r="AG124" s="404">
        <f t="shared" si="122"/>
        <v>7200.9989449510595</v>
      </c>
    </row>
    <row r="125" spans="2:34" s="263" customFormat="1" x14ac:dyDescent="0.2">
      <c r="B125" s="250" t="s">
        <v>117</v>
      </c>
      <c r="C125" s="363">
        <f>+'Input Sheet'!G133</f>
        <v>0</v>
      </c>
      <c r="D125" s="364"/>
      <c r="E125" s="364">
        <f>+'Input Sheet'!I133</f>
        <v>1</v>
      </c>
      <c r="F125" s="365">
        <f>+'Input Sheet'!K133</f>
        <v>3</v>
      </c>
      <c r="G125" s="362"/>
      <c r="H125" s="363">
        <f t="shared" si="117"/>
        <v>2</v>
      </c>
      <c r="I125" s="364">
        <f t="shared" si="111"/>
        <v>2</v>
      </c>
      <c r="J125" s="364">
        <f t="shared" si="111"/>
        <v>2</v>
      </c>
      <c r="K125" s="364">
        <f t="shared" si="111"/>
        <v>2</v>
      </c>
      <c r="L125" s="365">
        <f t="shared" si="111"/>
        <v>2</v>
      </c>
      <c r="N125" s="418">
        <f>IF($N21="Hourly",'Standard Hour Calcs'!$Y22,'Standard Hour Calcs'!$E22)</f>
        <v>3</v>
      </c>
      <c r="O125" s="418"/>
      <c r="Q125" s="402">
        <f>IF($N21="Hourly",$N125*'Input Sheet'!G$280*'Fee Breakdown'!H125,'Input Sheet'!G$280*'Fee Breakdown'!$N21*'Fee Breakdown'!H125*$N125)</f>
        <v>268.3314221435088</v>
      </c>
      <c r="R125" s="403">
        <f>IF($N21="Hourly",$N125*'Input Sheet'!H$280*'Fee Breakdown'!I125,'Input Sheet'!H$280*'Fee Breakdown'!$N21*'Fee Breakdown'!I125*$N125)</f>
        <v>280.03864693167111</v>
      </c>
      <c r="S125" s="403">
        <f>IF($N21="Hourly",$N125*'Input Sheet'!I$280*'Fee Breakdown'!J125,'Input Sheet'!I$280*'Fee Breakdown'!$N21*'Fee Breakdown'!J125*$N125)</f>
        <v>289.52011124615615</v>
      </c>
      <c r="T125" s="403">
        <f>IF($N21="Hourly",$N125*'Input Sheet'!J$280*'Fee Breakdown'!K125,'Input Sheet'!J$280*'Fee Breakdown'!$N21*'Fee Breakdown'!K125*$N125)</f>
        <v>299.71937145657535</v>
      </c>
      <c r="U125" s="404">
        <f>IF($N21="Hourly",$N125*'Input Sheet'!K$280*'Fee Breakdown'!L125,'Input Sheet'!K$280*'Fee Breakdown'!$N21*'Fee Breakdown'!L125*$N125)</f>
        <v>310.04061224755452</v>
      </c>
      <c r="V125" s="405"/>
      <c r="W125" s="402">
        <f>+Q125*('Input Sheet'!G$298-1)</f>
        <v>314.87413881653492</v>
      </c>
      <c r="X125" s="403">
        <f>+R125*('Input Sheet'!H$298-1)</f>
        <v>352.84966972105184</v>
      </c>
      <c r="Y125" s="403">
        <f>+S125*('Input Sheet'!I$298-1)</f>
        <v>367.99226830603607</v>
      </c>
      <c r="Z125" s="403">
        <f>+T125*('Input Sheet'!J$298-1)</f>
        <v>388.8487549389169</v>
      </c>
      <c r="AA125" s="404">
        <f>+U125*('Input Sheet'!K$298-1)</f>
        <v>410.05928224755132</v>
      </c>
      <c r="AB125" s="405"/>
      <c r="AC125" s="402">
        <f t="shared" si="118"/>
        <v>583.20556096004373</v>
      </c>
      <c r="AD125" s="403">
        <f t="shared" si="119"/>
        <v>632.88831665272301</v>
      </c>
      <c r="AE125" s="403">
        <f t="shared" si="120"/>
        <v>657.51237955219221</v>
      </c>
      <c r="AF125" s="403">
        <f t="shared" si="121"/>
        <v>688.5681263954923</v>
      </c>
      <c r="AG125" s="404">
        <f t="shared" si="122"/>
        <v>720.0998944951059</v>
      </c>
    </row>
    <row r="126" spans="2:34" s="263" customFormat="1" x14ac:dyDescent="0.2">
      <c r="B126" s="250" t="s">
        <v>118</v>
      </c>
      <c r="C126" s="363">
        <f>+'Input Sheet'!G134</f>
        <v>0</v>
      </c>
      <c r="D126" s="364"/>
      <c r="E126" s="364">
        <f>+'Input Sheet'!I134</f>
        <v>1</v>
      </c>
      <c r="F126" s="365">
        <f>+'Input Sheet'!K134</f>
        <v>0</v>
      </c>
      <c r="G126" s="362"/>
      <c r="H126" s="363">
        <f t="shared" si="117"/>
        <v>1</v>
      </c>
      <c r="I126" s="364">
        <f t="shared" si="111"/>
        <v>1</v>
      </c>
      <c r="J126" s="364">
        <f t="shared" si="111"/>
        <v>1</v>
      </c>
      <c r="K126" s="364">
        <f t="shared" si="111"/>
        <v>1</v>
      </c>
      <c r="L126" s="365">
        <f t="shared" si="111"/>
        <v>1</v>
      </c>
      <c r="N126" s="418">
        <f>IF($N22="Hourly",'Standard Hour Calcs'!$Y23,'Standard Hour Calcs'!$E23)</f>
        <v>11</v>
      </c>
      <c r="O126" s="418"/>
      <c r="Q126" s="402">
        <f>IF($N22="Hourly",$N126*'Input Sheet'!G$280*'Fee Breakdown'!H126,'Input Sheet'!G$280*'Fee Breakdown'!$N22*'Fee Breakdown'!H126*$N126)</f>
        <v>295.1645643578596</v>
      </c>
      <c r="R126" s="403">
        <f>IF($N22="Hourly",$N126*'Input Sheet'!H$280*'Fee Breakdown'!I126,'Input Sheet'!H$280*'Fee Breakdown'!$N22*'Fee Breakdown'!I126*$N126)</f>
        <v>308.04251162483814</v>
      </c>
      <c r="S126" s="403">
        <f>IF($N22="Hourly",$N126*'Input Sheet'!I$280*'Fee Breakdown'!J126,'Input Sheet'!I$280*'Fee Breakdown'!$N22*'Fee Breakdown'!J126*$N126)</f>
        <v>318.47212237077179</v>
      </c>
      <c r="T126" s="403">
        <f>IF($N22="Hourly",$N126*'Input Sheet'!J$280*'Fee Breakdown'!K126,'Input Sheet'!J$280*'Fee Breakdown'!$N22*'Fee Breakdown'!K126*$N126)</f>
        <v>329.69130860223288</v>
      </c>
      <c r="U126" s="404">
        <f>IF($N22="Hourly",$N126*'Input Sheet'!K$280*'Fee Breakdown'!L126,'Input Sheet'!K$280*'Fee Breakdown'!$N22*'Fee Breakdown'!L126*$N126)</f>
        <v>341.04467347230997</v>
      </c>
      <c r="V126" s="405"/>
      <c r="W126" s="402">
        <f>+Q126*('Input Sheet'!G$298-1)</f>
        <v>346.36155269818829</v>
      </c>
      <c r="X126" s="403">
        <f>+R126*('Input Sheet'!H$298-1)</f>
        <v>388.13463669315695</v>
      </c>
      <c r="Y126" s="403">
        <f>+S126*('Input Sheet'!I$298-1)</f>
        <v>404.7914951366397</v>
      </c>
      <c r="Z126" s="403">
        <f>+T126*('Input Sheet'!J$298-1)</f>
        <v>427.73363043280858</v>
      </c>
      <c r="AA126" s="404">
        <f>+U126*('Input Sheet'!K$298-1)</f>
        <v>451.06521047230649</v>
      </c>
      <c r="AB126" s="405"/>
      <c r="AC126" s="402">
        <f t="shared" si="118"/>
        <v>641.52611705604795</v>
      </c>
      <c r="AD126" s="403">
        <f t="shared" si="119"/>
        <v>696.17714831799503</v>
      </c>
      <c r="AE126" s="403">
        <f t="shared" si="120"/>
        <v>723.26361750741148</v>
      </c>
      <c r="AF126" s="403">
        <f t="shared" si="121"/>
        <v>757.42493903504146</v>
      </c>
      <c r="AG126" s="404">
        <f t="shared" si="122"/>
        <v>792.10988394461651</v>
      </c>
    </row>
    <row r="127" spans="2:34" s="263" customFormat="1" x14ac:dyDescent="0.2">
      <c r="B127" s="250" t="s">
        <v>119</v>
      </c>
      <c r="C127" s="363">
        <f>+'Input Sheet'!G135</f>
        <v>0</v>
      </c>
      <c r="D127" s="364">
        <f>+'Input Sheet'!H135</f>
        <v>0</v>
      </c>
      <c r="E127" s="364">
        <f>+'Input Sheet'!I135</f>
        <v>0</v>
      </c>
      <c r="F127" s="365">
        <f>+'Input Sheet'!K135</f>
        <v>0</v>
      </c>
      <c r="G127" s="362"/>
      <c r="H127" s="363">
        <f t="shared" si="117"/>
        <v>0</v>
      </c>
      <c r="I127" s="364">
        <f t="shared" si="111"/>
        <v>0</v>
      </c>
      <c r="J127" s="364">
        <f t="shared" si="111"/>
        <v>0</v>
      </c>
      <c r="K127" s="364">
        <f t="shared" si="111"/>
        <v>0</v>
      </c>
      <c r="L127" s="365">
        <f t="shared" si="111"/>
        <v>0</v>
      </c>
      <c r="N127" s="418">
        <f>IF($N23="Hourly",'Standard Hour Calcs'!$Y24,'Standard Hour Calcs'!$E24)</f>
        <v>0</v>
      </c>
      <c r="O127" s="418"/>
      <c r="Q127" s="402">
        <f>IF($N23="Hourly",$N127*'Input Sheet'!G$280*'Fee Breakdown'!H127,'Input Sheet'!G$280*'Fee Breakdown'!$N23*'Fee Breakdown'!H127*$N127)</f>
        <v>0</v>
      </c>
      <c r="R127" s="403">
        <f>IF($N23="Hourly",$N127*'Input Sheet'!H$280*'Fee Breakdown'!I127,'Input Sheet'!H$280*'Fee Breakdown'!$N23*'Fee Breakdown'!I127*$N127)</f>
        <v>0</v>
      </c>
      <c r="S127" s="403">
        <f>IF($N23="Hourly",$N127*'Input Sheet'!I$280*'Fee Breakdown'!J127,'Input Sheet'!I$280*'Fee Breakdown'!$N23*'Fee Breakdown'!J127*$N127)</f>
        <v>0</v>
      </c>
      <c r="T127" s="403">
        <f>IF($N23="Hourly",$N127*'Input Sheet'!J$280*'Fee Breakdown'!K127,'Input Sheet'!J$280*'Fee Breakdown'!$N23*'Fee Breakdown'!K127*$N127)</f>
        <v>0</v>
      </c>
      <c r="U127" s="404">
        <f>IF($N23="Hourly",$N127*'Input Sheet'!K$280*'Fee Breakdown'!L127,'Input Sheet'!K$280*'Fee Breakdown'!$N23*'Fee Breakdown'!L127*$N127)</f>
        <v>0</v>
      </c>
      <c r="V127" s="405"/>
      <c r="W127" s="402">
        <f>+Q127*('Input Sheet'!G$298-1)</f>
        <v>0</v>
      </c>
      <c r="X127" s="403">
        <f>+R127*('Input Sheet'!H$298-1)</f>
        <v>0</v>
      </c>
      <c r="Y127" s="403">
        <f>+S127*('Input Sheet'!I$298-1)</f>
        <v>0</v>
      </c>
      <c r="Z127" s="403">
        <f>+T127*('Input Sheet'!J$298-1)</f>
        <v>0</v>
      </c>
      <c r="AA127" s="404">
        <f>+U127*('Input Sheet'!K$298-1)</f>
        <v>0</v>
      </c>
      <c r="AB127" s="405"/>
      <c r="AC127" s="402">
        <f t="shared" si="118"/>
        <v>0</v>
      </c>
      <c r="AD127" s="403">
        <f t="shared" si="119"/>
        <v>0</v>
      </c>
      <c r="AE127" s="403">
        <f t="shared" si="120"/>
        <v>0</v>
      </c>
      <c r="AF127" s="403">
        <f t="shared" si="121"/>
        <v>0</v>
      </c>
      <c r="AG127" s="404">
        <f t="shared" si="122"/>
        <v>0</v>
      </c>
    </row>
    <row r="128" spans="2:34" s="263" customFormat="1" x14ac:dyDescent="0.2">
      <c r="B128" s="250" t="s">
        <v>120</v>
      </c>
      <c r="C128" s="363">
        <f>+'Input Sheet'!G136</f>
        <v>0</v>
      </c>
      <c r="D128" s="364">
        <f>+'Input Sheet'!H136</f>
        <v>4</v>
      </c>
      <c r="E128" s="364">
        <f>+'Input Sheet'!I136</f>
        <v>5</v>
      </c>
      <c r="F128" s="365">
        <f>+'Input Sheet'!K136</f>
        <v>4</v>
      </c>
      <c r="G128" s="362"/>
      <c r="H128" s="363">
        <f t="shared" si="117"/>
        <v>4</v>
      </c>
      <c r="I128" s="364">
        <f t="shared" si="111"/>
        <v>4</v>
      </c>
      <c r="J128" s="364">
        <f t="shared" si="111"/>
        <v>4</v>
      </c>
      <c r="K128" s="364">
        <f t="shared" si="111"/>
        <v>4</v>
      </c>
      <c r="L128" s="365">
        <f t="shared" si="111"/>
        <v>4</v>
      </c>
      <c r="N128" s="418">
        <f>IF($N24="Hourly",'Standard Hour Calcs'!$Y25,'Standard Hour Calcs'!$E25)</f>
        <v>4</v>
      </c>
      <c r="O128" s="418"/>
      <c r="Q128" s="402">
        <f>IF($N24="Hourly",$N128*'Input Sheet'!G$280*'Fee Breakdown'!H128,'Input Sheet'!G$280*'Fee Breakdown'!$N24*'Fee Breakdown'!H128*$N128)</f>
        <v>1717.321101718456</v>
      </c>
      <c r="R128" s="403">
        <f>IF($N24="Hourly",$N128*'Input Sheet'!H$280*'Fee Breakdown'!I128,'Input Sheet'!H$280*'Fee Breakdown'!$N24*'Fee Breakdown'!I128*$N128)</f>
        <v>1792.2473403626948</v>
      </c>
      <c r="S128" s="403">
        <f>IF($N24="Hourly",$N128*'Input Sheet'!I$280*'Fee Breakdown'!J128,'Input Sheet'!I$280*'Fee Breakdown'!$N24*'Fee Breakdown'!J128*$N128)</f>
        <v>1852.9287119753994</v>
      </c>
      <c r="T128" s="403">
        <f>IF($N24="Hourly",$N128*'Input Sheet'!J$280*'Fee Breakdown'!K128,'Input Sheet'!J$280*'Fee Breakdown'!$N24*'Fee Breakdown'!K128*$N128)</f>
        <v>1918.2039773220822</v>
      </c>
      <c r="U128" s="404">
        <f>IF($N24="Hourly",$N128*'Input Sheet'!K$280*'Fee Breakdown'!L128,'Input Sheet'!K$280*'Fee Breakdown'!$N24*'Fee Breakdown'!L128*$N128)</f>
        <v>1984.259918384349</v>
      </c>
      <c r="V128" s="405"/>
      <c r="W128" s="402">
        <f>+Q128*('Input Sheet'!G$298-1)</f>
        <v>2015.194488425823</v>
      </c>
      <c r="X128" s="403">
        <f>+R128*('Input Sheet'!H$298-1)</f>
        <v>2258.2378862147316</v>
      </c>
      <c r="Y128" s="403">
        <f>+S128*('Input Sheet'!I$298-1)</f>
        <v>2355.1505171586309</v>
      </c>
      <c r="Z128" s="403">
        <f>+T128*('Input Sheet'!J$298-1)</f>
        <v>2488.6320316090682</v>
      </c>
      <c r="AA128" s="404">
        <f>+U128*('Input Sheet'!K$298-1)</f>
        <v>2624.3794063843288</v>
      </c>
      <c r="AB128" s="405"/>
      <c r="AC128" s="402">
        <f t="shared" si="118"/>
        <v>3732.515590144279</v>
      </c>
      <c r="AD128" s="403">
        <f t="shared" si="119"/>
        <v>4050.4852265774261</v>
      </c>
      <c r="AE128" s="403">
        <f t="shared" si="120"/>
        <v>4208.0792291340304</v>
      </c>
      <c r="AF128" s="403">
        <f t="shared" si="121"/>
        <v>4406.83600893115</v>
      </c>
      <c r="AG128" s="404">
        <f t="shared" si="122"/>
        <v>4608.6393247686774</v>
      </c>
    </row>
    <row r="129" spans="2:33" s="263" customFormat="1" x14ac:dyDescent="0.2">
      <c r="B129" s="250" t="s">
        <v>121</v>
      </c>
      <c r="C129" s="363">
        <f>+'Input Sheet'!G137</f>
        <v>0</v>
      </c>
      <c r="D129" s="364">
        <f>+'Input Sheet'!H137</f>
        <v>2</v>
      </c>
      <c r="E129" s="364">
        <f>+'Input Sheet'!I137</f>
        <v>0</v>
      </c>
      <c r="F129" s="365">
        <f>+'Input Sheet'!K137</f>
        <v>0</v>
      </c>
      <c r="G129" s="362"/>
      <c r="H129" s="363">
        <f t="shared" si="117"/>
        <v>1</v>
      </c>
      <c r="I129" s="364">
        <f t="shared" si="111"/>
        <v>1</v>
      </c>
      <c r="J129" s="364">
        <f t="shared" si="111"/>
        <v>1</v>
      </c>
      <c r="K129" s="364">
        <f t="shared" si="111"/>
        <v>1</v>
      </c>
      <c r="L129" s="365">
        <f t="shared" si="111"/>
        <v>1</v>
      </c>
      <c r="N129" s="418">
        <f>IF($N25="Hourly",'Standard Hour Calcs'!$Y26,'Standard Hour Calcs'!$E26)</f>
        <v>4</v>
      </c>
      <c r="O129" s="418"/>
      <c r="Q129" s="402">
        <f>IF($N25="Hourly",$N129*'Input Sheet'!G$280*'Fee Breakdown'!H129,'Input Sheet'!G$280*'Fee Breakdown'!$N25*'Fee Breakdown'!H129*$N129)</f>
        <v>232.55389919104095</v>
      </c>
      <c r="R129" s="403">
        <f>IF($N25="Hourly",$N129*'Input Sheet'!H$280*'Fee Breakdown'!I129,'Input Sheet'!H$280*'Fee Breakdown'!$N25*'Fee Breakdown'!I129*$N129)</f>
        <v>242.70016067411495</v>
      </c>
      <c r="S129" s="403">
        <f>IF($N25="Hourly",$N129*'Input Sheet'!I$280*'Fee Breakdown'!J129,'Input Sheet'!I$280*'Fee Breakdown'!$N25*'Fee Breakdown'!J129*$N129)</f>
        <v>250.91742974666869</v>
      </c>
      <c r="T129" s="403">
        <f>IF($N25="Hourly",$N129*'Input Sheet'!J$280*'Fee Breakdown'!K129,'Input Sheet'!J$280*'Fee Breakdown'!$N25*'Fee Breakdown'!K129*$N129)</f>
        <v>259.75678859569865</v>
      </c>
      <c r="U129" s="404">
        <f>IF($N25="Hourly",$N129*'Input Sheet'!K$280*'Fee Breakdown'!L129,'Input Sheet'!K$280*'Fee Breakdown'!$N25*'Fee Breakdown'!L129*$N129)</f>
        <v>268.70186394788061</v>
      </c>
      <c r="V129" s="405"/>
      <c r="W129" s="402">
        <f>+Q129*('Input Sheet'!G$298-1)</f>
        <v>272.89092030766358</v>
      </c>
      <c r="X129" s="403">
        <f>+R129*('Input Sheet'!H$298-1)</f>
        <v>305.80304709157826</v>
      </c>
      <c r="Y129" s="403">
        <f>+S129*('Input Sheet'!I$298-1)</f>
        <v>318.92663253189795</v>
      </c>
      <c r="Z129" s="403">
        <f>+T129*('Input Sheet'!J$298-1)</f>
        <v>337.00225428039465</v>
      </c>
      <c r="AA129" s="404">
        <f>+U129*('Input Sheet'!K$298-1)</f>
        <v>355.3847112812112</v>
      </c>
      <c r="AB129" s="405"/>
      <c r="AC129" s="402">
        <f t="shared" si="118"/>
        <v>505.44481949870453</v>
      </c>
      <c r="AD129" s="403">
        <f t="shared" si="119"/>
        <v>548.50320776569322</v>
      </c>
      <c r="AE129" s="403">
        <f t="shared" si="120"/>
        <v>569.84406227856664</v>
      </c>
      <c r="AF129" s="403">
        <f t="shared" si="121"/>
        <v>596.7590428760933</v>
      </c>
      <c r="AG129" s="404">
        <f t="shared" si="122"/>
        <v>624.08657522909175</v>
      </c>
    </row>
    <row r="130" spans="2:33" s="263" customFormat="1" x14ac:dyDescent="0.2">
      <c r="B130" s="250" t="s">
        <v>122</v>
      </c>
      <c r="C130" s="363">
        <f>+'Input Sheet'!G138</f>
        <v>0</v>
      </c>
      <c r="D130" s="364">
        <f>+'Input Sheet'!H138</f>
        <v>0</v>
      </c>
      <c r="E130" s="364">
        <f>+'Input Sheet'!I138</f>
        <v>0</v>
      </c>
      <c r="F130" s="365">
        <f>+'Input Sheet'!K138</f>
        <v>0</v>
      </c>
      <c r="G130" s="362"/>
      <c r="H130" s="363">
        <f t="shared" si="117"/>
        <v>0</v>
      </c>
      <c r="I130" s="364">
        <f t="shared" si="111"/>
        <v>0</v>
      </c>
      <c r="J130" s="364">
        <f t="shared" si="111"/>
        <v>0</v>
      </c>
      <c r="K130" s="364">
        <f t="shared" si="111"/>
        <v>0</v>
      </c>
      <c r="L130" s="365">
        <f t="shared" si="111"/>
        <v>0</v>
      </c>
      <c r="N130" s="418">
        <f>IF($N26="Hourly",'Standard Hour Calcs'!$Y27,'Standard Hour Calcs'!$E27)</f>
        <v>0</v>
      </c>
      <c r="O130" s="418"/>
      <c r="Q130" s="402">
        <f>IF($N26="Hourly",$N130*'Input Sheet'!G$280*'Fee Breakdown'!H130,'Input Sheet'!G$280*'Fee Breakdown'!$N26*'Fee Breakdown'!H130*$N130)</f>
        <v>0</v>
      </c>
      <c r="R130" s="403">
        <f>IF($N26="Hourly",$N130*'Input Sheet'!H$280*'Fee Breakdown'!I130,'Input Sheet'!H$280*'Fee Breakdown'!$N26*'Fee Breakdown'!I130*$N130)</f>
        <v>0</v>
      </c>
      <c r="S130" s="403">
        <f>IF($N26="Hourly",$N130*'Input Sheet'!I$280*'Fee Breakdown'!J130,'Input Sheet'!I$280*'Fee Breakdown'!$N26*'Fee Breakdown'!J130*$N130)</f>
        <v>0</v>
      </c>
      <c r="T130" s="403">
        <f>IF($N26="Hourly",$N130*'Input Sheet'!J$280*'Fee Breakdown'!K130,'Input Sheet'!J$280*'Fee Breakdown'!$N26*'Fee Breakdown'!K130*$N130)</f>
        <v>0</v>
      </c>
      <c r="U130" s="404">
        <f>IF($N26="Hourly",$N130*'Input Sheet'!K$280*'Fee Breakdown'!L130,'Input Sheet'!K$280*'Fee Breakdown'!$N26*'Fee Breakdown'!L130*$N130)</f>
        <v>0</v>
      </c>
      <c r="V130" s="405"/>
      <c r="W130" s="402">
        <f>+Q130*('Input Sheet'!G$298-1)</f>
        <v>0</v>
      </c>
      <c r="X130" s="403">
        <f>+R130*('Input Sheet'!H$298-1)</f>
        <v>0</v>
      </c>
      <c r="Y130" s="403">
        <f>+S130*('Input Sheet'!I$298-1)</f>
        <v>0</v>
      </c>
      <c r="Z130" s="403">
        <f>+T130*('Input Sheet'!J$298-1)</f>
        <v>0</v>
      </c>
      <c r="AA130" s="404">
        <f>+U130*('Input Sheet'!K$298-1)</f>
        <v>0</v>
      </c>
      <c r="AB130" s="405"/>
      <c r="AC130" s="402">
        <f t="shared" si="118"/>
        <v>0</v>
      </c>
      <c r="AD130" s="403">
        <f t="shared" si="119"/>
        <v>0</v>
      </c>
      <c r="AE130" s="403">
        <f t="shared" si="120"/>
        <v>0</v>
      </c>
      <c r="AF130" s="403">
        <f t="shared" si="121"/>
        <v>0</v>
      </c>
      <c r="AG130" s="404">
        <f t="shared" si="122"/>
        <v>0</v>
      </c>
    </row>
    <row r="131" spans="2:33" s="263" customFormat="1" x14ac:dyDescent="0.2">
      <c r="B131" s="250" t="s">
        <v>123</v>
      </c>
      <c r="C131" s="363">
        <f>+'Input Sheet'!G139</f>
        <v>0</v>
      </c>
      <c r="D131" s="364"/>
      <c r="E131" s="364">
        <f>+'Input Sheet'!I139</f>
        <v>7</v>
      </c>
      <c r="F131" s="365">
        <f>+'Input Sheet'!K139</f>
        <v>2</v>
      </c>
      <c r="G131" s="362"/>
      <c r="H131" s="363">
        <f t="shared" si="117"/>
        <v>5</v>
      </c>
      <c r="I131" s="364">
        <f t="shared" si="111"/>
        <v>5</v>
      </c>
      <c r="J131" s="364">
        <f t="shared" si="111"/>
        <v>5</v>
      </c>
      <c r="K131" s="364">
        <f t="shared" si="111"/>
        <v>5</v>
      </c>
      <c r="L131" s="365">
        <f t="shared" si="111"/>
        <v>5</v>
      </c>
      <c r="N131" s="418">
        <f>IF($N27="Hourly",'Standard Hour Calcs'!$Y28,'Standard Hour Calcs'!$E28)</f>
        <v>3</v>
      </c>
      <c r="O131" s="418"/>
      <c r="Q131" s="402">
        <f>IF($N27="Hourly",$N131*'Input Sheet'!G$280*'Fee Breakdown'!H131,'Input Sheet'!G$280*'Fee Breakdown'!$N27*'Fee Breakdown'!H131*$N131)</f>
        <v>3421.2256323297361</v>
      </c>
      <c r="R131" s="403">
        <f>IF($N27="Hourly",$N131*'Input Sheet'!H$280*'Fee Breakdown'!I131,'Input Sheet'!H$280*'Fee Breakdown'!$N27*'Fee Breakdown'!I131*$N131)</f>
        <v>3570.492748378806</v>
      </c>
      <c r="S131" s="403">
        <f>IF($N27="Hourly",$N131*'Input Sheet'!I$280*'Fee Breakdown'!J131,'Input Sheet'!I$280*'Fee Breakdown'!$N27*'Fee Breakdown'!J131*$N131)</f>
        <v>3691.3814183884911</v>
      </c>
      <c r="T131" s="403">
        <f>IF($N27="Hourly",$N131*'Input Sheet'!J$280*'Fee Breakdown'!K131,'Input Sheet'!J$280*'Fee Breakdown'!$N27*'Fee Breakdown'!K131*$N131)</f>
        <v>3821.4219860713356</v>
      </c>
      <c r="U131" s="404">
        <f>IF($N27="Hourly",$N131*'Input Sheet'!K$280*'Fee Breakdown'!L131,'Input Sheet'!K$280*'Fee Breakdown'!$N27*'Fee Breakdown'!L131*$N131)</f>
        <v>3953.0178061563206</v>
      </c>
      <c r="V131" s="405"/>
      <c r="W131" s="402">
        <f>+Q131*('Input Sheet'!G$298-1)</f>
        <v>4014.6452699108186</v>
      </c>
      <c r="X131" s="403">
        <f>+R131*('Input Sheet'!H$298-1)</f>
        <v>4498.8332889434105</v>
      </c>
      <c r="Y131" s="403">
        <f>+S131*('Input Sheet'!I$298-1)</f>
        <v>4691.9014209019597</v>
      </c>
      <c r="Z131" s="403">
        <f>+T131*('Input Sheet'!J$298-1)</f>
        <v>4957.8216254711906</v>
      </c>
      <c r="AA131" s="404">
        <f>+U131*('Input Sheet'!K$298-1)</f>
        <v>5228.2558486562802</v>
      </c>
      <c r="AB131" s="405"/>
      <c r="AC131" s="402">
        <f t="shared" si="118"/>
        <v>7435.8709022405546</v>
      </c>
      <c r="AD131" s="403">
        <f t="shared" si="119"/>
        <v>8069.3260373222165</v>
      </c>
      <c r="AE131" s="403">
        <f t="shared" si="120"/>
        <v>8383.2828392904503</v>
      </c>
      <c r="AF131" s="403">
        <f t="shared" si="121"/>
        <v>8779.2436115425262</v>
      </c>
      <c r="AG131" s="404">
        <f t="shared" si="122"/>
        <v>9181.2736548126013</v>
      </c>
    </row>
    <row r="132" spans="2:33" s="263" customFormat="1" x14ac:dyDescent="0.2">
      <c r="B132" s="250" t="s">
        <v>124</v>
      </c>
      <c r="C132" s="363">
        <f>+'Input Sheet'!G140</f>
        <v>0</v>
      </c>
      <c r="D132" s="364">
        <f>+'Input Sheet'!H140</f>
        <v>0</v>
      </c>
      <c r="E132" s="364">
        <f>+'Input Sheet'!I140</f>
        <v>0</v>
      </c>
      <c r="F132" s="365">
        <f>+'Input Sheet'!K140</f>
        <v>0</v>
      </c>
      <c r="G132" s="362"/>
      <c r="H132" s="363">
        <f t="shared" ref="H132:L149" si="123">ROUND(AVERAGE($D132:$F132),0)</f>
        <v>0</v>
      </c>
      <c r="I132" s="364">
        <f t="shared" si="111"/>
        <v>0</v>
      </c>
      <c r="J132" s="364">
        <f t="shared" si="111"/>
        <v>0</v>
      </c>
      <c r="K132" s="364">
        <f t="shared" si="111"/>
        <v>0</v>
      </c>
      <c r="L132" s="365">
        <f t="shared" si="111"/>
        <v>0</v>
      </c>
      <c r="N132" s="418">
        <f>IF($N28="Hourly",'Standard Hour Calcs'!$Y29,'Standard Hour Calcs'!$E29)</f>
        <v>0</v>
      </c>
      <c r="O132" s="418"/>
      <c r="Q132" s="402">
        <f>IF($N28="Hourly",$N132*'Input Sheet'!G$280*'Fee Breakdown'!H132,'Input Sheet'!G$280*'Fee Breakdown'!$N28*'Fee Breakdown'!H132*$N132)</f>
        <v>0</v>
      </c>
      <c r="R132" s="403">
        <f>IF($N28="Hourly",$N132*'Input Sheet'!H$280*'Fee Breakdown'!I132,'Input Sheet'!H$280*'Fee Breakdown'!$N28*'Fee Breakdown'!I132*$N132)</f>
        <v>0</v>
      </c>
      <c r="S132" s="403">
        <f>IF($N28="Hourly",$N132*'Input Sheet'!I$280*'Fee Breakdown'!J132,'Input Sheet'!I$280*'Fee Breakdown'!$N28*'Fee Breakdown'!J132*$N132)</f>
        <v>0</v>
      </c>
      <c r="T132" s="403">
        <f>IF($N28="Hourly",$N132*'Input Sheet'!J$280*'Fee Breakdown'!K132,'Input Sheet'!J$280*'Fee Breakdown'!$N28*'Fee Breakdown'!K132*$N132)</f>
        <v>0</v>
      </c>
      <c r="U132" s="404">
        <f>IF($N28="Hourly",$N132*'Input Sheet'!K$280*'Fee Breakdown'!L132,'Input Sheet'!K$280*'Fee Breakdown'!$N28*'Fee Breakdown'!L132*$N132)</f>
        <v>0</v>
      </c>
      <c r="V132" s="405"/>
      <c r="W132" s="402">
        <f>+Q132*('Input Sheet'!G$298-1)</f>
        <v>0</v>
      </c>
      <c r="X132" s="403">
        <f>+R132*('Input Sheet'!H$298-1)</f>
        <v>0</v>
      </c>
      <c r="Y132" s="403">
        <f>+S132*('Input Sheet'!I$298-1)</f>
        <v>0</v>
      </c>
      <c r="Z132" s="403">
        <f>+T132*('Input Sheet'!J$298-1)</f>
        <v>0</v>
      </c>
      <c r="AA132" s="404">
        <f>+U132*('Input Sheet'!K$298-1)</f>
        <v>0</v>
      </c>
      <c r="AB132" s="405"/>
      <c r="AC132" s="402">
        <f t="shared" si="118"/>
        <v>0</v>
      </c>
      <c r="AD132" s="403">
        <f t="shared" si="119"/>
        <v>0</v>
      </c>
      <c r="AE132" s="403">
        <f t="shared" si="120"/>
        <v>0</v>
      </c>
      <c r="AF132" s="403">
        <f t="shared" si="121"/>
        <v>0</v>
      </c>
      <c r="AG132" s="404">
        <f t="shared" si="122"/>
        <v>0</v>
      </c>
    </row>
    <row r="133" spans="2:33" s="263" customFormat="1" x14ac:dyDescent="0.2">
      <c r="B133" s="250" t="s">
        <v>125</v>
      </c>
      <c r="C133" s="363">
        <f>+'Input Sheet'!G141</f>
        <v>0</v>
      </c>
      <c r="D133" s="364">
        <f>+'Input Sheet'!H141</f>
        <v>0</v>
      </c>
      <c r="E133" s="364">
        <f>+'Input Sheet'!I141</f>
        <v>0</v>
      </c>
      <c r="F133" s="365">
        <f>+'Input Sheet'!K141</f>
        <v>0</v>
      </c>
      <c r="G133" s="362"/>
      <c r="H133" s="363">
        <f t="shared" si="123"/>
        <v>0</v>
      </c>
      <c r="I133" s="364">
        <f t="shared" si="111"/>
        <v>0</v>
      </c>
      <c r="J133" s="364">
        <f t="shared" si="111"/>
        <v>0</v>
      </c>
      <c r="K133" s="364">
        <f t="shared" si="111"/>
        <v>0</v>
      </c>
      <c r="L133" s="365">
        <f t="shared" si="111"/>
        <v>0</v>
      </c>
      <c r="N133" s="418">
        <f>IF($N29="Hourly",'Standard Hour Calcs'!$Y30,'Standard Hour Calcs'!$E30)</f>
        <v>0</v>
      </c>
      <c r="O133" s="418"/>
      <c r="Q133" s="402">
        <f>IF($N29="Hourly",$N133*'Input Sheet'!G$280*'Fee Breakdown'!H133,'Input Sheet'!G$280*'Fee Breakdown'!$N29*'Fee Breakdown'!H133*$N133)</f>
        <v>0</v>
      </c>
      <c r="R133" s="403">
        <f>IF($N29="Hourly",$N133*'Input Sheet'!H$280*'Fee Breakdown'!I133,'Input Sheet'!H$280*'Fee Breakdown'!$N29*'Fee Breakdown'!I133*$N133)</f>
        <v>0</v>
      </c>
      <c r="S133" s="403">
        <f>IF($N29="Hourly",$N133*'Input Sheet'!I$280*'Fee Breakdown'!J133,'Input Sheet'!I$280*'Fee Breakdown'!$N29*'Fee Breakdown'!J133*$N133)</f>
        <v>0</v>
      </c>
      <c r="T133" s="403">
        <f>IF($N29="Hourly",$N133*'Input Sheet'!J$280*'Fee Breakdown'!K133,'Input Sheet'!J$280*'Fee Breakdown'!$N29*'Fee Breakdown'!K133*$N133)</f>
        <v>0</v>
      </c>
      <c r="U133" s="404">
        <f>IF($N29="Hourly",$N133*'Input Sheet'!K$280*'Fee Breakdown'!L133,'Input Sheet'!K$280*'Fee Breakdown'!$N29*'Fee Breakdown'!L133*$N133)</f>
        <v>0</v>
      </c>
      <c r="V133" s="405"/>
      <c r="W133" s="402">
        <f>+Q133*('Input Sheet'!G$298-1)</f>
        <v>0</v>
      </c>
      <c r="X133" s="403">
        <f>+R133*('Input Sheet'!H$298-1)</f>
        <v>0</v>
      </c>
      <c r="Y133" s="403">
        <f>+S133*('Input Sheet'!I$298-1)</f>
        <v>0</v>
      </c>
      <c r="Z133" s="403">
        <f>+T133*('Input Sheet'!J$298-1)</f>
        <v>0</v>
      </c>
      <c r="AA133" s="404">
        <f>+U133*('Input Sheet'!K$298-1)</f>
        <v>0</v>
      </c>
      <c r="AB133" s="405"/>
      <c r="AC133" s="402">
        <f t="shared" si="118"/>
        <v>0</v>
      </c>
      <c r="AD133" s="403">
        <f t="shared" si="119"/>
        <v>0</v>
      </c>
      <c r="AE133" s="403">
        <f t="shared" si="120"/>
        <v>0</v>
      </c>
      <c r="AF133" s="403">
        <f t="shared" si="121"/>
        <v>0</v>
      </c>
      <c r="AG133" s="404">
        <f t="shared" si="122"/>
        <v>0</v>
      </c>
    </row>
    <row r="134" spans="2:33" s="263" customFormat="1" x14ac:dyDescent="0.2">
      <c r="B134" s="250" t="s">
        <v>126</v>
      </c>
      <c r="C134" s="363">
        <f>+'Input Sheet'!G142</f>
        <v>0</v>
      </c>
      <c r="D134" s="364">
        <f>+'Input Sheet'!H142</f>
        <v>3</v>
      </c>
      <c r="E134" s="364">
        <f>+'Input Sheet'!I142</f>
        <v>6</v>
      </c>
      <c r="F134" s="365">
        <f>+'Input Sheet'!K142</f>
        <v>5</v>
      </c>
      <c r="G134" s="362"/>
      <c r="H134" s="363">
        <f t="shared" si="123"/>
        <v>5</v>
      </c>
      <c r="I134" s="364">
        <f t="shared" si="111"/>
        <v>5</v>
      </c>
      <c r="J134" s="364">
        <f t="shared" si="111"/>
        <v>5</v>
      </c>
      <c r="K134" s="364">
        <f t="shared" si="111"/>
        <v>5</v>
      </c>
      <c r="L134" s="365">
        <f t="shared" si="111"/>
        <v>5</v>
      </c>
      <c r="N134" s="418">
        <f>IF($N30="Hourly",'Standard Hour Calcs'!$Y31,'Standard Hour Calcs'!$E31)</f>
        <v>2</v>
      </c>
      <c r="O134" s="418"/>
      <c r="Q134" s="402">
        <f>IF($N30="Hourly",$N134*'Input Sheet'!G$280*'Fee Breakdown'!H134,'Input Sheet'!G$280*'Fee Breakdown'!$N30*'Fee Breakdown'!H134*$N134)</f>
        <v>536.66284428701749</v>
      </c>
      <c r="R134" s="403">
        <f>IF($N30="Hourly",$N134*'Input Sheet'!H$280*'Fee Breakdown'!I134,'Input Sheet'!H$280*'Fee Breakdown'!$N30*'Fee Breakdown'!I134*$N134)</f>
        <v>560.07729386334211</v>
      </c>
      <c r="S134" s="403">
        <f>IF($N30="Hourly",$N134*'Input Sheet'!I$280*'Fee Breakdown'!J134,'Input Sheet'!I$280*'Fee Breakdown'!$N30*'Fee Breakdown'!J134*$N134)</f>
        <v>579.0402224923123</v>
      </c>
      <c r="T134" s="403">
        <f>IF($N30="Hourly",$N134*'Input Sheet'!J$280*'Fee Breakdown'!K134,'Input Sheet'!J$280*'Fee Breakdown'!$N30*'Fee Breakdown'!K134*$N134)</f>
        <v>599.43874291315069</v>
      </c>
      <c r="U134" s="404">
        <f>IF($N30="Hourly",$N134*'Input Sheet'!K$280*'Fee Breakdown'!L134,'Input Sheet'!K$280*'Fee Breakdown'!$N30*'Fee Breakdown'!L134*$N134)</f>
        <v>620.08122449510904</v>
      </c>
      <c r="V134" s="405"/>
      <c r="W134" s="402">
        <f>+Q134*('Input Sheet'!G$298-1)</f>
        <v>629.74827763306973</v>
      </c>
      <c r="X134" s="403">
        <f>+R134*('Input Sheet'!H$298-1)</f>
        <v>705.69933944210356</v>
      </c>
      <c r="Y134" s="403">
        <f>+S134*('Input Sheet'!I$298-1)</f>
        <v>735.98453661207213</v>
      </c>
      <c r="Z134" s="403">
        <f>+T134*('Input Sheet'!J$298-1)</f>
        <v>777.6975098778338</v>
      </c>
      <c r="AA134" s="404">
        <f>+U134*('Input Sheet'!K$298-1)</f>
        <v>820.11856449510265</v>
      </c>
      <c r="AB134" s="405"/>
      <c r="AC134" s="402">
        <f t="shared" si="118"/>
        <v>1166.4111219200872</v>
      </c>
      <c r="AD134" s="403">
        <f t="shared" si="119"/>
        <v>1265.7766333054456</v>
      </c>
      <c r="AE134" s="403">
        <f t="shared" si="120"/>
        <v>1315.0247591043844</v>
      </c>
      <c r="AF134" s="403">
        <f t="shared" si="121"/>
        <v>1377.1362527909846</v>
      </c>
      <c r="AG134" s="404">
        <f t="shared" si="122"/>
        <v>1440.1997889902118</v>
      </c>
    </row>
    <row r="135" spans="2:33" s="263" customFormat="1" x14ac:dyDescent="0.2">
      <c r="B135" s="250" t="s">
        <v>127</v>
      </c>
      <c r="C135" s="363">
        <f>+'Input Sheet'!G143</f>
        <v>0</v>
      </c>
      <c r="D135" s="364">
        <f>+'Input Sheet'!H143</f>
        <v>0</v>
      </c>
      <c r="E135" s="364">
        <f>+'Input Sheet'!I143</f>
        <v>1</v>
      </c>
      <c r="F135" s="365">
        <f>+'Input Sheet'!K143</f>
        <v>1</v>
      </c>
      <c r="G135" s="362"/>
      <c r="H135" s="363">
        <f t="shared" si="123"/>
        <v>1</v>
      </c>
      <c r="I135" s="364">
        <f t="shared" si="123"/>
        <v>1</v>
      </c>
      <c r="J135" s="364">
        <f t="shared" si="123"/>
        <v>1</v>
      </c>
      <c r="K135" s="364">
        <f t="shared" si="123"/>
        <v>1</v>
      </c>
      <c r="L135" s="365">
        <f t="shared" si="123"/>
        <v>1</v>
      </c>
      <c r="N135" s="418">
        <f>IF($N31="Hourly",'Standard Hour Calcs'!$Y32,'Standard Hour Calcs'!$E32)</f>
        <v>5</v>
      </c>
      <c r="O135" s="418"/>
      <c r="Q135" s="402">
        <f>IF($N31="Hourly",$N135*'Input Sheet'!G$280*'Fee Breakdown'!H135,'Input Sheet'!G$280*'Fee Breakdown'!$N31*'Fee Breakdown'!H135*$N135)</f>
        <v>223.60951845292396</v>
      </c>
      <c r="R135" s="403">
        <f>IF($N31="Hourly",$N135*'Input Sheet'!H$280*'Fee Breakdown'!I135,'Input Sheet'!H$280*'Fee Breakdown'!$N31*'Fee Breakdown'!I135*$N135)</f>
        <v>233.36553910972589</v>
      </c>
      <c r="S135" s="403">
        <f>IF($N31="Hourly",$N135*'Input Sheet'!I$280*'Fee Breakdown'!J135,'Input Sheet'!I$280*'Fee Breakdown'!$N31*'Fee Breakdown'!J135*$N135)</f>
        <v>241.26675937179681</v>
      </c>
      <c r="T135" s="403">
        <f>IF($N31="Hourly",$N135*'Input Sheet'!J$280*'Fee Breakdown'!K135,'Input Sheet'!J$280*'Fee Breakdown'!$N31*'Fee Breakdown'!K135*$N135)</f>
        <v>249.76614288047949</v>
      </c>
      <c r="U135" s="404">
        <f>IF($N31="Hourly",$N135*'Input Sheet'!K$280*'Fee Breakdown'!L135,'Input Sheet'!K$280*'Fee Breakdown'!$N31*'Fee Breakdown'!L135*$N135)</f>
        <v>258.36717687296209</v>
      </c>
      <c r="V135" s="405"/>
      <c r="W135" s="402">
        <f>+Q135*('Input Sheet'!G$298-1)</f>
        <v>262.39511568044571</v>
      </c>
      <c r="X135" s="403">
        <f>+R135*('Input Sheet'!H$298-1)</f>
        <v>294.0413914342098</v>
      </c>
      <c r="Y135" s="403">
        <f>+S135*('Input Sheet'!I$298-1)</f>
        <v>306.66022358836341</v>
      </c>
      <c r="Z135" s="403">
        <f>+T135*('Input Sheet'!J$298-1)</f>
        <v>324.04062911576415</v>
      </c>
      <c r="AA135" s="404">
        <f>+U135*('Input Sheet'!K$298-1)</f>
        <v>341.71606853962612</v>
      </c>
      <c r="AB135" s="405"/>
      <c r="AC135" s="402">
        <f t="shared" si="118"/>
        <v>486.00463413336968</v>
      </c>
      <c r="AD135" s="403">
        <f t="shared" si="119"/>
        <v>527.40693054393569</v>
      </c>
      <c r="AE135" s="403">
        <f t="shared" si="120"/>
        <v>547.92698296016022</v>
      </c>
      <c r="AF135" s="403">
        <f t="shared" si="121"/>
        <v>573.8067719962437</v>
      </c>
      <c r="AG135" s="404">
        <f t="shared" si="122"/>
        <v>600.08324541258821</v>
      </c>
    </row>
    <row r="136" spans="2:33" s="263" customFormat="1" x14ac:dyDescent="0.2">
      <c r="B136" s="250" t="s">
        <v>128</v>
      </c>
      <c r="C136" s="363">
        <f>+'Input Sheet'!G144</f>
        <v>0</v>
      </c>
      <c r="D136" s="364"/>
      <c r="E136" s="364">
        <f>+'Input Sheet'!I144</f>
        <v>1</v>
      </c>
      <c r="F136" s="365">
        <f>+'Input Sheet'!K144</f>
        <v>0</v>
      </c>
      <c r="G136" s="362"/>
      <c r="H136" s="363">
        <f t="shared" si="123"/>
        <v>1</v>
      </c>
      <c r="I136" s="364">
        <f t="shared" si="123"/>
        <v>1</v>
      </c>
      <c r="J136" s="364">
        <f t="shared" si="123"/>
        <v>1</v>
      </c>
      <c r="K136" s="364">
        <f t="shared" si="123"/>
        <v>1</v>
      </c>
      <c r="L136" s="365">
        <f t="shared" si="123"/>
        <v>1</v>
      </c>
      <c r="N136" s="418">
        <f>IF($N32="Hourly",'Standard Hour Calcs'!$Y33,'Standard Hour Calcs'!$E33)</f>
        <v>6</v>
      </c>
      <c r="O136" s="418"/>
      <c r="Q136" s="402">
        <f>IF($N32="Hourly",$N136*'Input Sheet'!G$280*'Fee Breakdown'!H136,'Input Sheet'!G$280*'Fee Breakdown'!$N32*'Fee Breakdown'!H136*$N136)</f>
        <v>214.66513771480703</v>
      </c>
      <c r="R136" s="403">
        <f>IF($N32="Hourly",$N136*'Input Sheet'!H$280*'Fee Breakdown'!I136,'Input Sheet'!H$280*'Fee Breakdown'!$N32*'Fee Breakdown'!I136*$N136)</f>
        <v>224.03091754533688</v>
      </c>
      <c r="S136" s="403">
        <f>IF($N32="Hourly",$N136*'Input Sheet'!I$280*'Fee Breakdown'!J136,'Input Sheet'!I$280*'Fee Breakdown'!$N32*'Fee Breakdown'!J136*$N136)</f>
        <v>231.61608899692493</v>
      </c>
      <c r="T136" s="403">
        <f>IF($N32="Hourly",$N136*'Input Sheet'!J$280*'Fee Breakdown'!K136,'Input Sheet'!J$280*'Fee Breakdown'!$N32*'Fee Breakdown'!K136*$N136)</f>
        <v>239.77549716526033</v>
      </c>
      <c r="U136" s="404">
        <f>IF($N32="Hourly",$N136*'Input Sheet'!K$280*'Fee Breakdown'!L136,'Input Sheet'!K$280*'Fee Breakdown'!$N32*'Fee Breakdown'!L136*$N136)</f>
        <v>248.03248979804363</v>
      </c>
      <c r="V136" s="405"/>
      <c r="W136" s="402">
        <f>+Q136*('Input Sheet'!G$298-1)</f>
        <v>251.8993110532279</v>
      </c>
      <c r="X136" s="403">
        <f>+R136*('Input Sheet'!H$298-1)</f>
        <v>282.27973577684145</v>
      </c>
      <c r="Y136" s="403">
        <f>+S136*('Input Sheet'!I$298-1)</f>
        <v>294.39381464482886</v>
      </c>
      <c r="Z136" s="403">
        <f>+T136*('Input Sheet'!J$298-1)</f>
        <v>311.07900395113359</v>
      </c>
      <c r="AA136" s="404">
        <f>+U136*('Input Sheet'!K$298-1)</f>
        <v>328.0474257980411</v>
      </c>
      <c r="AB136" s="405"/>
      <c r="AC136" s="402">
        <f t="shared" si="118"/>
        <v>466.56444876803494</v>
      </c>
      <c r="AD136" s="403">
        <f t="shared" si="119"/>
        <v>506.31065332217833</v>
      </c>
      <c r="AE136" s="403">
        <f t="shared" si="120"/>
        <v>526.00990364175379</v>
      </c>
      <c r="AF136" s="403">
        <f t="shared" si="121"/>
        <v>550.85450111639398</v>
      </c>
      <c r="AG136" s="404">
        <f t="shared" si="122"/>
        <v>576.07991559608467</v>
      </c>
    </row>
    <row r="137" spans="2:33" s="263" customFormat="1" x14ac:dyDescent="0.2">
      <c r="B137" s="250" t="s">
        <v>129</v>
      </c>
      <c r="C137" s="363">
        <f>+'Input Sheet'!G145</f>
        <v>0</v>
      </c>
      <c r="D137" s="364">
        <f>+'Input Sheet'!H145</f>
        <v>3</v>
      </c>
      <c r="E137" s="364">
        <f>+'Input Sheet'!I145</f>
        <v>3</v>
      </c>
      <c r="F137" s="365">
        <f>+'Input Sheet'!K145</f>
        <v>3</v>
      </c>
      <c r="G137" s="362"/>
      <c r="H137" s="363">
        <f t="shared" si="123"/>
        <v>3</v>
      </c>
      <c r="I137" s="364">
        <f t="shared" si="123"/>
        <v>3</v>
      </c>
      <c r="J137" s="364">
        <f t="shared" si="123"/>
        <v>3</v>
      </c>
      <c r="K137" s="364">
        <f t="shared" si="123"/>
        <v>3</v>
      </c>
      <c r="L137" s="365">
        <f t="shared" si="123"/>
        <v>3</v>
      </c>
      <c r="N137" s="418">
        <v>1</v>
      </c>
      <c r="O137" s="418"/>
      <c r="Q137" s="402">
        <f>IF($N33="Hourly",$N137*'Input Sheet'!G$280*'Fee Breakdown'!H137,'Input Sheet'!G$280*'Fee Breakdown'!$N33*'Fee Breakdown'!H137*$N137)</f>
        <v>912.32683528792973</v>
      </c>
      <c r="R137" s="403">
        <f>IF($N33="Hourly",$N137*'Input Sheet'!H$280*'Fee Breakdown'!I137,'Input Sheet'!H$280*'Fee Breakdown'!$N33*'Fee Breakdown'!I137*$N137)</f>
        <v>952.13139956768168</v>
      </c>
      <c r="S137" s="403">
        <f>IF($N33="Hourly",$N137*'Input Sheet'!I$280*'Fee Breakdown'!J137,'Input Sheet'!I$280*'Fee Breakdown'!$N33*'Fee Breakdown'!J137*$N137)</f>
        <v>984.36837823693099</v>
      </c>
      <c r="T137" s="403">
        <f>IF($N33="Hourly",$N137*'Input Sheet'!J$280*'Fee Breakdown'!K137,'Input Sheet'!J$280*'Fee Breakdown'!$N33*'Fee Breakdown'!K137*$N137)</f>
        <v>1019.0458629523563</v>
      </c>
      <c r="U137" s="404">
        <f>IF($N33="Hourly",$N137*'Input Sheet'!K$280*'Fee Breakdown'!L137,'Input Sheet'!K$280*'Fee Breakdown'!$N33*'Fee Breakdown'!L137*$N137)</f>
        <v>1054.1380816416854</v>
      </c>
      <c r="V137" s="405"/>
      <c r="W137" s="402">
        <f>+Q137*('Input Sheet'!G$298-1)</f>
        <v>1070.5720719762185</v>
      </c>
      <c r="X137" s="403">
        <f>+R137*('Input Sheet'!H$298-1)</f>
        <v>1199.6888770515761</v>
      </c>
      <c r="Y137" s="403">
        <f>+S137*('Input Sheet'!I$298-1)</f>
        <v>1251.1737122405227</v>
      </c>
      <c r="Z137" s="403">
        <f>+T137*('Input Sheet'!J$298-1)</f>
        <v>1322.0857667923176</v>
      </c>
      <c r="AA137" s="404">
        <f>+U137*('Input Sheet'!K$298-1)</f>
        <v>1394.2015596416745</v>
      </c>
      <c r="AB137" s="405"/>
      <c r="AC137" s="402">
        <f t="shared" si="118"/>
        <v>1982.8989072641482</v>
      </c>
      <c r="AD137" s="403">
        <f t="shared" si="119"/>
        <v>2151.820276619258</v>
      </c>
      <c r="AE137" s="403">
        <f t="shared" si="120"/>
        <v>2235.5420904774537</v>
      </c>
      <c r="AF137" s="403">
        <f t="shared" si="121"/>
        <v>2341.1316297446738</v>
      </c>
      <c r="AG137" s="404">
        <f t="shared" si="122"/>
        <v>2448.3396412833599</v>
      </c>
    </row>
    <row r="138" spans="2:33" s="263" customFormat="1" x14ac:dyDescent="0.2">
      <c r="B138" s="250" t="s">
        <v>130</v>
      </c>
      <c r="C138" s="363">
        <f>+'Input Sheet'!G146</f>
        <v>0</v>
      </c>
      <c r="D138" s="364">
        <f>+'Input Sheet'!H146</f>
        <v>3</v>
      </c>
      <c r="E138" s="364">
        <f>+'Input Sheet'!I146</f>
        <v>8</v>
      </c>
      <c r="F138" s="365">
        <f>+'Input Sheet'!K146</f>
        <v>3</v>
      </c>
      <c r="G138" s="362"/>
      <c r="H138" s="363">
        <f t="shared" si="123"/>
        <v>5</v>
      </c>
      <c r="I138" s="364">
        <f t="shared" si="123"/>
        <v>5</v>
      </c>
      <c r="J138" s="364">
        <f t="shared" si="123"/>
        <v>5</v>
      </c>
      <c r="K138" s="364">
        <f t="shared" si="123"/>
        <v>5</v>
      </c>
      <c r="L138" s="365">
        <f t="shared" si="123"/>
        <v>5</v>
      </c>
      <c r="N138" s="418">
        <f>IF($N34="Hourly",'Standard Hour Calcs'!$Y35,'Standard Hour Calcs'!$E35)</f>
        <v>2</v>
      </c>
      <c r="O138" s="418"/>
      <c r="Q138" s="402">
        <f>IF($N34="Hourly",$N138*'Input Sheet'!G$280*'Fee Breakdown'!H138,'Input Sheet'!G$280*'Fee Breakdown'!$N34*'Fee Breakdown'!H138*$N138)</f>
        <v>1073.325688574035</v>
      </c>
      <c r="R138" s="403">
        <f>IF($N34="Hourly",$N138*'Input Sheet'!H$280*'Fee Breakdown'!I138,'Input Sheet'!H$280*'Fee Breakdown'!$N34*'Fee Breakdown'!I138*$N138)</f>
        <v>1120.1545877266842</v>
      </c>
      <c r="S138" s="403">
        <f>IF($N34="Hourly",$N138*'Input Sheet'!I$280*'Fee Breakdown'!J138,'Input Sheet'!I$280*'Fee Breakdown'!$N34*'Fee Breakdown'!J138*$N138)</f>
        <v>1158.0804449846246</v>
      </c>
      <c r="T138" s="403">
        <f>IF($N34="Hourly",$N138*'Input Sheet'!J$280*'Fee Breakdown'!K138,'Input Sheet'!J$280*'Fee Breakdown'!$N34*'Fee Breakdown'!K138*$N138)</f>
        <v>1198.8774858263014</v>
      </c>
      <c r="U138" s="404">
        <f>IF($N34="Hourly",$N138*'Input Sheet'!K$280*'Fee Breakdown'!L138,'Input Sheet'!K$280*'Fee Breakdown'!$N34*'Fee Breakdown'!L138*$N138)</f>
        <v>1240.1624489902181</v>
      </c>
      <c r="V138" s="405"/>
      <c r="W138" s="402">
        <f>+Q138*('Input Sheet'!G$298-1)</f>
        <v>1259.4965552661395</v>
      </c>
      <c r="X138" s="403">
        <f>+R138*('Input Sheet'!H$298-1)</f>
        <v>1411.3986788842071</v>
      </c>
      <c r="Y138" s="403">
        <f>+S138*('Input Sheet'!I$298-1)</f>
        <v>1471.9690732241443</v>
      </c>
      <c r="Z138" s="403">
        <f>+T138*('Input Sheet'!J$298-1)</f>
        <v>1555.3950197556676</v>
      </c>
      <c r="AA138" s="404">
        <f>+U138*('Input Sheet'!K$298-1)</f>
        <v>1640.2371289902053</v>
      </c>
      <c r="AB138" s="405"/>
      <c r="AC138" s="402">
        <f t="shared" si="118"/>
        <v>2332.8222438401745</v>
      </c>
      <c r="AD138" s="403">
        <f t="shared" si="119"/>
        <v>2531.5532666108911</v>
      </c>
      <c r="AE138" s="403">
        <f t="shared" si="120"/>
        <v>2630.0495182087689</v>
      </c>
      <c r="AF138" s="403">
        <f t="shared" si="121"/>
        <v>2754.2725055819692</v>
      </c>
      <c r="AG138" s="404">
        <f t="shared" si="122"/>
        <v>2880.3995779804236</v>
      </c>
    </row>
    <row r="139" spans="2:33" s="263" customFormat="1" x14ac:dyDescent="0.2">
      <c r="B139" s="250" t="s">
        <v>131</v>
      </c>
      <c r="C139" s="363">
        <f>+'Input Sheet'!G147</f>
        <v>0</v>
      </c>
      <c r="D139" s="364">
        <f>+'Input Sheet'!H147</f>
        <v>3</v>
      </c>
      <c r="E139" s="364">
        <f>+'Input Sheet'!I147</f>
        <v>2</v>
      </c>
      <c r="F139" s="365">
        <f>+'Input Sheet'!K147</f>
        <v>4</v>
      </c>
      <c r="G139" s="362"/>
      <c r="H139" s="363">
        <f t="shared" si="123"/>
        <v>3</v>
      </c>
      <c r="I139" s="364">
        <f t="shared" si="123"/>
        <v>3</v>
      </c>
      <c r="J139" s="364">
        <f t="shared" si="123"/>
        <v>3</v>
      </c>
      <c r="K139" s="364">
        <f t="shared" si="123"/>
        <v>3</v>
      </c>
      <c r="L139" s="365">
        <f t="shared" si="123"/>
        <v>3</v>
      </c>
      <c r="N139" s="418">
        <f>IF($N35="Hourly",'Standard Hour Calcs'!$Y36,'Standard Hour Calcs'!$E36)</f>
        <v>8</v>
      </c>
      <c r="O139" s="418"/>
      <c r="Q139" s="402">
        <f>IF($N35="Hourly",$N139*'Input Sheet'!G$280*'Fee Breakdown'!H139,'Input Sheet'!G$280*'Fee Breakdown'!$N35*'Fee Breakdown'!H139*$N139)</f>
        <v>2146.6513771480704</v>
      </c>
      <c r="R139" s="403">
        <f>IF($N35="Hourly",$N139*'Input Sheet'!H$280*'Fee Breakdown'!I139,'Input Sheet'!H$280*'Fee Breakdown'!$N35*'Fee Breakdown'!I139*$N139)</f>
        <v>2240.3091754533689</v>
      </c>
      <c r="S139" s="403">
        <f>IF($N35="Hourly",$N139*'Input Sheet'!I$280*'Fee Breakdown'!J139,'Input Sheet'!I$280*'Fee Breakdown'!$N35*'Fee Breakdown'!J139*$N139)</f>
        <v>2316.1608899692492</v>
      </c>
      <c r="T139" s="403">
        <f>IF($N35="Hourly",$N139*'Input Sheet'!J$280*'Fee Breakdown'!K139,'Input Sheet'!J$280*'Fee Breakdown'!$N35*'Fee Breakdown'!K139*$N139)</f>
        <v>2397.7549716526028</v>
      </c>
      <c r="U139" s="404">
        <f>IF($N35="Hourly",$N139*'Input Sheet'!K$280*'Fee Breakdown'!L139,'Input Sheet'!K$280*'Fee Breakdown'!$N35*'Fee Breakdown'!L139*$N139)</f>
        <v>2480.3248979804362</v>
      </c>
      <c r="V139" s="405"/>
      <c r="W139" s="402">
        <f>+Q139*('Input Sheet'!G$298-1)</f>
        <v>2518.9931105322794</v>
      </c>
      <c r="X139" s="403">
        <f>+R139*('Input Sheet'!H$298-1)</f>
        <v>2822.7973577684147</v>
      </c>
      <c r="Y139" s="403">
        <f>+S139*('Input Sheet'!I$298-1)</f>
        <v>2943.9381464482885</v>
      </c>
      <c r="Z139" s="403">
        <f>+T139*('Input Sheet'!J$298-1)</f>
        <v>3110.7900395113352</v>
      </c>
      <c r="AA139" s="404">
        <f>+U139*('Input Sheet'!K$298-1)</f>
        <v>3280.4742579804106</v>
      </c>
      <c r="AB139" s="405"/>
      <c r="AC139" s="402">
        <f t="shared" si="118"/>
        <v>4665.6444876803498</v>
      </c>
      <c r="AD139" s="403">
        <f t="shared" si="119"/>
        <v>5063.106533221784</v>
      </c>
      <c r="AE139" s="403">
        <f t="shared" si="120"/>
        <v>5260.0990364175377</v>
      </c>
      <c r="AF139" s="403">
        <f t="shared" si="121"/>
        <v>5508.5450111639384</v>
      </c>
      <c r="AG139" s="404">
        <f t="shared" si="122"/>
        <v>5760.7991559608472</v>
      </c>
    </row>
    <row r="140" spans="2:33" s="263" customFormat="1" x14ac:dyDescent="0.2">
      <c r="B140" s="250" t="s">
        <v>132</v>
      </c>
      <c r="C140" s="363">
        <f>+'Input Sheet'!G148</f>
        <v>0</v>
      </c>
      <c r="D140" s="364">
        <f>+'Input Sheet'!H148</f>
        <v>2</v>
      </c>
      <c r="E140" s="364">
        <f>+'Input Sheet'!I148</f>
        <v>0</v>
      </c>
      <c r="F140" s="365">
        <f>+'Input Sheet'!K148</f>
        <v>0</v>
      </c>
      <c r="G140" s="362"/>
      <c r="H140" s="363">
        <f t="shared" si="123"/>
        <v>1</v>
      </c>
      <c r="I140" s="364">
        <f t="shared" si="123"/>
        <v>1</v>
      </c>
      <c r="J140" s="364">
        <f t="shared" si="123"/>
        <v>1</v>
      </c>
      <c r="K140" s="364">
        <f t="shared" si="123"/>
        <v>1</v>
      </c>
      <c r="L140" s="365">
        <f t="shared" si="123"/>
        <v>1</v>
      </c>
      <c r="N140" s="418">
        <f>IF($N36="Hourly",'Standard Hour Calcs'!$Y37,'Standard Hour Calcs'!$E37)</f>
        <v>5</v>
      </c>
      <c r="O140" s="418"/>
      <c r="Q140" s="402">
        <f>IF($N36="Hourly",$N140*'Input Sheet'!G$280*'Fee Breakdown'!H140,'Input Sheet'!G$280*'Fee Breakdown'!$N36*'Fee Breakdown'!H140*$N140)</f>
        <v>290.69237398880119</v>
      </c>
      <c r="R140" s="403">
        <f>IF($N36="Hourly",$N140*'Input Sheet'!H$280*'Fee Breakdown'!I140,'Input Sheet'!H$280*'Fee Breakdown'!$N36*'Fee Breakdown'!I140*$N140)</f>
        <v>303.37520084264372</v>
      </c>
      <c r="S140" s="403">
        <f>IF($N36="Hourly",$N140*'Input Sheet'!I$280*'Fee Breakdown'!J140,'Input Sheet'!I$280*'Fee Breakdown'!$N36*'Fee Breakdown'!J140*$N140)</f>
        <v>313.64678718333585</v>
      </c>
      <c r="T140" s="403">
        <f>IF($N36="Hourly",$N140*'Input Sheet'!J$280*'Fee Breakdown'!K140,'Input Sheet'!J$280*'Fee Breakdown'!$N36*'Fee Breakdown'!K140*$N140)</f>
        <v>324.69598574462333</v>
      </c>
      <c r="U140" s="404">
        <f>IF($N36="Hourly",$N140*'Input Sheet'!K$280*'Fee Breakdown'!L140,'Input Sheet'!K$280*'Fee Breakdown'!$N36*'Fee Breakdown'!L140*$N140)</f>
        <v>335.87732993485076</v>
      </c>
      <c r="V140" s="405"/>
      <c r="W140" s="402">
        <f>+Q140*('Input Sheet'!G$298-1)</f>
        <v>341.11365038457944</v>
      </c>
      <c r="X140" s="403">
        <f>+R140*('Input Sheet'!H$298-1)</f>
        <v>382.25380886447283</v>
      </c>
      <c r="Y140" s="403">
        <f>+S140*('Input Sheet'!I$298-1)</f>
        <v>398.65829066487242</v>
      </c>
      <c r="Z140" s="403">
        <f>+T140*('Input Sheet'!J$298-1)</f>
        <v>421.25281785049339</v>
      </c>
      <c r="AA140" s="404">
        <f>+U140*('Input Sheet'!K$298-1)</f>
        <v>444.23088910151398</v>
      </c>
      <c r="AB140" s="405"/>
      <c r="AC140" s="402">
        <f t="shared" si="118"/>
        <v>631.80602437338064</v>
      </c>
      <c r="AD140" s="403">
        <f t="shared" si="119"/>
        <v>685.62900970711655</v>
      </c>
      <c r="AE140" s="403">
        <f t="shared" si="120"/>
        <v>712.30507784820827</v>
      </c>
      <c r="AF140" s="403">
        <f t="shared" si="121"/>
        <v>745.94880359511671</v>
      </c>
      <c r="AG140" s="404">
        <f t="shared" si="122"/>
        <v>780.10821903636474</v>
      </c>
    </row>
    <row r="141" spans="2:33" s="263" customFormat="1" x14ac:dyDescent="0.2">
      <c r="B141" s="250" t="s">
        <v>133</v>
      </c>
      <c r="C141" s="363">
        <f>+'Input Sheet'!G149</f>
        <v>0</v>
      </c>
      <c r="D141" s="364">
        <f>+'Input Sheet'!H149</f>
        <v>5</v>
      </c>
      <c r="E141" s="364">
        <f>+'Input Sheet'!I149</f>
        <v>5</v>
      </c>
      <c r="F141" s="365">
        <f>+'Input Sheet'!K149</f>
        <v>5</v>
      </c>
      <c r="G141" s="362"/>
      <c r="H141" s="363">
        <f t="shared" si="123"/>
        <v>5</v>
      </c>
      <c r="I141" s="364">
        <f t="shared" si="123"/>
        <v>5</v>
      </c>
      <c r="J141" s="364">
        <f t="shared" si="123"/>
        <v>5</v>
      </c>
      <c r="K141" s="364">
        <f t="shared" si="123"/>
        <v>5</v>
      </c>
      <c r="L141" s="365">
        <f t="shared" si="123"/>
        <v>5</v>
      </c>
      <c r="N141" s="418">
        <v>1</v>
      </c>
      <c r="O141" s="418"/>
      <c r="Q141" s="402">
        <f>IF($N37="Hourly",$N141*'Input Sheet'!G$280*'Fee Breakdown'!H141,'Input Sheet'!G$280*'Fee Breakdown'!$N37*'Fee Breakdown'!H141*$N141)</f>
        <v>3130.5332583409358</v>
      </c>
      <c r="R141" s="403">
        <f>IF($N37="Hourly",$N141*'Input Sheet'!H$280*'Fee Breakdown'!I141,'Input Sheet'!H$280*'Fee Breakdown'!$N37*'Fee Breakdown'!I141*$N141)</f>
        <v>3267.1175475361629</v>
      </c>
      <c r="S141" s="403">
        <f>IF($N37="Hourly",$N141*'Input Sheet'!I$280*'Fee Breakdown'!J141,'Input Sheet'!I$280*'Fee Breakdown'!$N37*'Fee Breakdown'!J141*$N141)</f>
        <v>3377.7346312051554</v>
      </c>
      <c r="T141" s="403">
        <f>IF($N37="Hourly",$N141*'Input Sheet'!J$280*'Fee Breakdown'!K141,'Input Sheet'!J$280*'Fee Breakdown'!$N37*'Fee Breakdown'!K141*$N141)</f>
        <v>3496.7260003267124</v>
      </c>
      <c r="U141" s="404">
        <f>IF($N37="Hourly",$N141*'Input Sheet'!K$280*'Fee Breakdown'!L141,'Input Sheet'!K$280*'Fee Breakdown'!$N37*'Fee Breakdown'!L141*$N141)</f>
        <v>3617.1404762214697</v>
      </c>
      <c r="V141" s="405"/>
      <c r="W141" s="402">
        <f>+Q141*('Input Sheet'!G$298-1)</f>
        <v>3673.5316195262403</v>
      </c>
      <c r="X141" s="403">
        <f>+R141*('Input Sheet'!H$298-1)</f>
        <v>4116.5794800789381</v>
      </c>
      <c r="Y141" s="403">
        <f>+S141*('Input Sheet'!I$298-1)</f>
        <v>4293.2431302370878</v>
      </c>
      <c r="Z141" s="403">
        <f>+T141*('Input Sheet'!J$298-1)</f>
        <v>4536.568807620697</v>
      </c>
      <c r="AA141" s="404">
        <f>+U141*('Input Sheet'!K$298-1)</f>
        <v>4784.0249595547657</v>
      </c>
      <c r="AB141" s="405"/>
      <c r="AC141" s="402">
        <f t="shared" si="118"/>
        <v>6804.0648778671766</v>
      </c>
      <c r="AD141" s="403">
        <f t="shared" si="119"/>
        <v>7383.6970276151005</v>
      </c>
      <c r="AE141" s="403">
        <f t="shared" si="120"/>
        <v>7670.9777614422437</v>
      </c>
      <c r="AF141" s="403">
        <f t="shared" si="121"/>
        <v>8033.2948079474099</v>
      </c>
      <c r="AG141" s="404">
        <f t="shared" si="122"/>
        <v>8401.1654357762345</v>
      </c>
    </row>
    <row r="142" spans="2:33" s="263" customFormat="1" x14ac:dyDescent="0.2">
      <c r="B142" s="250" t="s">
        <v>134</v>
      </c>
      <c r="C142" s="363">
        <f>+'Input Sheet'!G150</f>
        <v>0</v>
      </c>
      <c r="D142" s="364">
        <f>+'Input Sheet'!H150</f>
        <v>3</v>
      </c>
      <c r="E142" s="364">
        <f>+'Input Sheet'!I150</f>
        <v>0</v>
      </c>
      <c r="F142" s="365">
        <f>+'Input Sheet'!K150</f>
        <v>2</v>
      </c>
      <c r="G142" s="362"/>
      <c r="H142" s="363">
        <f t="shared" si="123"/>
        <v>2</v>
      </c>
      <c r="I142" s="364">
        <f t="shared" si="123"/>
        <v>2</v>
      </c>
      <c r="J142" s="364">
        <f t="shared" si="123"/>
        <v>2</v>
      </c>
      <c r="K142" s="364">
        <f t="shared" si="123"/>
        <v>2</v>
      </c>
      <c r="L142" s="365">
        <f t="shared" si="123"/>
        <v>2</v>
      </c>
      <c r="N142" s="418">
        <f>IF($N38="Hourly",'Standard Hour Calcs'!$Y39,'Standard Hour Calcs'!$E39)</f>
        <v>2</v>
      </c>
      <c r="O142" s="418"/>
      <c r="Q142" s="402">
        <f>IF($N38="Hourly",$N142*'Input Sheet'!G$280*'Fee Breakdown'!H142,'Input Sheet'!G$280*'Fee Breakdown'!$N38*'Fee Breakdown'!H142*$N142)</f>
        <v>715.55045904935673</v>
      </c>
      <c r="R142" s="403">
        <f>IF($N38="Hourly",$N142*'Input Sheet'!H$280*'Fee Breakdown'!I142,'Input Sheet'!H$280*'Fee Breakdown'!$N38*'Fee Breakdown'!I142*$N142)</f>
        <v>746.76972515112288</v>
      </c>
      <c r="S142" s="403">
        <f>IF($N38="Hourly",$N142*'Input Sheet'!I$280*'Fee Breakdown'!J142,'Input Sheet'!I$280*'Fee Breakdown'!$N38*'Fee Breakdown'!J142*$N142)</f>
        <v>772.05362998974977</v>
      </c>
      <c r="T142" s="403">
        <f>IF($N38="Hourly",$N142*'Input Sheet'!J$280*'Fee Breakdown'!K142,'Input Sheet'!J$280*'Fee Breakdown'!$N38*'Fee Breakdown'!K142*$N142)</f>
        <v>799.25165721753433</v>
      </c>
      <c r="U142" s="404">
        <f>IF($N38="Hourly",$N142*'Input Sheet'!K$280*'Fee Breakdown'!L142,'Input Sheet'!K$280*'Fee Breakdown'!$N38*'Fee Breakdown'!L142*$N142)</f>
        <v>826.77496599347876</v>
      </c>
      <c r="V142" s="405"/>
      <c r="W142" s="402">
        <f>+Q142*('Input Sheet'!G$298-1)</f>
        <v>839.66437017742635</v>
      </c>
      <c r="X142" s="403">
        <f>+R142*('Input Sheet'!H$298-1)</f>
        <v>940.9324525894715</v>
      </c>
      <c r="Y142" s="403">
        <f>+S142*('Input Sheet'!I$298-1)</f>
        <v>981.31271548276288</v>
      </c>
      <c r="Z142" s="403">
        <f>+T142*('Input Sheet'!J$298-1)</f>
        <v>1036.9300131704451</v>
      </c>
      <c r="AA142" s="404">
        <f>+U142*('Input Sheet'!K$298-1)</f>
        <v>1093.4914193268037</v>
      </c>
      <c r="AB142" s="405"/>
      <c r="AC142" s="402">
        <f t="shared" si="118"/>
        <v>1555.214829226783</v>
      </c>
      <c r="AD142" s="403">
        <f t="shared" si="119"/>
        <v>1687.7021777405944</v>
      </c>
      <c r="AE142" s="403">
        <f t="shared" si="120"/>
        <v>1753.3663454725126</v>
      </c>
      <c r="AF142" s="403">
        <f t="shared" si="121"/>
        <v>1836.1816703879795</v>
      </c>
      <c r="AG142" s="404">
        <f t="shared" si="122"/>
        <v>1920.2663853202826</v>
      </c>
    </row>
    <row r="143" spans="2:33" s="263" customFormat="1" x14ac:dyDescent="0.2">
      <c r="B143" s="250" t="s">
        <v>135</v>
      </c>
      <c r="C143" s="363">
        <f>+'Input Sheet'!G151</f>
        <v>0</v>
      </c>
      <c r="D143" s="364"/>
      <c r="E143" s="364">
        <f>+'Input Sheet'!I151</f>
        <v>0</v>
      </c>
      <c r="F143" s="365">
        <f>+'Input Sheet'!K151</f>
        <v>1</v>
      </c>
      <c r="G143" s="362"/>
      <c r="H143" s="363">
        <f t="shared" si="123"/>
        <v>1</v>
      </c>
      <c r="I143" s="364">
        <f t="shared" si="123"/>
        <v>1</v>
      </c>
      <c r="J143" s="364">
        <f t="shared" si="123"/>
        <v>1</v>
      </c>
      <c r="K143" s="364">
        <f t="shared" si="123"/>
        <v>1</v>
      </c>
      <c r="L143" s="365">
        <f t="shared" si="123"/>
        <v>1</v>
      </c>
      <c r="N143" s="418">
        <f>IF($N39="Hourly",'Standard Hour Calcs'!$Y40,'Standard Hour Calcs'!$E40)</f>
        <v>2</v>
      </c>
      <c r="O143" s="418"/>
      <c r="Q143" s="402">
        <f>IF($N39="Hourly",$N143*'Input Sheet'!G$280*'Fee Breakdown'!H143,'Input Sheet'!G$280*'Fee Breakdown'!$N39*'Fee Breakdown'!H143*$N143)</f>
        <v>330.94208731032751</v>
      </c>
      <c r="R143" s="403">
        <f>IF($N39="Hourly",$N143*'Input Sheet'!H$280*'Fee Breakdown'!I143,'Input Sheet'!H$280*'Fee Breakdown'!$N39*'Fee Breakdown'!I143*$N143)</f>
        <v>345.38099788239435</v>
      </c>
      <c r="S143" s="403">
        <f>IF($N39="Hourly",$N143*'Input Sheet'!I$280*'Fee Breakdown'!J143,'Input Sheet'!I$280*'Fee Breakdown'!$N39*'Fee Breakdown'!J143*$N143)</f>
        <v>357.0748038702593</v>
      </c>
      <c r="T143" s="403">
        <f>IF($N39="Hourly",$N143*'Input Sheet'!J$280*'Fee Breakdown'!K143,'Input Sheet'!J$280*'Fee Breakdown'!$N39*'Fee Breakdown'!K143*$N143)</f>
        <v>369.65389146310963</v>
      </c>
      <c r="U143" s="404">
        <f>IF($N39="Hourly",$N143*'Input Sheet'!K$280*'Fee Breakdown'!L143,'Input Sheet'!K$280*'Fee Breakdown'!$N39*'Fee Breakdown'!L143*$N143)</f>
        <v>382.38342177198393</v>
      </c>
      <c r="V143" s="405"/>
      <c r="W143" s="402">
        <f>+Q143*('Input Sheet'!G$298-1)</f>
        <v>388.34477120705969</v>
      </c>
      <c r="X143" s="403">
        <f>+R143*('Input Sheet'!H$298-1)</f>
        <v>435.18125932263058</v>
      </c>
      <c r="Y143" s="403">
        <f>+S143*('Input Sheet'!I$298-1)</f>
        <v>453.85713091077787</v>
      </c>
      <c r="Z143" s="403">
        <f>+T143*('Input Sheet'!J$298-1)</f>
        <v>479.58013109133088</v>
      </c>
      <c r="AA143" s="404">
        <f>+U143*('Input Sheet'!K$298-1)</f>
        <v>505.73978143864667</v>
      </c>
      <c r="AB143" s="405"/>
      <c r="AC143" s="402">
        <f t="shared" si="118"/>
        <v>719.28685851738715</v>
      </c>
      <c r="AD143" s="403">
        <f t="shared" si="119"/>
        <v>780.56225720502493</v>
      </c>
      <c r="AE143" s="403">
        <f t="shared" si="120"/>
        <v>810.93193478103717</v>
      </c>
      <c r="AF143" s="403">
        <f t="shared" si="121"/>
        <v>849.23402255444057</v>
      </c>
      <c r="AG143" s="404">
        <f t="shared" si="122"/>
        <v>888.12320321063066</v>
      </c>
    </row>
    <row r="144" spans="2:33" s="263" customFormat="1" x14ac:dyDescent="0.2">
      <c r="B144" s="250" t="s">
        <v>136</v>
      </c>
      <c r="C144" s="363">
        <f>+'Input Sheet'!G152</f>
        <v>0</v>
      </c>
      <c r="D144" s="364"/>
      <c r="E144" s="364">
        <f>+'Input Sheet'!I152</f>
        <v>0</v>
      </c>
      <c r="F144" s="365">
        <f>+'Input Sheet'!K152</f>
        <v>1</v>
      </c>
      <c r="G144" s="362"/>
      <c r="H144" s="363">
        <f t="shared" si="123"/>
        <v>1</v>
      </c>
      <c r="I144" s="364">
        <f t="shared" si="123"/>
        <v>1</v>
      </c>
      <c r="J144" s="364">
        <f t="shared" si="123"/>
        <v>1</v>
      </c>
      <c r="K144" s="364">
        <f t="shared" si="123"/>
        <v>1</v>
      </c>
      <c r="L144" s="365">
        <f t="shared" si="123"/>
        <v>1</v>
      </c>
      <c r="N144" s="418">
        <f>IF($N40="Hourly",'Standard Hour Calcs'!$Y41,'Standard Hour Calcs'!$E41)</f>
        <v>5</v>
      </c>
      <c r="O144" s="418"/>
      <c r="Q144" s="402">
        <f>IF($N40="Hourly",$N144*'Input Sheet'!G$280*'Fee Breakdown'!H144,'Input Sheet'!G$280*'Fee Breakdown'!$N40*'Fee Breakdown'!H144*$N144)</f>
        <v>626.10665166818717</v>
      </c>
      <c r="R144" s="403">
        <f>IF($N40="Hourly",$N144*'Input Sheet'!H$280*'Fee Breakdown'!I144,'Input Sheet'!H$280*'Fee Breakdown'!$N40*'Fee Breakdown'!I144*$N144)</f>
        <v>653.42350950723244</v>
      </c>
      <c r="S144" s="403">
        <f>IF($N40="Hourly",$N144*'Input Sheet'!I$280*'Fee Breakdown'!J144,'Input Sheet'!I$280*'Fee Breakdown'!$N40*'Fee Breakdown'!J144*$N144)</f>
        <v>675.54692624103097</v>
      </c>
      <c r="T144" s="403">
        <f>IF($N40="Hourly",$N144*'Input Sheet'!J$280*'Fee Breakdown'!K144,'Input Sheet'!J$280*'Fee Breakdown'!$N40*'Fee Breakdown'!K144*$N144)</f>
        <v>699.3452000653424</v>
      </c>
      <c r="U144" s="404">
        <f>IF($N40="Hourly",$N144*'Input Sheet'!K$280*'Fee Breakdown'!L144,'Input Sheet'!K$280*'Fee Breakdown'!$N40*'Fee Breakdown'!L144*$N144)</f>
        <v>723.4280952442939</v>
      </c>
      <c r="V144" s="405"/>
      <c r="W144" s="402">
        <f>+Q144*('Input Sheet'!G$298-1)</f>
        <v>734.70632390524804</v>
      </c>
      <c r="X144" s="403">
        <f>+R144*('Input Sheet'!H$298-1)</f>
        <v>823.31589601578742</v>
      </c>
      <c r="Y144" s="403">
        <f>+S144*('Input Sheet'!I$298-1)</f>
        <v>858.64862604741734</v>
      </c>
      <c r="Z144" s="403">
        <f>+T144*('Input Sheet'!J$298-1)</f>
        <v>907.3137615241393</v>
      </c>
      <c r="AA144" s="404">
        <f>+U144*('Input Sheet'!K$298-1)</f>
        <v>956.80499191095316</v>
      </c>
      <c r="AB144" s="405"/>
      <c r="AC144" s="402">
        <f t="shared" si="118"/>
        <v>1360.8129755734353</v>
      </c>
      <c r="AD144" s="403">
        <f t="shared" si="119"/>
        <v>1476.7394055230197</v>
      </c>
      <c r="AE144" s="403">
        <f t="shared" si="120"/>
        <v>1534.1955522884482</v>
      </c>
      <c r="AF144" s="403">
        <f t="shared" si="121"/>
        <v>1606.6589615894818</v>
      </c>
      <c r="AG144" s="404">
        <f t="shared" si="122"/>
        <v>1680.2330871552472</v>
      </c>
    </row>
    <row r="145" spans="2:33" s="263" customFormat="1" x14ac:dyDescent="0.2">
      <c r="B145" s="250" t="s">
        <v>137</v>
      </c>
      <c r="C145" s="363">
        <f>+'Input Sheet'!G153</f>
        <v>0</v>
      </c>
      <c r="D145" s="364">
        <f>+'Input Sheet'!H153</f>
        <v>1</v>
      </c>
      <c r="E145" s="364">
        <f>+'Input Sheet'!I153</f>
        <v>1</v>
      </c>
      <c r="F145" s="365">
        <f>+'Input Sheet'!K153</f>
        <v>1</v>
      </c>
      <c r="G145" s="362"/>
      <c r="H145" s="363">
        <f t="shared" si="123"/>
        <v>1</v>
      </c>
      <c r="I145" s="364">
        <f t="shared" si="123"/>
        <v>1</v>
      </c>
      <c r="J145" s="364">
        <f t="shared" si="123"/>
        <v>1</v>
      </c>
      <c r="K145" s="364">
        <f t="shared" si="123"/>
        <v>1</v>
      </c>
      <c r="L145" s="365">
        <f t="shared" si="123"/>
        <v>1</v>
      </c>
      <c r="N145" s="418">
        <v>1</v>
      </c>
      <c r="O145" s="418"/>
      <c r="Q145" s="402">
        <f>IF($N41="Hourly",$N145*'Input Sheet'!G$280*'Fee Breakdown'!H145,'Input Sheet'!G$280*'Fee Breakdown'!$N41*'Fee Breakdown'!H145*$N145)</f>
        <v>760.27236273994151</v>
      </c>
      <c r="R145" s="403">
        <f>IF($N41="Hourly",$N145*'Input Sheet'!H$280*'Fee Breakdown'!I145,'Input Sheet'!H$280*'Fee Breakdown'!$N41*'Fee Breakdown'!I145*$N145)</f>
        <v>793.44283297306811</v>
      </c>
      <c r="S145" s="403">
        <f>IF($N41="Hourly",$N145*'Input Sheet'!I$280*'Fee Breakdown'!J145,'Input Sheet'!I$280*'Fee Breakdown'!$N41*'Fee Breakdown'!J145*$N145)</f>
        <v>820.30698186410916</v>
      </c>
      <c r="T145" s="403">
        <f>IF($N41="Hourly",$N145*'Input Sheet'!J$280*'Fee Breakdown'!K145,'Input Sheet'!J$280*'Fee Breakdown'!$N41*'Fee Breakdown'!K145*$N145)</f>
        <v>849.20488579363018</v>
      </c>
      <c r="U145" s="404">
        <f>IF($N41="Hourly",$N145*'Input Sheet'!K$280*'Fee Breakdown'!L145,'Input Sheet'!K$280*'Fee Breakdown'!$N41*'Fee Breakdown'!L145*$N145)</f>
        <v>878.44840136807113</v>
      </c>
      <c r="V145" s="405"/>
      <c r="W145" s="402">
        <f>+Q145*('Input Sheet'!G$298-1)</f>
        <v>892.1433933135155</v>
      </c>
      <c r="X145" s="403">
        <f>+R145*('Input Sheet'!H$298-1)</f>
        <v>999.74073087631348</v>
      </c>
      <c r="Y145" s="403">
        <f>+S145*('Input Sheet'!I$298-1)</f>
        <v>1042.6447602004355</v>
      </c>
      <c r="Z145" s="403">
        <f>+T145*('Input Sheet'!J$298-1)</f>
        <v>1101.7381389935979</v>
      </c>
      <c r="AA145" s="404">
        <f>+U145*('Input Sheet'!K$298-1)</f>
        <v>1161.8346330347288</v>
      </c>
      <c r="AB145" s="405"/>
      <c r="AC145" s="402">
        <f t="shared" si="118"/>
        <v>1652.415756053457</v>
      </c>
      <c r="AD145" s="403">
        <f t="shared" si="119"/>
        <v>1793.1835638493817</v>
      </c>
      <c r="AE145" s="403">
        <f t="shared" si="120"/>
        <v>1862.9517420645448</v>
      </c>
      <c r="AF145" s="403">
        <f t="shared" si="121"/>
        <v>1950.9430247872281</v>
      </c>
      <c r="AG145" s="404">
        <f t="shared" si="122"/>
        <v>2040.2830344027998</v>
      </c>
    </row>
    <row r="146" spans="2:33" s="263" customFormat="1" x14ac:dyDescent="0.2">
      <c r="B146" s="250" t="s">
        <v>138</v>
      </c>
      <c r="C146" s="363">
        <f>+'Input Sheet'!G154</f>
        <v>0</v>
      </c>
      <c r="D146" s="364">
        <f>+'Input Sheet'!H154</f>
        <v>0</v>
      </c>
      <c r="E146" s="364">
        <f>+'Input Sheet'!I154</f>
        <v>0</v>
      </c>
      <c r="F146" s="365">
        <f>+'Input Sheet'!K154</f>
        <v>0</v>
      </c>
      <c r="G146" s="362"/>
      <c r="H146" s="363">
        <f t="shared" si="123"/>
        <v>0</v>
      </c>
      <c r="I146" s="364">
        <f t="shared" si="123"/>
        <v>0</v>
      </c>
      <c r="J146" s="364">
        <f t="shared" si="123"/>
        <v>0</v>
      </c>
      <c r="K146" s="364">
        <f t="shared" si="123"/>
        <v>0</v>
      </c>
      <c r="L146" s="365">
        <f t="shared" si="123"/>
        <v>0</v>
      </c>
      <c r="N146" s="418">
        <f>IF($N42="Hourly",'Standard Hour Calcs'!$Y43,'Standard Hour Calcs'!$E43)</f>
        <v>0</v>
      </c>
      <c r="O146" s="418"/>
      <c r="Q146" s="402">
        <f>IF($N42="Hourly",$N146*'Input Sheet'!G$280*'Fee Breakdown'!H146,'Input Sheet'!G$280*'Fee Breakdown'!$N42*'Fee Breakdown'!H146*$N146)</f>
        <v>0</v>
      </c>
      <c r="R146" s="403">
        <f>IF($N42="Hourly",$N146*'Input Sheet'!H$280*'Fee Breakdown'!I146,'Input Sheet'!H$280*'Fee Breakdown'!$N42*'Fee Breakdown'!I146*$N146)</f>
        <v>0</v>
      </c>
      <c r="S146" s="403">
        <f>IF($N42="Hourly",$N146*'Input Sheet'!I$280*'Fee Breakdown'!J146,'Input Sheet'!I$280*'Fee Breakdown'!$N42*'Fee Breakdown'!J146*$N146)</f>
        <v>0</v>
      </c>
      <c r="T146" s="403">
        <f>IF($N42="Hourly",$N146*'Input Sheet'!J$280*'Fee Breakdown'!K146,'Input Sheet'!J$280*'Fee Breakdown'!$N42*'Fee Breakdown'!K146*$N146)</f>
        <v>0</v>
      </c>
      <c r="U146" s="404">
        <f>IF($N42="Hourly",$N146*'Input Sheet'!K$280*'Fee Breakdown'!L146,'Input Sheet'!K$280*'Fee Breakdown'!$N42*'Fee Breakdown'!L146*$N146)</f>
        <v>0</v>
      </c>
      <c r="V146" s="405"/>
      <c r="W146" s="402">
        <f>+Q146*('Input Sheet'!G$298-1)</f>
        <v>0</v>
      </c>
      <c r="X146" s="403">
        <f>+R146*('Input Sheet'!H$298-1)</f>
        <v>0</v>
      </c>
      <c r="Y146" s="403">
        <f>+S146*('Input Sheet'!I$298-1)</f>
        <v>0</v>
      </c>
      <c r="Z146" s="403">
        <f>+T146*('Input Sheet'!J$298-1)</f>
        <v>0</v>
      </c>
      <c r="AA146" s="404">
        <f>+U146*('Input Sheet'!K$298-1)</f>
        <v>0</v>
      </c>
      <c r="AB146" s="405"/>
      <c r="AC146" s="402">
        <f t="shared" si="118"/>
        <v>0</v>
      </c>
      <c r="AD146" s="403">
        <f t="shared" si="119"/>
        <v>0</v>
      </c>
      <c r="AE146" s="403">
        <f t="shared" si="120"/>
        <v>0</v>
      </c>
      <c r="AF146" s="403">
        <f t="shared" si="121"/>
        <v>0</v>
      </c>
      <c r="AG146" s="404">
        <f t="shared" si="122"/>
        <v>0</v>
      </c>
    </row>
    <row r="147" spans="2:33" s="263" customFormat="1" x14ac:dyDescent="0.2">
      <c r="B147" s="250" t="s">
        <v>139</v>
      </c>
      <c r="C147" s="363">
        <f>+'Input Sheet'!G155</f>
        <v>0</v>
      </c>
      <c r="D147" s="364">
        <f>+'Input Sheet'!H155</f>
        <v>0</v>
      </c>
      <c r="E147" s="364">
        <f>+'Input Sheet'!I155</f>
        <v>0</v>
      </c>
      <c r="F147" s="365">
        <f>+'Input Sheet'!K155</f>
        <v>0</v>
      </c>
      <c r="G147" s="362"/>
      <c r="H147" s="363">
        <f t="shared" si="123"/>
        <v>0</v>
      </c>
      <c r="I147" s="364">
        <f t="shared" si="123"/>
        <v>0</v>
      </c>
      <c r="J147" s="364">
        <f t="shared" si="123"/>
        <v>0</v>
      </c>
      <c r="K147" s="364">
        <f t="shared" si="123"/>
        <v>0</v>
      </c>
      <c r="L147" s="365">
        <f t="shared" si="123"/>
        <v>0</v>
      </c>
      <c r="N147" s="418">
        <f>IF($N43="Hourly",'Standard Hour Calcs'!$Y44,'Standard Hour Calcs'!$E44)</f>
        <v>0</v>
      </c>
      <c r="O147" s="418"/>
      <c r="Q147" s="402">
        <f>IF($N43="Hourly",$N147*'Input Sheet'!G$280*'Fee Breakdown'!H147,'Input Sheet'!G$280*'Fee Breakdown'!$N43*'Fee Breakdown'!H147*$N147)</f>
        <v>0</v>
      </c>
      <c r="R147" s="403">
        <f>IF($N43="Hourly",$N147*'Input Sheet'!H$280*'Fee Breakdown'!I147,'Input Sheet'!H$280*'Fee Breakdown'!$N43*'Fee Breakdown'!I147*$N147)</f>
        <v>0</v>
      </c>
      <c r="S147" s="403">
        <f>IF($N43="Hourly",$N147*'Input Sheet'!I$280*'Fee Breakdown'!J147,'Input Sheet'!I$280*'Fee Breakdown'!$N43*'Fee Breakdown'!J147*$N147)</f>
        <v>0</v>
      </c>
      <c r="T147" s="403">
        <f>IF($N43="Hourly",$N147*'Input Sheet'!J$280*'Fee Breakdown'!K147,'Input Sheet'!J$280*'Fee Breakdown'!$N43*'Fee Breakdown'!K147*$N147)</f>
        <v>0</v>
      </c>
      <c r="U147" s="404">
        <f>IF($N43="Hourly",$N147*'Input Sheet'!K$280*'Fee Breakdown'!L147,'Input Sheet'!K$280*'Fee Breakdown'!$N43*'Fee Breakdown'!L147*$N147)</f>
        <v>0</v>
      </c>
      <c r="V147" s="405"/>
      <c r="W147" s="402">
        <f>+Q147*('Input Sheet'!G$298-1)</f>
        <v>0</v>
      </c>
      <c r="X147" s="403">
        <f>+R147*('Input Sheet'!H$298-1)</f>
        <v>0</v>
      </c>
      <c r="Y147" s="403">
        <f>+S147*('Input Sheet'!I$298-1)</f>
        <v>0</v>
      </c>
      <c r="Z147" s="403">
        <f>+T147*('Input Sheet'!J$298-1)</f>
        <v>0</v>
      </c>
      <c r="AA147" s="404">
        <f>+U147*('Input Sheet'!K$298-1)</f>
        <v>0</v>
      </c>
      <c r="AB147" s="405"/>
      <c r="AC147" s="402">
        <f t="shared" si="118"/>
        <v>0</v>
      </c>
      <c r="AD147" s="403">
        <f t="shared" si="119"/>
        <v>0</v>
      </c>
      <c r="AE147" s="403">
        <f t="shared" si="120"/>
        <v>0</v>
      </c>
      <c r="AF147" s="403">
        <f t="shared" si="121"/>
        <v>0</v>
      </c>
      <c r="AG147" s="404">
        <f t="shared" si="122"/>
        <v>0</v>
      </c>
    </row>
    <row r="148" spans="2:33" s="263" customFormat="1" x14ac:dyDescent="0.2">
      <c r="B148" s="250" t="s">
        <v>140</v>
      </c>
      <c r="C148" s="363">
        <f>+'Input Sheet'!G156</f>
        <v>0</v>
      </c>
      <c r="D148" s="364">
        <f>+'Input Sheet'!H156</f>
        <v>0</v>
      </c>
      <c r="E148" s="364">
        <f>+'Input Sheet'!I156</f>
        <v>0</v>
      </c>
      <c r="F148" s="365">
        <f>+'Input Sheet'!K156</f>
        <v>0</v>
      </c>
      <c r="G148" s="362"/>
      <c r="H148" s="363">
        <f t="shared" ref="H148:L163" si="124">ROUND(AVERAGE($D148:$F148),0)</f>
        <v>0</v>
      </c>
      <c r="I148" s="364">
        <f t="shared" si="124"/>
        <v>0</v>
      </c>
      <c r="J148" s="364">
        <f t="shared" si="124"/>
        <v>0</v>
      </c>
      <c r="K148" s="364">
        <f t="shared" si="124"/>
        <v>0</v>
      </c>
      <c r="L148" s="365">
        <f t="shared" si="124"/>
        <v>0</v>
      </c>
      <c r="N148" s="418">
        <f>IF($N44="Hourly",'Standard Hour Calcs'!$Y45,'Standard Hour Calcs'!$E45)</f>
        <v>0</v>
      </c>
      <c r="O148" s="418"/>
      <c r="Q148" s="402">
        <f>IF($N44="Hourly",$N148*'Input Sheet'!G$280*'Fee Breakdown'!H148,'Input Sheet'!G$280*'Fee Breakdown'!$N44*'Fee Breakdown'!H148*$N148)</f>
        <v>0</v>
      </c>
      <c r="R148" s="403">
        <f>IF($N44="Hourly",$N148*'Input Sheet'!H$280*'Fee Breakdown'!I148,'Input Sheet'!H$280*'Fee Breakdown'!$N44*'Fee Breakdown'!I148*$N148)</f>
        <v>0</v>
      </c>
      <c r="S148" s="403">
        <f>IF($N44="Hourly",$N148*'Input Sheet'!I$280*'Fee Breakdown'!J148,'Input Sheet'!I$280*'Fee Breakdown'!$N44*'Fee Breakdown'!J148*$N148)</f>
        <v>0</v>
      </c>
      <c r="T148" s="403">
        <f>IF($N44="Hourly",$N148*'Input Sheet'!J$280*'Fee Breakdown'!K148,'Input Sheet'!J$280*'Fee Breakdown'!$N44*'Fee Breakdown'!K148*$N148)</f>
        <v>0</v>
      </c>
      <c r="U148" s="404">
        <f>IF($N44="Hourly",$N148*'Input Sheet'!K$280*'Fee Breakdown'!L148,'Input Sheet'!K$280*'Fee Breakdown'!$N44*'Fee Breakdown'!L148*$N148)</f>
        <v>0</v>
      </c>
      <c r="V148" s="405"/>
      <c r="W148" s="402">
        <f>+Q148*('Input Sheet'!G$298-1)</f>
        <v>0</v>
      </c>
      <c r="X148" s="403">
        <f>+R148*('Input Sheet'!H$298-1)</f>
        <v>0</v>
      </c>
      <c r="Y148" s="403">
        <f>+S148*('Input Sheet'!I$298-1)</f>
        <v>0</v>
      </c>
      <c r="Z148" s="403">
        <f>+T148*('Input Sheet'!J$298-1)</f>
        <v>0</v>
      </c>
      <c r="AA148" s="404">
        <f>+U148*('Input Sheet'!K$298-1)</f>
        <v>0</v>
      </c>
      <c r="AB148" s="405"/>
      <c r="AC148" s="402">
        <f t="shared" si="118"/>
        <v>0</v>
      </c>
      <c r="AD148" s="403">
        <f t="shared" si="119"/>
        <v>0</v>
      </c>
      <c r="AE148" s="403">
        <f t="shared" si="120"/>
        <v>0</v>
      </c>
      <c r="AF148" s="403">
        <f t="shared" si="121"/>
        <v>0</v>
      </c>
      <c r="AG148" s="404">
        <f t="shared" si="122"/>
        <v>0</v>
      </c>
    </row>
    <row r="149" spans="2:33" s="263" customFormat="1" x14ac:dyDescent="0.2">
      <c r="B149" s="250" t="s">
        <v>141</v>
      </c>
      <c r="C149" s="363">
        <f>+'Input Sheet'!G157</f>
        <v>0</v>
      </c>
      <c r="D149" s="364">
        <f>+'Input Sheet'!H157</f>
        <v>0</v>
      </c>
      <c r="E149" s="364">
        <f>+'Input Sheet'!I157</f>
        <v>0</v>
      </c>
      <c r="F149" s="365">
        <f>+'Input Sheet'!K157</f>
        <v>0</v>
      </c>
      <c r="G149" s="362"/>
      <c r="H149" s="363">
        <f t="shared" si="123"/>
        <v>0</v>
      </c>
      <c r="I149" s="364">
        <f t="shared" si="123"/>
        <v>0</v>
      </c>
      <c r="J149" s="364">
        <f t="shared" si="123"/>
        <v>0</v>
      </c>
      <c r="K149" s="364">
        <f t="shared" si="123"/>
        <v>0</v>
      </c>
      <c r="L149" s="365">
        <f t="shared" si="123"/>
        <v>0</v>
      </c>
      <c r="N149" s="418">
        <v>1</v>
      </c>
      <c r="O149" s="418"/>
      <c r="Q149" s="402">
        <f>IF($N45="Hourly",$N149*'Input Sheet'!G$280*'Fee Breakdown'!H149,'Input Sheet'!G$280*'Fee Breakdown'!$N45*'Fee Breakdown'!H149*$N149)</f>
        <v>0</v>
      </c>
      <c r="R149" s="403">
        <f>IF($N45="Hourly",$N149*'Input Sheet'!H$280*'Fee Breakdown'!I149,'Input Sheet'!H$280*'Fee Breakdown'!$N45*'Fee Breakdown'!I149*$N149)</f>
        <v>0</v>
      </c>
      <c r="S149" s="403">
        <f>IF($N45="Hourly",$N149*'Input Sheet'!I$280*'Fee Breakdown'!J149,'Input Sheet'!I$280*'Fee Breakdown'!$N45*'Fee Breakdown'!J149*$N149)</f>
        <v>0</v>
      </c>
      <c r="T149" s="403">
        <f>IF($N45="Hourly",$N149*'Input Sheet'!J$280*'Fee Breakdown'!K149,'Input Sheet'!J$280*'Fee Breakdown'!$N45*'Fee Breakdown'!K149*$N149)</f>
        <v>0</v>
      </c>
      <c r="U149" s="404">
        <f>IF($N45="Hourly",$N149*'Input Sheet'!K$280*'Fee Breakdown'!L149,'Input Sheet'!K$280*'Fee Breakdown'!$N45*'Fee Breakdown'!L149*$N149)</f>
        <v>0</v>
      </c>
      <c r="V149" s="405"/>
      <c r="W149" s="402">
        <f>+Q149*('Input Sheet'!G$298-1)</f>
        <v>0</v>
      </c>
      <c r="X149" s="403">
        <f>+R149*('Input Sheet'!H$298-1)</f>
        <v>0</v>
      </c>
      <c r="Y149" s="403">
        <f>+S149*('Input Sheet'!I$298-1)</f>
        <v>0</v>
      </c>
      <c r="Z149" s="403">
        <f>+T149*('Input Sheet'!J$298-1)</f>
        <v>0</v>
      </c>
      <c r="AA149" s="404">
        <f>+U149*('Input Sheet'!K$298-1)</f>
        <v>0</v>
      </c>
      <c r="AB149" s="405"/>
      <c r="AC149" s="402">
        <f t="shared" si="118"/>
        <v>0</v>
      </c>
      <c r="AD149" s="403">
        <f t="shared" si="119"/>
        <v>0</v>
      </c>
      <c r="AE149" s="403">
        <f t="shared" si="120"/>
        <v>0</v>
      </c>
      <c r="AF149" s="403">
        <f t="shared" si="121"/>
        <v>0</v>
      </c>
      <c r="AG149" s="404">
        <f t="shared" si="122"/>
        <v>0</v>
      </c>
    </row>
    <row r="150" spans="2:33" s="263" customFormat="1" x14ac:dyDescent="0.2">
      <c r="B150" s="250" t="s">
        <v>142</v>
      </c>
      <c r="C150" s="363">
        <f>+'Input Sheet'!G158</f>
        <v>0</v>
      </c>
      <c r="D150" s="364">
        <f>+'Input Sheet'!H158</f>
        <v>0</v>
      </c>
      <c r="E150" s="364">
        <f>+'Input Sheet'!I158</f>
        <v>0</v>
      </c>
      <c r="F150" s="365">
        <f>+'Input Sheet'!K158</f>
        <v>2</v>
      </c>
      <c r="G150" s="362"/>
      <c r="H150" s="363">
        <f t="shared" si="124"/>
        <v>1</v>
      </c>
      <c r="I150" s="364">
        <f t="shared" si="124"/>
        <v>1</v>
      </c>
      <c r="J150" s="364">
        <f t="shared" si="124"/>
        <v>1</v>
      </c>
      <c r="K150" s="364">
        <f t="shared" si="124"/>
        <v>1</v>
      </c>
      <c r="L150" s="365">
        <f t="shared" si="124"/>
        <v>1</v>
      </c>
      <c r="N150" s="418">
        <f>IF($N46="Hourly",'Standard Hour Calcs'!$Y47,'Standard Hour Calcs'!$E47)</f>
        <v>1</v>
      </c>
      <c r="O150" s="418"/>
      <c r="Q150" s="402">
        <f>IF($N46="Hourly",$N150*'Input Sheet'!G$280*'Fee Breakdown'!H150,'Input Sheet'!G$280*'Fee Breakdown'!$N46*'Fee Breakdown'!H150*$N150)</f>
        <v>98.388188119286554</v>
      </c>
      <c r="R150" s="403">
        <f>IF($N46="Hourly",$N150*'Input Sheet'!H$280*'Fee Breakdown'!I150,'Input Sheet'!H$280*'Fee Breakdown'!$N46*'Fee Breakdown'!I150*$N150)</f>
        <v>102.6808372082794</v>
      </c>
      <c r="S150" s="403">
        <f>IF($N46="Hourly",$N150*'Input Sheet'!I$280*'Fee Breakdown'!J150,'Input Sheet'!I$280*'Fee Breakdown'!$N46*'Fee Breakdown'!J150*$N150)</f>
        <v>106.1573741235906</v>
      </c>
      <c r="T150" s="403">
        <f>IF($N46="Hourly",$N150*'Input Sheet'!J$280*'Fee Breakdown'!K150,'Input Sheet'!J$280*'Fee Breakdown'!$N46*'Fee Breakdown'!K150*$N150)</f>
        <v>109.89710286741098</v>
      </c>
      <c r="U150" s="404">
        <f>IF($N46="Hourly",$N150*'Input Sheet'!K$280*'Fee Breakdown'!L150,'Input Sheet'!K$280*'Fee Breakdown'!$N46*'Fee Breakdown'!L150*$N150)</f>
        <v>113.68155782410334</v>
      </c>
      <c r="V150" s="405"/>
      <c r="W150" s="402">
        <f>+Q150*('Input Sheet'!G$298-1)</f>
        <v>115.45385089939613</v>
      </c>
      <c r="X150" s="403">
        <f>+R150*('Input Sheet'!H$298-1)</f>
        <v>129.37821223105234</v>
      </c>
      <c r="Y150" s="403">
        <f>+S150*('Input Sheet'!I$298-1)</f>
        <v>134.93049837887989</v>
      </c>
      <c r="Z150" s="403">
        <f>+T150*('Input Sheet'!J$298-1)</f>
        <v>142.57787681093623</v>
      </c>
      <c r="AA150" s="404">
        <f>+U150*('Input Sheet'!K$298-1)</f>
        <v>150.35507015743551</v>
      </c>
      <c r="AB150" s="405"/>
      <c r="AC150" s="402">
        <f t="shared" si="118"/>
        <v>213.84203901868267</v>
      </c>
      <c r="AD150" s="403">
        <f t="shared" si="119"/>
        <v>232.05904943933174</v>
      </c>
      <c r="AE150" s="403">
        <f t="shared" si="120"/>
        <v>241.08787250247047</v>
      </c>
      <c r="AF150" s="403">
        <f t="shared" si="121"/>
        <v>252.47497967834721</v>
      </c>
      <c r="AG150" s="404">
        <f t="shared" si="122"/>
        <v>264.03662798153886</v>
      </c>
    </row>
    <row r="151" spans="2:33" s="263" customFormat="1" x14ac:dyDescent="0.2">
      <c r="B151" s="250" t="s">
        <v>143</v>
      </c>
      <c r="C151" s="363">
        <f>+'Input Sheet'!G159</f>
        <v>0</v>
      </c>
      <c r="D151" s="364">
        <f>+'Input Sheet'!H159</f>
        <v>0</v>
      </c>
      <c r="E151" s="364">
        <f>+'Input Sheet'!I159</f>
        <v>0</v>
      </c>
      <c r="F151" s="365">
        <f>+'Input Sheet'!K159</f>
        <v>0</v>
      </c>
      <c r="G151" s="362"/>
      <c r="H151" s="359">
        <f t="shared" si="124"/>
        <v>0</v>
      </c>
      <c r="I151" s="360">
        <f t="shared" si="124"/>
        <v>0</v>
      </c>
      <c r="J151" s="360">
        <f t="shared" si="124"/>
        <v>0</v>
      </c>
      <c r="K151" s="360">
        <f t="shared" si="124"/>
        <v>0</v>
      </c>
      <c r="L151" s="361">
        <f t="shared" si="124"/>
        <v>0</v>
      </c>
      <c r="N151" s="418">
        <f>IF($N47="Hourly",'Standard Hour Calcs'!$Y48,'Standard Hour Calcs'!$E48)</f>
        <v>0</v>
      </c>
      <c r="O151" s="418"/>
      <c r="Q151" s="402">
        <f>IF($N47="Hourly",$N151*'Input Sheet'!G$280*'Fee Breakdown'!H151,'Input Sheet'!G$280*'Fee Breakdown'!$N47*'Fee Breakdown'!H151*$N151)</f>
        <v>0</v>
      </c>
      <c r="R151" s="403">
        <f>IF($N47="Hourly",$N151*'Input Sheet'!H$280*'Fee Breakdown'!I151,'Input Sheet'!H$280*'Fee Breakdown'!$N47*'Fee Breakdown'!I151*$N151)</f>
        <v>0</v>
      </c>
      <c r="S151" s="403">
        <f>IF($N47="Hourly",$N151*'Input Sheet'!I$280*'Fee Breakdown'!J151,'Input Sheet'!I$280*'Fee Breakdown'!$N47*'Fee Breakdown'!J151*$N151)</f>
        <v>0</v>
      </c>
      <c r="T151" s="403">
        <f>IF($N47="Hourly",$N151*'Input Sheet'!J$280*'Fee Breakdown'!K151,'Input Sheet'!J$280*'Fee Breakdown'!$N47*'Fee Breakdown'!K151*$N151)</f>
        <v>0</v>
      </c>
      <c r="U151" s="404">
        <f>IF($N47="Hourly",$N151*'Input Sheet'!K$280*'Fee Breakdown'!L151,'Input Sheet'!K$280*'Fee Breakdown'!$N47*'Fee Breakdown'!L151*$N151)</f>
        <v>0</v>
      </c>
      <c r="V151" s="405"/>
      <c r="W151" s="402">
        <f>+Q151*('Input Sheet'!G$298-1)</f>
        <v>0</v>
      </c>
      <c r="X151" s="403">
        <f>+R151*('Input Sheet'!H$298-1)</f>
        <v>0</v>
      </c>
      <c r="Y151" s="403">
        <f>+S151*('Input Sheet'!I$298-1)</f>
        <v>0</v>
      </c>
      <c r="Z151" s="403">
        <f>+T151*('Input Sheet'!J$298-1)</f>
        <v>0</v>
      </c>
      <c r="AA151" s="404">
        <f>+U151*('Input Sheet'!K$298-1)</f>
        <v>0</v>
      </c>
      <c r="AB151" s="405"/>
      <c r="AC151" s="402">
        <f t="shared" si="118"/>
        <v>0</v>
      </c>
      <c r="AD151" s="403">
        <f t="shared" si="119"/>
        <v>0</v>
      </c>
      <c r="AE151" s="403">
        <f t="shared" si="120"/>
        <v>0</v>
      </c>
      <c r="AF151" s="403">
        <f t="shared" si="121"/>
        <v>0</v>
      </c>
      <c r="AG151" s="404">
        <f t="shared" si="122"/>
        <v>0</v>
      </c>
    </row>
    <row r="152" spans="2:33" s="263" customFormat="1" x14ac:dyDescent="0.2">
      <c r="B152" s="250" t="s">
        <v>144</v>
      </c>
      <c r="C152" s="363">
        <f>+'Input Sheet'!G160</f>
        <v>0</v>
      </c>
      <c r="D152" s="364">
        <f>+'Input Sheet'!H160</f>
        <v>0</v>
      </c>
      <c r="E152" s="364">
        <f>+'Input Sheet'!I160</f>
        <v>0</v>
      </c>
      <c r="F152" s="365">
        <f>+'Input Sheet'!K160</f>
        <v>0</v>
      </c>
      <c r="G152" s="362"/>
      <c r="H152" s="359">
        <f t="shared" si="124"/>
        <v>0</v>
      </c>
      <c r="I152" s="360">
        <f t="shared" si="124"/>
        <v>0</v>
      </c>
      <c r="J152" s="360">
        <f t="shared" si="124"/>
        <v>0</v>
      </c>
      <c r="K152" s="360">
        <f t="shared" si="124"/>
        <v>0</v>
      </c>
      <c r="L152" s="361">
        <f t="shared" si="124"/>
        <v>0</v>
      </c>
      <c r="N152" s="418">
        <f>IF($N48="Hourly",'Standard Hour Calcs'!$Y49,'Standard Hour Calcs'!$E49)</f>
        <v>0</v>
      </c>
      <c r="O152" s="418"/>
      <c r="Q152" s="402">
        <f>IF($N48="Hourly",$N152*'Input Sheet'!G$280*'Fee Breakdown'!H152,'Input Sheet'!G$280*'Fee Breakdown'!$N48*'Fee Breakdown'!H152*$N152)</f>
        <v>0</v>
      </c>
      <c r="R152" s="403">
        <f>IF($N48="Hourly",$N152*'Input Sheet'!H$280*'Fee Breakdown'!I152,'Input Sheet'!H$280*'Fee Breakdown'!$N48*'Fee Breakdown'!I152*$N152)</f>
        <v>0</v>
      </c>
      <c r="S152" s="403">
        <f>IF($N48="Hourly",$N152*'Input Sheet'!I$280*'Fee Breakdown'!J152,'Input Sheet'!I$280*'Fee Breakdown'!$N48*'Fee Breakdown'!J152*$N152)</f>
        <v>0</v>
      </c>
      <c r="T152" s="403">
        <f>IF($N48="Hourly",$N152*'Input Sheet'!J$280*'Fee Breakdown'!K152,'Input Sheet'!J$280*'Fee Breakdown'!$N48*'Fee Breakdown'!K152*$N152)</f>
        <v>0</v>
      </c>
      <c r="U152" s="404">
        <f>IF($N48="Hourly",$N152*'Input Sheet'!K$280*'Fee Breakdown'!L152,'Input Sheet'!K$280*'Fee Breakdown'!$N48*'Fee Breakdown'!L152*$N152)</f>
        <v>0</v>
      </c>
      <c r="V152" s="405"/>
      <c r="W152" s="402">
        <f>+Q152*('Input Sheet'!G$298-1)</f>
        <v>0</v>
      </c>
      <c r="X152" s="403">
        <f>+R152*('Input Sheet'!H$298-1)</f>
        <v>0</v>
      </c>
      <c r="Y152" s="403">
        <f>+S152*('Input Sheet'!I$298-1)</f>
        <v>0</v>
      </c>
      <c r="Z152" s="403">
        <f>+T152*('Input Sheet'!J$298-1)</f>
        <v>0</v>
      </c>
      <c r="AA152" s="404">
        <f>+U152*('Input Sheet'!K$298-1)</f>
        <v>0</v>
      </c>
      <c r="AB152" s="405"/>
      <c r="AC152" s="402">
        <f t="shared" si="118"/>
        <v>0</v>
      </c>
      <c r="AD152" s="403">
        <f t="shared" si="119"/>
        <v>0</v>
      </c>
      <c r="AE152" s="403">
        <f t="shared" si="120"/>
        <v>0</v>
      </c>
      <c r="AF152" s="403">
        <f t="shared" si="121"/>
        <v>0</v>
      </c>
      <c r="AG152" s="404">
        <f t="shared" si="122"/>
        <v>0</v>
      </c>
    </row>
    <row r="153" spans="2:33" s="263" customFormat="1" x14ac:dyDescent="0.2">
      <c r="B153" s="250" t="s">
        <v>145</v>
      </c>
      <c r="C153" s="363">
        <f>+'Input Sheet'!G161</f>
        <v>0</v>
      </c>
      <c r="D153" s="364">
        <f>+'Input Sheet'!H161</f>
        <v>0</v>
      </c>
      <c r="E153" s="364">
        <f>+'Input Sheet'!I161</f>
        <v>0</v>
      </c>
      <c r="F153" s="365">
        <f>+'Input Sheet'!K161</f>
        <v>0</v>
      </c>
      <c r="G153" s="362"/>
      <c r="H153" s="359">
        <f t="shared" si="124"/>
        <v>0</v>
      </c>
      <c r="I153" s="360">
        <f t="shared" si="124"/>
        <v>0</v>
      </c>
      <c r="J153" s="360">
        <f t="shared" si="124"/>
        <v>0</v>
      </c>
      <c r="K153" s="360">
        <f t="shared" si="124"/>
        <v>0</v>
      </c>
      <c r="L153" s="361">
        <f t="shared" si="124"/>
        <v>0</v>
      </c>
      <c r="N153" s="418">
        <v>1</v>
      </c>
      <c r="O153" s="418"/>
      <c r="Q153" s="402">
        <f>IF($N49="Hourly",$N153*'Input Sheet'!G$280*'Fee Breakdown'!H153,'Input Sheet'!G$280*'Fee Breakdown'!$N49*'Fee Breakdown'!H153*$N153)</f>
        <v>0</v>
      </c>
      <c r="R153" s="403">
        <f>IF($N49="Hourly",$N153*'Input Sheet'!H$280*'Fee Breakdown'!I153,'Input Sheet'!H$280*'Fee Breakdown'!$N49*'Fee Breakdown'!I153*$N153)</f>
        <v>0</v>
      </c>
      <c r="S153" s="403">
        <f>IF($N49="Hourly",$N153*'Input Sheet'!I$280*'Fee Breakdown'!J153,'Input Sheet'!I$280*'Fee Breakdown'!$N49*'Fee Breakdown'!J153*$N153)</f>
        <v>0</v>
      </c>
      <c r="T153" s="403">
        <f>IF($N49="Hourly",$N153*'Input Sheet'!J$280*'Fee Breakdown'!K153,'Input Sheet'!J$280*'Fee Breakdown'!$N49*'Fee Breakdown'!K153*$N153)</f>
        <v>0</v>
      </c>
      <c r="U153" s="404">
        <f>IF($N49="Hourly",$N153*'Input Sheet'!K$280*'Fee Breakdown'!L153,'Input Sheet'!K$280*'Fee Breakdown'!$N49*'Fee Breakdown'!L153*$N153)</f>
        <v>0</v>
      </c>
      <c r="V153" s="405"/>
      <c r="W153" s="402">
        <f>+Q153*('Input Sheet'!G$298-1)</f>
        <v>0</v>
      </c>
      <c r="X153" s="403">
        <f>+R153*('Input Sheet'!H$298-1)</f>
        <v>0</v>
      </c>
      <c r="Y153" s="403">
        <f>+S153*('Input Sheet'!I$298-1)</f>
        <v>0</v>
      </c>
      <c r="Z153" s="403">
        <f>+T153*('Input Sheet'!J$298-1)</f>
        <v>0</v>
      </c>
      <c r="AA153" s="404">
        <f>+U153*('Input Sheet'!K$298-1)</f>
        <v>0</v>
      </c>
      <c r="AB153" s="405"/>
      <c r="AC153" s="402">
        <f t="shared" si="118"/>
        <v>0</v>
      </c>
      <c r="AD153" s="403">
        <f t="shared" si="119"/>
        <v>0</v>
      </c>
      <c r="AE153" s="403">
        <f t="shared" si="120"/>
        <v>0</v>
      </c>
      <c r="AF153" s="403">
        <f t="shared" si="121"/>
        <v>0</v>
      </c>
      <c r="AG153" s="404">
        <f t="shared" si="122"/>
        <v>0</v>
      </c>
    </row>
    <row r="154" spans="2:33" s="263" customFormat="1" x14ac:dyDescent="0.2">
      <c r="B154" s="250" t="s">
        <v>146</v>
      </c>
      <c r="C154" s="363">
        <f>+'Input Sheet'!G162</f>
        <v>0</v>
      </c>
      <c r="D154" s="364">
        <f>+'Input Sheet'!H162</f>
        <v>0</v>
      </c>
      <c r="E154" s="364">
        <f>+'Input Sheet'!I162</f>
        <v>0</v>
      </c>
      <c r="F154" s="365">
        <f>+'Input Sheet'!K162</f>
        <v>0</v>
      </c>
      <c r="G154" s="362"/>
      <c r="H154" s="359">
        <f t="shared" si="124"/>
        <v>0</v>
      </c>
      <c r="I154" s="360">
        <f t="shared" si="124"/>
        <v>0</v>
      </c>
      <c r="J154" s="360">
        <f t="shared" si="124"/>
        <v>0</v>
      </c>
      <c r="K154" s="360">
        <f t="shared" si="124"/>
        <v>0</v>
      </c>
      <c r="L154" s="361">
        <f t="shared" si="124"/>
        <v>0</v>
      </c>
      <c r="N154" s="418">
        <f>IF($N50="Hourly",'Standard Hour Calcs'!$Y51,'Standard Hour Calcs'!$E51)</f>
        <v>0</v>
      </c>
      <c r="O154" s="418"/>
      <c r="Q154" s="402">
        <f>IF($N50="Hourly",$N154*'Input Sheet'!G$280*'Fee Breakdown'!H154,'Input Sheet'!G$280*'Fee Breakdown'!$N50*'Fee Breakdown'!H154*$N154)</f>
        <v>0</v>
      </c>
      <c r="R154" s="403">
        <f>IF($N50="Hourly",$N154*'Input Sheet'!H$280*'Fee Breakdown'!I154,'Input Sheet'!H$280*'Fee Breakdown'!$N50*'Fee Breakdown'!I154*$N154)</f>
        <v>0</v>
      </c>
      <c r="S154" s="403">
        <f>IF($N50="Hourly",$N154*'Input Sheet'!I$280*'Fee Breakdown'!J154,'Input Sheet'!I$280*'Fee Breakdown'!$N50*'Fee Breakdown'!J154*$N154)</f>
        <v>0</v>
      </c>
      <c r="T154" s="403">
        <f>IF($N50="Hourly",$N154*'Input Sheet'!J$280*'Fee Breakdown'!K154,'Input Sheet'!J$280*'Fee Breakdown'!$N50*'Fee Breakdown'!K154*$N154)</f>
        <v>0</v>
      </c>
      <c r="U154" s="404">
        <f>IF($N50="Hourly",$N154*'Input Sheet'!K$280*'Fee Breakdown'!L154,'Input Sheet'!K$280*'Fee Breakdown'!$N50*'Fee Breakdown'!L154*$N154)</f>
        <v>0</v>
      </c>
      <c r="V154" s="405"/>
      <c r="W154" s="402">
        <f>+Q154*('Input Sheet'!G$298-1)</f>
        <v>0</v>
      </c>
      <c r="X154" s="403">
        <f>+R154*('Input Sheet'!H$298-1)</f>
        <v>0</v>
      </c>
      <c r="Y154" s="403">
        <f>+S154*('Input Sheet'!I$298-1)</f>
        <v>0</v>
      </c>
      <c r="Z154" s="403">
        <f>+T154*('Input Sheet'!J$298-1)</f>
        <v>0</v>
      </c>
      <c r="AA154" s="404">
        <f>+U154*('Input Sheet'!K$298-1)</f>
        <v>0</v>
      </c>
      <c r="AB154" s="405"/>
      <c r="AC154" s="402">
        <f t="shared" si="118"/>
        <v>0</v>
      </c>
      <c r="AD154" s="403">
        <f t="shared" si="119"/>
        <v>0</v>
      </c>
      <c r="AE154" s="403">
        <f t="shared" si="120"/>
        <v>0</v>
      </c>
      <c r="AF154" s="403">
        <f t="shared" si="121"/>
        <v>0</v>
      </c>
      <c r="AG154" s="404">
        <f t="shared" si="122"/>
        <v>0</v>
      </c>
    </row>
    <row r="155" spans="2:33" s="263" customFormat="1" x14ac:dyDescent="0.2">
      <c r="B155" s="250" t="s">
        <v>147</v>
      </c>
      <c r="C155" s="363">
        <f>+'Input Sheet'!G163</f>
        <v>0</v>
      </c>
      <c r="D155" s="364">
        <f>+'Input Sheet'!H163</f>
        <v>0</v>
      </c>
      <c r="E155" s="364">
        <f>+'Input Sheet'!I163</f>
        <v>0</v>
      </c>
      <c r="F155" s="365">
        <f>+'Input Sheet'!K163</f>
        <v>0</v>
      </c>
      <c r="G155" s="362"/>
      <c r="H155" s="359">
        <f t="shared" si="124"/>
        <v>0</v>
      </c>
      <c r="I155" s="360">
        <f t="shared" si="124"/>
        <v>0</v>
      </c>
      <c r="J155" s="360">
        <f t="shared" si="124"/>
        <v>0</v>
      </c>
      <c r="K155" s="360">
        <f t="shared" si="124"/>
        <v>0</v>
      </c>
      <c r="L155" s="361">
        <f t="shared" si="124"/>
        <v>0</v>
      </c>
      <c r="N155" s="418">
        <f>IF($N51="Hourly",'Standard Hour Calcs'!$Y52,'Standard Hour Calcs'!$E52)</f>
        <v>0</v>
      </c>
      <c r="O155" s="418"/>
      <c r="Q155" s="402">
        <f>IF($N51="Hourly",$N155*'Input Sheet'!G$280*'Fee Breakdown'!H155,'Input Sheet'!G$280*'Fee Breakdown'!$N51*'Fee Breakdown'!H155*$N155)</f>
        <v>0</v>
      </c>
      <c r="R155" s="403">
        <f>IF($N51="Hourly",$N155*'Input Sheet'!H$280*'Fee Breakdown'!I155,'Input Sheet'!H$280*'Fee Breakdown'!$N51*'Fee Breakdown'!I155*$N155)</f>
        <v>0</v>
      </c>
      <c r="S155" s="403">
        <f>IF($N51="Hourly",$N155*'Input Sheet'!I$280*'Fee Breakdown'!J155,'Input Sheet'!I$280*'Fee Breakdown'!$N51*'Fee Breakdown'!J155*$N155)</f>
        <v>0</v>
      </c>
      <c r="T155" s="403">
        <f>IF($N51="Hourly",$N155*'Input Sheet'!J$280*'Fee Breakdown'!K155,'Input Sheet'!J$280*'Fee Breakdown'!$N51*'Fee Breakdown'!K155*$N155)</f>
        <v>0</v>
      </c>
      <c r="U155" s="404">
        <f>IF($N51="Hourly",$N155*'Input Sheet'!K$280*'Fee Breakdown'!L155,'Input Sheet'!K$280*'Fee Breakdown'!$N51*'Fee Breakdown'!L155*$N155)</f>
        <v>0</v>
      </c>
      <c r="V155" s="405"/>
      <c r="W155" s="402">
        <f>+Q155*('Input Sheet'!G$298-1)</f>
        <v>0</v>
      </c>
      <c r="X155" s="403">
        <f>+R155*('Input Sheet'!H$298-1)</f>
        <v>0</v>
      </c>
      <c r="Y155" s="403">
        <f>+S155*('Input Sheet'!I$298-1)</f>
        <v>0</v>
      </c>
      <c r="Z155" s="403">
        <f>+T155*('Input Sheet'!J$298-1)</f>
        <v>0</v>
      </c>
      <c r="AA155" s="404">
        <f>+U155*('Input Sheet'!K$298-1)</f>
        <v>0</v>
      </c>
      <c r="AB155" s="405"/>
      <c r="AC155" s="402">
        <f t="shared" si="118"/>
        <v>0</v>
      </c>
      <c r="AD155" s="403">
        <f t="shared" si="119"/>
        <v>0</v>
      </c>
      <c r="AE155" s="403">
        <f t="shared" si="120"/>
        <v>0</v>
      </c>
      <c r="AF155" s="403">
        <f t="shared" si="121"/>
        <v>0</v>
      </c>
      <c r="AG155" s="404">
        <f t="shared" si="122"/>
        <v>0</v>
      </c>
    </row>
    <row r="156" spans="2:33" s="263" customFormat="1" x14ac:dyDescent="0.2">
      <c r="B156" s="250" t="s">
        <v>148</v>
      </c>
      <c r="C156" s="363">
        <f>+'Input Sheet'!G164</f>
        <v>0</v>
      </c>
      <c r="D156" s="364">
        <f>+'Input Sheet'!H164</f>
        <v>0</v>
      </c>
      <c r="E156" s="364">
        <f>+'Input Sheet'!I164</f>
        <v>0</v>
      </c>
      <c r="F156" s="365">
        <f>+'Input Sheet'!K164</f>
        <v>0</v>
      </c>
      <c r="G156" s="362"/>
      <c r="H156" s="359">
        <f t="shared" si="124"/>
        <v>0</v>
      </c>
      <c r="I156" s="360">
        <f t="shared" si="124"/>
        <v>0</v>
      </c>
      <c r="J156" s="360">
        <f t="shared" si="124"/>
        <v>0</v>
      </c>
      <c r="K156" s="360">
        <f t="shared" si="124"/>
        <v>0</v>
      </c>
      <c r="L156" s="361">
        <f t="shared" si="124"/>
        <v>0</v>
      </c>
      <c r="N156" s="418">
        <f>IF($N52="Hourly",'Standard Hour Calcs'!$Y53,'Standard Hour Calcs'!$E53)</f>
        <v>0</v>
      </c>
      <c r="O156" s="418"/>
      <c r="Q156" s="402">
        <f>IF($N52="Hourly",$N156*'Input Sheet'!G$280*'Fee Breakdown'!H156,'Input Sheet'!G$280*'Fee Breakdown'!$N52*'Fee Breakdown'!H156*$N156)</f>
        <v>0</v>
      </c>
      <c r="R156" s="403">
        <f>IF($N52="Hourly",$N156*'Input Sheet'!H$280*'Fee Breakdown'!I156,'Input Sheet'!H$280*'Fee Breakdown'!$N52*'Fee Breakdown'!I156*$N156)</f>
        <v>0</v>
      </c>
      <c r="S156" s="403">
        <f>IF($N52="Hourly",$N156*'Input Sheet'!I$280*'Fee Breakdown'!J156,'Input Sheet'!I$280*'Fee Breakdown'!$N52*'Fee Breakdown'!J156*$N156)</f>
        <v>0</v>
      </c>
      <c r="T156" s="403">
        <f>IF($N52="Hourly",$N156*'Input Sheet'!J$280*'Fee Breakdown'!K156,'Input Sheet'!J$280*'Fee Breakdown'!$N52*'Fee Breakdown'!K156*$N156)</f>
        <v>0</v>
      </c>
      <c r="U156" s="404">
        <f>IF($N52="Hourly",$N156*'Input Sheet'!K$280*'Fee Breakdown'!L156,'Input Sheet'!K$280*'Fee Breakdown'!$N52*'Fee Breakdown'!L156*$N156)</f>
        <v>0</v>
      </c>
      <c r="V156" s="405"/>
      <c r="W156" s="402">
        <f>+Q156*('Input Sheet'!G$298-1)</f>
        <v>0</v>
      </c>
      <c r="X156" s="403">
        <f>+R156*('Input Sheet'!H$298-1)</f>
        <v>0</v>
      </c>
      <c r="Y156" s="403">
        <f>+S156*('Input Sheet'!I$298-1)</f>
        <v>0</v>
      </c>
      <c r="Z156" s="403">
        <f>+T156*('Input Sheet'!J$298-1)</f>
        <v>0</v>
      </c>
      <c r="AA156" s="404">
        <f>+U156*('Input Sheet'!K$298-1)</f>
        <v>0</v>
      </c>
      <c r="AB156" s="405"/>
      <c r="AC156" s="402">
        <f t="shared" si="118"/>
        <v>0</v>
      </c>
      <c r="AD156" s="403">
        <f t="shared" si="119"/>
        <v>0</v>
      </c>
      <c r="AE156" s="403">
        <f t="shared" si="120"/>
        <v>0</v>
      </c>
      <c r="AF156" s="403">
        <f t="shared" si="121"/>
        <v>0</v>
      </c>
      <c r="AG156" s="404">
        <f t="shared" si="122"/>
        <v>0</v>
      </c>
    </row>
    <row r="157" spans="2:33" s="263" customFormat="1" x14ac:dyDescent="0.2">
      <c r="B157" s="250" t="s">
        <v>149</v>
      </c>
      <c r="C157" s="363">
        <f>+'Input Sheet'!G165</f>
        <v>0</v>
      </c>
      <c r="D157" s="364">
        <f>+'Input Sheet'!H165</f>
        <v>0</v>
      </c>
      <c r="E157" s="364">
        <f>+'Input Sheet'!I165</f>
        <v>0</v>
      </c>
      <c r="F157" s="365">
        <f>+'Input Sheet'!K165</f>
        <v>0</v>
      </c>
      <c r="G157" s="362"/>
      <c r="H157" s="359">
        <f t="shared" si="124"/>
        <v>0</v>
      </c>
      <c r="I157" s="360">
        <f t="shared" si="124"/>
        <v>0</v>
      </c>
      <c r="J157" s="360">
        <f t="shared" si="124"/>
        <v>0</v>
      </c>
      <c r="K157" s="360">
        <f t="shared" si="124"/>
        <v>0</v>
      </c>
      <c r="L157" s="361">
        <f t="shared" si="124"/>
        <v>0</v>
      </c>
      <c r="N157" s="418">
        <v>1</v>
      </c>
      <c r="O157" s="418"/>
      <c r="Q157" s="402">
        <f>IF($N53="Hourly",$N157*'Input Sheet'!G$280*'Fee Breakdown'!H157,'Input Sheet'!G$280*'Fee Breakdown'!$N53*'Fee Breakdown'!H157*$N157)</f>
        <v>0</v>
      </c>
      <c r="R157" s="403">
        <f>IF($N53="Hourly",$N157*'Input Sheet'!H$280*'Fee Breakdown'!I157,'Input Sheet'!H$280*'Fee Breakdown'!$N53*'Fee Breakdown'!I157*$N157)</f>
        <v>0</v>
      </c>
      <c r="S157" s="403">
        <f>IF($N53="Hourly",$N157*'Input Sheet'!I$280*'Fee Breakdown'!J157,'Input Sheet'!I$280*'Fee Breakdown'!$N53*'Fee Breakdown'!J157*$N157)</f>
        <v>0</v>
      </c>
      <c r="T157" s="403">
        <f>IF($N53="Hourly",$N157*'Input Sheet'!J$280*'Fee Breakdown'!K157,'Input Sheet'!J$280*'Fee Breakdown'!$N53*'Fee Breakdown'!K157*$N157)</f>
        <v>0</v>
      </c>
      <c r="U157" s="404">
        <f>IF($N53="Hourly",$N157*'Input Sheet'!K$280*'Fee Breakdown'!L157,'Input Sheet'!K$280*'Fee Breakdown'!$N53*'Fee Breakdown'!L157*$N157)</f>
        <v>0</v>
      </c>
      <c r="V157" s="405"/>
      <c r="W157" s="402">
        <f>+Q157*('Input Sheet'!G$298-1)</f>
        <v>0</v>
      </c>
      <c r="X157" s="403">
        <f>+R157*('Input Sheet'!H$298-1)</f>
        <v>0</v>
      </c>
      <c r="Y157" s="403">
        <f>+S157*('Input Sheet'!I$298-1)</f>
        <v>0</v>
      </c>
      <c r="Z157" s="403">
        <f>+T157*('Input Sheet'!J$298-1)</f>
        <v>0</v>
      </c>
      <c r="AA157" s="404">
        <f>+U157*('Input Sheet'!K$298-1)</f>
        <v>0</v>
      </c>
      <c r="AB157" s="405"/>
      <c r="AC157" s="402">
        <f t="shared" si="118"/>
        <v>0</v>
      </c>
      <c r="AD157" s="403">
        <f t="shared" si="119"/>
        <v>0</v>
      </c>
      <c r="AE157" s="403">
        <f t="shared" si="120"/>
        <v>0</v>
      </c>
      <c r="AF157" s="403">
        <f t="shared" si="121"/>
        <v>0</v>
      </c>
      <c r="AG157" s="404">
        <f t="shared" si="122"/>
        <v>0</v>
      </c>
    </row>
    <row r="158" spans="2:33" s="263" customFormat="1" x14ac:dyDescent="0.2">
      <c r="B158" s="250" t="s">
        <v>150</v>
      </c>
      <c r="C158" s="363">
        <f>+'Input Sheet'!G166</f>
        <v>0</v>
      </c>
      <c r="D158" s="364">
        <f>+'Input Sheet'!H166</f>
        <v>3</v>
      </c>
      <c r="E158" s="364">
        <f>+'Input Sheet'!I166</f>
        <v>5</v>
      </c>
      <c r="F158" s="365">
        <f>+'Input Sheet'!K166</f>
        <v>4</v>
      </c>
      <c r="G158" s="362"/>
      <c r="H158" s="359">
        <f t="shared" si="124"/>
        <v>4</v>
      </c>
      <c r="I158" s="360">
        <f t="shared" si="124"/>
        <v>4</v>
      </c>
      <c r="J158" s="360">
        <f t="shared" si="124"/>
        <v>4</v>
      </c>
      <c r="K158" s="360">
        <f t="shared" si="124"/>
        <v>4</v>
      </c>
      <c r="L158" s="361">
        <f t="shared" si="124"/>
        <v>4</v>
      </c>
      <c r="N158" s="418">
        <f>IF($N54="Hourly",'Standard Hour Calcs'!$Y55,'Standard Hour Calcs'!$E55)</f>
        <v>4</v>
      </c>
      <c r="O158" s="418"/>
      <c r="Q158" s="402">
        <f>IF($N54="Hourly",$N158*'Input Sheet'!G$280*'Fee Breakdown'!H158,'Input Sheet'!G$280*'Fee Breakdown'!$N54*'Fee Breakdown'!H158*$N158)</f>
        <v>715.55045904935673</v>
      </c>
      <c r="R158" s="403">
        <f>IF($N54="Hourly",$N158*'Input Sheet'!H$280*'Fee Breakdown'!I158,'Input Sheet'!H$280*'Fee Breakdown'!$N54*'Fee Breakdown'!I158*$N158)</f>
        <v>746.76972515112288</v>
      </c>
      <c r="S158" s="403">
        <f>IF($N54="Hourly",$N158*'Input Sheet'!I$280*'Fee Breakdown'!J158,'Input Sheet'!I$280*'Fee Breakdown'!$N54*'Fee Breakdown'!J158*$N158)</f>
        <v>772.05362998974977</v>
      </c>
      <c r="T158" s="403">
        <f>IF($N54="Hourly",$N158*'Input Sheet'!J$280*'Fee Breakdown'!K158,'Input Sheet'!J$280*'Fee Breakdown'!$N54*'Fee Breakdown'!K158*$N158)</f>
        <v>799.25165721753433</v>
      </c>
      <c r="U158" s="404">
        <f>IF($N54="Hourly",$N158*'Input Sheet'!K$280*'Fee Breakdown'!L158,'Input Sheet'!K$280*'Fee Breakdown'!$N54*'Fee Breakdown'!L158*$N158)</f>
        <v>826.77496599347876</v>
      </c>
      <c r="V158" s="405"/>
      <c r="W158" s="402">
        <f>+Q158*('Input Sheet'!G$298-1)</f>
        <v>839.66437017742635</v>
      </c>
      <c r="X158" s="403">
        <f>+R158*('Input Sheet'!H$298-1)</f>
        <v>940.9324525894715</v>
      </c>
      <c r="Y158" s="403">
        <f>+S158*('Input Sheet'!I$298-1)</f>
        <v>981.31271548276288</v>
      </c>
      <c r="Z158" s="403">
        <f>+T158*('Input Sheet'!J$298-1)</f>
        <v>1036.9300131704451</v>
      </c>
      <c r="AA158" s="404">
        <f>+U158*('Input Sheet'!K$298-1)</f>
        <v>1093.4914193268037</v>
      </c>
      <c r="AB158" s="405"/>
      <c r="AC158" s="402">
        <f t="shared" si="118"/>
        <v>1555.214829226783</v>
      </c>
      <c r="AD158" s="403">
        <f t="shared" si="119"/>
        <v>1687.7021777405944</v>
      </c>
      <c r="AE158" s="403">
        <f t="shared" si="120"/>
        <v>1753.3663454725126</v>
      </c>
      <c r="AF158" s="403">
        <f t="shared" si="121"/>
        <v>1836.1816703879795</v>
      </c>
      <c r="AG158" s="404">
        <f t="shared" si="122"/>
        <v>1920.2663853202826</v>
      </c>
    </row>
    <row r="159" spans="2:33" s="263" customFormat="1" x14ac:dyDescent="0.2">
      <c r="B159" s="250" t="s">
        <v>151</v>
      </c>
      <c r="C159" s="363">
        <f>+'Input Sheet'!G167</f>
        <v>0</v>
      </c>
      <c r="D159" s="364"/>
      <c r="E159" s="364">
        <f>+'Input Sheet'!I167</f>
        <v>1</v>
      </c>
      <c r="F159" s="365">
        <f>+'Input Sheet'!K167</f>
        <v>0</v>
      </c>
      <c r="G159" s="362"/>
      <c r="H159" s="359">
        <f t="shared" si="124"/>
        <v>1</v>
      </c>
      <c r="I159" s="360">
        <f t="shared" si="124"/>
        <v>1</v>
      </c>
      <c r="J159" s="360">
        <f t="shared" si="124"/>
        <v>1</v>
      </c>
      <c r="K159" s="360">
        <f t="shared" si="124"/>
        <v>1</v>
      </c>
      <c r="L159" s="361">
        <f t="shared" si="124"/>
        <v>1</v>
      </c>
      <c r="N159" s="418">
        <f>IF($N55="Hourly",'Standard Hour Calcs'!$Y56,'Standard Hour Calcs'!$E56)</f>
        <v>4</v>
      </c>
      <c r="O159" s="418"/>
      <c r="Q159" s="402">
        <f>IF($N55="Hourly",$N159*'Input Sheet'!G$280*'Fee Breakdown'!H159,'Input Sheet'!G$280*'Fee Breakdown'!$N55*'Fee Breakdown'!H159*$N159)</f>
        <v>178.88761476233918</v>
      </c>
      <c r="R159" s="403">
        <f>IF($N55="Hourly",$N159*'Input Sheet'!H$280*'Fee Breakdown'!I159,'Input Sheet'!H$280*'Fee Breakdown'!$N55*'Fee Breakdown'!I159*$N159)</f>
        <v>186.69243128778072</v>
      </c>
      <c r="S159" s="403">
        <f>IF($N55="Hourly",$N159*'Input Sheet'!I$280*'Fee Breakdown'!J159,'Input Sheet'!I$280*'Fee Breakdown'!$N55*'Fee Breakdown'!J159*$N159)</f>
        <v>193.01340749743744</v>
      </c>
      <c r="T159" s="403">
        <f>IF($N55="Hourly",$N159*'Input Sheet'!J$280*'Fee Breakdown'!K159,'Input Sheet'!J$280*'Fee Breakdown'!$N55*'Fee Breakdown'!K159*$N159)</f>
        <v>199.81291430438358</v>
      </c>
      <c r="U159" s="404">
        <f>IF($N55="Hourly",$N159*'Input Sheet'!K$280*'Fee Breakdown'!L159,'Input Sheet'!K$280*'Fee Breakdown'!$N55*'Fee Breakdown'!L159*$N159)</f>
        <v>206.69374149836969</v>
      </c>
      <c r="V159" s="405"/>
      <c r="W159" s="402">
        <f>+Q159*('Input Sheet'!G$298-1)</f>
        <v>209.91609254435659</v>
      </c>
      <c r="X159" s="403">
        <f>+R159*('Input Sheet'!H$298-1)</f>
        <v>235.23311314736787</v>
      </c>
      <c r="Y159" s="403">
        <f>+S159*('Input Sheet'!I$298-1)</f>
        <v>245.32817887069072</v>
      </c>
      <c r="Z159" s="403">
        <f>+T159*('Input Sheet'!J$298-1)</f>
        <v>259.23250329261128</v>
      </c>
      <c r="AA159" s="404">
        <f>+U159*('Input Sheet'!K$298-1)</f>
        <v>273.37285483170092</v>
      </c>
      <c r="AB159" s="405"/>
      <c r="AC159" s="402">
        <f t="shared" si="118"/>
        <v>388.80370730669574</v>
      </c>
      <c r="AD159" s="403">
        <f t="shared" si="119"/>
        <v>421.92554443514859</v>
      </c>
      <c r="AE159" s="403">
        <f t="shared" si="120"/>
        <v>438.34158636812816</v>
      </c>
      <c r="AF159" s="403">
        <f t="shared" si="121"/>
        <v>459.04541759699487</v>
      </c>
      <c r="AG159" s="404">
        <f t="shared" si="122"/>
        <v>480.06659633007064</v>
      </c>
    </row>
    <row r="160" spans="2:33" s="263" customFormat="1" x14ac:dyDescent="0.2">
      <c r="B160" s="250" t="s">
        <v>152</v>
      </c>
      <c r="C160" s="363">
        <f>+'Input Sheet'!G168</f>
        <v>0</v>
      </c>
      <c r="D160" s="364">
        <f>+'Input Sheet'!H168</f>
        <v>0</v>
      </c>
      <c r="E160" s="364">
        <f>+'Input Sheet'!I168</f>
        <v>0</v>
      </c>
      <c r="F160" s="365">
        <f>+'Input Sheet'!K168</f>
        <v>0</v>
      </c>
      <c r="G160" s="362"/>
      <c r="H160" s="359">
        <f t="shared" si="124"/>
        <v>0</v>
      </c>
      <c r="I160" s="360">
        <f t="shared" si="124"/>
        <v>0</v>
      </c>
      <c r="J160" s="360">
        <f t="shared" si="124"/>
        <v>0</v>
      </c>
      <c r="K160" s="360">
        <f t="shared" si="124"/>
        <v>0</v>
      </c>
      <c r="L160" s="361">
        <f t="shared" si="124"/>
        <v>0</v>
      </c>
      <c r="N160" s="418">
        <f>IF($N56="Hourly",'Standard Hour Calcs'!$Y57,'Standard Hour Calcs'!$E57)</f>
        <v>0</v>
      </c>
      <c r="O160" s="418"/>
      <c r="Q160" s="402">
        <f>IF($N56="Hourly",$N160*'Input Sheet'!G$280*'Fee Breakdown'!H160,'Input Sheet'!G$280*'Fee Breakdown'!$N56*'Fee Breakdown'!H160*$N160)</f>
        <v>0</v>
      </c>
      <c r="R160" s="403">
        <f>IF($N56="Hourly",$N160*'Input Sheet'!H$280*'Fee Breakdown'!I160,'Input Sheet'!H$280*'Fee Breakdown'!$N56*'Fee Breakdown'!I160*$N160)</f>
        <v>0</v>
      </c>
      <c r="S160" s="403">
        <f>IF($N56="Hourly",$N160*'Input Sheet'!I$280*'Fee Breakdown'!J160,'Input Sheet'!I$280*'Fee Breakdown'!$N56*'Fee Breakdown'!J160*$N160)</f>
        <v>0</v>
      </c>
      <c r="T160" s="403">
        <f>IF($N56="Hourly",$N160*'Input Sheet'!J$280*'Fee Breakdown'!K160,'Input Sheet'!J$280*'Fee Breakdown'!$N56*'Fee Breakdown'!K160*$N160)</f>
        <v>0</v>
      </c>
      <c r="U160" s="404">
        <f>IF($N56="Hourly",$N160*'Input Sheet'!K$280*'Fee Breakdown'!L160,'Input Sheet'!K$280*'Fee Breakdown'!$N56*'Fee Breakdown'!L160*$N160)</f>
        <v>0</v>
      </c>
      <c r="V160" s="405"/>
      <c r="W160" s="402">
        <f>+Q160*('Input Sheet'!G$298-1)</f>
        <v>0</v>
      </c>
      <c r="X160" s="403">
        <f>+R160*('Input Sheet'!H$298-1)</f>
        <v>0</v>
      </c>
      <c r="Y160" s="403">
        <f>+S160*('Input Sheet'!I$298-1)</f>
        <v>0</v>
      </c>
      <c r="Z160" s="403">
        <f>+T160*('Input Sheet'!J$298-1)</f>
        <v>0</v>
      </c>
      <c r="AA160" s="404">
        <f>+U160*('Input Sheet'!K$298-1)</f>
        <v>0</v>
      </c>
      <c r="AB160" s="405"/>
      <c r="AC160" s="402">
        <f t="shared" si="118"/>
        <v>0</v>
      </c>
      <c r="AD160" s="403">
        <f t="shared" si="119"/>
        <v>0</v>
      </c>
      <c r="AE160" s="403">
        <f t="shared" si="120"/>
        <v>0</v>
      </c>
      <c r="AF160" s="403">
        <f t="shared" si="121"/>
        <v>0</v>
      </c>
      <c r="AG160" s="404">
        <f t="shared" si="122"/>
        <v>0</v>
      </c>
    </row>
    <row r="161" spans="2:33" s="263" customFormat="1" x14ac:dyDescent="0.2">
      <c r="B161" s="250" t="s">
        <v>153</v>
      </c>
      <c r="C161" s="363">
        <f>+'Input Sheet'!G169</f>
        <v>0</v>
      </c>
      <c r="D161" s="364">
        <f>+'Input Sheet'!H169</f>
        <v>3</v>
      </c>
      <c r="E161" s="364">
        <f>+'Input Sheet'!I169</f>
        <v>4</v>
      </c>
      <c r="F161" s="365">
        <f>+'Input Sheet'!K169</f>
        <v>2</v>
      </c>
      <c r="G161" s="362"/>
      <c r="H161" s="359">
        <f t="shared" si="124"/>
        <v>3</v>
      </c>
      <c r="I161" s="360">
        <f t="shared" si="124"/>
        <v>3</v>
      </c>
      <c r="J161" s="360">
        <f t="shared" si="124"/>
        <v>3</v>
      </c>
      <c r="K161" s="360">
        <f t="shared" si="124"/>
        <v>3</v>
      </c>
      <c r="L161" s="361">
        <f t="shared" si="124"/>
        <v>3</v>
      </c>
      <c r="N161" s="418">
        <f>IF($N57="Hourly",'Standard Hour Calcs'!$Y58,'Standard Hour Calcs'!$E58)</f>
        <v>4</v>
      </c>
      <c r="O161" s="418"/>
      <c r="Q161" s="402">
        <f>IF($N57="Hourly",$N161*'Input Sheet'!G$280*'Fee Breakdown'!H161,'Input Sheet'!G$280*'Fee Breakdown'!$N57*'Fee Breakdown'!H161*$N161)</f>
        <v>1287.9908262888421</v>
      </c>
      <c r="R161" s="403">
        <f>IF($N57="Hourly",$N161*'Input Sheet'!H$280*'Fee Breakdown'!I161,'Input Sheet'!H$280*'Fee Breakdown'!$N57*'Fee Breakdown'!I161*$N161)</f>
        <v>1344.1855052720211</v>
      </c>
      <c r="S161" s="403">
        <f>IF($N57="Hourly",$N161*'Input Sheet'!I$280*'Fee Breakdown'!J161,'Input Sheet'!I$280*'Fee Breakdown'!$N57*'Fee Breakdown'!J161*$N161)</f>
        <v>1389.6965339815497</v>
      </c>
      <c r="T161" s="403">
        <f>IF($N57="Hourly",$N161*'Input Sheet'!J$280*'Fee Breakdown'!K161,'Input Sheet'!J$280*'Fee Breakdown'!$N57*'Fee Breakdown'!K161*$N161)</f>
        <v>1438.6529829915617</v>
      </c>
      <c r="U161" s="404">
        <f>IF($N57="Hourly",$N161*'Input Sheet'!K$280*'Fee Breakdown'!L161,'Input Sheet'!K$280*'Fee Breakdown'!$N57*'Fee Breakdown'!L161*$N161)</f>
        <v>1488.1949387882619</v>
      </c>
      <c r="V161" s="405"/>
      <c r="W161" s="402">
        <f>+Q161*('Input Sheet'!G$298-1)</f>
        <v>1511.3958663193673</v>
      </c>
      <c r="X161" s="403">
        <f>+R161*('Input Sheet'!H$298-1)</f>
        <v>1693.6784146610487</v>
      </c>
      <c r="Y161" s="403">
        <f>+S161*('Input Sheet'!I$298-1)</f>
        <v>1766.3628878689733</v>
      </c>
      <c r="Z161" s="403">
        <f>+T161*('Input Sheet'!J$298-1)</f>
        <v>1866.4740237068011</v>
      </c>
      <c r="AA161" s="404">
        <f>+U161*('Input Sheet'!K$298-1)</f>
        <v>1968.2845547882466</v>
      </c>
      <c r="AB161" s="405"/>
      <c r="AC161" s="402">
        <f t="shared" si="118"/>
        <v>2799.3866926082092</v>
      </c>
      <c r="AD161" s="403">
        <f t="shared" si="119"/>
        <v>3037.8639199330701</v>
      </c>
      <c r="AE161" s="403">
        <f t="shared" si="120"/>
        <v>3156.059421850523</v>
      </c>
      <c r="AF161" s="403">
        <f t="shared" si="121"/>
        <v>3305.1270066983625</v>
      </c>
      <c r="AG161" s="404">
        <f t="shared" si="122"/>
        <v>3456.4794935765085</v>
      </c>
    </row>
    <row r="162" spans="2:33" s="263" customFormat="1" x14ac:dyDescent="0.2">
      <c r="B162" s="250" t="s">
        <v>154</v>
      </c>
      <c r="C162" s="363">
        <f>+'Input Sheet'!G170</f>
        <v>0</v>
      </c>
      <c r="D162" s="364">
        <f>+'Input Sheet'!H170</f>
        <v>0</v>
      </c>
      <c r="E162" s="364">
        <f>+'Input Sheet'!I170</f>
        <v>0</v>
      </c>
      <c r="F162" s="365">
        <f>+'Input Sheet'!K170</f>
        <v>0</v>
      </c>
      <c r="G162" s="362"/>
      <c r="H162" s="359">
        <f t="shared" si="124"/>
        <v>0</v>
      </c>
      <c r="I162" s="360">
        <f t="shared" si="124"/>
        <v>0</v>
      </c>
      <c r="J162" s="360">
        <f t="shared" si="124"/>
        <v>0</v>
      </c>
      <c r="K162" s="360">
        <f t="shared" si="124"/>
        <v>0</v>
      </c>
      <c r="L162" s="361">
        <f t="shared" si="124"/>
        <v>0</v>
      </c>
      <c r="N162" s="418">
        <f>IF($N58="Hourly",'Standard Hour Calcs'!$Y59,'Standard Hour Calcs'!$E59)</f>
        <v>0</v>
      </c>
      <c r="O162" s="418"/>
      <c r="Q162" s="402">
        <f>IF($N58="Hourly",$N162*'Input Sheet'!G$280*'Fee Breakdown'!H162,'Input Sheet'!G$280*'Fee Breakdown'!$N58*'Fee Breakdown'!H162*$N162)</f>
        <v>0</v>
      </c>
      <c r="R162" s="403">
        <f>IF($N58="Hourly",$N162*'Input Sheet'!H$280*'Fee Breakdown'!I162,'Input Sheet'!H$280*'Fee Breakdown'!$N58*'Fee Breakdown'!I162*$N162)</f>
        <v>0</v>
      </c>
      <c r="S162" s="403">
        <f>IF($N58="Hourly",$N162*'Input Sheet'!I$280*'Fee Breakdown'!J162,'Input Sheet'!I$280*'Fee Breakdown'!$N58*'Fee Breakdown'!J162*$N162)</f>
        <v>0</v>
      </c>
      <c r="T162" s="403">
        <f>IF($N58="Hourly",$N162*'Input Sheet'!J$280*'Fee Breakdown'!K162,'Input Sheet'!J$280*'Fee Breakdown'!$N58*'Fee Breakdown'!K162*$N162)</f>
        <v>0</v>
      </c>
      <c r="U162" s="404">
        <f>IF($N58="Hourly",$N162*'Input Sheet'!K$280*'Fee Breakdown'!L162,'Input Sheet'!K$280*'Fee Breakdown'!$N58*'Fee Breakdown'!L162*$N162)</f>
        <v>0</v>
      </c>
      <c r="V162" s="405"/>
      <c r="W162" s="402">
        <f>+Q162*('Input Sheet'!G$298-1)</f>
        <v>0</v>
      </c>
      <c r="X162" s="403">
        <f>+R162*('Input Sheet'!H$298-1)</f>
        <v>0</v>
      </c>
      <c r="Y162" s="403">
        <f>+S162*('Input Sheet'!I$298-1)</f>
        <v>0</v>
      </c>
      <c r="Z162" s="403">
        <f>+T162*('Input Sheet'!J$298-1)</f>
        <v>0</v>
      </c>
      <c r="AA162" s="404">
        <f>+U162*('Input Sheet'!K$298-1)</f>
        <v>0</v>
      </c>
      <c r="AB162" s="405"/>
      <c r="AC162" s="402">
        <f t="shared" si="118"/>
        <v>0</v>
      </c>
      <c r="AD162" s="403">
        <f t="shared" si="119"/>
        <v>0</v>
      </c>
      <c r="AE162" s="403">
        <f t="shared" si="120"/>
        <v>0</v>
      </c>
      <c r="AF162" s="403">
        <f t="shared" si="121"/>
        <v>0</v>
      </c>
      <c r="AG162" s="404">
        <f t="shared" si="122"/>
        <v>0</v>
      </c>
    </row>
    <row r="163" spans="2:33" s="263" customFormat="1" x14ac:dyDescent="0.2">
      <c r="B163" s="250" t="s">
        <v>155</v>
      </c>
      <c r="C163" s="363">
        <f>+'Input Sheet'!G171</f>
        <v>0</v>
      </c>
      <c r="D163" s="364">
        <f>+'Input Sheet'!H171</f>
        <v>0</v>
      </c>
      <c r="E163" s="364">
        <f>+'Input Sheet'!I171</f>
        <v>0</v>
      </c>
      <c r="F163" s="365">
        <f>+'Input Sheet'!K171</f>
        <v>0</v>
      </c>
      <c r="G163" s="362"/>
      <c r="H163" s="359">
        <f t="shared" si="124"/>
        <v>0</v>
      </c>
      <c r="I163" s="360">
        <f t="shared" si="124"/>
        <v>0</v>
      </c>
      <c r="J163" s="360">
        <f t="shared" si="124"/>
        <v>0</v>
      </c>
      <c r="K163" s="360">
        <f t="shared" si="124"/>
        <v>0</v>
      </c>
      <c r="L163" s="361">
        <f t="shared" si="124"/>
        <v>0</v>
      </c>
      <c r="N163" s="418">
        <f>IF($N59="Hourly",'Standard Hour Calcs'!$Y60,'Standard Hour Calcs'!$E60)</f>
        <v>0</v>
      </c>
      <c r="O163" s="418"/>
      <c r="Q163" s="402">
        <f>IF($N59="Hourly",$N163*'Input Sheet'!G$280*'Fee Breakdown'!H163,'Input Sheet'!G$280*'Fee Breakdown'!$N59*'Fee Breakdown'!H163*$N163)</f>
        <v>0</v>
      </c>
      <c r="R163" s="403">
        <f>IF($N59="Hourly",$N163*'Input Sheet'!H$280*'Fee Breakdown'!I163,'Input Sheet'!H$280*'Fee Breakdown'!$N59*'Fee Breakdown'!I163*$N163)</f>
        <v>0</v>
      </c>
      <c r="S163" s="403">
        <f>IF($N59="Hourly",$N163*'Input Sheet'!I$280*'Fee Breakdown'!J163,'Input Sheet'!I$280*'Fee Breakdown'!$N59*'Fee Breakdown'!J163*$N163)</f>
        <v>0</v>
      </c>
      <c r="T163" s="403">
        <f>IF($N59="Hourly",$N163*'Input Sheet'!J$280*'Fee Breakdown'!K163,'Input Sheet'!J$280*'Fee Breakdown'!$N59*'Fee Breakdown'!K163*$N163)</f>
        <v>0</v>
      </c>
      <c r="U163" s="404">
        <f>IF($N59="Hourly",$N163*'Input Sheet'!K$280*'Fee Breakdown'!L163,'Input Sheet'!K$280*'Fee Breakdown'!$N59*'Fee Breakdown'!L163*$N163)</f>
        <v>0</v>
      </c>
      <c r="V163" s="405"/>
      <c r="W163" s="402">
        <f>+Q163*('Input Sheet'!G$298-1)</f>
        <v>0</v>
      </c>
      <c r="X163" s="403">
        <f>+R163*('Input Sheet'!H$298-1)</f>
        <v>0</v>
      </c>
      <c r="Y163" s="403">
        <f>+S163*('Input Sheet'!I$298-1)</f>
        <v>0</v>
      </c>
      <c r="Z163" s="403">
        <f>+T163*('Input Sheet'!J$298-1)</f>
        <v>0</v>
      </c>
      <c r="AA163" s="404">
        <f>+U163*('Input Sheet'!K$298-1)</f>
        <v>0</v>
      </c>
      <c r="AB163" s="405"/>
      <c r="AC163" s="402">
        <f t="shared" si="118"/>
        <v>0</v>
      </c>
      <c r="AD163" s="403">
        <f t="shared" si="119"/>
        <v>0</v>
      </c>
      <c r="AE163" s="403">
        <f t="shared" si="120"/>
        <v>0</v>
      </c>
      <c r="AF163" s="403">
        <f t="shared" si="121"/>
        <v>0</v>
      </c>
      <c r="AG163" s="404">
        <f t="shared" si="122"/>
        <v>0</v>
      </c>
    </row>
    <row r="164" spans="2:33" s="263" customFormat="1" x14ac:dyDescent="0.2">
      <c r="B164" s="250" t="s">
        <v>156</v>
      </c>
      <c r="C164" s="363">
        <f>+'Input Sheet'!G172</f>
        <v>0</v>
      </c>
      <c r="D164" s="364">
        <f>+'Input Sheet'!H172</f>
        <v>4</v>
      </c>
      <c r="E164" s="364">
        <f>+'Input Sheet'!I172</f>
        <v>2</v>
      </c>
      <c r="F164" s="365">
        <f>+'Input Sheet'!K172</f>
        <v>1</v>
      </c>
      <c r="G164" s="362"/>
      <c r="H164" s="359">
        <f t="shared" ref="H164:L179" si="125">ROUND(AVERAGE($D164:$F164),0)</f>
        <v>2</v>
      </c>
      <c r="I164" s="360">
        <f t="shared" si="125"/>
        <v>2</v>
      </c>
      <c r="J164" s="360">
        <f t="shared" si="125"/>
        <v>2</v>
      </c>
      <c r="K164" s="360">
        <f t="shared" si="125"/>
        <v>2</v>
      </c>
      <c r="L164" s="361">
        <f t="shared" si="125"/>
        <v>2</v>
      </c>
      <c r="N164" s="418">
        <f>IF($N60="Hourly",'Standard Hour Calcs'!$Y61,'Standard Hour Calcs'!$E61)</f>
        <v>4</v>
      </c>
      <c r="O164" s="418"/>
      <c r="Q164" s="402">
        <f>IF($N60="Hourly",$N164*'Input Sheet'!G$280*'Fee Breakdown'!H164,'Input Sheet'!G$280*'Fee Breakdown'!$N60*'Fee Breakdown'!H164*$N164)</f>
        <v>1788.8761476233917</v>
      </c>
      <c r="R164" s="403">
        <f>IF($N60="Hourly",$N164*'Input Sheet'!H$280*'Fee Breakdown'!I164,'Input Sheet'!H$280*'Fee Breakdown'!$N60*'Fee Breakdown'!I164*$N164)</f>
        <v>1866.9243128778071</v>
      </c>
      <c r="S164" s="403">
        <f>IF($N60="Hourly",$N164*'Input Sheet'!I$280*'Fee Breakdown'!J164,'Input Sheet'!I$280*'Fee Breakdown'!$N60*'Fee Breakdown'!J164*$N164)</f>
        <v>1930.1340749743745</v>
      </c>
      <c r="T164" s="403">
        <f>IF($N60="Hourly",$N164*'Input Sheet'!J$280*'Fee Breakdown'!K164,'Input Sheet'!J$280*'Fee Breakdown'!$N60*'Fee Breakdown'!K164*$N164)</f>
        <v>1998.1291430438359</v>
      </c>
      <c r="U164" s="404">
        <f>IF($N60="Hourly",$N164*'Input Sheet'!K$280*'Fee Breakdown'!L164,'Input Sheet'!K$280*'Fee Breakdown'!$N60*'Fee Breakdown'!L164*$N164)</f>
        <v>2066.9374149836967</v>
      </c>
      <c r="V164" s="405"/>
      <c r="W164" s="402">
        <f>+Q164*('Input Sheet'!G$298-1)</f>
        <v>2099.1609254435657</v>
      </c>
      <c r="X164" s="403">
        <f>+R164*('Input Sheet'!H$298-1)</f>
        <v>2352.3311314736784</v>
      </c>
      <c r="Y164" s="403">
        <f>+S164*('Input Sheet'!I$298-1)</f>
        <v>2453.2817887069073</v>
      </c>
      <c r="Z164" s="403">
        <f>+T164*('Input Sheet'!J$298-1)</f>
        <v>2592.3250329261132</v>
      </c>
      <c r="AA164" s="404">
        <f>+U164*('Input Sheet'!K$298-1)</f>
        <v>2733.728548317009</v>
      </c>
      <c r="AB164" s="405"/>
      <c r="AC164" s="402">
        <f t="shared" si="118"/>
        <v>3888.0370730669574</v>
      </c>
      <c r="AD164" s="403">
        <f t="shared" si="119"/>
        <v>4219.2554443514855</v>
      </c>
      <c r="AE164" s="403">
        <f t="shared" si="120"/>
        <v>4383.4158636812817</v>
      </c>
      <c r="AF164" s="403">
        <f t="shared" si="121"/>
        <v>4590.4541759699496</v>
      </c>
      <c r="AG164" s="404">
        <f t="shared" si="122"/>
        <v>4800.6659633007057</v>
      </c>
    </row>
    <row r="165" spans="2:33" s="263" customFormat="1" x14ac:dyDescent="0.2">
      <c r="B165" s="250" t="s">
        <v>157</v>
      </c>
      <c r="C165" s="363">
        <f>+'Input Sheet'!G173</f>
        <v>0</v>
      </c>
      <c r="D165" s="364">
        <f>+'Input Sheet'!H173</f>
        <v>0</v>
      </c>
      <c r="E165" s="364">
        <f>+'Input Sheet'!I173</f>
        <v>0</v>
      </c>
      <c r="F165" s="365">
        <f>+'Input Sheet'!K173</f>
        <v>0</v>
      </c>
      <c r="G165" s="362"/>
      <c r="H165" s="363">
        <f t="shared" si="125"/>
        <v>0</v>
      </c>
      <c r="I165" s="364">
        <f t="shared" si="125"/>
        <v>0</v>
      </c>
      <c r="J165" s="364">
        <f t="shared" si="125"/>
        <v>0</v>
      </c>
      <c r="K165" s="364">
        <f t="shared" si="125"/>
        <v>0</v>
      </c>
      <c r="L165" s="365">
        <f t="shared" si="125"/>
        <v>0</v>
      </c>
      <c r="N165" s="418">
        <f>IF($N61="Hourly",'Standard Hour Calcs'!$Y62,'Standard Hour Calcs'!$E62)</f>
        <v>0</v>
      </c>
      <c r="O165" s="418"/>
      <c r="Q165" s="402">
        <f>IF($N61="Hourly",$N165*'Input Sheet'!G$280*'Fee Breakdown'!H165,'Input Sheet'!G$280*'Fee Breakdown'!$N61*'Fee Breakdown'!H165*$N165)</f>
        <v>0</v>
      </c>
      <c r="R165" s="403">
        <f>IF($N61="Hourly",$N165*'Input Sheet'!H$280*'Fee Breakdown'!I165,'Input Sheet'!H$280*'Fee Breakdown'!$N61*'Fee Breakdown'!I165*$N165)</f>
        <v>0</v>
      </c>
      <c r="S165" s="403">
        <f>IF($N61="Hourly",$N165*'Input Sheet'!I$280*'Fee Breakdown'!J165,'Input Sheet'!I$280*'Fee Breakdown'!$N61*'Fee Breakdown'!J165*$N165)</f>
        <v>0</v>
      </c>
      <c r="T165" s="403">
        <f>IF($N61="Hourly",$N165*'Input Sheet'!J$280*'Fee Breakdown'!K165,'Input Sheet'!J$280*'Fee Breakdown'!$N61*'Fee Breakdown'!K165*$N165)</f>
        <v>0</v>
      </c>
      <c r="U165" s="404">
        <f>IF($N61="Hourly",$N165*'Input Sheet'!K$280*'Fee Breakdown'!L165,'Input Sheet'!K$280*'Fee Breakdown'!$N61*'Fee Breakdown'!L165*$N165)</f>
        <v>0</v>
      </c>
      <c r="V165" s="405"/>
      <c r="W165" s="402">
        <f>+Q165*('Input Sheet'!G$298-1)</f>
        <v>0</v>
      </c>
      <c r="X165" s="403">
        <f>+R165*('Input Sheet'!H$298-1)</f>
        <v>0</v>
      </c>
      <c r="Y165" s="403">
        <f>+S165*('Input Sheet'!I$298-1)</f>
        <v>0</v>
      </c>
      <c r="Z165" s="403">
        <f>+T165*('Input Sheet'!J$298-1)</f>
        <v>0</v>
      </c>
      <c r="AA165" s="404">
        <f>+U165*('Input Sheet'!K$298-1)</f>
        <v>0</v>
      </c>
      <c r="AB165" s="405"/>
      <c r="AC165" s="402">
        <f t="shared" si="118"/>
        <v>0</v>
      </c>
      <c r="AD165" s="403">
        <f t="shared" si="119"/>
        <v>0</v>
      </c>
      <c r="AE165" s="403">
        <f t="shared" si="120"/>
        <v>0</v>
      </c>
      <c r="AF165" s="403">
        <f t="shared" si="121"/>
        <v>0</v>
      </c>
      <c r="AG165" s="404">
        <f t="shared" si="122"/>
        <v>0</v>
      </c>
    </row>
    <row r="166" spans="2:33" s="263" customFormat="1" x14ac:dyDescent="0.2">
      <c r="B166" s="250" t="s">
        <v>158</v>
      </c>
      <c r="C166" s="363">
        <f>+'Input Sheet'!G174</f>
        <v>0</v>
      </c>
      <c r="D166" s="364">
        <f>+'Input Sheet'!H174</f>
        <v>0</v>
      </c>
      <c r="E166" s="364">
        <f>+'Input Sheet'!I174</f>
        <v>0</v>
      </c>
      <c r="F166" s="365">
        <f>+'Input Sheet'!K174</f>
        <v>0</v>
      </c>
      <c r="G166" s="362"/>
      <c r="H166" s="363">
        <f t="shared" si="125"/>
        <v>0</v>
      </c>
      <c r="I166" s="364">
        <f t="shared" si="125"/>
        <v>0</v>
      </c>
      <c r="J166" s="364">
        <f t="shared" si="125"/>
        <v>0</v>
      </c>
      <c r="K166" s="364">
        <f t="shared" si="125"/>
        <v>0</v>
      </c>
      <c r="L166" s="365">
        <f t="shared" si="125"/>
        <v>0</v>
      </c>
      <c r="N166" s="418">
        <f>IF($N62="Hourly",'Standard Hour Calcs'!$Y63,'Standard Hour Calcs'!$E63)</f>
        <v>0</v>
      </c>
      <c r="O166" s="418"/>
      <c r="Q166" s="402">
        <f>IF($N62="Hourly",$N166*'Input Sheet'!G$280*'Fee Breakdown'!H166,'Input Sheet'!G$280*'Fee Breakdown'!$N62*'Fee Breakdown'!H166*$N166)</f>
        <v>0</v>
      </c>
      <c r="R166" s="403">
        <f>IF($N62="Hourly",$N166*'Input Sheet'!H$280*'Fee Breakdown'!I166,'Input Sheet'!H$280*'Fee Breakdown'!$N62*'Fee Breakdown'!I166*$N166)</f>
        <v>0</v>
      </c>
      <c r="S166" s="403">
        <f>IF($N62="Hourly",$N166*'Input Sheet'!I$280*'Fee Breakdown'!J166,'Input Sheet'!I$280*'Fee Breakdown'!$N62*'Fee Breakdown'!J166*$N166)</f>
        <v>0</v>
      </c>
      <c r="T166" s="403">
        <f>IF($N62="Hourly",$N166*'Input Sheet'!J$280*'Fee Breakdown'!K166,'Input Sheet'!J$280*'Fee Breakdown'!$N62*'Fee Breakdown'!K166*$N166)</f>
        <v>0</v>
      </c>
      <c r="U166" s="404">
        <f>IF($N62="Hourly",$N166*'Input Sheet'!K$280*'Fee Breakdown'!L166,'Input Sheet'!K$280*'Fee Breakdown'!$N62*'Fee Breakdown'!L166*$N166)</f>
        <v>0</v>
      </c>
      <c r="V166" s="405"/>
      <c r="W166" s="402">
        <f>+Q166*('Input Sheet'!G$298-1)</f>
        <v>0</v>
      </c>
      <c r="X166" s="403">
        <f>+R166*('Input Sheet'!H$298-1)</f>
        <v>0</v>
      </c>
      <c r="Y166" s="403">
        <f>+S166*('Input Sheet'!I$298-1)</f>
        <v>0</v>
      </c>
      <c r="Z166" s="403">
        <f>+T166*('Input Sheet'!J$298-1)</f>
        <v>0</v>
      </c>
      <c r="AA166" s="404">
        <f>+U166*('Input Sheet'!K$298-1)</f>
        <v>0</v>
      </c>
      <c r="AB166" s="405"/>
      <c r="AC166" s="402">
        <f t="shared" si="118"/>
        <v>0</v>
      </c>
      <c r="AD166" s="403">
        <f t="shared" si="119"/>
        <v>0</v>
      </c>
      <c r="AE166" s="403">
        <f t="shared" si="120"/>
        <v>0</v>
      </c>
      <c r="AF166" s="403">
        <f t="shared" si="121"/>
        <v>0</v>
      </c>
      <c r="AG166" s="404">
        <f t="shared" si="122"/>
        <v>0</v>
      </c>
    </row>
    <row r="167" spans="2:33" s="263" customFormat="1" x14ac:dyDescent="0.2">
      <c r="B167" s="250"/>
      <c r="C167" s="363"/>
      <c r="D167" s="364"/>
      <c r="E167" s="364"/>
      <c r="F167" s="365"/>
      <c r="G167" s="362"/>
      <c r="H167" s="363"/>
      <c r="I167" s="364"/>
      <c r="J167" s="364"/>
      <c r="K167" s="364"/>
      <c r="L167" s="365"/>
      <c r="N167" s="418"/>
      <c r="O167" s="418"/>
      <c r="Q167" s="402">
        <f>IF($N63="Hourly",$N167*'Input Sheet'!G$280*'Fee Breakdown'!H167,'Input Sheet'!G$280*'Fee Breakdown'!$N63*'Fee Breakdown'!H167*$N167)</f>
        <v>0</v>
      </c>
      <c r="R167" s="403">
        <f>IF($N63="Hourly",$N167*'Input Sheet'!H$280*'Fee Breakdown'!I167,'Input Sheet'!H$280*'Fee Breakdown'!$N63*'Fee Breakdown'!I167*$N167)</f>
        <v>0</v>
      </c>
      <c r="S167" s="403">
        <f>IF($N63="Hourly",$N167*'Input Sheet'!I$280*'Fee Breakdown'!J167,'Input Sheet'!I$280*'Fee Breakdown'!$N63*'Fee Breakdown'!J167*$N167)</f>
        <v>0</v>
      </c>
      <c r="T167" s="403">
        <f>IF($N63="Hourly",$N167*'Input Sheet'!J$280*'Fee Breakdown'!K167,'Input Sheet'!J$280*'Fee Breakdown'!$N63*'Fee Breakdown'!K167*$N167)</f>
        <v>0</v>
      </c>
      <c r="U167" s="404">
        <f>IF($N63="Hourly",$N167*'Input Sheet'!K$280*'Fee Breakdown'!L167,'Input Sheet'!K$280*'Fee Breakdown'!$N63*'Fee Breakdown'!L167*$N167)</f>
        <v>0</v>
      </c>
      <c r="V167" s="405"/>
      <c r="W167" s="402"/>
      <c r="X167" s="403"/>
      <c r="Y167" s="403"/>
      <c r="Z167" s="403"/>
      <c r="AA167" s="404"/>
      <c r="AB167" s="405"/>
      <c r="AC167" s="402"/>
      <c r="AD167" s="403"/>
      <c r="AE167" s="403"/>
      <c r="AF167" s="403"/>
      <c r="AG167" s="404"/>
    </row>
    <row r="168" spans="2:33" s="263" customFormat="1" x14ac:dyDescent="0.2">
      <c r="B168" s="250" t="s">
        <v>159</v>
      </c>
      <c r="C168" s="363">
        <f>+'Input Sheet'!G176</f>
        <v>0</v>
      </c>
      <c r="D168" s="364">
        <f>+'Input Sheet'!H176</f>
        <v>101</v>
      </c>
      <c r="E168" s="364">
        <f>+'Input Sheet'!I176</f>
        <v>54</v>
      </c>
      <c r="F168" s="365">
        <f>+'Input Sheet'!K176</f>
        <v>95</v>
      </c>
      <c r="G168" s="362"/>
      <c r="H168" s="363">
        <f t="shared" si="125"/>
        <v>83</v>
      </c>
      <c r="I168" s="364">
        <f t="shared" si="125"/>
        <v>83</v>
      </c>
      <c r="J168" s="364">
        <f t="shared" si="125"/>
        <v>83</v>
      </c>
      <c r="K168" s="364">
        <f t="shared" si="125"/>
        <v>83</v>
      </c>
      <c r="L168" s="365">
        <f t="shared" si="125"/>
        <v>83</v>
      </c>
      <c r="N168" s="418">
        <f>IF($N64="Hourly",'Standard Hour Calcs'!$Y65,'Standard Hour Calcs'!$E65)</f>
        <v>10</v>
      </c>
      <c r="O168" s="418"/>
      <c r="Q168" s="402">
        <f>IF($N64="Hourly",$N168*'Input Sheet'!G$280*'Fee Breakdown'!H168,'Input Sheet'!G$280*'Fee Breakdown'!$N64*'Fee Breakdown'!H168*$N168)</f>
        <v>74238.360126370753</v>
      </c>
      <c r="R168" s="403">
        <f>IF($N64="Hourly",$N168*'Input Sheet'!H$280*'Fee Breakdown'!I168,'Input Sheet'!H$280*'Fee Breakdown'!$N64*'Fee Breakdown'!I168*$N168)</f>
        <v>77477.358984428996</v>
      </c>
      <c r="S168" s="403">
        <f>IF($N64="Hourly",$N168*'Input Sheet'!I$280*'Fee Breakdown'!J168,'Input Sheet'!I$280*'Fee Breakdown'!$N64*'Fee Breakdown'!J168*$N168)</f>
        <v>80100.564111436543</v>
      </c>
      <c r="T168" s="403">
        <f>IF($N64="Hourly",$N168*'Input Sheet'!J$280*'Fee Breakdown'!K168,'Input Sheet'!J$280*'Fee Breakdown'!$N64*'Fee Breakdown'!K168*$N168)</f>
        <v>82922.359436319195</v>
      </c>
      <c r="U168" s="404">
        <f>IF($N64="Hourly",$N168*'Input Sheet'!K$280*'Fee Breakdown'!L168,'Input Sheet'!K$280*'Fee Breakdown'!$N64*'Fee Breakdown'!L168*$N168)</f>
        <v>85777.902721823411</v>
      </c>
      <c r="V168" s="405"/>
      <c r="W168" s="402">
        <f>+Q168*('Input Sheet'!G$298-1)</f>
        <v>87115.178405907965</v>
      </c>
      <c r="X168" s="403">
        <f>+R168*('Input Sheet'!H$298-1)</f>
        <v>97621.741956157668</v>
      </c>
      <c r="Y168" s="403">
        <f>+S168*('Input Sheet'!I$298-1)</f>
        <v>101811.19423133665</v>
      </c>
      <c r="Z168" s="403">
        <f>+T168*('Input Sheet'!J$298-1)</f>
        <v>107581.4888664337</v>
      </c>
      <c r="AA168" s="404">
        <f>+U168*('Input Sheet'!K$298-1)</f>
        <v>113449.73475515586</v>
      </c>
      <c r="AB168" s="405"/>
      <c r="AC168" s="402">
        <f t="shared" si="118"/>
        <v>161353.53853227873</v>
      </c>
      <c r="AD168" s="403">
        <f t="shared" si="119"/>
        <v>175099.10094058665</v>
      </c>
      <c r="AE168" s="403">
        <f t="shared" si="120"/>
        <v>181911.75834277319</v>
      </c>
      <c r="AF168" s="403">
        <f t="shared" si="121"/>
        <v>190503.84830275289</v>
      </c>
      <c r="AG168" s="404">
        <f t="shared" si="122"/>
        <v>199227.63747697929</v>
      </c>
    </row>
    <row r="169" spans="2:33" s="263" customFormat="1" x14ac:dyDescent="0.2">
      <c r="B169" s="250" t="s">
        <v>160</v>
      </c>
      <c r="C169" s="363">
        <f>+'Input Sheet'!G177</f>
        <v>0</v>
      </c>
      <c r="D169" s="364">
        <f>+'Input Sheet'!H177</f>
        <v>6</v>
      </c>
      <c r="E169" s="364">
        <f>+'Input Sheet'!I177</f>
        <v>3</v>
      </c>
      <c r="F169" s="365">
        <f>+'Input Sheet'!K177</f>
        <v>2</v>
      </c>
      <c r="G169" s="362"/>
      <c r="H169" s="363">
        <f t="shared" si="125"/>
        <v>4</v>
      </c>
      <c r="I169" s="364">
        <f t="shared" si="125"/>
        <v>4</v>
      </c>
      <c r="J169" s="364">
        <f t="shared" si="125"/>
        <v>4</v>
      </c>
      <c r="K169" s="364">
        <f t="shared" si="125"/>
        <v>4</v>
      </c>
      <c r="L169" s="365">
        <f t="shared" si="125"/>
        <v>4</v>
      </c>
      <c r="N169" s="418">
        <f>IF($N65="Hourly",'Standard Hour Calcs'!$Y66,'Standard Hour Calcs'!$E66)</f>
        <v>12</v>
      </c>
      <c r="O169" s="418"/>
      <c r="Q169" s="402">
        <f>IF($N65="Hourly",$N169*'Input Sheet'!G$280*'Fee Breakdown'!H169,'Input Sheet'!G$280*'Fee Breakdown'!$N65*'Fee Breakdown'!H169*$N169)</f>
        <v>4293.3027542961408</v>
      </c>
      <c r="R169" s="403">
        <f>IF($N65="Hourly",$N169*'Input Sheet'!H$280*'Fee Breakdown'!I169,'Input Sheet'!H$280*'Fee Breakdown'!$N65*'Fee Breakdown'!I169*$N169)</f>
        <v>4480.6183509067378</v>
      </c>
      <c r="S169" s="403">
        <f>IF($N65="Hourly",$N169*'Input Sheet'!I$280*'Fee Breakdown'!J169,'Input Sheet'!I$280*'Fee Breakdown'!$N65*'Fee Breakdown'!J169*$N169)</f>
        <v>4632.3217799384984</v>
      </c>
      <c r="T169" s="403">
        <f>IF($N65="Hourly",$N169*'Input Sheet'!J$280*'Fee Breakdown'!K169,'Input Sheet'!J$280*'Fee Breakdown'!$N65*'Fee Breakdown'!K169*$N169)</f>
        <v>4795.5099433052055</v>
      </c>
      <c r="U169" s="404">
        <f>IF($N65="Hourly",$N169*'Input Sheet'!K$280*'Fee Breakdown'!L169,'Input Sheet'!K$280*'Fee Breakdown'!$N65*'Fee Breakdown'!L169*$N169)</f>
        <v>4960.6497959608723</v>
      </c>
      <c r="V169" s="405"/>
      <c r="W169" s="402">
        <f>+Q169*('Input Sheet'!G$298-1)</f>
        <v>5037.9862210645588</v>
      </c>
      <c r="X169" s="403">
        <f>+R169*('Input Sheet'!H$298-1)</f>
        <v>5645.5947155368294</v>
      </c>
      <c r="Y169" s="403">
        <f>+S169*('Input Sheet'!I$298-1)</f>
        <v>5887.8762928965771</v>
      </c>
      <c r="Z169" s="403">
        <f>+T169*('Input Sheet'!J$298-1)</f>
        <v>6221.5800790226704</v>
      </c>
      <c r="AA169" s="404">
        <f>+U169*('Input Sheet'!K$298-1)</f>
        <v>6560.9485159608212</v>
      </c>
      <c r="AB169" s="405"/>
      <c r="AC169" s="402">
        <f t="shared" si="118"/>
        <v>9331.2889753606996</v>
      </c>
      <c r="AD169" s="403">
        <f t="shared" si="119"/>
        <v>10126.213066443568</v>
      </c>
      <c r="AE169" s="403">
        <f t="shared" si="120"/>
        <v>10520.198072835075</v>
      </c>
      <c r="AF169" s="403">
        <f t="shared" si="121"/>
        <v>11017.090022327877</v>
      </c>
      <c r="AG169" s="404">
        <f t="shared" si="122"/>
        <v>11521.598311921694</v>
      </c>
    </row>
    <row r="170" spans="2:33" s="263" customFormat="1" x14ac:dyDescent="0.2">
      <c r="B170" s="250" t="s">
        <v>161</v>
      </c>
      <c r="C170" s="363">
        <f>+'Input Sheet'!G178</f>
        <v>0</v>
      </c>
      <c r="D170" s="364">
        <f>+'Input Sheet'!H178</f>
        <v>13</v>
      </c>
      <c r="E170" s="364">
        <f>+'Input Sheet'!I178</f>
        <v>19</v>
      </c>
      <c r="F170" s="365">
        <f>+'Input Sheet'!K178</f>
        <v>17</v>
      </c>
      <c r="G170" s="362"/>
      <c r="H170" s="363">
        <f t="shared" si="125"/>
        <v>16</v>
      </c>
      <c r="I170" s="364">
        <f t="shared" si="125"/>
        <v>16</v>
      </c>
      <c r="J170" s="364">
        <f t="shared" si="125"/>
        <v>16</v>
      </c>
      <c r="K170" s="364">
        <f t="shared" si="125"/>
        <v>16</v>
      </c>
      <c r="L170" s="365">
        <f t="shared" si="125"/>
        <v>16</v>
      </c>
      <c r="N170" s="418">
        <f>IF($N66="Hourly",'Standard Hour Calcs'!$Y67,'Standard Hour Calcs'!$E67)</f>
        <v>15</v>
      </c>
      <c r="O170" s="418"/>
      <c r="Q170" s="402">
        <f>IF($N66="Hourly",$N170*'Input Sheet'!G$280*'Fee Breakdown'!H170,'Input Sheet'!G$280*'Fee Breakdown'!$N66*'Fee Breakdown'!H170*$N170)</f>
        <v>21466.513771480702</v>
      </c>
      <c r="R170" s="403">
        <f>IF($N66="Hourly",$N170*'Input Sheet'!H$280*'Fee Breakdown'!I170,'Input Sheet'!H$280*'Fee Breakdown'!$N66*'Fee Breakdown'!I170*$N170)</f>
        <v>22403.091754533685</v>
      </c>
      <c r="S170" s="403">
        <f>IF($N66="Hourly",$N170*'Input Sheet'!I$280*'Fee Breakdown'!J170,'Input Sheet'!I$280*'Fee Breakdown'!$N66*'Fee Breakdown'!J170*$N170)</f>
        <v>23161.608899692492</v>
      </c>
      <c r="T170" s="403">
        <f>IF($N66="Hourly",$N170*'Input Sheet'!J$280*'Fee Breakdown'!K170,'Input Sheet'!J$280*'Fee Breakdown'!$N66*'Fee Breakdown'!K170*$N170)</f>
        <v>23977.549716526031</v>
      </c>
      <c r="U170" s="404">
        <f>IF($N66="Hourly",$N170*'Input Sheet'!K$280*'Fee Breakdown'!L170,'Input Sheet'!K$280*'Fee Breakdown'!$N66*'Fee Breakdown'!L170*$N170)</f>
        <v>24803.248979804364</v>
      </c>
      <c r="V170" s="405"/>
      <c r="W170" s="402">
        <f>+Q170*('Input Sheet'!G$298-1)</f>
        <v>25189.93110532279</v>
      </c>
      <c r="X170" s="403">
        <f>+R170*('Input Sheet'!H$298-1)</f>
        <v>28227.973577684141</v>
      </c>
      <c r="Y170" s="403">
        <f>+S170*('Input Sheet'!I$298-1)</f>
        <v>29439.381464482882</v>
      </c>
      <c r="Z170" s="403">
        <f>+T170*('Input Sheet'!J$298-1)</f>
        <v>31107.900395113356</v>
      </c>
      <c r="AA170" s="404">
        <f>+U170*('Input Sheet'!K$298-1)</f>
        <v>32804.742579804108</v>
      </c>
      <c r="AB170" s="405"/>
      <c r="AC170" s="402">
        <f t="shared" si="118"/>
        <v>46656.444876803493</v>
      </c>
      <c r="AD170" s="403">
        <f t="shared" si="119"/>
        <v>50631.065332217826</v>
      </c>
      <c r="AE170" s="403">
        <f t="shared" si="120"/>
        <v>52600.990364175377</v>
      </c>
      <c r="AF170" s="403">
        <f t="shared" si="121"/>
        <v>55085.450111639388</v>
      </c>
      <c r="AG170" s="404">
        <f t="shared" si="122"/>
        <v>57607.991559608476</v>
      </c>
    </row>
    <row r="171" spans="2:33" s="263" customFormat="1" x14ac:dyDescent="0.2">
      <c r="B171" s="250" t="s">
        <v>162</v>
      </c>
      <c r="C171" s="363">
        <f>+'Input Sheet'!G179</f>
        <v>0</v>
      </c>
      <c r="D171" s="364">
        <f>+'Input Sheet'!H179</f>
        <v>7</v>
      </c>
      <c r="E171" s="364">
        <f>+'Input Sheet'!I179</f>
        <v>2</v>
      </c>
      <c r="F171" s="365">
        <f>+'Input Sheet'!K179</f>
        <v>0</v>
      </c>
      <c r="G171" s="362"/>
      <c r="H171" s="363">
        <f t="shared" si="125"/>
        <v>3</v>
      </c>
      <c r="I171" s="364">
        <f t="shared" si="125"/>
        <v>3</v>
      </c>
      <c r="J171" s="364">
        <f t="shared" si="125"/>
        <v>3</v>
      </c>
      <c r="K171" s="364">
        <f t="shared" si="125"/>
        <v>3</v>
      </c>
      <c r="L171" s="365">
        <f t="shared" si="125"/>
        <v>3</v>
      </c>
      <c r="N171" s="418">
        <f>IF($N67="Hourly",'Standard Hour Calcs'!$Y68,'Standard Hour Calcs'!$E68)</f>
        <v>2</v>
      </c>
      <c r="O171" s="418"/>
      <c r="Q171" s="402">
        <f>IF($N67="Hourly",$N171*'Input Sheet'!G$280*'Fee Breakdown'!H171,'Input Sheet'!G$280*'Fee Breakdown'!$N67*'Fee Breakdown'!H171*$N171)</f>
        <v>536.66284428701761</v>
      </c>
      <c r="R171" s="403">
        <f>IF($N67="Hourly",$N171*'Input Sheet'!H$280*'Fee Breakdown'!I171,'Input Sheet'!H$280*'Fee Breakdown'!$N67*'Fee Breakdown'!I171*$N171)</f>
        <v>560.07729386334222</v>
      </c>
      <c r="S171" s="403">
        <f>IF($N67="Hourly",$N171*'Input Sheet'!I$280*'Fee Breakdown'!J171,'Input Sheet'!I$280*'Fee Breakdown'!$N67*'Fee Breakdown'!J171*$N171)</f>
        <v>579.0402224923123</v>
      </c>
      <c r="T171" s="403">
        <f>IF($N67="Hourly",$N171*'Input Sheet'!J$280*'Fee Breakdown'!K171,'Input Sheet'!J$280*'Fee Breakdown'!$N67*'Fee Breakdown'!K171*$N171)</f>
        <v>599.43874291315069</v>
      </c>
      <c r="U171" s="404">
        <f>IF($N67="Hourly",$N171*'Input Sheet'!K$280*'Fee Breakdown'!L171,'Input Sheet'!K$280*'Fee Breakdown'!$N67*'Fee Breakdown'!L171*$N171)</f>
        <v>620.08122449510904</v>
      </c>
      <c r="V171" s="405"/>
      <c r="W171" s="402">
        <f>+Q171*('Input Sheet'!G$298-1)</f>
        <v>629.74827763306985</v>
      </c>
      <c r="X171" s="403">
        <f>+R171*('Input Sheet'!H$298-1)</f>
        <v>705.69933944210368</v>
      </c>
      <c r="Y171" s="403">
        <f>+S171*('Input Sheet'!I$298-1)</f>
        <v>735.98453661207213</v>
      </c>
      <c r="Z171" s="403">
        <f>+T171*('Input Sheet'!J$298-1)</f>
        <v>777.6975098778338</v>
      </c>
      <c r="AA171" s="404">
        <f>+U171*('Input Sheet'!K$298-1)</f>
        <v>820.11856449510265</v>
      </c>
      <c r="AB171" s="405"/>
      <c r="AC171" s="402">
        <f t="shared" si="118"/>
        <v>1166.4111219200875</v>
      </c>
      <c r="AD171" s="403">
        <f t="shared" si="119"/>
        <v>1265.776633305446</v>
      </c>
      <c r="AE171" s="403">
        <f t="shared" si="120"/>
        <v>1315.0247591043844</v>
      </c>
      <c r="AF171" s="403">
        <f t="shared" si="121"/>
        <v>1377.1362527909846</v>
      </c>
      <c r="AG171" s="404">
        <f t="shared" si="122"/>
        <v>1440.1997889902118</v>
      </c>
    </row>
    <row r="172" spans="2:33" s="263" customFormat="1" x14ac:dyDescent="0.2">
      <c r="B172" s="250" t="s">
        <v>163</v>
      </c>
      <c r="C172" s="363">
        <f>+'Input Sheet'!G180</f>
        <v>0</v>
      </c>
      <c r="D172" s="364">
        <f>+'Input Sheet'!H180</f>
        <v>13</v>
      </c>
      <c r="E172" s="364">
        <f>+'Input Sheet'!I180</f>
        <v>17</v>
      </c>
      <c r="F172" s="365">
        <f>+'Input Sheet'!K180</f>
        <v>15</v>
      </c>
      <c r="G172" s="362"/>
      <c r="H172" s="363">
        <f t="shared" si="125"/>
        <v>15</v>
      </c>
      <c r="I172" s="364">
        <f t="shared" si="125"/>
        <v>15</v>
      </c>
      <c r="J172" s="364">
        <f t="shared" si="125"/>
        <v>15</v>
      </c>
      <c r="K172" s="364">
        <f t="shared" si="125"/>
        <v>15</v>
      </c>
      <c r="L172" s="365">
        <f t="shared" si="125"/>
        <v>15</v>
      </c>
      <c r="N172" s="418">
        <f>IF($N68="Hourly",'Standard Hour Calcs'!$Y69,'Standard Hour Calcs'!$E69)</f>
        <v>2</v>
      </c>
      <c r="O172" s="418"/>
      <c r="Q172" s="402">
        <f>IF($N68="Hourly",$N172*'Input Sheet'!G$280*'Fee Breakdown'!H172,'Input Sheet'!G$280*'Fee Breakdown'!$N68*'Fee Breakdown'!H172*$N172)</f>
        <v>1609.9885328610526</v>
      </c>
      <c r="R172" s="403">
        <f>IF($N68="Hourly",$N172*'Input Sheet'!H$280*'Fee Breakdown'!I172,'Input Sheet'!H$280*'Fee Breakdown'!$N68*'Fee Breakdown'!I172*$N172)</f>
        <v>1680.2318815900264</v>
      </c>
      <c r="S172" s="403">
        <f>IF($N68="Hourly",$N172*'Input Sheet'!I$280*'Fee Breakdown'!J172,'Input Sheet'!I$280*'Fee Breakdown'!$N68*'Fee Breakdown'!J172*$N172)</f>
        <v>1737.1206674769369</v>
      </c>
      <c r="T172" s="403">
        <f>IF($N68="Hourly",$N172*'Input Sheet'!J$280*'Fee Breakdown'!K172,'Input Sheet'!J$280*'Fee Breakdown'!$N68*'Fee Breakdown'!K172*$N172)</f>
        <v>1798.3162287394521</v>
      </c>
      <c r="U172" s="404">
        <f>IF($N68="Hourly",$N172*'Input Sheet'!K$280*'Fee Breakdown'!L172,'Input Sheet'!K$280*'Fee Breakdown'!$N68*'Fee Breakdown'!L172*$N172)</f>
        <v>1860.2436734853272</v>
      </c>
      <c r="V172" s="405"/>
      <c r="W172" s="402">
        <f>+Q172*('Input Sheet'!G$298-1)</f>
        <v>1889.2448328992091</v>
      </c>
      <c r="X172" s="403">
        <f>+R172*('Input Sheet'!H$298-1)</f>
        <v>2117.0980183263109</v>
      </c>
      <c r="Y172" s="403">
        <f>+S172*('Input Sheet'!I$298-1)</f>
        <v>2207.9536098362164</v>
      </c>
      <c r="Z172" s="403">
        <f>+T172*('Input Sheet'!J$298-1)</f>
        <v>2333.0925296335013</v>
      </c>
      <c r="AA172" s="404">
        <f>+U172*('Input Sheet'!K$298-1)</f>
        <v>2460.3556934853082</v>
      </c>
      <c r="AB172" s="405"/>
      <c r="AC172" s="402">
        <f t="shared" si="118"/>
        <v>3499.2333657602617</v>
      </c>
      <c r="AD172" s="403">
        <f t="shared" si="119"/>
        <v>3797.3298999163371</v>
      </c>
      <c r="AE172" s="403">
        <f t="shared" si="120"/>
        <v>3945.0742773131533</v>
      </c>
      <c r="AF172" s="403">
        <f t="shared" si="121"/>
        <v>4131.4087583729533</v>
      </c>
      <c r="AG172" s="404">
        <f t="shared" si="122"/>
        <v>4320.5993669706349</v>
      </c>
    </row>
    <row r="173" spans="2:33" s="263" customFormat="1" x14ac:dyDescent="0.2">
      <c r="B173" s="250" t="s">
        <v>164</v>
      </c>
      <c r="C173" s="363">
        <f>+'Input Sheet'!G181</f>
        <v>0</v>
      </c>
      <c r="D173" s="364">
        <f>+'Input Sheet'!H181</f>
        <v>24</v>
      </c>
      <c r="E173" s="364">
        <f>+'Input Sheet'!I181</f>
        <v>20</v>
      </c>
      <c r="F173" s="365">
        <f>+'Input Sheet'!K181</f>
        <v>21</v>
      </c>
      <c r="G173" s="362"/>
      <c r="H173" s="363">
        <f t="shared" si="125"/>
        <v>22</v>
      </c>
      <c r="I173" s="364">
        <f t="shared" si="125"/>
        <v>22</v>
      </c>
      <c r="J173" s="364">
        <f t="shared" si="125"/>
        <v>22</v>
      </c>
      <c r="K173" s="364">
        <f t="shared" si="125"/>
        <v>22</v>
      </c>
      <c r="L173" s="365">
        <f t="shared" si="125"/>
        <v>22</v>
      </c>
      <c r="N173" s="418">
        <f>IF($N69="Hourly",'Standard Hour Calcs'!$Y70,'Standard Hour Calcs'!$E70)</f>
        <v>2</v>
      </c>
      <c r="O173" s="418"/>
      <c r="Q173" s="402">
        <f>IF($N69="Hourly",$N173*'Input Sheet'!G$280*'Fee Breakdown'!H173,'Input Sheet'!G$280*'Fee Breakdown'!$N69*'Fee Breakdown'!H173*$N173)</f>
        <v>4722.6330297257537</v>
      </c>
      <c r="R173" s="403">
        <f>IF($N69="Hourly",$N173*'Input Sheet'!H$280*'Fee Breakdown'!I173,'Input Sheet'!H$280*'Fee Breakdown'!$N69*'Fee Breakdown'!I173*$N173)</f>
        <v>4928.6801859974103</v>
      </c>
      <c r="S173" s="403">
        <f>IF($N69="Hourly",$N173*'Input Sheet'!I$280*'Fee Breakdown'!J173,'Input Sheet'!I$280*'Fee Breakdown'!$N69*'Fee Breakdown'!J173*$N173)</f>
        <v>5095.5539579323486</v>
      </c>
      <c r="T173" s="403">
        <f>IF($N69="Hourly",$N173*'Input Sheet'!J$280*'Fee Breakdown'!K173,'Input Sheet'!J$280*'Fee Breakdown'!$N69*'Fee Breakdown'!K173*$N173)</f>
        <v>5275.0609376357261</v>
      </c>
      <c r="U173" s="404">
        <f>IF($N69="Hourly",$N173*'Input Sheet'!K$280*'Fee Breakdown'!L173,'Input Sheet'!K$280*'Fee Breakdown'!$N69*'Fee Breakdown'!L173*$N173)</f>
        <v>5456.7147755569595</v>
      </c>
      <c r="V173" s="405"/>
      <c r="W173" s="402">
        <f>+Q173*('Input Sheet'!G$298-1)</f>
        <v>5541.7848431710127</v>
      </c>
      <c r="X173" s="403">
        <f>+R173*('Input Sheet'!H$298-1)</f>
        <v>6210.1541870905112</v>
      </c>
      <c r="Y173" s="403">
        <f>+S173*('Input Sheet'!I$298-1)</f>
        <v>6476.6639221862351</v>
      </c>
      <c r="Z173" s="403">
        <f>+T173*('Input Sheet'!J$298-1)</f>
        <v>6843.7380869249373</v>
      </c>
      <c r="AA173" s="404">
        <f>+U173*('Input Sheet'!K$298-1)</f>
        <v>7217.0433675569038</v>
      </c>
      <c r="AB173" s="405"/>
      <c r="AC173" s="402">
        <f t="shared" si="118"/>
        <v>10264.417872896767</v>
      </c>
      <c r="AD173" s="403">
        <f t="shared" si="119"/>
        <v>11138.834373087921</v>
      </c>
      <c r="AE173" s="403">
        <f t="shared" si="120"/>
        <v>11572.217880118584</v>
      </c>
      <c r="AF173" s="403">
        <f t="shared" si="121"/>
        <v>12118.799024560663</v>
      </c>
      <c r="AG173" s="404">
        <f t="shared" si="122"/>
        <v>12673.758143113864</v>
      </c>
    </row>
    <row r="174" spans="2:33" s="263" customFormat="1" x14ac:dyDescent="0.2">
      <c r="B174" s="250" t="s">
        <v>165</v>
      </c>
      <c r="C174" s="363">
        <f>+'Input Sheet'!G182</f>
        <v>0</v>
      </c>
      <c r="D174" s="364">
        <f>+'Input Sheet'!H182</f>
        <v>7</v>
      </c>
      <c r="E174" s="364">
        <f>+'Input Sheet'!I182</f>
        <v>18</v>
      </c>
      <c r="F174" s="365">
        <f>+'Input Sheet'!K182</f>
        <v>15</v>
      </c>
      <c r="G174" s="362"/>
      <c r="H174" s="363">
        <f t="shared" si="125"/>
        <v>13</v>
      </c>
      <c r="I174" s="364">
        <f t="shared" si="125"/>
        <v>13</v>
      </c>
      <c r="J174" s="364">
        <f t="shared" si="125"/>
        <v>13</v>
      </c>
      <c r="K174" s="364">
        <f t="shared" si="125"/>
        <v>13</v>
      </c>
      <c r="L174" s="365">
        <f t="shared" si="125"/>
        <v>13</v>
      </c>
      <c r="N174" s="418">
        <f>IF($N70="Hourly",'Standard Hour Calcs'!$Y71,'Standard Hour Calcs'!$E71)</f>
        <v>2</v>
      </c>
      <c r="O174" s="418"/>
      <c r="Q174" s="402">
        <f>IF($N70="Hourly",$N174*'Input Sheet'!G$280*'Fee Breakdown'!H174,'Input Sheet'!G$280*'Fee Breakdown'!$N70*'Fee Breakdown'!H174*$N174)</f>
        <v>5116.1857822029006</v>
      </c>
      <c r="R174" s="403">
        <f>IF($N70="Hourly",$N174*'Input Sheet'!H$280*'Fee Breakdown'!I174,'Input Sheet'!H$280*'Fee Breakdown'!$N70*'Fee Breakdown'!I174*$N174)</f>
        <v>5339.4035348305288</v>
      </c>
      <c r="S174" s="403">
        <f>IF($N70="Hourly",$N174*'Input Sheet'!I$280*'Fee Breakdown'!J174,'Input Sheet'!I$280*'Fee Breakdown'!$N70*'Fee Breakdown'!J174*$N174)</f>
        <v>5520.1834544267113</v>
      </c>
      <c r="T174" s="403">
        <f>IF($N70="Hourly",$N174*'Input Sheet'!J$280*'Fee Breakdown'!K174,'Input Sheet'!J$280*'Fee Breakdown'!$N70*'Fee Breakdown'!K174*$N174)</f>
        <v>5714.6493491053707</v>
      </c>
      <c r="U174" s="404">
        <f>IF($N70="Hourly",$N174*'Input Sheet'!K$280*'Fee Breakdown'!L174,'Input Sheet'!K$280*'Fee Breakdown'!$N70*'Fee Breakdown'!L174*$N174)</f>
        <v>5911.4410068533734</v>
      </c>
      <c r="V174" s="405"/>
      <c r="W174" s="402">
        <f>+Q174*('Input Sheet'!G$298-1)</f>
        <v>6003.6002467685985</v>
      </c>
      <c r="X174" s="403">
        <f>+R174*('Input Sheet'!H$298-1)</f>
        <v>6727.6670360147209</v>
      </c>
      <c r="Y174" s="403">
        <f>+S174*('Input Sheet'!I$298-1)</f>
        <v>7016.385915701755</v>
      </c>
      <c r="Z174" s="403">
        <f>+T174*('Input Sheet'!J$298-1)</f>
        <v>7414.0495941686831</v>
      </c>
      <c r="AA174" s="404">
        <f>+U174*('Input Sheet'!K$298-1)</f>
        <v>7818.4636481866464</v>
      </c>
      <c r="AB174" s="405"/>
      <c r="AC174" s="402">
        <f t="shared" si="118"/>
        <v>11119.786028971499</v>
      </c>
      <c r="AD174" s="403">
        <f t="shared" si="119"/>
        <v>12067.07057084525</v>
      </c>
      <c r="AE174" s="403">
        <f t="shared" si="120"/>
        <v>12536.569370128465</v>
      </c>
      <c r="AF174" s="403">
        <f t="shared" si="121"/>
        <v>13128.698943274054</v>
      </c>
      <c r="AG174" s="404">
        <f t="shared" si="122"/>
        <v>13729.90465504002</v>
      </c>
    </row>
    <row r="175" spans="2:33" s="263" customFormat="1" x14ac:dyDescent="0.2">
      <c r="B175" s="250" t="s">
        <v>166</v>
      </c>
      <c r="C175" s="363">
        <f>+'Input Sheet'!G183</f>
        <v>0</v>
      </c>
      <c r="D175" s="364">
        <f>+'Input Sheet'!H183</f>
        <v>1</v>
      </c>
      <c r="E175" s="364"/>
      <c r="F175" s="365">
        <f>+'Input Sheet'!K183</f>
        <v>3</v>
      </c>
      <c r="G175" s="362"/>
      <c r="H175" s="363">
        <f t="shared" si="125"/>
        <v>2</v>
      </c>
      <c r="I175" s="364">
        <f t="shared" si="125"/>
        <v>2</v>
      </c>
      <c r="J175" s="364">
        <f t="shared" si="125"/>
        <v>2</v>
      </c>
      <c r="K175" s="364">
        <f t="shared" si="125"/>
        <v>2</v>
      </c>
      <c r="L175" s="365">
        <f t="shared" si="125"/>
        <v>2</v>
      </c>
      <c r="N175" s="418">
        <f>IF($N71="Hourly",'Standard Hour Calcs'!$Y72,'Standard Hour Calcs'!$E72)</f>
        <v>6</v>
      </c>
      <c r="O175" s="418"/>
      <c r="Q175" s="402">
        <f>IF($N71="Hourly",$N175*'Input Sheet'!G$280*'Fee Breakdown'!H175,'Input Sheet'!G$280*'Fee Breakdown'!$N71*'Fee Breakdown'!H175*$N175)</f>
        <v>536.66284428701761</v>
      </c>
      <c r="R175" s="403">
        <f>IF($N71="Hourly",$N175*'Input Sheet'!H$280*'Fee Breakdown'!I175,'Input Sheet'!H$280*'Fee Breakdown'!$N71*'Fee Breakdown'!I175*$N175)</f>
        <v>560.07729386334222</v>
      </c>
      <c r="S175" s="403">
        <f>IF($N71="Hourly",$N175*'Input Sheet'!I$280*'Fee Breakdown'!J175,'Input Sheet'!I$280*'Fee Breakdown'!$N71*'Fee Breakdown'!J175*$N175)</f>
        <v>579.0402224923123</v>
      </c>
      <c r="T175" s="403">
        <f>IF($N71="Hourly",$N175*'Input Sheet'!J$280*'Fee Breakdown'!K175,'Input Sheet'!J$280*'Fee Breakdown'!$N71*'Fee Breakdown'!K175*$N175)</f>
        <v>599.43874291315069</v>
      </c>
      <c r="U175" s="404">
        <f>IF($N71="Hourly",$N175*'Input Sheet'!K$280*'Fee Breakdown'!L175,'Input Sheet'!K$280*'Fee Breakdown'!$N71*'Fee Breakdown'!L175*$N175)</f>
        <v>620.08122449510904</v>
      </c>
      <c r="V175" s="405"/>
      <c r="W175" s="402">
        <f>+Q175*('Input Sheet'!G$298-1)</f>
        <v>629.74827763306985</v>
      </c>
      <c r="X175" s="403">
        <f>+R175*('Input Sheet'!H$298-1)</f>
        <v>705.69933944210368</v>
      </c>
      <c r="Y175" s="403">
        <f>+S175*('Input Sheet'!I$298-1)</f>
        <v>735.98453661207213</v>
      </c>
      <c r="Z175" s="403">
        <f>+T175*('Input Sheet'!J$298-1)</f>
        <v>777.6975098778338</v>
      </c>
      <c r="AA175" s="404">
        <f>+U175*('Input Sheet'!K$298-1)</f>
        <v>820.11856449510265</v>
      </c>
      <c r="AB175" s="405"/>
      <c r="AC175" s="402">
        <f t="shared" si="118"/>
        <v>1166.4111219200875</v>
      </c>
      <c r="AD175" s="403">
        <f t="shared" si="119"/>
        <v>1265.776633305446</v>
      </c>
      <c r="AE175" s="403">
        <f t="shared" si="120"/>
        <v>1315.0247591043844</v>
      </c>
      <c r="AF175" s="403">
        <f t="shared" si="121"/>
        <v>1377.1362527909846</v>
      </c>
      <c r="AG175" s="404">
        <f t="shared" si="122"/>
        <v>1440.1997889902118</v>
      </c>
    </row>
    <row r="176" spans="2:33" s="263" customFormat="1" x14ac:dyDescent="0.2">
      <c r="B176" s="250" t="s">
        <v>167</v>
      </c>
      <c r="C176" s="363">
        <f>+'Input Sheet'!G184</f>
        <v>0</v>
      </c>
      <c r="D176" s="364">
        <f>+'Input Sheet'!H184</f>
        <v>1</v>
      </c>
      <c r="E176" s="364">
        <f>+'Input Sheet'!I184</f>
        <v>2</v>
      </c>
      <c r="F176" s="365">
        <f>+'Input Sheet'!K184</f>
        <v>7</v>
      </c>
      <c r="G176" s="362"/>
      <c r="H176" s="363">
        <f t="shared" si="125"/>
        <v>3</v>
      </c>
      <c r="I176" s="364">
        <f t="shared" si="125"/>
        <v>3</v>
      </c>
      <c r="J176" s="364">
        <f t="shared" si="125"/>
        <v>3</v>
      </c>
      <c r="K176" s="364">
        <f t="shared" si="125"/>
        <v>3</v>
      </c>
      <c r="L176" s="365">
        <f t="shared" si="125"/>
        <v>3</v>
      </c>
      <c r="N176" s="418">
        <f>IF($N72="Hourly",'Standard Hour Calcs'!$Y73,'Standard Hour Calcs'!$E73)</f>
        <v>7</v>
      </c>
      <c r="O176" s="418"/>
      <c r="Q176" s="402">
        <f>IF($N72="Hourly",$N176*'Input Sheet'!G$280*'Fee Breakdown'!H176,'Input Sheet'!G$280*'Fee Breakdown'!$N72*'Fee Breakdown'!H176*$N176)</f>
        <v>1878.3199550045615</v>
      </c>
      <c r="R176" s="403">
        <f>IF($N72="Hourly",$N176*'Input Sheet'!H$280*'Fee Breakdown'!I176,'Input Sheet'!H$280*'Fee Breakdown'!$N72*'Fee Breakdown'!I176*$N176)</f>
        <v>1960.2705285216978</v>
      </c>
      <c r="S176" s="403">
        <f>IF($N72="Hourly",$N176*'Input Sheet'!I$280*'Fee Breakdown'!J176,'Input Sheet'!I$280*'Fee Breakdown'!$N72*'Fee Breakdown'!J176*$N176)</f>
        <v>2026.640778723093</v>
      </c>
      <c r="T176" s="403">
        <f>IF($N72="Hourly",$N176*'Input Sheet'!J$280*'Fee Breakdown'!K176,'Input Sheet'!J$280*'Fee Breakdown'!$N72*'Fee Breakdown'!K176*$N176)</f>
        <v>2098.0356001960272</v>
      </c>
      <c r="U176" s="404">
        <f>IF($N72="Hourly",$N176*'Input Sheet'!K$280*'Fee Breakdown'!L176,'Input Sheet'!K$280*'Fee Breakdown'!$N72*'Fee Breakdown'!L176*$N176)</f>
        <v>2170.2842857328815</v>
      </c>
      <c r="V176" s="405"/>
      <c r="W176" s="402">
        <f>+Q176*('Input Sheet'!G$298-1)</f>
        <v>2204.118971715744</v>
      </c>
      <c r="X176" s="403">
        <f>+R176*('Input Sheet'!H$298-1)</f>
        <v>2469.947688047363</v>
      </c>
      <c r="Y176" s="403">
        <f>+S176*('Input Sheet'!I$298-1)</f>
        <v>2575.9458781422522</v>
      </c>
      <c r="Z176" s="403">
        <f>+T176*('Input Sheet'!J$298-1)</f>
        <v>2721.9412845724182</v>
      </c>
      <c r="AA176" s="404">
        <f>+U176*('Input Sheet'!K$298-1)</f>
        <v>2870.4149757328591</v>
      </c>
      <c r="AB176" s="405"/>
      <c r="AC176" s="402">
        <f t="shared" si="118"/>
        <v>4082.4389267203055</v>
      </c>
      <c r="AD176" s="403">
        <f t="shared" si="119"/>
        <v>4430.218216569061</v>
      </c>
      <c r="AE176" s="403">
        <f t="shared" si="120"/>
        <v>4602.5866568653455</v>
      </c>
      <c r="AF176" s="403">
        <f t="shared" si="121"/>
        <v>4819.9768847684454</v>
      </c>
      <c r="AG176" s="404">
        <f t="shared" si="122"/>
        <v>5040.6992614657411</v>
      </c>
    </row>
    <row r="177" spans="2:33" s="263" customFormat="1" x14ac:dyDescent="0.2">
      <c r="B177" s="250" t="s">
        <v>168</v>
      </c>
      <c r="C177" s="363">
        <f>+'Input Sheet'!G185</f>
        <v>0</v>
      </c>
      <c r="D177" s="364">
        <f>+'Input Sheet'!H185</f>
        <v>0</v>
      </c>
      <c r="E177" s="364">
        <f>+'Input Sheet'!I185</f>
        <v>0</v>
      </c>
      <c r="F177" s="365">
        <f>+'Input Sheet'!K185</f>
        <v>0</v>
      </c>
      <c r="G177" s="362"/>
      <c r="H177" s="363">
        <f t="shared" si="125"/>
        <v>0</v>
      </c>
      <c r="I177" s="364">
        <f t="shared" si="125"/>
        <v>0</v>
      </c>
      <c r="J177" s="364">
        <f t="shared" si="125"/>
        <v>0</v>
      </c>
      <c r="K177" s="364">
        <f t="shared" si="125"/>
        <v>0</v>
      </c>
      <c r="L177" s="365">
        <f t="shared" si="125"/>
        <v>0</v>
      </c>
      <c r="N177" s="418">
        <f>IF($N73="Hourly",'Standard Hour Calcs'!$Y74,'Standard Hour Calcs'!$E74)</f>
        <v>0</v>
      </c>
      <c r="O177" s="418"/>
      <c r="Q177" s="402">
        <f>IF($N73="Hourly",$N177*'Input Sheet'!G$280*'Fee Breakdown'!H177,'Input Sheet'!G$280*'Fee Breakdown'!$N73*'Fee Breakdown'!H177*$N177)</f>
        <v>0</v>
      </c>
      <c r="R177" s="403">
        <f>IF($N73="Hourly",$N177*'Input Sheet'!H$280*'Fee Breakdown'!I177,'Input Sheet'!H$280*'Fee Breakdown'!$N73*'Fee Breakdown'!I177*$N177)</f>
        <v>0</v>
      </c>
      <c r="S177" s="403">
        <f>IF($N73="Hourly",$N177*'Input Sheet'!I$280*'Fee Breakdown'!J177,'Input Sheet'!I$280*'Fee Breakdown'!$N73*'Fee Breakdown'!J177*$N177)</f>
        <v>0</v>
      </c>
      <c r="T177" s="403">
        <f>IF($N73="Hourly",$N177*'Input Sheet'!J$280*'Fee Breakdown'!K177,'Input Sheet'!J$280*'Fee Breakdown'!$N73*'Fee Breakdown'!K177*$N177)</f>
        <v>0</v>
      </c>
      <c r="U177" s="404">
        <f>IF($N73="Hourly",$N177*'Input Sheet'!K$280*'Fee Breakdown'!L177,'Input Sheet'!K$280*'Fee Breakdown'!$N73*'Fee Breakdown'!L177*$N177)</f>
        <v>0</v>
      </c>
      <c r="V177" s="405"/>
      <c r="W177" s="402">
        <f>+Q177*('Input Sheet'!G$298-1)</f>
        <v>0</v>
      </c>
      <c r="X177" s="403">
        <f>+R177*('Input Sheet'!H$298-1)</f>
        <v>0</v>
      </c>
      <c r="Y177" s="403">
        <f>+S177*('Input Sheet'!I$298-1)</f>
        <v>0</v>
      </c>
      <c r="Z177" s="403">
        <f>+T177*('Input Sheet'!J$298-1)</f>
        <v>0</v>
      </c>
      <c r="AA177" s="404">
        <f>+U177*('Input Sheet'!K$298-1)</f>
        <v>0</v>
      </c>
      <c r="AB177" s="405"/>
      <c r="AC177" s="402">
        <f t="shared" si="118"/>
        <v>0</v>
      </c>
      <c r="AD177" s="403">
        <f t="shared" si="119"/>
        <v>0</v>
      </c>
      <c r="AE177" s="403">
        <f t="shared" si="120"/>
        <v>0</v>
      </c>
      <c r="AF177" s="403">
        <f t="shared" si="121"/>
        <v>0</v>
      </c>
      <c r="AG177" s="404">
        <f t="shared" si="122"/>
        <v>0</v>
      </c>
    </row>
    <row r="178" spans="2:33" s="263" customFormat="1" x14ac:dyDescent="0.2">
      <c r="B178" s="250" t="s">
        <v>169</v>
      </c>
      <c r="C178" s="363">
        <f>+'Input Sheet'!G186</f>
        <v>0</v>
      </c>
      <c r="D178" s="364"/>
      <c r="E178" s="364">
        <f>+'Input Sheet'!I186</f>
        <v>1</v>
      </c>
      <c r="F178" s="365">
        <f>+'Input Sheet'!K186</f>
        <v>0</v>
      </c>
      <c r="G178" s="362"/>
      <c r="H178" s="363">
        <f t="shared" si="125"/>
        <v>1</v>
      </c>
      <c r="I178" s="364">
        <f t="shared" si="125"/>
        <v>1</v>
      </c>
      <c r="J178" s="364">
        <f t="shared" si="125"/>
        <v>1</v>
      </c>
      <c r="K178" s="364">
        <f t="shared" si="125"/>
        <v>1</v>
      </c>
      <c r="L178" s="365">
        <f t="shared" si="125"/>
        <v>1</v>
      </c>
      <c r="N178" s="418">
        <f>IF($N74="Hourly",'Standard Hour Calcs'!$Y75,'Standard Hour Calcs'!$E75)</f>
        <v>5</v>
      </c>
      <c r="O178" s="418"/>
      <c r="Q178" s="402">
        <f>IF($N74="Hourly",$N178*'Input Sheet'!G$280*'Fee Breakdown'!H178,'Input Sheet'!G$280*'Fee Breakdown'!$N74*'Fee Breakdown'!H178*$N178)</f>
        <v>178.88761476233921</v>
      </c>
      <c r="R178" s="403">
        <f>IF($N74="Hourly",$N178*'Input Sheet'!H$280*'Fee Breakdown'!I178,'Input Sheet'!H$280*'Fee Breakdown'!$N74*'Fee Breakdown'!I178*$N178)</f>
        <v>186.69243128778075</v>
      </c>
      <c r="S178" s="403">
        <f>IF($N74="Hourly",$N178*'Input Sheet'!I$280*'Fee Breakdown'!J178,'Input Sheet'!I$280*'Fee Breakdown'!$N74*'Fee Breakdown'!J178*$N178)</f>
        <v>193.01340749743744</v>
      </c>
      <c r="T178" s="403">
        <f>IF($N74="Hourly",$N178*'Input Sheet'!J$280*'Fee Breakdown'!K178,'Input Sheet'!J$280*'Fee Breakdown'!$N74*'Fee Breakdown'!K178*$N178)</f>
        <v>199.81291430438361</v>
      </c>
      <c r="U178" s="404">
        <f>IF($N74="Hourly",$N178*'Input Sheet'!K$280*'Fee Breakdown'!L178,'Input Sheet'!K$280*'Fee Breakdown'!$N74*'Fee Breakdown'!L178*$N178)</f>
        <v>206.69374149836969</v>
      </c>
      <c r="V178" s="405"/>
      <c r="W178" s="402">
        <f>+Q178*('Input Sheet'!G$298-1)</f>
        <v>209.91609254435662</v>
      </c>
      <c r="X178" s="403">
        <f>+R178*('Input Sheet'!H$298-1)</f>
        <v>235.2331131473679</v>
      </c>
      <c r="Y178" s="403">
        <f>+S178*('Input Sheet'!I$298-1)</f>
        <v>245.32817887069072</v>
      </c>
      <c r="Z178" s="403">
        <f>+T178*('Input Sheet'!J$298-1)</f>
        <v>259.23250329261134</v>
      </c>
      <c r="AA178" s="404">
        <f>+U178*('Input Sheet'!K$298-1)</f>
        <v>273.37285483170092</v>
      </c>
      <c r="AB178" s="405"/>
      <c r="AC178" s="402">
        <f t="shared" si="118"/>
        <v>388.80370730669586</v>
      </c>
      <c r="AD178" s="403">
        <f t="shared" si="119"/>
        <v>421.92554443514865</v>
      </c>
      <c r="AE178" s="403">
        <f t="shared" si="120"/>
        <v>438.34158636812816</v>
      </c>
      <c r="AF178" s="403">
        <f t="shared" si="121"/>
        <v>459.04541759699498</v>
      </c>
      <c r="AG178" s="404">
        <f t="shared" si="122"/>
        <v>480.06659633007064</v>
      </c>
    </row>
    <row r="179" spans="2:33" s="263" customFormat="1" x14ac:dyDescent="0.2">
      <c r="B179" s="250" t="s">
        <v>170</v>
      </c>
      <c r="C179" s="363">
        <f>+'Input Sheet'!G187</f>
        <v>0</v>
      </c>
      <c r="D179" s="364">
        <f>+'Input Sheet'!H187</f>
        <v>1</v>
      </c>
      <c r="E179" s="364">
        <f>+'Input Sheet'!I187</f>
        <v>1</v>
      </c>
      <c r="F179" s="365">
        <f>+'Input Sheet'!K187</f>
        <v>1</v>
      </c>
      <c r="G179" s="362"/>
      <c r="H179" s="363">
        <f t="shared" si="125"/>
        <v>1</v>
      </c>
      <c r="I179" s="364">
        <f t="shared" si="125"/>
        <v>1</v>
      </c>
      <c r="J179" s="364">
        <f t="shared" si="125"/>
        <v>1</v>
      </c>
      <c r="K179" s="364">
        <f t="shared" si="125"/>
        <v>1</v>
      </c>
      <c r="L179" s="365">
        <f t="shared" si="125"/>
        <v>1</v>
      </c>
      <c r="N179" s="418">
        <f>IF($N75="Hourly",'Standard Hour Calcs'!$Y76,'Standard Hour Calcs'!$E76)</f>
        <v>15</v>
      </c>
      <c r="O179" s="418"/>
      <c r="Q179" s="402">
        <f>IF($N75="Hourly",$N179*'Input Sheet'!G$280*'Fee Breakdown'!H179,'Input Sheet'!G$280*'Fee Breakdown'!$N75*'Fee Breakdown'!H179*$N179)</f>
        <v>939.15997750228064</v>
      </c>
      <c r="R179" s="403">
        <f>IF($N75="Hourly",$N179*'Input Sheet'!H$280*'Fee Breakdown'!I179,'Input Sheet'!H$280*'Fee Breakdown'!$N75*'Fee Breakdown'!I179*$N179)</f>
        <v>980.13526426084866</v>
      </c>
      <c r="S179" s="403">
        <f>IF($N75="Hourly",$N179*'Input Sheet'!I$280*'Fee Breakdown'!J179,'Input Sheet'!I$280*'Fee Breakdown'!$N75*'Fee Breakdown'!J179*$N179)</f>
        <v>1013.3203893615464</v>
      </c>
      <c r="T179" s="403">
        <f>IF($N75="Hourly",$N179*'Input Sheet'!J$280*'Fee Breakdown'!K179,'Input Sheet'!J$280*'Fee Breakdown'!$N75*'Fee Breakdown'!K179*$N179)</f>
        <v>1049.0178000980136</v>
      </c>
      <c r="U179" s="404">
        <f>IF($N75="Hourly",$N179*'Input Sheet'!K$280*'Fee Breakdown'!L179,'Input Sheet'!K$280*'Fee Breakdown'!$N75*'Fee Breakdown'!L179*$N179)</f>
        <v>1085.1421428664407</v>
      </c>
      <c r="V179" s="405"/>
      <c r="W179" s="402">
        <f>+Q179*('Input Sheet'!G$298-1)</f>
        <v>1102.059485857872</v>
      </c>
      <c r="X179" s="403">
        <f>+R179*('Input Sheet'!H$298-1)</f>
        <v>1234.9738440236811</v>
      </c>
      <c r="Y179" s="403">
        <f>+S179*('Input Sheet'!I$298-1)</f>
        <v>1287.9729390711259</v>
      </c>
      <c r="Z179" s="403">
        <f>+T179*('Input Sheet'!J$298-1)</f>
        <v>1360.9706422862091</v>
      </c>
      <c r="AA179" s="404">
        <f>+U179*('Input Sheet'!K$298-1)</f>
        <v>1435.2074878664296</v>
      </c>
      <c r="AB179" s="405"/>
      <c r="AC179" s="402">
        <f t="shared" si="118"/>
        <v>2041.2194633601525</v>
      </c>
      <c r="AD179" s="403">
        <f t="shared" si="119"/>
        <v>2215.1091082845296</v>
      </c>
      <c r="AE179" s="403">
        <f t="shared" si="120"/>
        <v>2301.2933284326723</v>
      </c>
      <c r="AF179" s="403">
        <f t="shared" si="121"/>
        <v>2409.9884423842227</v>
      </c>
      <c r="AG179" s="404">
        <f t="shared" si="122"/>
        <v>2520.3496307328705</v>
      </c>
    </row>
    <row r="180" spans="2:33" s="263" customFormat="1" x14ac:dyDescent="0.2">
      <c r="B180" s="250" t="s">
        <v>171</v>
      </c>
      <c r="C180" s="363">
        <f>+'Input Sheet'!G188</f>
        <v>0</v>
      </c>
      <c r="D180" s="364">
        <f>+'Input Sheet'!H188</f>
        <v>0</v>
      </c>
      <c r="E180" s="364">
        <f>+'Input Sheet'!I188</f>
        <v>0</v>
      </c>
      <c r="F180" s="365">
        <f>+'Input Sheet'!K188</f>
        <v>0</v>
      </c>
      <c r="G180" s="362"/>
      <c r="H180" s="363">
        <f t="shared" ref="H180:L195" si="126">ROUND(AVERAGE($D180:$F180),0)</f>
        <v>0</v>
      </c>
      <c r="I180" s="364">
        <f t="shared" si="126"/>
        <v>0</v>
      </c>
      <c r="J180" s="364">
        <f t="shared" si="126"/>
        <v>0</v>
      </c>
      <c r="K180" s="364">
        <f t="shared" si="126"/>
        <v>0</v>
      </c>
      <c r="L180" s="365">
        <f t="shared" si="126"/>
        <v>0</v>
      </c>
      <c r="N180" s="418">
        <f>IF($N76="Hourly",'Standard Hour Calcs'!$Y77,'Standard Hour Calcs'!$E77)</f>
        <v>0</v>
      </c>
      <c r="O180" s="418"/>
      <c r="Q180" s="402">
        <f>IF($N76="Hourly",$N180*'Input Sheet'!G$280*'Fee Breakdown'!H180,'Input Sheet'!G$280*'Fee Breakdown'!$N76*'Fee Breakdown'!H180*$N180)</f>
        <v>0</v>
      </c>
      <c r="R180" s="403">
        <f>IF($N76="Hourly",$N180*'Input Sheet'!H$280*'Fee Breakdown'!I180,'Input Sheet'!H$280*'Fee Breakdown'!$N76*'Fee Breakdown'!I180*$N180)</f>
        <v>0</v>
      </c>
      <c r="S180" s="403">
        <f>IF($N76="Hourly",$N180*'Input Sheet'!I$280*'Fee Breakdown'!J180,'Input Sheet'!I$280*'Fee Breakdown'!$N76*'Fee Breakdown'!J180*$N180)</f>
        <v>0</v>
      </c>
      <c r="T180" s="403">
        <f>IF($N76="Hourly",$N180*'Input Sheet'!J$280*'Fee Breakdown'!K180,'Input Sheet'!J$280*'Fee Breakdown'!$N76*'Fee Breakdown'!K180*$N180)</f>
        <v>0</v>
      </c>
      <c r="U180" s="404">
        <f>IF($N76="Hourly",$N180*'Input Sheet'!K$280*'Fee Breakdown'!L180,'Input Sheet'!K$280*'Fee Breakdown'!$N76*'Fee Breakdown'!L180*$N180)</f>
        <v>0</v>
      </c>
      <c r="V180" s="405"/>
      <c r="W180" s="402">
        <f>+Q180*('Input Sheet'!G$298-1)</f>
        <v>0</v>
      </c>
      <c r="X180" s="403">
        <f>+R180*('Input Sheet'!H$298-1)</f>
        <v>0</v>
      </c>
      <c r="Y180" s="403">
        <f>+S180*('Input Sheet'!I$298-1)</f>
        <v>0</v>
      </c>
      <c r="Z180" s="403">
        <f>+T180*('Input Sheet'!J$298-1)</f>
        <v>0</v>
      </c>
      <c r="AA180" s="404">
        <f>+U180*('Input Sheet'!K$298-1)</f>
        <v>0</v>
      </c>
      <c r="AB180" s="405"/>
      <c r="AC180" s="402">
        <f t="shared" ref="AC180:AC202" si="127">+Q180+W180</f>
        <v>0</v>
      </c>
      <c r="AD180" s="403">
        <f t="shared" ref="AD180:AD202" si="128">+R180+X180</f>
        <v>0</v>
      </c>
      <c r="AE180" s="403">
        <f t="shared" ref="AE180:AE202" si="129">+S180+Y180</f>
        <v>0</v>
      </c>
      <c r="AF180" s="403">
        <f t="shared" ref="AF180:AF202" si="130">+T180+Z180</f>
        <v>0</v>
      </c>
      <c r="AG180" s="404">
        <f t="shared" ref="AG180:AG202" si="131">+U180+AA180</f>
        <v>0</v>
      </c>
    </row>
    <row r="181" spans="2:33" s="263" customFormat="1" x14ac:dyDescent="0.2">
      <c r="B181" s="250" t="s">
        <v>172</v>
      </c>
      <c r="C181" s="363">
        <f>+'Input Sheet'!G189</f>
        <v>0</v>
      </c>
      <c r="D181" s="364">
        <f>+'Input Sheet'!H189</f>
        <v>13</v>
      </c>
      <c r="E181" s="364">
        <f>+'Input Sheet'!I189</f>
        <v>13</v>
      </c>
      <c r="F181" s="365">
        <f>+'Input Sheet'!K189</f>
        <v>13</v>
      </c>
      <c r="G181" s="362"/>
      <c r="H181" s="363">
        <f t="shared" si="126"/>
        <v>13</v>
      </c>
      <c r="I181" s="364">
        <f t="shared" si="126"/>
        <v>13</v>
      </c>
      <c r="J181" s="364">
        <f t="shared" si="126"/>
        <v>13</v>
      </c>
      <c r="K181" s="364">
        <f t="shared" si="126"/>
        <v>13</v>
      </c>
      <c r="L181" s="365">
        <f t="shared" si="126"/>
        <v>13</v>
      </c>
      <c r="N181" s="418">
        <v>1</v>
      </c>
      <c r="O181" s="418"/>
      <c r="Q181" s="402">
        <f>IF($N77="Hourly",$N181*'Input Sheet'!G$280*'Fee Breakdown'!H181,'Input Sheet'!G$280*'Fee Breakdown'!$N77*'Fee Breakdown'!H181*$N181)</f>
        <v>3953.4162862476956</v>
      </c>
      <c r="R181" s="403">
        <f>IF($N77="Hourly",$N181*'Input Sheet'!H$280*'Fee Breakdown'!I181,'Input Sheet'!H$280*'Fee Breakdown'!$N77*'Fee Breakdown'!I181*$N181)</f>
        <v>4125.9027314599534</v>
      </c>
      <c r="S181" s="403">
        <f>IF($N77="Hourly",$N181*'Input Sheet'!I$280*'Fee Breakdown'!J181,'Input Sheet'!I$280*'Fee Breakdown'!$N77*'Fee Breakdown'!J181*$N181)</f>
        <v>4265.5963056933679</v>
      </c>
      <c r="T181" s="403">
        <f>IF($N77="Hourly",$N181*'Input Sheet'!J$280*'Fee Breakdown'!K181,'Input Sheet'!J$280*'Fee Breakdown'!$N77*'Fee Breakdown'!K181*$N181)</f>
        <v>4415.8654061268771</v>
      </c>
      <c r="U181" s="404">
        <f>IF($N77="Hourly",$N181*'Input Sheet'!K$280*'Fee Breakdown'!L181,'Input Sheet'!K$280*'Fee Breakdown'!$N77*'Fee Breakdown'!L181*$N181)</f>
        <v>4567.9316871139699</v>
      </c>
      <c r="V181" s="405"/>
      <c r="W181" s="402">
        <f>+Q181*('Input Sheet'!G$298-1)</f>
        <v>4639.14564523028</v>
      </c>
      <c r="X181" s="403">
        <f>+R181*('Input Sheet'!H$298-1)</f>
        <v>5198.6518005568296</v>
      </c>
      <c r="Y181" s="403">
        <f>+S181*('Input Sheet'!I$298-1)</f>
        <v>5421.7527530422649</v>
      </c>
      <c r="Z181" s="403">
        <f>+T181*('Input Sheet'!J$298-1)</f>
        <v>5729.0383227667098</v>
      </c>
      <c r="AA181" s="404">
        <f>+U181*('Input Sheet'!K$298-1)</f>
        <v>6041.54009178059</v>
      </c>
      <c r="AB181" s="405"/>
      <c r="AC181" s="402">
        <f t="shared" si="127"/>
        <v>8592.561931477976</v>
      </c>
      <c r="AD181" s="403">
        <f t="shared" si="128"/>
        <v>9324.5545320167839</v>
      </c>
      <c r="AE181" s="403">
        <f t="shared" si="129"/>
        <v>9687.3490587356318</v>
      </c>
      <c r="AF181" s="403">
        <f t="shared" si="130"/>
        <v>10144.903728893587</v>
      </c>
      <c r="AG181" s="404">
        <f t="shared" si="131"/>
        <v>10609.47177889456</v>
      </c>
    </row>
    <row r="182" spans="2:33" s="263" customFormat="1" x14ac:dyDescent="0.2">
      <c r="B182" s="250" t="s">
        <v>173</v>
      </c>
      <c r="C182" s="363">
        <f>+'Input Sheet'!G190</f>
        <v>0</v>
      </c>
      <c r="D182" s="364">
        <f>+'Input Sheet'!H190</f>
        <v>17</v>
      </c>
      <c r="E182" s="364">
        <f>+'Input Sheet'!I190</f>
        <v>17</v>
      </c>
      <c r="F182" s="365">
        <f>+'Input Sheet'!K190</f>
        <v>17</v>
      </c>
      <c r="G182" s="362"/>
      <c r="H182" s="363">
        <f t="shared" si="126"/>
        <v>17</v>
      </c>
      <c r="I182" s="364">
        <f t="shared" si="126"/>
        <v>17</v>
      </c>
      <c r="J182" s="364">
        <f t="shared" si="126"/>
        <v>17</v>
      </c>
      <c r="K182" s="364">
        <f t="shared" si="126"/>
        <v>17</v>
      </c>
      <c r="L182" s="365">
        <f t="shared" si="126"/>
        <v>17</v>
      </c>
      <c r="N182" s="418">
        <v>1</v>
      </c>
      <c r="O182" s="418"/>
      <c r="Q182" s="402">
        <f>IF($N78="Hourly",$N182*'Input Sheet'!G$280*'Fee Breakdown'!H182,'Input Sheet'!G$280*'Fee Breakdown'!$N78*'Fee Breakdown'!H182*$N182)</f>
        <v>10643.813078359182</v>
      </c>
      <c r="R182" s="403">
        <f>IF($N78="Hourly",$N182*'Input Sheet'!H$280*'Fee Breakdown'!I182,'Input Sheet'!H$280*'Fee Breakdown'!$N78*'Fee Breakdown'!I182*$N182)</f>
        <v>11108.199661622953</v>
      </c>
      <c r="S182" s="403">
        <f>IF($N78="Hourly",$N182*'Input Sheet'!I$280*'Fee Breakdown'!J182,'Input Sheet'!I$280*'Fee Breakdown'!$N78*'Fee Breakdown'!J182*$N182)</f>
        <v>11484.297746097529</v>
      </c>
      <c r="T182" s="403">
        <f>IF($N78="Hourly",$N182*'Input Sheet'!J$280*'Fee Breakdown'!K182,'Input Sheet'!J$280*'Fee Breakdown'!$N78*'Fee Breakdown'!K182*$N182)</f>
        <v>11888.868401110823</v>
      </c>
      <c r="U182" s="404">
        <f>IF($N78="Hourly",$N182*'Input Sheet'!K$280*'Fee Breakdown'!L182,'Input Sheet'!K$280*'Fee Breakdown'!$N78*'Fee Breakdown'!L182*$N182)</f>
        <v>12298.277619152996</v>
      </c>
      <c r="V182" s="405"/>
      <c r="W182" s="402">
        <f>+Q182*('Input Sheet'!G$298-1)</f>
        <v>12490.007506389218</v>
      </c>
      <c r="X182" s="403">
        <f>+R182*('Input Sheet'!H$298-1)</f>
        <v>13996.370232268389</v>
      </c>
      <c r="Y182" s="403">
        <f>+S182*('Input Sheet'!I$298-1)</f>
        <v>14597.026642806099</v>
      </c>
      <c r="Z182" s="403">
        <f>+T182*('Input Sheet'!J$298-1)</f>
        <v>15424.333945910372</v>
      </c>
      <c r="AA182" s="404">
        <f>+U182*('Input Sheet'!K$298-1)</f>
        <v>16265.684862486203</v>
      </c>
      <c r="AB182" s="405"/>
      <c r="AC182" s="402">
        <f t="shared" si="127"/>
        <v>23133.820584748399</v>
      </c>
      <c r="AD182" s="403">
        <f t="shared" si="128"/>
        <v>25104.569893891341</v>
      </c>
      <c r="AE182" s="403">
        <f t="shared" si="129"/>
        <v>26081.324388903628</v>
      </c>
      <c r="AF182" s="403">
        <f t="shared" si="130"/>
        <v>27313.202347021193</v>
      </c>
      <c r="AG182" s="404">
        <f t="shared" si="131"/>
        <v>28563.962481639199</v>
      </c>
    </row>
    <row r="183" spans="2:33" s="263" customFormat="1" x14ac:dyDescent="0.2">
      <c r="B183" s="250" t="s">
        <v>174</v>
      </c>
      <c r="C183" s="363">
        <f>+'Input Sheet'!G191</f>
        <v>0</v>
      </c>
      <c r="D183" s="364">
        <f>+'Input Sheet'!H191</f>
        <v>10</v>
      </c>
      <c r="E183" s="364">
        <f>+'Input Sheet'!I191</f>
        <v>10</v>
      </c>
      <c r="F183" s="365">
        <f>+'Input Sheet'!K191</f>
        <v>10</v>
      </c>
      <c r="G183" s="362"/>
      <c r="H183" s="363">
        <f t="shared" si="126"/>
        <v>10</v>
      </c>
      <c r="I183" s="364">
        <f t="shared" si="126"/>
        <v>10</v>
      </c>
      <c r="J183" s="364">
        <f t="shared" si="126"/>
        <v>10</v>
      </c>
      <c r="K183" s="364">
        <f t="shared" si="126"/>
        <v>10</v>
      </c>
      <c r="L183" s="365">
        <f t="shared" si="126"/>
        <v>10</v>
      </c>
      <c r="N183" s="418">
        <v>1</v>
      </c>
      <c r="O183" s="418"/>
      <c r="Q183" s="402">
        <f>IF($N79="Hourly",$N183*'Input Sheet'!G$280*'Fee Breakdown'!H183,'Input Sheet'!G$280*'Fee Breakdown'!$N79*'Fee Breakdown'!H183*$N183)</f>
        <v>7602.7236273994149</v>
      </c>
      <c r="R183" s="403">
        <f>IF($N79="Hourly",$N183*'Input Sheet'!H$280*'Fee Breakdown'!I183,'Input Sheet'!H$280*'Fee Breakdown'!$N79*'Fee Breakdown'!I183*$N183)</f>
        <v>7934.4283297306811</v>
      </c>
      <c r="S183" s="403">
        <f>IF($N79="Hourly",$N183*'Input Sheet'!I$280*'Fee Breakdown'!J183,'Input Sheet'!I$280*'Fee Breakdown'!$N79*'Fee Breakdown'!J183*$N183)</f>
        <v>8203.0698186410918</v>
      </c>
      <c r="T183" s="403">
        <f>IF($N79="Hourly",$N183*'Input Sheet'!J$280*'Fee Breakdown'!K183,'Input Sheet'!J$280*'Fee Breakdown'!$N79*'Fee Breakdown'!K183*$N183)</f>
        <v>8492.0488579363009</v>
      </c>
      <c r="U183" s="404">
        <f>IF($N79="Hourly",$N183*'Input Sheet'!K$280*'Fee Breakdown'!L183,'Input Sheet'!K$280*'Fee Breakdown'!$N79*'Fee Breakdown'!L183*$N183)</f>
        <v>8784.4840136807106</v>
      </c>
      <c r="V183" s="405"/>
      <c r="W183" s="402">
        <f>+Q183*('Input Sheet'!G$298-1)</f>
        <v>8921.4339331351548</v>
      </c>
      <c r="X183" s="403">
        <f>+R183*('Input Sheet'!H$298-1)</f>
        <v>9997.407308763135</v>
      </c>
      <c r="Y183" s="403">
        <f>+S183*('Input Sheet'!I$298-1)</f>
        <v>10426.447602004357</v>
      </c>
      <c r="Z183" s="403">
        <f>+T183*('Input Sheet'!J$298-1)</f>
        <v>11017.381389935977</v>
      </c>
      <c r="AA183" s="404">
        <f>+U183*('Input Sheet'!K$298-1)</f>
        <v>11618.346330347287</v>
      </c>
      <c r="AB183" s="405"/>
      <c r="AC183" s="402">
        <f t="shared" si="127"/>
        <v>16524.157560534572</v>
      </c>
      <c r="AD183" s="403">
        <f t="shared" si="128"/>
        <v>17931.835638493816</v>
      </c>
      <c r="AE183" s="403">
        <f t="shared" si="129"/>
        <v>18629.517420645447</v>
      </c>
      <c r="AF183" s="403">
        <f t="shared" si="130"/>
        <v>19509.430247872278</v>
      </c>
      <c r="AG183" s="404">
        <f t="shared" si="131"/>
        <v>20402.830344028</v>
      </c>
    </row>
    <row r="184" spans="2:33" s="263" customFormat="1" x14ac:dyDescent="0.2">
      <c r="B184" s="250" t="s">
        <v>175</v>
      </c>
      <c r="C184" s="363">
        <f>+'Input Sheet'!G192</f>
        <v>0</v>
      </c>
      <c r="D184" s="364">
        <f>+'Input Sheet'!H192</f>
        <v>255</v>
      </c>
      <c r="E184" s="364">
        <f>+'Input Sheet'!I192</f>
        <v>173</v>
      </c>
      <c r="F184" s="365">
        <f>+'Input Sheet'!K192</f>
        <v>151</v>
      </c>
      <c r="G184" s="362"/>
      <c r="H184" s="363">
        <f t="shared" si="126"/>
        <v>193</v>
      </c>
      <c r="I184" s="364">
        <f t="shared" si="126"/>
        <v>193</v>
      </c>
      <c r="J184" s="364">
        <f t="shared" si="126"/>
        <v>193</v>
      </c>
      <c r="K184" s="364">
        <f t="shared" si="126"/>
        <v>193</v>
      </c>
      <c r="L184" s="365">
        <f t="shared" si="126"/>
        <v>193</v>
      </c>
      <c r="N184" s="418">
        <f>IF($N80="Hourly",'Standard Hour Calcs'!$Y81,'Standard Hour Calcs'!$E81)</f>
        <v>13</v>
      </c>
      <c r="O184" s="418"/>
      <c r="Q184" s="402">
        <f>IF($N80="Hourly",$N184*'Input Sheet'!G$280*'Fee Breakdown'!H184,'Input Sheet'!G$280*'Fee Breakdown'!$N80*'Fee Breakdown'!H184*$N184)</f>
        <v>224414.51271935453</v>
      </c>
      <c r="R184" s="403">
        <f>IF($N80="Hourly",$N184*'Input Sheet'!H$280*'Fee Breakdown'!I184,'Input Sheet'!H$280*'Fee Breakdown'!$N80*'Fee Breakdown'!I184*$N184)</f>
        <v>234205.6550505209</v>
      </c>
      <c r="S184" s="403">
        <f>IF($N80="Hourly",$N184*'Input Sheet'!I$280*'Fee Breakdown'!J184,'Input Sheet'!I$280*'Fee Breakdown'!$N80*'Fee Breakdown'!J184*$N184)</f>
        <v>242135.31970553528</v>
      </c>
      <c r="T184" s="403">
        <f>IF($N80="Hourly",$N184*'Input Sheet'!J$280*'Fee Breakdown'!K184,'Input Sheet'!J$280*'Fee Breakdown'!$N80*'Fee Breakdown'!K184*$N184)</f>
        <v>250665.30099484921</v>
      </c>
      <c r="U184" s="404">
        <f>IF($N80="Hourly",$N184*'Input Sheet'!K$280*'Fee Breakdown'!L184,'Input Sheet'!K$280*'Fee Breakdown'!$N80*'Fee Breakdown'!L184*$N184)</f>
        <v>259297.2987097048</v>
      </c>
      <c r="V184" s="405"/>
      <c r="W184" s="402">
        <f>+Q184*('Input Sheet'!G$298-1)</f>
        <v>263339.73809689534</v>
      </c>
      <c r="X184" s="403">
        <f>+R184*('Input Sheet'!H$298-1)</f>
        <v>295099.94044337299</v>
      </c>
      <c r="Y184" s="403">
        <f>+S184*('Input Sheet'!I$298-1)</f>
        <v>307764.20039328153</v>
      </c>
      <c r="Z184" s="403">
        <f>+T184*('Input Sheet'!J$298-1)</f>
        <v>325207.17538058088</v>
      </c>
      <c r="AA184" s="404">
        <f>+U184*('Input Sheet'!K$298-1)</f>
        <v>342946.24638636882</v>
      </c>
      <c r="AB184" s="405"/>
      <c r="AC184" s="402">
        <f t="shared" si="127"/>
        <v>487754.25081624987</v>
      </c>
      <c r="AD184" s="403">
        <f t="shared" si="128"/>
        <v>529305.59549389384</v>
      </c>
      <c r="AE184" s="403">
        <f t="shared" si="129"/>
        <v>549899.52009881684</v>
      </c>
      <c r="AF184" s="403">
        <f t="shared" si="130"/>
        <v>575872.47637543012</v>
      </c>
      <c r="AG184" s="404">
        <f t="shared" si="131"/>
        <v>602243.54509607365</v>
      </c>
    </row>
    <row r="185" spans="2:33" s="263" customFormat="1" x14ac:dyDescent="0.2">
      <c r="B185" s="250" t="s">
        <v>176</v>
      </c>
      <c r="C185" s="363">
        <f>+'Input Sheet'!G193</f>
        <v>0</v>
      </c>
      <c r="D185" s="364">
        <f>+'Input Sheet'!H193</f>
        <v>13</v>
      </c>
      <c r="E185" s="364">
        <f>+'Input Sheet'!I193</f>
        <v>11</v>
      </c>
      <c r="F185" s="365">
        <f>+'Input Sheet'!K193</f>
        <v>2</v>
      </c>
      <c r="G185" s="362"/>
      <c r="H185" s="363">
        <f t="shared" si="126"/>
        <v>9</v>
      </c>
      <c r="I185" s="364">
        <f t="shared" si="126"/>
        <v>9</v>
      </c>
      <c r="J185" s="364">
        <f t="shared" si="126"/>
        <v>9</v>
      </c>
      <c r="K185" s="364">
        <f t="shared" si="126"/>
        <v>9</v>
      </c>
      <c r="L185" s="365">
        <f t="shared" si="126"/>
        <v>9</v>
      </c>
      <c r="N185" s="418">
        <f>IF($N81="Hourly",'Standard Hour Calcs'!$Y82,'Standard Hour Calcs'!$E82)</f>
        <v>15</v>
      </c>
      <c r="O185" s="418"/>
      <c r="Q185" s="402">
        <f>IF($N81="Hourly",$N185*'Input Sheet'!G$280*'Fee Breakdown'!H185,'Input Sheet'!G$280*'Fee Breakdown'!$N81*'Fee Breakdown'!H185*$N185)</f>
        <v>12074.913996457895</v>
      </c>
      <c r="R185" s="403">
        <f>IF($N81="Hourly",$N185*'Input Sheet'!H$280*'Fee Breakdown'!I185,'Input Sheet'!H$280*'Fee Breakdown'!$N81*'Fee Breakdown'!I185*$N185)</f>
        <v>12601.739111925199</v>
      </c>
      <c r="S185" s="403">
        <f>IF($N81="Hourly",$N185*'Input Sheet'!I$280*'Fee Breakdown'!J185,'Input Sheet'!I$280*'Fee Breakdown'!$N81*'Fee Breakdown'!J185*$N185)</f>
        <v>13028.405006077026</v>
      </c>
      <c r="T185" s="403">
        <f>IF($N81="Hourly",$N185*'Input Sheet'!J$280*'Fee Breakdown'!K185,'Input Sheet'!J$280*'Fee Breakdown'!$N81*'Fee Breakdown'!K185*$N185)</f>
        <v>13487.371715545893</v>
      </c>
      <c r="U185" s="404">
        <f>IF($N81="Hourly",$N185*'Input Sheet'!K$280*'Fee Breakdown'!L185,'Input Sheet'!K$280*'Fee Breakdown'!$N81*'Fee Breakdown'!L185*$N185)</f>
        <v>13951.827551139955</v>
      </c>
      <c r="V185" s="405"/>
      <c r="W185" s="402">
        <f>+Q185*('Input Sheet'!G$298-1)</f>
        <v>14169.336246744069</v>
      </c>
      <c r="X185" s="403">
        <f>+R185*('Input Sheet'!H$298-1)</f>
        <v>15878.235137447331</v>
      </c>
      <c r="Y185" s="403">
        <f>+S185*('Input Sheet'!I$298-1)</f>
        <v>16559.65207377162</v>
      </c>
      <c r="Z185" s="403">
        <f>+T185*('Input Sheet'!J$298-1)</f>
        <v>17498.193972251262</v>
      </c>
      <c r="AA185" s="404">
        <f>+U185*('Input Sheet'!K$298-1)</f>
        <v>18452.667701139813</v>
      </c>
      <c r="AB185" s="405"/>
      <c r="AC185" s="402">
        <f t="shared" si="127"/>
        <v>26244.250243201965</v>
      </c>
      <c r="AD185" s="403">
        <f t="shared" si="128"/>
        <v>28479.974249372528</v>
      </c>
      <c r="AE185" s="403">
        <f t="shared" si="129"/>
        <v>29588.057079848644</v>
      </c>
      <c r="AF185" s="403">
        <f t="shared" si="130"/>
        <v>30985.565687797156</v>
      </c>
      <c r="AG185" s="404">
        <f t="shared" si="131"/>
        <v>32404.495252279768</v>
      </c>
    </row>
    <row r="186" spans="2:33" s="263" customFormat="1" x14ac:dyDescent="0.2">
      <c r="B186" s="250" t="s">
        <v>177</v>
      </c>
      <c r="C186" s="363">
        <f>+'Input Sheet'!G194</f>
        <v>0</v>
      </c>
      <c r="D186" s="364">
        <f>+'Input Sheet'!H194</f>
        <v>1</v>
      </c>
      <c r="E186" s="364"/>
      <c r="F186" s="365">
        <f>+'Input Sheet'!K194</f>
        <v>0</v>
      </c>
      <c r="G186" s="362"/>
      <c r="H186" s="363">
        <f t="shared" si="126"/>
        <v>1</v>
      </c>
      <c r="I186" s="364">
        <f t="shared" si="126"/>
        <v>1</v>
      </c>
      <c r="J186" s="364">
        <f t="shared" si="126"/>
        <v>1</v>
      </c>
      <c r="K186" s="364">
        <f t="shared" si="126"/>
        <v>1</v>
      </c>
      <c r="L186" s="365">
        <f t="shared" si="126"/>
        <v>1</v>
      </c>
      <c r="N186" s="418">
        <f>IF($N82="Hourly",'Standard Hour Calcs'!$Y83,'Standard Hour Calcs'!$E83)</f>
        <v>1</v>
      </c>
      <c r="O186" s="418"/>
      <c r="Q186" s="402">
        <f>IF($N82="Hourly",$N186*'Input Sheet'!G$280*'Fee Breakdown'!H186,'Input Sheet'!G$280*'Fee Breakdown'!$N82*'Fee Breakdown'!H186*$N186)</f>
        <v>53.666284428701751</v>
      </c>
      <c r="R186" s="403">
        <f>IF($N82="Hourly",$N186*'Input Sheet'!H$280*'Fee Breakdown'!I186,'Input Sheet'!H$280*'Fee Breakdown'!$N82*'Fee Breakdown'!I186*$N186)</f>
        <v>56.007729386334212</v>
      </c>
      <c r="S186" s="403">
        <f>IF($N82="Hourly",$N186*'Input Sheet'!I$280*'Fee Breakdown'!J186,'Input Sheet'!I$280*'Fee Breakdown'!$N82*'Fee Breakdown'!J186*$N186)</f>
        <v>57.904022249231232</v>
      </c>
      <c r="T186" s="403">
        <f>IF($N82="Hourly",$N186*'Input Sheet'!J$280*'Fee Breakdown'!K186,'Input Sheet'!J$280*'Fee Breakdown'!$N82*'Fee Breakdown'!K186*$N186)</f>
        <v>59.943874291315069</v>
      </c>
      <c r="U186" s="404">
        <f>IF($N82="Hourly",$N186*'Input Sheet'!K$280*'Fee Breakdown'!L186,'Input Sheet'!K$280*'Fee Breakdown'!$N82*'Fee Breakdown'!L186*$N186)</f>
        <v>62.008122449510907</v>
      </c>
      <c r="V186" s="405"/>
      <c r="W186" s="402">
        <f>+Q186*('Input Sheet'!G$298-1)</f>
        <v>62.974827763306969</v>
      </c>
      <c r="X186" s="403">
        <f>+R186*('Input Sheet'!H$298-1)</f>
        <v>70.569933944210362</v>
      </c>
      <c r="Y186" s="403">
        <f>+S186*('Input Sheet'!I$298-1)</f>
        <v>73.598453661207216</v>
      </c>
      <c r="Z186" s="403">
        <f>+T186*('Input Sheet'!J$298-1)</f>
        <v>77.769750987783382</v>
      </c>
      <c r="AA186" s="404">
        <f>+U186*('Input Sheet'!K$298-1)</f>
        <v>82.011856449510276</v>
      </c>
      <c r="AB186" s="405"/>
      <c r="AC186" s="402">
        <f t="shared" si="127"/>
        <v>116.64111219200872</v>
      </c>
      <c r="AD186" s="403">
        <f t="shared" si="128"/>
        <v>126.57766333054457</v>
      </c>
      <c r="AE186" s="403">
        <f t="shared" si="129"/>
        <v>131.50247591043845</v>
      </c>
      <c r="AF186" s="403">
        <f t="shared" si="130"/>
        <v>137.71362527909844</v>
      </c>
      <c r="AG186" s="404">
        <f t="shared" si="131"/>
        <v>144.01997889902117</v>
      </c>
    </row>
    <row r="187" spans="2:33" s="263" customFormat="1" x14ac:dyDescent="0.2">
      <c r="B187" s="250" t="s">
        <v>178</v>
      </c>
      <c r="C187" s="363">
        <f>+'Input Sheet'!G195</f>
        <v>0</v>
      </c>
      <c r="D187" s="364">
        <f>+'Input Sheet'!H195</f>
        <v>2</v>
      </c>
      <c r="E187" s="364">
        <f>+'Input Sheet'!I195</f>
        <v>1</v>
      </c>
      <c r="F187" s="365">
        <f>+'Input Sheet'!K195</f>
        <v>1</v>
      </c>
      <c r="G187" s="362"/>
      <c r="H187" s="363">
        <f t="shared" si="126"/>
        <v>1</v>
      </c>
      <c r="I187" s="364">
        <f t="shared" si="126"/>
        <v>1</v>
      </c>
      <c r="J187" s="364">
        <f t="shared" si="126"/>
        <v>1</v>
      </c>
      <c r="K187" s="364">
        <f t="shared" si="126"/>
        <v>1</v>
      </c>
      <c r="L187" s="365">
        <f t="shared" si="126"/>
        <v>1</v>
      </c>
      <c r="N187" s="418">
        <f>IF($N83="Hourly",'Standard Hour Calcs'!$Y84,'Standard Hour Calcs'!$E84)</f>
        <v>2</v>
      </c>
      <c r="O187" s="418"/>
      <c r="Q187" s="402">
        <f>IF($N83="Hourly",$N187*'Input Sheet'!G$280*'Fee Breakdown'!H187,'Input Sheet'!G$280*'Fee Breakdown'!$N83*'Fee Breakdown'!H187*$N187)</f>
        <v>205.72075697669004</v>
      </c>
      <c r="R187" s="403">
        <f>IF($N83="Hourly",$N187*'Input Sheet'!H$280*'Fee Breakdown'!I187,'Input Sheet'!H$280*'Fee Breakdown'!$N83*'Fee Breakdown'!I187*$N187)</f>
        <v>214.69629598094781</v>
      </c>
      <c r="S187" s="403">
        <f>IF($N83="Hourly",$N187*'Input Sheet'!I$280*'Fee Breakdown'!J187,'Input Sheet'!I$280*'Fee Breakdown'!$N83*'Fee Breakdown'!J187*$N187)</f>
        <v>221.96541862205305</v>
      </c>
      <c r="T187" s="403">
        <f>IF($N83="Hourly",$N187*'Input Sheet'!J$280*'Fee Breakdown'!K187,'Input Sheet'!J$280*'Fee Breakdown'!$N83*'Fee Breakdown'!K187*$N187)</f>
        <v>229.78485145004109</v>
      </c>
      <c r="U187" s="404">
        <f>IF($N83="Hourly",$N187*'Input Sheet'!K$280*'Fee Breakdown'!L187,'Input Sheet'!K$280*'Fee Breakdown'!$N83*'Fee Breakdown'!L187*$N187)</f>
        <v>237.69780272312514</v>
      </c>
      <c r="V187" s="405"/>
      <c r="W187" s="402">
        <f>+Q187*('Input Sheet'!G$298-1)</f>
        <v>241.40350642601004</v>
      </c>
      <c r="X187" s="403">
        <f>+R187*('Input Sheet'!H$298-1)</f>
        <v>270.51808011947304</v>
      </c>
      <c r="Y187" s="403">
        <f>+S187*('Input Sheet'!I$298-1)</f>
        <v>282.12740570129432</v>
      </c>
      <c r="Z187" s="403">
        <f>+T187*('Input Sheet'!J$298-1)</f>
        <v>298.11737878650297</v>
      </c>
      <c r="AA187" s="404">
        <f>+U187*('Input Sheet'!K$298-1)</f>
        <v>314.37878305645603</v>
      </c>
      <c r="AB187" s="405"/>
      <c r="AC187" s="402">
        <f t="shared" si="127"/>
        <v>447.12426340270008</v>
      </c>
      <c r="AD187" s="403">
        <f t="shared" si="128"/>
        <v>485.21437610042085</v>
      </c>
      <c r="AE187" s="403">
        <f t="shared" si="129"/>
        <v>504.09282432334737</v>
      </c>
      <c r="AF187" s="403">
        <f t="shared" si="130"/>
        <v>527.90223023654403</v>
      </c>
      <c r="AG187" s="404">
        <f t="shared" si="131"/>
        <v>552.07658577958114</v>
      </c>
    </row>
    <row r="188" spans="2:33" s="263" customFormat="1" x14ac:dyDescent="0.2">
      <c r="B188" s="250" t="s">
        <v>179</v>
      </c>
      <c r="C188" s="363">
        <f>+'Input Sheet'!G196</f>
        <v>0</v>
      </c>
      <c r="D188" s="364">
        <f>+'Input Sheet'!H196</f>
        <v>0</v>
      </c>
      <c r="E188" s="364">
        <f>+'Input Sheet'!I196</f>
        <v>0</v>
      </c>
      <c r="F188" s="365">
        <f>+'Input Sheet'!K196</f>
        <v>0</v>
      </c>
      <c r="G188" s="362"/>
      <c r="H188" s="363">
        <f t="shared" si="126"/>
        <v>0</v>
      </c>
      <c r="I188" s="364">
        <f t="shared" si="126"/>
        <v>0</v>
      </c>
      <c r="J188" s="364">
        <f t="shared" si="126"/>
        <v>0</v>
      </c>
      <c r="K188" s="364">
        <f t="shared" si="126"/>
        <v>0</v>
      </c>
      <c r="L188" s="365">
        <f t="shared" si="126"/>
        <v>0</v>
      </c>
      <c r="N188" s="418">
        <f>IF($N84="Hourly",'Standard Hour Calcs'!$Y85,'Standard Hour Calcs'!$E85)</f>
        <v>0</v>
      </c>
      <c r="O188" s="418"/>
      <c r="Q188" s="402">
        <f>IF($N84="Hourly",$N188*'Input Sheet'!G$280*'Fee Breakdown'!H188,'Input Sheet'!G$280*'Fee Breakdown'!$N84*'Fee Breakdown'!H188*$N188)</f>
        <v>0</v>
      </c>
      <c r="R188" s="403">
        <f>IF($N84="Hourly",$N188*'Input Sheet'!H$280*'Fee Breakdown'!I188,'Input Sheet'!H$280*'Fee Breakdown'!$N84*'Fee Breakdown'!I188*$N188)</f>
        <v>0</v>
      </c>
      <c r="S188" s="403">
        <f>IF($N84="Hourly",$N188*'Input Sheet'!I$280*'Fee Breakdown'!J188,'Input Sheet'!I$280*'Fee Breakdown'!$N84*'Fee Breakdown'!J188*$N188)</f>
        <v>0</v>
      </c>
      <c r="T188" s="403">
        <f>IF($N84="Hourly",$N188*'Input Sheet'!J$280*'Fee Breakdown'!K188,'Input Sheet'!J$280*'Fee Breakdown'!$N84*'Fee Breakdown'!K188*$N188)</f>
        <v>0</v>
      </c>
      <c r="U188" s="404">
        <f>IF($N84="Hourly",$N188*'Input Sheet'!K$280*'Fee Breakdown'!L188,'Input Sheet'!K$280*'Fee Breakdown'!$N84*'Fee Breakdown'!L188*$N188)</f>
        <v>0</v>
      </c>
      <c r="V188" s="405"/>
      <c r="W188" s="402">
        <f>+Q188*('Input Sheet'!G$298-1)</f>
        <v>0</v>
      </c>
      <c r="X188" s="403">
        <f>+R188*('Input Sheet'!H$298-1)</f>
        <v>0</v>
      </c>
      <c r="Y188" s="403">
        <f>+S188*('Input Sheet'!I$298-1)</f>
        <v>0</v>
      </c>
      <c r="Z188" s="403">
        <f>+T188*('Input Sheet'!J$298-1)</f>
        <v>0</v>
      </c>
      <c r="AA188" s="404">
        <f>+U188*('Input Sheet'!K$298-1)</f>
        <v>0</v>
      </c>
      <c r="AB188" s="405"/>
      <c r="AC188" s="402">
        <f t="shared" si="127"/>
        <v>0</v>
      </c>
      <c r="AD188" s="403">
        <f t="shared" si="128"/>
        <v>0</v>
      </c>
      <c r="AE188" s="403">
        <f t="shared" si="129"/>
        <v>0</v>
      </c>
      <c r="AF188" s="403">
        <f t="shared" si="130"/>
        <v>0</v>
      </c>
      <c r="AG188" s="404">
        <f t="shared" si="131"/>
        <v>0</v>
      </c>
    </row>
    <row r="189" spans="2:33" s="263" customFormat="1" x14ac:dyDescent="0.2">
      <c r="B189" s="250" t="s">
        <v>180</v>
      </c>
      <c r="C189" s="363">
        <f>+'Input Sheet'!G197</f>
        <v>0</v>
      </c>
      <c r="D189" s="364">
        <f>+'Input Sheet'!H197</f>
        <v>0</v>
      </c>
      <c r="E189" s="364">
        <f>+'Input Sheet'!I197</f>
        <v>0</v>
      </c>
      <c r="F189" s="365">
        <f>+'Input Sheet'!K197</f>
        <v>0</v>
      </c>
      <c r="G189" s="362"/>
      <c r="H189" s="363">
        <f t="shared" si="126"/>
        <v>0</v>
      </c>
      <c r="I189" s="364">
        <f t="shared" si="126"/>
        <v>0</v>
      </c>
      <c r="J189" s="364">
        <f t="shared" si="126"/>
        <v>0</v>
      </c>
      <c r="K189" s="364">
        <f t="shared" si="126"/>
        <v>0</v>
      </c>
      <c r="L189" s="365">
        <f t="shared" si="126"/>
        <v>0</v>
      </c>
      <c r="N189" s="418">
        <f>IF($N85="Hourly",'Standard Hour Calcs'!$Y86,'Standard Hour Calcs'!$E86)</f>
        <v>0</v>
      </c>
      <c r="O189" s="418"/>
      <c r="Q189" s="402">
        <f>IF($N85="Hourly",$N189*'Input Sheet'!G$280*'Fee Breakdown'!H189,'Input Sheet'!G$280*'Fee Breakdown'!$N85*'Fee Breakdown'!H189*$N189)</f>
        <v>0</v>
      </c>
      <c r="R189" s="403">
        <f>IF($N85="Hourly",$N189*'Input Sheet'!H$280*'Fee Breakdown'!I189,'Input Sheet'!H$280*'Fee Breakdown'!$N85*'Fee Breakdown'!I189*$N189)</f>
        <v>0</v>
      </c>
      <c r="S189" s="403">
        <f>IF($N85="Hourly",$N189*'Input Sheet'!I$280*'Fee Breakdown'!J189,'Input Sheet'!I$280*'Fee Breakdown'!$N85*'Fee Breakdown'!J189*$N189)</f>
        <v>0</v>
      </c>
      <c r="T189" s="403">
        <f>IF($N85="Hourly",$N189*'Input Sheet'!J$280*'Fee Breakdown'!K189,'Input Sheet'!J$280*'Fee Breakdown'!$N85*'Fee Breakdown'!K189*$N189)</f>
        <v>0</v>
      </c>
      <c r="U189" s="404">
        <f>IF($N85="Hourly",$N189*'Input Sheet'!K$280*'Fee Breakdown'!L189,'Input Sheet'!K$280*'Fee Breakdown'!$N85*'Fee Breakdown'!L189*$N189)</f>
        <v>0</v>
      </c>
      <c r="V189" s="405"/>
      <c r="W189" s="402">
        <f>+Q189*('Input Sheet'!G$298-1)</f>
        <v>0</v>
      </c>
      <c r="X189" s="403">
        <f>+R189*('Input Sheet'!H$298-1)</f>
        <v>0</v>
      </c>
      <c r="Y189" s="403">
        <f>+S189*('Input Sheet'!I$298-1)</f>
        <v>0</v>
      </c>
      <c r="Z189" s="403">
        <f>+T189*('Input Sheet'!J$298-1)</f>
        <v>0</v>
      </c>
      <c r="AA189" s="404">
        <f>+U189*('Input Sheet'!K$298-1)</f>
        <v>0</v>
      </c>
      <c r="AB189" s="405"/>
      <c r="AC189" s="402">
        <f t="shared" si="127"/>
        <v>0</v>
      </c>
      <c r="AD189" s="403">
        <f t="shared" si="128"/>
        <v>0</v>
      </c>
      <c r="AE189" s="403">
        <f t="shared" si="129"/>
        <v>0</v>
      </c>
      <c r="AF189" s="403">
        <f t="shared" si="130"/>
        <v>0</v>
      </c>
      <c r="AG189" s="404">
        <f t="shared" si="131"/>
        <v>0</v>
      </c>
    </row>
    <row r="190" spans="2:33" s="263" customFormat="1" x14ac:dyDescent="0.2">
      <c r="B190" s="250" t="s">
        <v>181</v>
      </c>
      <c r="C190" s="363">
        <f>+'Input Sheet'!G198</f>
        <v>0</v>
      </c>
      <c r="D190" s="364">
        <f>+'Input Sheet'!H198</f>
        <v>0</v>
      </c>
      <c r="E190" s="364">
        <f>+'Input Sheet'!I198</f>
        <v>0</v>
      </c>
      <c r="F190" s="365">
        <f>+'Input Sheet'!K198</f>
        <v>0</v>
      </c>
      <c r="G190" s="362"/>
      <c r="H190" s="363">
        <f t="shared" si="126"/>
        <v>0</v>
      </c>
      <c r="I190" s="364">
        <f t="shared" si="126"/>
        <v>0</v>
      </c>
      <c r="J190" s="364">
        <f t="shared" si="126"/>
        <v>0</v>
      </c>
      <c r="K190" s="364">
        <f t="shared" si="126"/>
        <v>0</v>
      </c>
      <c r="L190" s="365">
        <f t="shared" si="126"/>
        <v>0</v>
      </c>
      <c r="N190" s="418">
        <f>IF($N86="Hourly",'Standard Hour Calcs'!$Y87,'Standard Hour Calcs'!$E87)</f>
        <v>0</v>
      </c>
      <c r="O190" s="418"/>
      <c r="Q190" s="402">
        <f>IF($N86="Hourly",$N190*'Input Sheet'!G$280*'Fee Breakdown'!H190,'Input Sheet'!G$280*'Fee Breakdown'!$N86*'Fee Breakdown'!H190*$N190)</f>
        <v>0</v>
      </c>
      <c r="R190" s="403">
        <f>IF($N86="Hourly",$N190*'Input Sheet'!H$280*'Fee Breakdown'!I190,'Input Sheet'!H$280*'Fee Breakdown'!$N86*'Fee Breakdown'!I190*$N190)</f>
        <v>0</v>
      </c>
      <c r="S190" s="403">
        <f>IF($N86="Hourly",$N190*'Input Sheet'!I$280*'Fee Breakdown'!J190,'Input Sheet'!I$280*'Fee Breakdown'!$N86*'Fee Breakdown'!J190*$N190)</f>
        <v>0</v>
      </c>
      <c r="T190" s="403">
        <f>IF($N86="Hourly",$N190*'Input Sheet'!J$280*'Fee Breakdown'!K190,'Input Sheet'!J$280*'Fee Breakdown'!$N86*'Fee Breakdown'!K190*$N190)</f>
        <v>0</v>
      </c>
      <c r="U190" s="404">
        <f>IF($N86="Hourly",$N190*'Input Sheet'!K$280*'Fee Breakdown'!L190,'Input Sheet'!K$280*'Fee Breakdown'!$N86*'Fee Breakdown'!L190*$N190)</f>
        <v>0</v>
      </c>
      <c r="V190" s="405"/>
      <c r="W190" s="402">
        <f>+Q190*('Input Sheet'!G$298-1)</f>
        <v>0</v>
      </c>
      <c r="X190" s="403">
        <f>+R190*('Input Sheet'!H$298-1)</f>
        <v>0</v>
      </c>
      <c r="Y190" s="403">
        <f>+S190*('Input Sheet'!I$298-1)</f>
        <v>0</v>
      </c>
      <c r="Z190" s="403">
        <f>+T190*('Input Sheet'!J$298-1)</f>
        <v>0</v>
      </c>
      <c r="AA190" s="404">
        <f>+U190*('Input Sheet'!K$298-1)</f>
        <v>0</v>
      </c>
      <c r="AB190" s="405"/>
      <c r="AC190" s="402">
        <f t="shared" si="127"/>
        <v>0</v>
      </c>
      <c r="AD190" s="403">
        <f t="shared" si="128"/>
        <v>0</v>
      </c>
      <c r="AE190" s="403">
        <f t="shared" si="129"/>
        <v>0</v>
      </c>
      <c r="AF190" s="403">
        <f t="shared" si="130"/>
        <v>0</v>
      </c>
      <c r="AG190" s="404">
        <f t="shared" si="131"/>
        <v>0</v>
      </c>
    </row>
    <row r="191" spans="2:33" s="263" customFormat="1" x14ac:dyDescent="0.2">
      <c r="B191" s="250" t="s">
        <v>182</v>
      </c>
      <c r="C191" s="363">
        <f>+'Input Sheet'!G199</f>
        <v>0</v>
      </c>
      <c r="D191" s="364">
        <f>+'Input Sheet'!H199</f>
        <v>0</v>
      </c>
      <c r="E191" s="364">
        <f>+'Input Sheet'!I199</f>
        <v>0</v>
      </c>
      <c r="F191" s="365">
        <f>+'Input Sheet'!K199</f>
        <v>0</v>
      </c>
      <c r="G191" s="362"/>
      <c r="H191" s="363">
        <f t="shared" si="126"/>
        <v>0</v>
      </c>
      <c r="I191" s="364">
        <f t="shared" si="126"/>
        <v>0</v>
      </c>
      <c r="J191" s="364">
        <f t="shared" si="126"/>
        <v>0</v>
      </c>
      <c r="K191" s="364">
        <f t="shared" si="126"/>
        <v>0</v>
      </c>
      <c r="L191" s="365">
        <f t="shared" si="126"/>
        <v>0</v>
      </c>
      <c r="N191" s="418">
        <f>IF($N87="Hourly",'Standard Hour Calcs'!$Y88,'Standard Hour Calcs'!$E88)</f>
        <v>0</v>
      </c>
      <c r="O191" s="418"/>
      <c r="Q191" s="402">
        <f>IF($N87="Hourly",$N191*'Input Sheet'!G$280*'Fee Breakdown'!H191,'Input Sheet'!G$280*'Fee Breakdown'!$N87*'Fee Breakdown'!H191*$N191)</f>
        <v>0</v>
      </c>
      <c r="R191" s="403">
        <f>IF($N87="Hourly",$N191*'Input Sheet'!H$280*'Fee Breakdown'!I191,'Input Sheet'!H$280*'Fee Breakdown'!$N87*'Fee Breakdown'!I191*$N191)</f>
        <v>0</v>
      </c>
      <c r="S191" s="403">
        <f>IF($N87="Hourly",$N191*'Input Sheet'!I$280*'Fee Breakdown'!J191,'Input Sheet'!I$280*'Fee Breakdown'!$N87*'Fee Breakdown'!J191*$N191)</f>
        <v>0</v>
      </c>
      <c r="T191" s="403">
        <f>IF($N87="Hourly",$N191*'Input Sheet'!J$280*'Fee Breakdown'!K191,'Input Sheet'!J$280*'Fee Breakdown'!$N87*'Fee Breakdown'!K191*$N191)</f>
        <v>0</v>
      </c>
      <c r="U191" s="404">
        <f>IF($N87="Hourly",$N191*'Input Sheet'!K$280*'Fee Breakdown'!L191,'Input Sheet'!K$280*'Fee Breakdown'!$N87*'Fee Breakdown'!L191*$N191)</f>
        <v>0</v>
      </c>
      <c r="V191" s="405"/>
      <c r="W191" s="402">
        <f>+Q191*('Input Sheet'!G$298-1)</f>
        <v>0</v>
      </c>
      <c r="X191" s="403">
        <f>+R191*('Input Sheet'!H$298-1)</f>
        <v>0</v>
      </c>
      <c r="Y191" s="403">
        <f>+S191*('Input Sheet'!I$298-1)</f>
        <v>0</v>
      </c>
      <c r="Z191" s="403">
        <f>+T191*('Input Sheet'!J$298-1)</f>
        <v>0</v>
      </c>
      <c r="AA191" s="404">
        <f>+U191*('Input Sheet'!K$298-1)</f>
        <v>0</v>
      </c>
      <c r="AB191" s="405"/>
      <c r="AC191" s="402">
        <f t="shared" si="127"/>
        <v>0</v>
      </c>
      <c r="AD191" s="403">
        <f t="shared" si="128"/>
        <v>0</v>
      </c>
      <c r="AE191" s="403">
        <f t="shared" si="129"/>
        <v>0</v>
      </c>
      <c r="AF191" s="403">
        <f t="shared" si="130"/>
        <v>0</v>
      </c>
      <c r="AG191" s="404">
        <f t="shared" si="131"/>
        <v>0</v>
      </c>
    </row>
    <row r="192" spans="2:33" s="263" customFormat="1" x14ac:dyDescent="0.2">
      <c r="B192" s="250" t="s">
        <v>183</v>
      </c>
      <c r="C192" s="363">
        <f>+'Input Sheet'!G200</f>
        <v>0</v>
      </c>
      <c r="D192" s="364">
        <f>+'Input Sheet'!H200</f>
        <v>0</v>
      </c>
      <c r="E192" s="364">
        <f>+'Input Sheet'!I200</f>
        <v>0</v>
      </c>
      <c r="F192" s="365">
        <f>+'Input Sheet'!K200</f>
        <v>0</v>
      </c>
      <c r="G192" s="362"/>
      <c r="H192" s="363">
        <f t="shared" si="126"/>
        <v>0</v>
      </c>
      <c r="I192" s="364">
        <f t="shared" si="126"/>
        <v>0</v>
      </c>
      <c r="J192" s="364">
        <f t="shared" si="126"/>
        <v>0</v>
      </c>
      <c r="K192" s="364">
        <f t="shared" si="126"/>
        <v>0</v>
      </c>
      <c r="L192" s="365">
        <f t="shared" si="126"/>
        <v>0</v>
      </c>
      <c r="N192" s="418">
        <f>IF($N88="Hourly",'Standard Hour Calcs'!$Y89,'Standard Hour Calcs'!$E89)</f>
        <v>0</v>
      </c>
      <c r="O192" s="418"/>
      <c r="Q192" s="402">
        <f>IF($N88="Hourly",$N192*'Input Sheet'!G$280*'Fee Breakdown'!H192,'Input Sheet'!G$280*'Fee Breakdown'!$N88*'Fee Breakdown'!H192*$N192)</f>
        <v>0</v>
      </c>
      <c r="R192" s="403">
        <f>IF($N88="Hourly",$N192*'Input Sheet'!H$280*'Fee Breakdown'!I192,'Input Sheet'!H$280*'Fee Breakdown'!$N88*'Fee Breakdown'!I192*$N192)</f>
        <v>0</v>
      </c>
      <c r="S192" s="403">
        <f>IF($N88="Hourly",$N192*'Input Sheet'!I$280*'Fee Breakdown'!J192,'Input Sheet'!I$280*'Fee Breakdown'!$N88*'Fee Breakdown'!J192*$N192)</f>
        <v>0</v>
      </c>
      <c r="T192" s="403">
        <f>IF($N88="Hourly",$N192*'Input Sheet'!J$280*'Fee Breakdown'!K192,'Input Sheet'!J$280*'Fee Breakdown'!$N88*'Fee Breakdown'!K192*$N192)</f>
        <v>0</v>
      </c>
      <c r="U192" s="404">
        <f>IF($N88="Hourly",$N192*'Input Sheet'!K$280*'Fee Breakdown'!L192,'Input Sheet'!K$280*'Fee Breakdown'!$N88*'Fee Breakdown'!L192*$N192)</f>
        <v>0</v>
      </c>
      <c r="V192" s="405"/>
      <c r="W192" s="402">
        <f>+Q192*('Input Sheet'!G$298-1)</f>
        <v>0</v>
      </c>
      <c r="X192" s="403">
        <f>+R192*('Input Sheet'!H$298-1)</f>
        <v>0</v>
      </c>
      <c r="Y192" s="403">
        <f>+S192*('Input Sheet'!I$298-1)</f>
        <v>0</v>
      </c>
      <c r="Z192" s="403">
        <f>+T192*('Input Sheet'!J$298-1)</f>
        <v>0</v>
      </c>
      <c r="AA192" s="404">
        <f>+U192*('Input Sheet'!K$298-1)</f>
        <v>0</v>
      </c>
      <c r="AB192" s="405"/>
      <c r="AC192" s="402">
        <f t="shared" si="127"/>
        <v>0</v>
      </c>
      <c r="AD192" s="403">
        <f t="shared" si="128"/>
        <v>0</v>
      </c>
      <c r="AE192" s="403">
        <f t="shared" si="129"/>
        <v>0</v>
      </c>
      <c r="AF192" s="403">
        <f t="shared" si="130"/>
        <v>0</v>
      </c>
      <c r="AG192" s="404">
        <f t="shared" si="131"/>
        <v>0</v>
      </c>
    </row>
    <row r="193" spans="2:34" s="263" customFormat="1" x14ac:dyDescent="0.2">
      <c r="B193" s="250" t="s">
        <v>184</v>
      </c>
      <c r="C193" s="363">
        <f>+'Input Sheet'!G201</f>
        <v>0</v>
      </c>
      <c r="D193" s="364">
        <f>+'Input Sheet'!H201</f>
        <v>0</v>
      </c>
      <c r="E193" s="364">
        <f>+'Input Sheet'!I201</f>
        <v>0</v>
      </c>
      <c r="F193" s="365">
        <f>+'Input Sheet'!K201</f>
        <v>0</v>
      </c>
      <c r="G193" s="362"/>
      <c r="H193" s="363">
        <f t="shared" si="126"/>
        <v>0</v>
      </c>
      <c r="I193" s="364">
        <f t="shared" si="126"/>
        <v>0</v>
      </c>
      <c r="J193" s="364">
        <f t="shared" si="126"/>
        <v>0</v>
      </c>
      <c r="K193" s="364">
        <f t="shared" si="126"/>
        <v>0</v>
      </c>
      <c r="L193" s="365">
        <f t="shared" si="126"/>
        <v>0</v>
      </c>
      <c r="N193" s="418">
        <f>IF($N89="Hourly",'Standard Hour Calcs'!$Y90,'Standard Hour Calcs'!$E90)</f>
        <v>0</v>
      </c>
      <c r="O193" s="418"/>
      <c r="Q193" s="402">
        <f>IF($N89="Hourly",$N193*'Input Sheet'!G$280*'Fee Breakdown'!H193,'Input Sheet'!G$280*'Fee Breakdown'!$N89*'Fee Breakdown'!H193*$N193)</f>
        <v>0</v>
      </c>
      <c r="R193" s="403">
        <f>IF($N89="Hourly",$N193*'Input Sheet'!H$280*'Fee Breakdown'!I193,'Input Sheet'!H$280*'Fee Breakdown'!$N89*'Fee Breakdown'!I193*$N193)</f>
        <v>0</v>
      </c>
      <c r="S193" s="403">
        <f>IF($N89="Hourly",$N193*'Input Sheet'!I$280*'Fee Breakdown'!J193,'Input Sheet'!I$280*'Fee Breakdown'!$N89*'Fee Breakdown'!J193*$N193)</f>
        <v>0</v>
      </c>
      <c r="T193" s="403">
        <f>IF($N89="Hourly",$N193*'Input Sheet'!J$280*'Fee Breakdown'!K193,'Input Sheet'!J$280*'Fee Breakdown'!$N89*'Fee Breakdown'!K193*$N193)</f>
        <v>0</v>
      </c>
      <c r="U193" s="404">
        <f>IF($N89="Hourly",$N193*'Input Sheet'!K$280*'Fee Breakdown'!L193,'Input Sheet'!K$280*'Fee Breakdown'!$N89*'Fee Breakdown'!L193*$N193)</f>
        <v>0</v>
      </c>
      <c r="V193" s="405"/>
      <c r="W193" s="402">
        <f>+Q193*('Input Sheet'!G$298-1)</f>
        <v>0</v>
      </c>
      <c r="X193" s="403">
        <f>+R193*('Input Sheet'!H$298-1)</f>
        <v>0</v>
      </c>
      <c r="Y193" s="403">
        <f>+S193*('Input Sheet'!I$298-1)</f>
        <v>0</v>
      </c>
      <c r="Z193" s="403">
        <f>+T193*('Input Sheet'!J$298-1)</f>
        <v>0</v>
      </c>
      <c r="AA193" s="404">
        <f>+U193*('Input Sheet'!K$298-1)</f>
        <v>0</v>
      </c>
      <c r="AB193" s="405"/>
      <c r="AC193" s="402">
        <f t="shared" si="127"/>
        <v>0</v>
      </c>
      <c r="AD193" s="403">
        <f t="shared" si="128"/>
        <v>0</v>
      </c>
      <c r="AE193" s="403">
        <f t="shared" si="129"/>
        <v>0</v>
      </c>
      <c r="AF193" s="403">
        <f t="shared" si="130"/>
        <v>0</v>
      </c>
      <c r="AG193" s="404">
        <f t="shared" si="131"/>
        <v>0</v>
      </c>
    </row>
    <row r="194" spans="2:34" s="263" customFormat="1" x14ac:dyDescent="0.2">
      <c r="B194" s="250" t="s">
        <v>185</v>
      </c>
      <c r="C194" s="363">
        <f>+'Input Sheet'!G202</f>
        <v>0</v>
      </c>
      <c r="D194" s="364">
        <f>+'Input Sheet'!H202</f>
        <v>0</v>
      </c>
      <c r="E194" s="364">
        <f>+'Input Sheet'!I202</f>
        <v>0</v>
      </c>
      <c r="F194" s="365">
        <f>+'Input Sheet'!K202</f>
        <v>0</v>
      </c>
      <c r="G194" s="362"/>
      <c r="H194" s="363">
        <f t="shared" si="126"/>
        <v>0</v>
      </c>
      <c r="I194" s="364">
        <f t="shared" si="126"/>
        <v>0</v>
      </c>
      <c r="J194" s="364">
        <f t="shared" si="126"/>
        <v>0</v>
      </c>
      <c r="K194" s="364">
        <f t="shared" si="126"/>
        <v>0</v>
      </c>
      <c r="L194" s="365">
        <f t="shared" si="126"/>
        <v>0</v>
      </c>
      <c r="N194" s="418">
        <f>IF($N90="Hourly",'Standard Hour Calcs'!$Y91,'Standard Hour Calcs'!$E91)</f>
        <v>0</v>
      </c>
      <c r="O194" s="418"/>
      <c r="Q194" s="402">
        <f>IF($N90="Hourly",$N194*'Input Sheet'!G$280*'Fee Breakdown'!H194,'Input Sheet'!G$280*'Fee Breakdown'!$N90*'Fee Breakdown'!H194*$N194)</f>
        <v>0</v>
      </c>
      <c r="R194" s="403">
        <f>IF($N90="Hourly",$N194*'Input Sheet'!H$280*'Fee Breakdown'!I194,'Input Sheet'!H$280*'Fee Breakdown'!$N90*'Fee Breakdown'!I194*$N194)</f>
        <v>0</v>
      </c>
      <c r="S194" s="403">
        <f>IF($N90="Hourly",$N194*'Input Sheet'!I$280*'Fee Breakdown'!J194,'Input Sheet'!I$280*'Fee Breakdown'!$N90*'Fee Breakdown'!J194*$N194)</f>
        <v>0</v>
      </c>
      <c r="T194" s="403">
        <f>IF($N90="Hourly",$N194*'Input Sheet'!J$280*'Fee Breakdown'!K194,'Input Sheet'!J$280*'Fee Breakdown'!$N90*'Fee Breakdown'!K194*$N194)</f>
        <v>0</v>
      </c>
      <c r="U194" s="404">
        <f>IF($N90="Hourly",$N194*'Input Sheet'!K$280*'Fee Breakdown'!L194,'Input Sheet'!K$280*'Fee Breakdown'!$N90*'Fee Breakdown'!L194*$N194)</f>
        <v>0</v>
      </c>
      <c r="V194" s="405"/>
      <c r="W194" s="402">
        <f>+Q194*('Input Sheet'!G$298-1)</f>
        <v>0</v>
      </c>
      <c r="X194" s="403">
        <f>+R194*('Input Sheet'!H$298-1)</f>
        <v>0</v>
      </c>
      <c r="Y194" s="403">
        <f>+S194*('Input Sheet'!I$298-1)</f>
        <v>0</v>
      </c>
      <c r="Z194" s="403">
        <f>+T194*('Input Sheet'!J$298-1)</f>
        <v>0</v>
      </c>
      <c r="AA194" s="404">
        <f>+U194*('Input Sheet'!K$298-1)</f>
        <v>0</v>
      </c>
      <c r="AB194" s="405"/>
      <c r="AC194" s="402">
        <f t="shared" si="127"/>
        <v>0</v>
      </c>
      <c r="AD194" s="403">
        <f t="shared" si="128"/>
        <v>0</v>
      </c>
      <c r="AE194" s="403">
        <f t="shared" si="129"/>
        <v>0</v>
      </c>
      <c r="AF194" s="403">
        <f t="shared" si="130"/>
        <v>0</v>
      </c>
      <c r="AG194" s="404">
        <f t="shared" si="131"/>
        <v>0</v>
      </c>
    </row>
    <row r="195" spans="2:34" s="263" customFormat="1" x14ac:dyDescent="0.2">
      <c r="B195" s="250" t="s">
        <v>186</v>
      </c>
      <c r="C195" s="363">
        <f>+'Input Sheet'!G203</f>
        <v>0</v>
      </c>
      <c r="D195" s="364">
        <f>+'Input Sheet'!H203</f>
        <v>0</v>
      </c>
      <c r="E195" s="364">
        <f>+'Input Sheet'!I203</f>
        <v>0</v>
      </c>
      <c r="F195" s="365">
        <f>+'Input Sheet'!K203</f>
        <v>0</v>
      </c>
      <c r="G195" s="362"/>
      <c r="H195" s="363">
        <f t="shared" si="126"/>
        <v>0</v>
      </c>
      <c r="I195" s="364">
        <f t="shared" si="126"/>
        <v>0</v>
      </c>
      <c r="J195" s="364">
        <f t="shared" si="126"/>
        <v>0</v>
      </c>
      <c r="K195" s="364">
        <f t="shared" si="126"/>
        <v>0</v>
      </c>
      <c r="L195" s="365">
        <f t="shared" si="126"/>
        <v>0</v>
      </c>
      <c r="N195" s="418">
        <v>1</v>
      </c>
      <c r="O195" s="418"/>
      <c r="Q195" s="402">
        <f>IF($N91="Hourly",$N195*'Input Sheet'!G$280*'Fee Breakdown'!H195,'Input Sheet'!G$280*'Fee Breakdown'!$N91*'Fee Breakdown'!H195*$N195)</f>
        <v>0</v>
      </c>
      <c r="R195" s="403">
        <f>IF($N91="Hourly",$N195*'Input Sheet'!H$280*'Fee Breakdown'!I195,'Input Sheet'!H$280*'Fee Breakdown'!$N91*'Fee Breakdown'!I195*$N195)</f>
        <v>0</v>
      </c>
      <c r="S195" s="403">
        <f>IF($N91="Hourly",$N195*'Input Sheet'!I$280*'Fee Breakdown'!J195,'Input Sheet'!I$280*'Fee Breakdown'!$N91*'Fee Breakdown'!J195*$N195)</f>
        <v>0</v>
      </c>
      <c r="T195" s="403">
        <f>IF($N91="Hourly",$N195*'Input Sheet'!J$280*'Fee Breakdown'!K195,'Input Sheet'!J$280*'Fee Breakdown'!$N91*'Fee Breakdown'!K195*$N195)</f>
        <v>0</v>
      </c>
      <c r="U195" s="404">
        <f>IF($N91="Hourly",$N195*'Input Sheet'!K$280*'Fee Breakdown'!L195,'Input Sheet'!K$280*'Fee Breakdown'!$N91*'Fee Breakdown'!L195*$N195)</f>
        <v>0</v>
      </c>
      <c r="V195" s="405"/>
      <c r="W195" s="402">
        <f>+Q195*('Input Sheet'!G$298-1)</f>
        <v>0</v>
      </c>
      <c r="X195" s="403">
        <f>+R195*('Input Sheet'!H$298-1)</f>
        <v>0</v>
      </c>
      <c r="Y195" s="403">
        <f>+S195*('Input Sheet'!I$298-1)</f>
        <v>0</v>
      </c>
      <c r="Z195" s="403">
        <f>+T195*('Input Sheet'!J$298-1)</f>
        <v>0</v>
      </c>
      <c r="AA195" s="404">
        <f>+U195*('Input Sheet'!K$298-1)</f>
        <v>0</v>
      </c>
      <c r="AB195" s="405"/>
      <c r="AC195" s="402">
        <f t="shared" si="127"/>
        <v>0</v>
      </c>
      <c r="AD195" s="403">
        <f t="shared" si="128"/>
        <v>0</v>
      </c>
      <c r="AE195" s="403">
        <f t="shared" si="129"/>
        <v>0</v>
      </c>
      <c r="AF195" s="403">
        <f t="shared" si="130"/>
        <v>0</v>
      </c>
      <c r="AG195" s="404">
        <f t="shared" si="131"/>
        <v>0</v>
      </c>
    </row>
    <row r="196" spans="2:34" s="263" customFormat="1" x14ac:dyDescent="0.2">
      <c r="B196" s="250" t="s">
        <v>187</v>
      </c>
      <c r="C196" s="363">
        <f>+'Input Sheet'!G204</f>
        <v>0</v>
      </c>
      <c r="D196" s="364">
        <f>+'Input Sheet'!H204</f>
        <v>1</v>
      </c>
      <c r="E196" s="364">
        <f>+'Input Sheet'!I204</f>
        <v>1</v>
      </c>
      <c r="F196" s="365">
        <f>+'Input Sheet'!K204</f>
        <v>1</v>
      </c>
      <c r="G196" s="362"/>
      <c r="H196" s="363">
        <f t="shared" ref="H196:L197" si="132">ROUND(AVERAGE($D196:$F196),0)</f>
        <v>1</v>
      </c>
      <c r="I196" s="364">
        <f t="shared" si="132"/>
        <v>1</v>
      </c>
      <c r="J196" s="364">
        <f t="shared" si="132"/>
        <v>1</v>
      </c>
      <c r="K196" s="364">
        <f t="shared" si="132"/>
        <v>1</v>
      </c>
      <c r="L196" s="365">
        <f t="shared" si="132"/>
        <v>1</v>
      </c>
      <c r="N196" s="418">
        <v>1</v>
      </c>
      <c r="O196" s="418"/>
      <c r="Q196" s="402">
        <f>IF($N92="Hourly",$N196*'Input Sheet'!G$280*'Fee Breakdown'!H196,'Input Sheet'!G$280*'Fee Breakdown'!$N92*'Fee Breakdown'!H196*$N196)</f>
        <v>626.10665166818717</v>
      </c>
      <c r="R196" s="403">
        <f>IF($N92="Hourly",$N196*'Input Sheet'!H$280*'Fee Breakdown'!I196,'Input Sheet'!H$280*'Fee Breakdown'!$N92*'Fee Breakdown'!I196*$N196)</f>
        <v>653.42350950723255</v>
      </c>
      <c r="S196" s="403">
        <f>IF($N92="Hourly",$N196*'Input Sheet'!I$280*'Fee Breakdown'!J196,'Input Sheet'!I$280*'Fee Breakdown'!$N92*'Fee Breakdown'!J196*$N196)</f>
        <v>675.54692624103109</v>
      </c>
      <c r="T196" s="403">
        <f>IF($N92="Hourly",$N196*'Input Sheet'!J$280*'Fee Breakdown'!K196,'Input Sheet'!J$280*'Fee Breakdown'!$N92*'Fee Breakdown'!K196*$N196)</f>
        <v>699.34520006534251</v>
      </c>
      <c r="U196" s="404">
        <f>IF($N92="Hourly",$N196*'Input Sheet'!K$280*'Fee Breakdown'!L196,'Input Sheet'!K$280*'Fee Breakdown'!$N92*'Fee Breakdown'!L196*$N196)</f>
        <v>723.4280952442939</v>
      </c>
      <c r="V196" s="405"/>
      <c r="W196" s="402">
        <f>+Q196*('Input Sheet'!G$298-1)</f>
        <v>734.70632390524804</v>
      </c>
      <c r="X196" s="403">
        <f>+R196*('Input Sheet'!H$298-1)</f>
        <v>823.31589601578753</v>
      </c>
      <c r="Y196" s="403">
        <f>+S196*('Input Sheet'!I$298-1)</f>
        <v>858.64862604741757</v>
      </c>
      <c r="Z196" s="403">
        <f>+T196*('Input Sheet'!J$298-1)</f>
        <v>907.31376152413952</v>
      </c>
      <c r="AA196" s="404">
        <f>+U196*('Input Sheet'!K$298-1)</f>
        <v>956.80499191095316</v>
      </c>
      <c r="AB196" s="405"/>
      <c r="AC196" s="402">
        <f t="shared" si="127"/>
        <v>1360.8129755734353</v>
      </c>
      <c r="AD196" s="403">
        <f t="shared" si="128"/>
        <v>1476.7394055230202</v>
      </c>
      <c r="AE196" s="403">
        <f t="shared" si="129"/>
        <v>1534.1955522884487</v>
      </c>
      <c r="AF196" s="403">
        <f t="shared" si="130"/>
        <v>1606.658961589482</v>
      </c>
      <c r="AG196" s="404">
        <f t="shared" si="131"/>
        <v>1680.2330871552472</v>
      </c>
    </row>
    <row r="197" spans="2:34" s="263" customFormat="1" x14ac:dyDescent="0.2">
      <c r="B197" s="250" t="s">
        <v>188</v>
      </c>
      <c r="C197" s="363">
        <f>+'Input Sheet'!G205</f>
        <v>0</v>
      </c>
      <c r="D197" s="364">
        <f>+'Input Sheet'!H205</f>
        <v>0</v>
      </c>
      <c r="E197" s="364">
        <f>+'Input Sheet'!I205</f>
        <v>0</v>
      </c>
      <c r="F197" s="365">
        <f>+'Input Sheet'!K205</f>
        <v>0</v>
      </c>
      <c r="G197" s="362"/>
      <c r="H197" s="363">
        <f t="shared" si="132"/>
        <v>0</v>
      </c>
      <c r="I197" s="364">
        <f t="shared" si="132"/>
        <v>0</v>
      </c>
      <c r="J197" s="364">
        <f t="shared" si="132"/>
        <v>0</v>
      </c>
      <c r="K197" s="364">
        <f t="shared" si="132"/>
        <v>0</v>
      </c>
      <c r="L197" s="365">
        <f t="shared" si="132"/>
        <v>0</v>
      </c>
      <c r="N197" s="418">
        <v>1</v>
      </c>
      <c r="O197" s="418"/>
      <c r="Q197" s="402">
        <f>IF($N93="Hourly",$N197*'Input Sheet'!G$280*'Fee Breakdown'!H197,'Input Sheet'!G$280*'Fee Breakdown'!$N93*'Fee Breakdown'!H197*$N197)</f>
        <v>0</v>
      </c>
      <c r="R197" s="403">
        <f>IF($N93="Hourly",$N197*'Input Sheet'!H$280*'Fee Breakdown'!I197,'Input Sheet'!H$280*'Fee Breakdown'!$N93*'Fee Breakdown'!I197*$N197)</f>
        <v>0</v>
      </c>
      <c r="S197" s="403">
        <f>IF($N93="Hourly",$N197*'Input Sheet'!I$280*'Fee Breakdown'!J197,'Input Sheet'!I$280*'Fee Breakdown'!$N93*'Fee Breakdown'!J197*$N197)</f>
        <v>0</v>
      </c>
      <c r="T197" s="403">
        <f>IF($N93="Hourly",$N197*'Input Sheet'!J$280*'Fee Breakdown'!K197,'Input Sheet'!J$280*'Fee Breakdown'!$N93*'Fee Breakdown'!K197*$N197)</f>
        <v>0</v>
      </c>
      <c r="U197" s="404">
        <f>IF($N93="Hourly",$N197*'Input Sheet'!K$280*'Fee Breakdown'!L197,'Input Sheet'!K$280*'Fee Breakdown'!$N93*'Fee Breakdown'!L197*$N197)</f>
        <v>0</v>
      </c>
      <c r="V197" s="405"/>
      <c r="W197" s="402">
        <f>+Q197*('Input Sheet'!G$298-1)</f>
        <v>0</v>
      </c>
      <c r="X197" s="403">
        <f>+R197*('Input Sheet'!H$298-1)</f>
        <v>0</v>
      </c>
      <c r="Y197" s="403">
        <f>+S197*('Input Sheet'!I$298-1)</f>
        <v>0</v>
      </c>
      <c r="Z197" s="403">
        <f>+T197*('Input Sheet'!J$298-1)</f>
        <v>0</v>
      </c>
      <c r="AA197" s="404">
        <f>+U197*('Input Sheet'!K$298-1)</f>
        <v>0</v>
      </c>
      <c r="AB197" s="405"/>
      <c r="AC197" s="402">
        <f t="shared" si="127"/>
        <v>0</v>
      </c>
      <c r="AD197" s="403">
        <f t="shared" si="128"/>
        <v>0</v>
      </c>
      <c r="AE197" s="403">
        <f t="shared" si="129"/>
        <v>0</v>
      </c>
      <c r="AF197" s="403">
        <f t="shared" si="130"/>
        <v>0</v>
      </c>
      <c r="AG197" s="404">
        <f t="shared" si="131"/>
        <v>0</v>
      </c>
    </row>
    <row r="198" spans="2:34" s="263" customFormat="1" x14ac:dyDescent="0.2">
      <c r="B198" s="250"/>
      <c r="C198" s="363"/>
      <c r="D198" s="364"/>
      <c r="E198" s="364"/>
      <c r="F198" s="365"/>
      <c r="G198" s="362"/>
      <c r="H198" s="363"/>
      <c r="I198" s="364"/>
      <c r="J198" s="364"/>
      <c r="K198" s="364"/>
      <c r="L198" s="365"/>
      <c r="N198" s="418"/>
      <c r="O198" s="418"/>
      <c r="Q198" s="402">
        <f>IF($N94="Hourly",$N198*'Input Sheet'!G$280*'Fee Breakdown'!H198,'Input Sheet'!G$280*'Fee Breakdown'!$N94*'Fee Breakdown'!H198*$N198)</f>
        <v>0</v>
      </c>
      <c r="R198" s="403">
        <f>IF($N94="Hourly",$N198*'Input Sheet'!H$280*'Fee Breakdown'!I198,'Input Sheet'!H$280*'Fee Breakdown'!$N94*'Fee Breakdown'!I198*$N198)</f>
        <v>0</v>
      </c>
      <c r="S198" s="403">
        <f>IF($N94="Hourly",$N198*'Input Sheet'!I$280*'Fee Breakdown'!J198,'Input Sheet'!I$280*'Fee Breakdown'!$N94*'Fee Breakdown'!J198*$N198)</f>
        <v>0</v>
      </c>
      <c r="T198" s="403">
        <f>IF($N94="Hourly",$N198*'Input Sheet'!J$280*'Fee Breakdown'!K198,'Input Sheet'!J$280*'Fee Breakdown'!$N94*'Fee Breakdown'!K198*$N198)</f>
        <v>0</v>
      </c>
      <c r="U198" s="404">
        <f>IF($N94="Hourly",$N198*'Input Sheet'!K$280*'Fee Breakdown'!L198,'Input Sheet'!K$280*'Fee Breakdown'!$N94*'Fee Breakdown'!L198*$N198)</f>
        <v>0</v>
      </c>
      <c r="V198" s="405"/>
      <c r="W198" s="402"/>
      <c r="X198" s="403"/>
      <c r="Y198" s="403"/>
      <c r="Z198" s="403"/>
      <c r="AA198" s="404"/>
      <c r="AB198" s="405"/>
      <c r="AC198" s="402"/>
      <c r="AD198" s="403"/>
      <c r="AE198" s="403"/>
      <c r="AF198" s="403"/>
      <c r="AG198" s="404"/>
    </row>
    <row r="199" spans="2:34" s="263" customFormat="1" x14ac:dyDescent="0.2">
      <c r="B199" s="250" t="s">
        <v>189</v>
      </c>
      <c r="C199" s="363">
        <f>+'Input Sheet'!G207</f>
        <v>0</v>
      </c>
      <c r="D199" s="364">
        <f>+'Input Sheet'!H207</f>
        <v>94</v>
      </c>
      <c r="E199" s="364">
        <f>+'Input Sheet'!I207</f>
        <v>108</v>
      </c>
      <c r="F199" s="365">
        <f>+'Input Sheet'!K207</f>
        <v>139</v>
      </c>
      <c r="G199" s="362"/>
      <c r="H199" s="363">
        <f t="shared" ref="H199:L202" si="133">ROUND(AVERAGE($D199:$F199),0)</f>
        <v>114</v>
      </c>
      <c r="I199" s="364">
        <f t="shared" si="133"/>
        <v>114</v>
      </c>
      <c r="J199" s="364">
        <f t="shared" si="133"/>
        <v>114</v>
      </c>
      <c r="K199" s="364">
        <f t="shared" si="133"/>
        <v>114</v>
      </c>
      <c r="L199" s="365">
        <f t="shared" si="133"/>
        <v>114</v>
      </c>
      <c r="N199" s="418">
        <f>IF($N95="Hourly",'Standard Hour Calcs'!$Y96,'Standard Hour Calcs'!$E96)</f>
        <v>14</v>
      </c>
      <c r="O199" s="418"/>
      <c r="Q199" s="402">
        <f>IF($N95="Hourly",$N199*'Input Sheet'!G$280*'Fee Breakdown'!H199,'Input Sheet'!G$280*'Fee Breakdown'!$N95*'Fee Breakdown'!H199*$N199)</f>
        <v>142752.31658034667</v>
      </c>
      <c r="R199" s="403">
        <f>IF($N95="Hourly",$N199*'Input Sheet'!H$280*'Fee Breakdown'!I199,'Input Sheet'!H$280*'Fee Breakdown'!$N95*'Fee Breakdown'!I199*$N199)</f>
        <v>148980.56016764903</v>
      </c>
      <c r="S199" s="403">
        <f>IF($N95="Hourly",$N199*'Input Sheet'!I$280*'Fee Breakdown'!J199,'Input Sheet'!I$280*'Fee Breakdown'!$N95*'Fee Breakdown'!J199*$N199)</f>
        <v>154024.69918295508</v>
      </c>
      <c r="T199" s="403">
        <f>IF($N95="Hourly",$N199*'Input Sheet'!J$280*'Fee Breakdown'!K199,'Input Sheet'!J$280*'Fee Breakdown'!$N95*'Fee Breakdown'!K199*$N199)</f>
        <v>159450.70561489809</v>
      </c>
      <c r="U199" s="404">
        <f>IF($N95="Hourly",$N199*'Input Sheet'!K$280*'Fee Breakdown'!L199,'Input Sheet'!K$280*'Fee Breakdown'!$N95*'Fee Breakdown'!L199*$N199)</f>
        <v>164941.605715699</v>
      </c>
      <c r="V199" s="405"/>
      <c r="W199" s="402">
        <f>+Q199*('Input Sheet'!G$298-1)</f>
        <v>167513.04185039655</v>
      </c>
      <c r="X199" s="403">
        <f>+R199*('Input Sheet'!H$298-1)</f>
        <v>187716.02429159958</v>
      </c>
      <c r="Y199" s="403">
        <f>+S199*('Input Sheet'!I$298-1)</f>
        <v>195771.88673881118</v>
      </c>
      <c r="Z199" s="403">
        <f>+T199*('Input Sheet'!J$298-1)</f>
        <v>206867.5376275038</v>
      </c>
      <c r="AA199" s="404">
        <f>+U199*('Input Sheet'!K$298-1)</f>
        <v>218151.53815569732</v>
      </c>
      <c r="AB199" s="405"/>
      <c r="AC199" s="402">
        <f t="shared" si="127"/>
        <v>310265.35843074322</v>
      </c>
      <c r="AD199" s="403">
        <f t="shared" si="128"/>
        <v>336696.58445924858</v>
      </c>
      <c r="AE199" s="403">
        <f t="shared" si="129"/>
        <v>349796.58592176624</v>
      </c>
      <c r="AF199" s="403">
        <f t="shared" si="130"/>
        <v>366318.24324240186</v>
      </c>
      <c r="AG199" s="404">
        <f t="shared" si="131"/>
        <v>383093.14387139631</v>
      </c>
    </row>
    <row r="200" spans="2:34" s="263" customFormat="1" x14ac:dyDescent="0.2">
      <c r="B200" s="250" t="s">
        <v>190</v>
      </c>
      <c r="C200" s="363">
        <f>+'Input Sheet'!G208</f>
        <v>0</v>
      </c>
      <c r="D200" s="364">
        <f>+'Input Sheet'!H208</f>
        <v>10</v>
      </c>
      <c r="E200" s="364">
        <f>+'Input Sheet'!I208</f>
        <v>6</v>
      </c>
      <c r="F200" s="365">
        <f>+'Input Sheet'!K208</f>
        <v>1</v>
      </c>
      <c r="G200" s="362"/>
      <c r="H200" s="363">
        <f t="shared" si="133"/>
        <v>6</v>
      </c>
      <c r="I200" s="364">
        <f t="shared" si="133"/>
        <v>6</v>
      </c>
      <c r="J200" s="364">
        <f t="shared" si="133"/>
        <v>6</v>
      </c>
      <c r="K200" s="364">
        <f t="shared" si="133"/>
        <v>6</v>
      </c>
      <c r="L200" s="365">
        <f t="shared" si="133"/>
        <v>6</v>
      </c>
      <c r="N200" s="418">
        <f>IF($N96="Hourly",'Standard Hour Calcs'!$Y97,'Standard Hour Calcs'!$E97)</f>
        <v>23</v>
      </c>
      <c r="O200" s="418"/>
      <c r="Q200" s="402">
        <f>IF($N96="Hourly",$N200*'Input Sheet'!G$280*'Fee Breakdown'!H200,'Input Sheet'!G$280*'Fee Breakdown'!$N96*'Fee Breakdown'!H200*$N200)</f>
        <v>12343.245418601404</v>
      </c>
      <c r="R200" s="403">
        <f>IF($N96="Hourly",$N200*'Input Sheet'!H$280*'Fee Breakdown'!I200,'Input Sheet'!H$280*'Fee Breakdown'!$N96*'Fee Breakdown'!I200*$N200)</f>
        <v>12881.777758856872</v>
      </c>
      <c r="S200" s="403">
        <f>IF($N96="Hourly",$N200*'Input Sheet'!I$280*'Fee Breakdown'!J200,'Input Sheet'!I$280*'Fee Breakdown'!$N96*'Fee Breakdown'!J200*$N200)</f>
        <v>13317.925117323182</v>
      </c>
      <c r="T200" s="403">
        <f>IF($N96="Hourly",$N200*'Input Sheet'!J$280*'Fee Breakdown'!K200,'Input Sheet'!J$280*'Fee Breakdown'!$N96*'Fee Breakdown'!K200*$N200)</f>
        <v>13787.091087002467</v>
      </c>
      <c r="U200" s="404">
        <f>IF($N96="Hourly",$N200*'Input Sheet'!K$280*'Fee Breakdown'!L200,'Input Sheet'!K$280*'Fee Breakdown'!$N96*'Fee Breakdown'!L200*$N200)</f>
        <v>14261.868163387509</v>
      </c>
      <c r="V200" s="405"/>
      <c r="W200" s="402">
        <f>+Q200*('Input Sheet'!G$298-1)</f>
        <v>14484.210385560604</v>
      </c>
      <c r="X200" s="403">
        <f>+R200*('Input Sheet'!H$298-1)</f>
        <v>16231.084807168385</v>
      </c>
      <c r="Y200" s="403">
        <f>+S200*('Input Sheet'!I$298-1)</f>
        <v>16927.644342077656</v>
      </c>
      <c r="Z200" s="403">
        <f>+T200*('Input Sheet'!J$298-1)</f>
        <v>17887.042727190179</v>
      </c>
      <c r="AA200" s="404">
        <f>+U200*('Input Sheet'!K$298-1)</f>
        <v>18862.726983387365</v>
      </c>
      <c r="AB200" s="405"/>
      <c r="AC200" s="402">
        <f t="shared" si="127"/>
        <v>26827.455804162008</v>
      </c>
      <c r="AD200" s="403">
        <f t="shared" si="128"/>
        <v>29112.862566025258</v>
      </c>
      <c r="AE200" s="403">
        <f t="shared" si="129"/>
        <v>30245.569459400838</v>
      </c>
      <c r="AF200" s="403">
        <f t="shared" si="130"/>
        <v>31674.133814192646</v>
      </c>
      <c r="AG200" s="404">
        <f t="shared" si="131"/>
        <v>33124.595146774875</v>
      </c>
    </row>
    <row r="201" spans="2:34" s="263" customFormat="1" x14ac:dyDescent="0.2">
      <c r="B201" s="250" t="s">
        <v>191</v>
      </c>
      <c r="C201" s="363">
        <f>+'Input Sheet'!G209</f>
        <v>0</v>
      </c>
      <c r="D201" s="364">
        <f>+'Input Sheet'!H209</f>
        <v>48</v>
      </c>
      <c r="E201" s="364">
        <f>+'Input Sheet'!I209</f>
        <v>48</v>
      </c>
      <c r="F201" s="365">
        <f>+'Input Sheet'!K209</f>
        <v>38</v>
      </c>
      <c r="G201" s="362"/>
      <c r="H201" s="363">
        <f t="shared" si="133"/>
        <v>45</v>
      </c>
      <c r="I201" s="364">
        <f t="shared" si="133"/>
        <v>45</v>
      </c>
      <c r="J201" s="364">
        <f t="shared" si="133"/>
        <v>45</v>
      </c>
      <c r="K201" s="364">
        <f t="shared" si="133"/>
        <v>45</v>
      </c>
      <c r="L201" s="365">
        <f t="shared" si="133"/>
        <v>45</v>
      </c>
      <c r="N201" s="418">
        <f>IF($N97="Hourly",'Standard Hour Calcs'!$Y98,'Standard Hour Calcs'!$E98)</f>
        <v>10</v>
      </c>
      <c r="O201" s="418"/>
      <c r="Q201" s="402">
        <f>IF($N97="Hourly",$N201*'Input Sheet'!G$280*'Fee Breakdown'!H201,'Input Sheet'!G$280*'Fee Breakdown'!$N97*'Fee Breakdown'!H201*$N201)</f>
        <v>40249.713321526317</v>
      </c>
      <c r="R201" s="403">
        <f>IF($N97="Hourly",$N201*'Input Sheet'!H$280*'Fee Breakdown'!I201,'Input Sheet'!H$280*'Fee Breakdown'!$N97*'Fee Breakdown'!I201*$N201)</f>
        <v>42005.797039750658</v>
      </c>
      <c r="S201" s="403">
        <f>IF($N97="Hourly",$N201*'Input Sheet'!I$280*'Fee Breakdown'!J201,'Input Sheet'!I$280*'Fee Breakdown'!$N97*'Fee Breakdown'!J201*$N201)</f>
        <v>43428.016686923424</v>
      </c>
      <c r="T201" s="403">
        <f>IF($N97="Hourly",$N201*'Input Sheet'!J$280*'Fee Breakdown'!K201,'Input Sheet'!J$280*'Fee Breakdown'!$N97*'Fee Breakdown'!K201*$N201)</f>
        <v>44957.905718486305</v>
      </c>
      <c r="U201" s="404">
        <f>IF($N97="Hourly",$N201*'Input Sheet'!K$280*'Fee Breakdown'!L201,'Input Sheet'!K$280*'Fee Breakdown'!$N97*'Fee Breakdown'!L201*$N201)</f>
        <v>46506.091837133179</v>
      </c>
      <c r="V201" s="405"/>
      <c r="W201" s="402">
        <f>+Q201*('Input Sheet'!G$298-1)</f>
        <v>47231.120822480232</v>
      </c>
      <c r="X201" s="403">
        <f>+R201*('Input Sheet'!H$298-1)</f>
        <v>52927.450458157764</v>
      </c>
      <c r="Y201" s="403">
        <f>+S201*('Input Sheet'!I$298-1)</f>
        <v>55198.840245905405</v>
      </c>
      <c r="Z201" s="403">
        <f>+T201*('Input Sheet'!J$298-1)</f>
        <v>58327.313240837539</v>
      </c>
      <c r="AA201" s="404">
        <f>+U201*('Input Sheet'!K$298-1)</f>
        <v>61508.892337132704</v>
      </c>
      <c r="AB201" s="405"/>
      <c r="AC201" s="402">
        <f t="shared" si="127"/>
        <v>87480.834144006541</v>
      </c>
      <c r="AD201" s="403">
        <f t="shared" si="128"/>
        <v>94933.247497908422</v>
      </c>
      <c r="AE201" s="403">
        <f t="shared" si="129"/>
        <v>98626.856932828829</v>
      </c>
      <c r="AF201" s="403">
        <f t="shared" si="130"/>
        <v>103285.21895932384</v>
      </c>
      <c r="AG201" s="404">
        <f t="shared" si="131"/>
        <v>108014.98417426588</v>
      </c>
    </row>
    <row r="202" spans="2:34" s="263" customFormat="1" x14ac:dyDescent="0.2">
      <c r="B202" s="250" t="s">
        <v>192</v>
      </c>
      <c r="C202" s="363">
        <f>+'Input Sheet'!G210</f>
        <v>0</v>
      </c>
      <c r="D202" s="364">
        <f>+'Input Sheet'!H210</f>
        <v>1</v>
      </c>
      <c r="E202" s="364">
        <f>+'Input Sheet'!I210</f>
        <v>2</v>
      </c>
      <c r="F202" s="365">
        <f>+'Input Sheet'!K210</f>
        <v>1</v>
      </c>
      <c r="G202" s="362"/>
      <c r="H202" s="366">
        <f t="shared" si="133"/>
        <v>1</v>
      </c>
      <c r="I202" s="367">
        <f t="shared" si="133"/>
        <v>1</v>
      </c>
      <c r="J202" s="367">
        <f t="shared" si="133"/>
        <v>1</v>
      </c>
      <c r="K202" s="367">
        <f t="shared" si="133"/>
        <v>1</v>
      </c>
      <c r="L202" s="368">
        <f t="shared" si="133"/>
        <v>1</v>
      </c>
      <c r="N202" s="418">
        <f>IF($N98="Hourly",'Standard Hour Calcs'!$Y99,'Standard Hour Calcs'!$E99)</f>
        <v>7</v>
      </c>
      <c r="O202" s="418"/>
      <c r="Q202" s="402">
        <f>IF($N98="Hourly",$N202*'Input Sheet'!G$280*'Fee Breakdown'!H202,'Input Sheet'!G$280*'Fee Breakdown'!$N98*'Fee Breakdown'!H202*$N202)</f>
        <v>626.10665166818717</v>
      </c>
      <c r="R202" s="403">
        <f>IF($N98="Hourly",$N202*'Input Sheet'!H$280*'Fee Breakdown'!I202,'Input Sheet'!H$280*'Fee Breakdown'!$N98*'Fee Breakdown'!I202*$N202)</f>
        <v>653.42350950723255</v>
      </c>
      <c r="S202" s="403">
        <f>IF($N98="Hourly",$N202*'Input Sheet'!I$280*'Fee Breakdown'!J202,'Input Sheet'!I$280*'Fee Breakdown'!$N98*'Fee Breakdown'!J202*$N202)</f>
        <v>675.54692624103109</v>
      </c>
      <c r="T202" s="403">
        <f>IF($N98="Hourly",$N202*'Input Sheet'!J$280*'Fee Breakdown'!K202,'Input Sheet'!J$280*'Fee Breakdown'!$N98*'Fee Breakdown'!K202*$N202)</f>
        <v>699.34520006534251</v>
      </c>
      <c r="U202" s="404">
        <f>IF($N98="Hourly",$N202*'Input Sheet'!K$280*'Fee Breakdown'!L202,'Input Sheet'!K$280*'Fee Breakdown'!$N98*'Fee Breakdown'!L202*$N202)</f>
        <v>723.4280952442939</v>
      </c>
      <c r="V202" s="405"/>
      <c r="W202" s="402">
        <f>+Q202*('Input Sheet'!G$298-1)</f>
        <v>734.70632390524804</v>
      </c>
      <c r="X202" s="403">
        <f>+R202*('Input Sheet'!H$298-1)</f>
        <v>823.31589601578753</v>
      </c>
      <c r="Y202" s="403">
        <f>+S202*('Input Sheet'!I$298-1)</f>
        <v>858.64862604741757</v>
      </c>
      <c r="Z202" s="403">
        <f>+T202*('Input Sheet'!J$298-1)</f>
        <v>907.31376152413952</v>
      </c>
      <c r="AA202" s="404">
        <f>+U202*('Input Sheet'!K$298-1)</f>
        <v>956.80499191095316</v>
      </c>
      <c r="AB202" s="405"/>
      <c r="AC202" s="402">
        <f t="shared" si="127"/>
        <v>1360.8129755734353</v>
      </c>
      <c r="AD202" s="403">
        <f t="shared" si="128"/>
        <v>1476.7394055230202</v>
      </c>
      <c r="AE202" s="403">
        <f t="shared" si="129"/>
        <v>1534.1955522884487</v>
      </c>
      <c r="AF202" s="403">
        <f t="shared" si="130"/>
        <v>1606.658961589482</v>
      </c>
      <c r="AG202" s="404">
        <f t="shared" si="131"/>
        <v>1680.2330871552472</v>
      </c>
    </row>
    <row r="203" spans="2:34" s="79" customFormat="1" x14ac:dyDescent="0.2">
      <c r="B203" s="71"/>
      <c r="C203" s="369">
        <f>SUM(C115:C202)</f>
        <v>0</v>
      </c>
      <c r="D203" s="370">
        <f>SUM(D115:D202)</f>
        <v>872</v>
      </c>
      <c r="E203" s="370">
        <f>SUM(E115:E202)</f>
        <v>822</v>
      </c>
      <c r="F203" s="371">
        <f>SUM(F115:F202)</f>
        <v>889</v>
      </c>
      <c r="G203" s="350"/>
      <c r="H203" s="372">
        <f>SUM(H115:H202)</f>
        <v>871</v>
      </c>
      <c r="I203" s="373">
        <f>SUM(I115:I202)</f>
        <v>871</v>
      </c>
      <c r="J203" s="373">
        <f>SUM(J115:J202)</f>
        <v>871</v>
      </c>
      <c r="K203" s="373">
        <f>SUM(K115:K202)</f>
        <v>871</v>
      </c>
      <c r="L203" s="374">
        <f>SUM(L115:L202)</f>
        <v>871</v>
      </c>
      <c r="N203" s="419"/>
      <c r="O203" s="419"/>
      <c r="Q203" s="406">
        <f>SUM(Q115:Q202)</f>
        <v>802346.72973204381</v>
      </c>
      <c r="R203" s="407">
        <f>SUM(R115:R202)</f>
        <v>837352.89281195414</v>
      </c>
      <c r="S203" s="407">
        <f>SUM(S115:S202)</f>
        <v>865703.73530750629</v>
      </c>
      <c r="T203" s="407">
        <f>SUM(T115:T202)</f>
        <v>896200.88323802094</v>
      </c>
      <c r="U203" s="408">
        <f>SUM(U115:U202)</f>
        <v>927062.76936848799</v>
      </c>
      <c r="V203" s="396"/>
      <c r="W203" s="406">
        <f>SUM(W115:W202)</f>
        <v>941515.65827994817</v>
      </c>
      <c r="X203" s="407">
        <f>SUM(X115:X202)</f>
        <v>1055067.5590885743</v>
      </c>
      <c r="Y203" s="407">
        <f>SUM(Y115:Y202)</f>
        <v>1100345.9478708217</v>
      </c>
      <c r="Z203" s="407">
        <f>SUM(Z115:Z202)</f>
        <v>1162709.6237680202</v>
      </c>
      <c r="AA203" s="408">
        <f>SUM(AA115:AA202)</f>
        <v>1226131.9284911449</v>
      </c>
      <c r="AB203" s="396"/>
      <c r="AC203" s="406">
        <f>SUM(AC115:AC202)</f>
        <v>1743862.3880119915</v>
      </c>
      <c r="AD203" s="407">
        <f>SUM(AD115:AD202)</f>
        <v>1892420.4519005287</v>
      </c>
      <c r="AE203" s="407">
        <f>SUM(AE115:AE202)</f>
        <v>1966049.6831783284</v>
      </c>
      <c r="AF203" s="407">
        <f>SUM(AF115:AF202)</f>
        <v>2058910.5070060417</v>
      </c>
      <c r="AG203" s="408">
        <f>SUM(AG115:AG202)</f>
        <v>2153194.6978596319</v>
      </c>
    </row>
    <row r="204" spans="2:34" s="79" customFormat="1" x14ac:dyDescent="0.25">
      <c r="B204" s="71"/>
      <c r="C204" s="375"/>
      <c r="D204" s="376"/>
      <c r="E204" s="376"/>
      <c r="F204" s="377"/>
      <c r="G204" s="350"/>
      <c r="H204" s="375"/>
      <c r="I204" s="376"/>
      <c r="J204" s="376"/>
      <c r="K204" s="376"/>
      <c r="L204" s="377"/>
      <c r="N204" s="419"/>
      <c r="O204" s="419"/>
      <c r="Q204" s="409"/>
      <c r="R204" s="410"/>
      <c r="S204" s="410"/>
      <c r="T204" s="410"/>
      <c r="U204" s="411"/>
      <c r="V204" s="396"/>
      <c r="W204" s="409"/>
      <c r="X204" s="410"/>
      <c r="Y204" s="410"/>
      <c r="Z204" s="410"/>
      <c r="AA204" s="411"/>
      <c r="AB204" s="396"/>
      <c r="AC204" s="409"/>
      <c r="AD204" s="410"/>
      <c r="AE204" s="410"/>
      <c r="AF204" s="410"/>
      <c r="AG204" s="411"/>
    </row>
    <row r="205" spans="2:34" x14ac:dyDescent="0.25">
      <c r="B205" s="276" t="s">
        <v>194</v>
      </c>
      <c r="C205" s="378"/>
      <c r="D205" s="379"/>
      <c r="E205" s="379"/>
      <c r="F205" s="380"/>
      <c r="G205" s="381"/>
      <c r="H205" s="382"/>
      <c r="I205" s="383"/>
      <c r="J205" s="383"/>
      <c r="K205" s="383"/>
      <c r="L205" s="384"/>
      <c r="M205" s="91"/>
      <c r="N205" s="420"/>
      <c r="O205" s="420"/>
      <c r="P205" s="91"/>
      <c r="Q205" s="421"/>
      <c r="R205" s="422"/>
      <c r="S205" s="422"/>
      <c r="T205" s="422"/>
      <c r="U205" s="423"/>
      <c r="V205" s="400"/>
      <c r="W205" s="421"/>
      <c r="X205" s="422"/>
      <c r="Y205" s="422"/>
      <c r="Z205" s="422"/>
      <c r="AA205" s="423"/>
      <c r="AB205" s="401"/>
      <c r="AC205" s="421"/>
      <c r="AD205" s="422"/>
      <c r="AE205" s="422"/>
      <c r="AF205" s="422"/>
      <c r="AG205" s="423"/>
      <c r="AH205" s="142"/>
    </row>
    <row r="206" spans="2:34" s="79" customFormat="1" x14ac:dyDescent="0.2">
      <c r="B206" s="212" t="s">
        <v>195</v>
      </c>
      <c r="C206" s="375">
        <f>+'Input Sheet'!G214</f>
        <v>0</v>
      </c>
      <c r="D206" s="376">
        <f>+'Input Sheet'!H214</f>
        <v>181</v>
      </c>
      <c r="E206" s="376">
        <f>+'Input Sheet'!I214</f>
        <v>134</v>
      </c>
      <c r="F206" s="377">
        <f>+'Input Sheet'!K214</f>
        <v>110</v>
      </c>
      <c r="G206" s="350"/>
      <c r="H206" s="375">
        <f t="shared" ref="H206:L210" si="134">ROUND(AVERAGE($D206:$F206),0)</f>
        <v>142</v>
      </c>
      <c r="I206" s="376">
        <f t="shared" si="134"/>
        <v>142</v>
      </c>
      <c r="J206" s="376">
        <f t="shared" si="134"/>
        <v>142</v>
      </c>
      <c r="K206" s="376">
        <f t="shared" si="134"/>
        <v>142</v>
      </c>
      <c r="L206" s="377">
        <f t="shared" si="134"/>
        <v>142</v>
      </c>
      <c r="N206" s="419">
        <f>+'Input Sheet'!K226</f>
        <v>7</v>
      </c>
      <c r="O206" s="419">
        <f>+'Input Sheet'!K233</f>
        <v>4</v>
      </c>
      <c r="Q206" s="409">
        <f>('Input Sheet'!G$285*'Fee Breakdown'!H206)+('Input Sheet'!G$286*'Fee Breakdown'!H206*'Fee Breakdown'!$N206)+('Input Sheet'!G$287*'Fee Breakdown'!$O206)</f>
        <v>79371.360769197752</v>
      </c>
      <c r="R206" s="410">
        <f>('Input Sheet'!H$285*'Fee Breakdown'!I206)+('Input Sheet'!H$286*'Fee Breakdown'!I206*'Fee Breakdown'!$N206)+('Input Sheet'!H$287*'Fee Breakdown'!$O206)</f>
        <v>82834.311007542783</v>
      </c>
      <c r="S206" s="410">
        <f>('Input Sheet'!I$285*'Fee Breakdown'!J206)+('Input Sheet'!I$286*'Fee Breakdown'!J206*'Fee Breakdown'!$N206)+('Input Sheet'!I$287*'Fee Breakdown'!$O206)</f>
        <v>85638.890205586853</v>
      </c>
      <c r="T206" s="410">
        <f>('Input Sheet'!J$285*'Fee Breakdown'!K206)+('Input Sheet'!J$286*'Fee Breakdown'!K206*'Fee Breakdown'!$N206)+('Input Sheet'!J$287*'Fee Breakdown'!$O206)</f>
        <v>88655.790556926106</v>
      </c>
      <c r="U206" s="411">
        <f>('Input Sheet'!K$285*'Fee Breakdown'!L206)+('Input Sheet'!K$286*'Fee Breakdown'!L206*'Fee Breakdown'!$N206)+('Input Sheet'!K$287*'Fee Breakdown'!$O206)</f>
        <v>91708.772275811178</v>
      </c>
      <c r="V206" s="396"/>
      <c r="W206" s="409">
        <f>+Q206*('Input Sheet'!G$298-1)</f>
        <v>93138.510090448704</v>
      </c>
      <c r="X206" s="410">
        <f>+R206*('Input Sheet'!H$298-1)</f>
        <v>104371.52014848133</v>
      </c>
      <c r="Y206" s="410">
        <f>+S206*('Input Sheet'!I$298-1)</f>
        <v>108850.64020706742</v>
      </c>
      <c r="Z206" s="410">
        <f>+T206*('Input Sheet'!J$298-1)</f>
        <v>115019.90548242159</v>
      </c>
      <c r="AA206" s="411">
        <f>+U206*('Input Sheet'!K$298-1)</f>
        <v>121293.89457274202</v>
      </c>
      <c r="AB206" s="396"/>
      <c r="AC206" s="409">
        <f t="shared" ref="AC206:AC210" si="135">+Q206+W206</f>
        <v>172509.87085964647</v>
      </c>
      <c r="AD206" s="410">
        <f t="shared" ref="AD206:AD210" si="136">+R206+X206</f>
        <v>187205.83115602413</v>
      </c>
      <c r="AE206" s="410">
        <f t="shared" ref="AE206:AE210" si="137">+S206+Y206</f>
        <v>194489.53041265428</v>
      </c>
      <c r="AF206" s="410">
        <f t="shared" ref="AF206:AF210" si="138">+T206+Z206</f>
        <v>203675.69603934768</v>
      </c>
      <c r="AG206" s="411">
        <f t="shared" ref="AG206:AG210" si="139">+U206+AA206</f>
        <v>213002.6668485532</v>
      </c>
    </row>
    <row r="207" spans="2:34" s="79" customFormat="1" x14ac:dyDescent="0.2">
      <c r="B207" s="212" t="s">
        <v>196</v>
      </c>
      <c r="C207" s="375">
        <f>+'Input Sheet'!G215</f>
        <v>0</v>
      </c>
      <c r="D207" s="376">
        <f>+'Input Sheet'!H215</f>
        <v>22</v>
      </c>
      <c r="E207" s="376">
        <f>+'Input Sheet'!I215</f>
        <v>15</v>
      </c>
      <c r="F207" s="377">
        <f>+'Input Sheet'!K215</f>
        <v>15</v>
      </c>
      <c r="G207" s="350"/>
      <c r="H207" s="375">
        <f t="shared" si="134"/>
        <v>17</v>
      </c>
      <c r="I207" s="376">
        <f t="shared" si="134"/>
        <v>17</v>
      </c>
      <c r="J207" s="376">
        <f t="shared" si="134"/>
        <v>17</v>
      </c>
      <c r="K207" s="376">
        <f t="shared" si="134"/>
        <v>17</v>
      </c>
      <c r="L207" s="377">
        <f t="shared" si="134"/>
        <v>17</v>
      </c>
      <c r="N207" s="419">
        <f>+'Input Sheet'!K227</f>
        <v>5</v>
      </c>
      <c r="O207" s="419">
        <f>+'Input Sheet'!K234</f>
        <v>1</v>
      </c>
      <c r="Q207" s="409">
        <f>('Input Sheet'!G$285*'Fee Breakdown'!H207)+('Input Sheet'!G$286*'Fee Breakdown'!H207*'Fee Breakdown'!$N207)+('Input Sheet'!G$287*'Fee Breakdown'!$O207)</f>
        <v>8047.4380939076982</v>
      </c>
      <c r="R207" s="410">
        <f>('Input Sheet'!H$285*'Fee Breakdown'!I207)+('Input Sheet'!H$286*'Fee Breakdown'!I207*'Fee Breakdown'!$N207)+('Input Sheet'!H$287*'Fee Breakdown'!$O207)</f>
        <v>8398.5455638476542</v>
      </c>
      <c r="S207" s="410">
        <f>('Input Sheet'!I$285*'Fee Breakdown'!J207)+('Input Sheet'!I$286*'Fee Breakdown'!J207*'Fee Breakdown'!$N207)+('Input Sheet'!I$287*'Fee Breakdown'!$O207)</f>
        <v>8682.9009945344333</v>
      </c>
      <c r="T207" s="410">
        <f>('Input Sheet'!J$285*'Fee Breakdown'!K207)+('Input Sheet'!J$286*'Fee Breakdown'!K207*'Fee Breakdown'!$N207)+('Input Sheet'!J$287*'Fee Breakdown'!$O207)</f>
        <v>8988.7836022862302</v>
      </c>
      <c r="U207" s="411">
        <f>('Input Sheet'!K$285*'Fee Breakdown'!L207)+('Input Sheet'!K$286*'Fee Breakdown'!L207*'Fee Breakdown'!$N207)+('Input Sheet'!K$287*'Fee Breakdown'!$O207)</f>
        <v>9298.3244889040398</v>
      </c>
      <c r="V207" s="396"/>
      <c r="W207" s="409">
        <f>+Q207*('Input Sheet'!G$298-1)</f>
        <v>9443.2851704686636</v>
      </c>
      <c r="X207" s="410">
        <f>+R207*('Input Sheet'!H$298-1)</f>
        <v>10582.196638965763</v>
      </c>
      <c r="Y207" s="410">
        <f>+S207*('Input Sheet'!I$298-1)</f>
        <v>11036.33325748069</v>
      </c>
      <c r="Z207" s="410">
        <f>+T207*('Input Sheet'!J$298-1)</f>
        <v>11661.833184748835</v>
      </c>
      <c r="AA207" s="411">
        <f>+U207*('Input Sheet'!K$298-1)</f>
        <v>12297.951027720223</v>
      </c>
      <c r="AB207" s="396"/>
      <c r="AC207" s="409">
        <f t="shared" si="135"/>
        <v>17490.723264376364</v>
      </c>
      <c r="AD207" s="410">
        <f t="shared" si="136"/>
        <v>18980.742202813417</v>
      </c>
      <c r="AE207" s="410">
        <f t="shared" si="137"/>
        <v>19719.234252015121</v>
      </c>
      <c r="AF207" s="410">
        <f t="shared" si="138"/>
        <v>20650.616787035065</v>
      </c>
      <c r="AG207" s="411">
        <f t="shared" si="139"/>
        <v>21596.275516624264</v>
      </c>
    </row>
    <row r="208" spans="2:34" s="79" customFormat="1" x14ac:dyDescent="0.2">
      <c r="B208" s="212" t="s">
        <v>197</v>
      </c>
      <c r="C208" s="375">
        <f>+'Input Sheet'!G216</f>
        <v>0</v>
      </c>
      <c r="D208" s="376">
        <f>+'Input Sheet'!H216</f>
        <v>67</v>
      </c>
      <c r="E208" s="376">
        <f>+'Input Sheet'!I216</f>
        <v>67</v>
      </c>
      <c r="F208" s="377">
        <f>+'Input Sheet'!K216</f>
        <v>74</v>
      </c>
      <c r="G208" s="350"/>
      <c r="H208" s="375">
        <f t="shared" si="134"/>
        <v>69</v>
      </c>
      <c r="I208" s="376">
        <f t="shared" si="134"/>
        <v>69</v>
      </c>
      <c r="J208" s="376">
        <f t="shared" si="134"/>
        <v>69</v>
      </c>
      <c r="K208" s="376">
        <f t="shared" si="134"/>
        <v>69</v>
      </c>
      <c r="L208" s="377">
        <f t="shared" si="134"/>
        <v>69</v>
      </c>
      <c r="N208" s="419">
        <f>+'Input Sheet'!K228</f>
        <v>5</v>
      </c>
      <c r="O208" s="419">
        <f>+'Input Sheet'!K235</f>
        <v>2</v>
      </c>
      <c r="Q208" s="409">
        <f>('Input Sheet'!G$285*'Fee Breakdown'!H208)+('Input Sheet'!G$286*'Fee Breakdown'!H208*'Fee Breakdown'!$N208)+('Input Sheet'!G$287*'Fee Breakdown'!$O208)</f>
        <v>29399.642535764375</v>
      </c>
      <c r="R208" s="410">
        <f>('Input Sheet'!H$285*'Fee Breakdown'!I208)+('Input Sheet'!H$286*'Fee Breakdown'!I208*'Fee Breakdown'!$N208)+('Input Sheet'!H$287*'Fee Breakdown'!$O208)</f>
        <v>30682.340704724</v>
      </c>
      <c r="S208" s="410">
        <f>('Input Sheet'!I$285*'Fee Breakdown'!J208)+('Input Sheet'!I$286*'Fee Breakdown'!J208*'Fee Breakdown'!$N208)+('Input Sheet'!I$287*'Fee Breakdown'!$O208)</f>
        <v>31721.174171690778</v>
      </c>
      <c r="T208" s="410">
        <f>('Input Sheet'!J$285*'Fee Breakdown'!K208)+('Input Sheet'!J$286*'Fee Breakdown'!K208*'Fee Breakdown'!$N208)+('Input Sheet'!J$287*'Fee Breakdown'!$O208)</f>
        <v>32838.652705960994</v>
      </c>
      <c r="U208" s="411">
        <f>('Input Sheet'!K$285*'Fee Breakdown'!L208)+('Input Sheet'!K$286*'Fee Breakdown'!L208*'Fee Breakdown'!$N208)+('Input Sheet'!K$287*'Fee Breakdown'!$O208)</f>
        <v>33969.496001749321</v>
      </c>
      <c r="V208" s="396"/>
      <c r="W208" s="409">
        <f>+Q208*('Input Sheet'!G$298-1)</f>
        <v>34499.079723923853</v>
      </c>
      <c r="X208" s="410">
        <f>+R208*('Input Sheet'!H$298-1)</f>
        <v>38659.856068267014</v>
      </c>
      <c r="Y208" s="410">
        <f>+S208*('Input Sheet'!I$298-1)</f>
        <v>40318.949818469002</v>
      </c>
      <c r="Z208" s="410">
        <f>+T208*('Input Sheet'!J$298-1)</f>
        <v>42604.083801885638</v>
      </c>
      <c r="AA208" s="411">
        <f>+U208*('Input Sheet'!K$298-1)</f>
        <v>44928.008133548195</v>
      </c>
      <c r="AB208" s="396"/>
      <c r="AC208" s="409">
        <f t="shared" si="135"/>
        <v>63898.722259688227</v>
      </c>
      <c r="AD208" s="410">
        <f t="shared" si="136"/>
        <v>69342.19677299101</v>
      </c>
      <c r="AE208" s="410">
        <f t="shared" si="137"/>
        <v>72040.123990159773</v>
      </c>
      <c r="AF208" s="410">
        <f t="shared" si="138"/>
        <v>75442.736507846625</v>
      </c>
      <c r="AG208" s="411">
        <f t="shared" si="139"/>
        <v>78897.504135297524</v>
      </c>
    </row>
    <row r="209" spans="2:33" s="79" customFormat="1" x14ac:dyDescent="0.2">
      <c r="B209" s="212" t="s">
        <v>198</v>
      </c>
      <c r="C209" s="375">
        <f>+'Input Sheet'!G217</f>
        <v>0</v>
      </c>
      <c r="D209" s="376">
        <f>+'Input Sheet'!H217</f>
        <v>88</v>
      </c>
      <c r="E209" s="376">
        <f>+'Input Sheet'!I217</f>
        <v>49</v>
      </c>
      <c r="F209" s="377">
        <f>+'Input Sheet'!K217</f>
        <v>85</v>
      </c>
      <c r="G209" s="350"/>
      <c r="H209" s="375">
        <f t="shared" si="134"/>
        <v>74</v>
      </c>
      <c r="I209" s="376">
        <f t="shared" si="134"/>
        <v>74</v>
      </c>
      <c r="J209" s="376">
        <f t="shared" si="134"/>
        <v>74</v>
      </c>
      <c r="K209" s="376">
        <f t="shared" si="134"/>
        <v>74</v>
      </c>
      <c r="L209" s="377">
        <f t="shared" si="134"/>
        <v>74</v>
      </c>
      <c r="N209" s="419">
        <f>+'Input Sheet'!K229</f>
        <v>6</v>
      </c>
      <c r="O209" s="419">
        <f>+'Input Sheet'!K236</f>
        <v>1</v>
      </c>
      <c r="Q209" s="409">
        <f>('Input Sheet'!G$285*'Fee Breakdown'!H209)+('Input Sheet'!G$286*'Fee Breakdown'!H209*'Fee Breakdown'!$N209)+('Input Sheet'!G$287*'Fee Breakdown'!$O209)</f>
        <v>34679.331741650953</v>
      </c>
      <c r="R209" s="410">
        <f>('Input Sheet'!H$285*'Fee Breakdown'!I209)+('Input Sheet'!H$286*'Fee Breakdown'!I209*'Fee Breakdown'!$N209)+('Input Sheet'!H$287*'Fee Breakdown'!$O209)</f>
        <v>36192.381271816012</v>
      </c>
      <c r="S209" s="410">
        <f>('Input Sheet'!I$285*'Fee Breakdown'!J209)+('Input Sheet'!I$286*'Fee Breakdown'!J209*'Fee Breakdown'!$N209)+('Input Sheet'!I$287*'Fee Breakdown'!$O209)</f>
        <v>37417.772035715425</v>
      </c>
      <c r="T209" s="410">
        <f>('Input Sheet'!J$285*'Fee Breakdown'!K209)+('Input Sheet'!J$286*'Fee Breakdown'!K209*'Fee Breakdown'!$N209)+('Input Sheet'!J$287*'Fee Breakdown'!$O209)</f>
        <v>38735.93121935134</v>
      </c>
      <c r="U209" s="411">
        <f>('Input Sheet'!K$285*'Fee Breakdown'!L209)+('Input Sheet'!K$286*'Fee Breakdown'!L209*'Fee Breakdown'!$N209)+('Input Sheet'!K$287*'Fee Breakdown'!$O209)</f>
        <v>40069.85525447382</v>
      </c>
      <c r="V209" s="396"/>
      <c r="W209" s="409">
        <f>+Q209*('Input Sheet'!G$298-1)</f>
        <v>40694.543448009761</v>
      </c>
      <c r="X209" s="410">
        <f>+R209*('Input Sheet'!H$298-1)</f>
        <v>45602.52635878016</v>
      </c>
      <c r="Y209" s="410">
        <f>+S209*('Input Sheet'!I$298-1)</f>
        <v>47559.565886854762</v>
      </c>
      <c r="Z209" s="410">
        <f>+T209*('Input Sheet'!J$298-1)</f>
        <v>50255.072112436348</v>
      </c>
      <c r="AA209" s="411">
        <f>+U209*('Input Sheet'!K$298-1)</f>
        <v>52996.334790789682</v>
      </c>
      <c r="AB209" s="396"/>
      <c r="AC209" s="409">
        <f t="shared" si="135"/>
        <v>75373.875189660714</v>
      </c>
      <c r="AD209" s="410">
        <f t="shared" si="136"/>
        <v>81794.907630596164</v>
      </c>
      <c r="AE209" s="410">
        <f t="shared" si="137"/>
        <v>84977.337922570179</v>
      </c>
      <c r="AF209" s="410">
        <f t="shared" si="138"/>
        <v>88991.003331787681</v>
      </c>
      <c r="AG209" s="411">
        <f t="shared" si="139"/>
        <v>93066.190045263502</v>
      </c>
    </row>
    <row r="210" spans="2:33" s="79" customFormat="1" x14ac:dyDescent="0.2">
      <c r="B210" s="212" t="s">
        <v>199</v>
      </c>
      <c r="C210" s="375">
        <f>+'Input Sheet'!G218</f>
        <v>0</v>
      </c>
      <c r="D210" s="376">
        <f>+'Input Sheet'!H218</f>
        <v>2</v>
      </c>
      <c r="E210" s="376">
        <f>+'Input Sheet'!I218</f>
        <v>7</v>
      </c>
      <c r="F210" s="377">
        <f>+'Input Sheet'!K218</f>
        <v>17</v>
      </c>
      <c r="G210" s="350"/>
      <c r="H210" s="375">
        <f t="shared" si="134"/>
        <v>9</v>
      </c>
      <c r="I210" s="376">
        <f t="shared" si="134"/>
        <v>9</v>
      </c>
      <c r="J210" s="376">
        <f t="shared" si="134"/>
        <v>9</v>
      </c>
      <c r="K210" s="376">
        <f t="shared" si="134"/>
        <v>9</v>
      </c>
      <c r="L210" s="377">
        <f t="shared" si="134"/>
        <v>9</v>
      </c>
      <c r="N210" s="419">
        <f>+'Input Sheet'!K230</f>
        <v>4</v>
      </c>
      <c r="O210" s="419">
        <f>+'Input Sheet'!K237</f>
        <v>0</v>
      </c>
      <c r="Q210" s="409">
        <f>('Input Sheet'!G$285*'Fee Breakdown'!H210)+('Input Sheet'!G$286*'Fee Breakdown'!H210*'Fee Breakdown'!$N210)+('Input Sheet'!G$287*'Fee Breakdown'!$O210)</f>
        <v>2817.4799325068425</v>
      </c>
      <c r="R210" s="410">
        <f>('Input Sheet'!H$285*'Fee Breakdown'!I210)+('Input Sheet'!H$286*'Fee Breakdown'!I210*'Fee Breakdown'!$N210)+('Input Sheet'!H$287*'Fee Breakdown'!$O210)</f>
        <v>2940.4057927825465</v>
      </c>
      <c r="S210" s="410">
        <f>('Input Sheet'!I$285*'Fee Breakdown'!J210)+('Input Sheet'!I$286*'Fee Breakdown'!J210*'Fee Breakdown'!$N210)+('Input Sheet'!I$287*'Fee Breakdown'!$O210)</f>
        <v>3039.9611680846397</v>
      </c>
      <c r="T210" s="410">
        <f>('Input Sheet'!J$285*'Fee Breakdown'!K210)+('Input Sheet'!J$286*'Fee Breakdown'!K210*'Fee Breakdown'!$N210)+('Input Sheet'!J$287*'Fee Breakdown'!$O210)</f>
        <v>3147.0534002940417</v>
      </c>
      <c r="U210" s="411">
        <f>('Input Sheet'!K$285*'Fee Breakdown'!L210)+('Input Sheet'!K$286*'Fee Breakdown'!L210*'Fee Breakdown'!$N210)+('Input Sheet'!K$287*'Fee Breakdown'!$O210)</f>
        <v>3255.4264285993227</v>
      </c>
      <c r="V210" s="396"/>
      <c r="W210" s="409">
        <f>+Q210*('Input Sheet'!G$298-1)</f>
        <v>3306.1784575736165</v>
      </c>
      <c r="X210" s="410">
        <f>+R210*('Input Sheet'!H$298-1)</f>
        <v>3704.9215320710441</v>
      </c>
      <c r="Y210" s="410">
        <f>+S210*('Input Sheet'!I$298-1)</f>
        <v>3863.9188172133786</v>
      </c>
      <c r="Z210" s="410">
        <f>+T210*('Input Sheet'!J$298-1)</f>
        <v>4082.9119268586282</v>
      </c>
      <c r="AA210" s="411">
        <f>+U210*('Input Sheet'!K$298-1)</f>
        <v>4305.6224635992894</v>
      </c>
      <c r="AB210" s="396"/>
      <c r="AC210" s="409">
        <f t="shared" si="135"/>
        <v>6123.658390080459</v>
      </c>
      <c r="AD210" s="410">
        <f t="shared" si="136"/>
        <v>6645.3273248535907</v>
      </c>
      <c r="AE210" s="410">
        <f t="shared" si="137"/>
        <v>6903.8799852980183</v>
      </c>
      <c r="AF210" s="410">
        <f t="shared" si="138"/>
        <v>7229.9653271526695</v>
      </c>
      <c r="AG210" s="411">
        <f t="shared" si="139"/>
        <v>7561.0488921986125</v>
      </c>
    </row>
    <row r="211" spans="2:33" s="79" customFormat="1" x14ac:dyDescent="0.2">
      <c r="B211" s="212"/>
      <c r="C211" s="369">
        <f>SUM(C206:C210)</f>
        <v>0</v>
      </c>
      <c r="D211" s="370">
        <f>SUM(D206:D210)</f>
        <v>360</v>
      </c>
      <c r="E211" s="370">
        <f>SUM(E206:E210)</f>
        <v>272</v>
      </c>
      <c r="F211" s="371">
        <f>SUM(F206:F210)</f>
        <v>301</v>
      </c>
      <c r="G211" s="350"/>
      <c r="H211" s="369">
        <f>SUM(H206:H210)</f>
        <v>311</v>
      </c>
      <c r="I211" s="370">
        <f>SUM(I206:I210)</f>
        <v>311</v>
      </c>
      <c r="J211" s="370">
        <f>SUM(J206:J210)</f>
        <v>311</v>
      </c>
      <c r="K211" s="370">
        <f>SUM(K206:K210)</f>
        <v>311</v>
      </c>
      <c r="L211" s="371">
        <f>SUM(L206:L210)</f>
        <v>311</v>
      </c>
      <c r="N211" s="260"/>
      <c r="O211" s="260"/>
      <c r="Q211" s="412">
        <f>SUM(Q206:Q210)</f>
        <v>154315.25307302762</v>
      </c>
      <c r="R211" s="413">
        <f>SUM(R206:R210)</f>
        <v>161047.98434071301</v>
      </c>
      <c r="S211" s="413">
        <f>SUM(S206:S210)</f>
        <v>166500.69857561213</v>
      </c>
      <c r="T211" s="413">
        <f>SUM(T206:T210)</f>
        <v>172366.21148481872</v>
      </c>
      <c r="U211" s="414">
        <f>SUM(U206:U210)</f>
        <v>178301.87444953769</v>
      </c>
      <c r="V211" s="396"/>
      <c r="W211" s="412">
        <f>SUM(W206:W210)</f>
        <v>181081.59689042458</v>
      </c>
      <c r="X211" s="413">
        <f>SUM(X206:X210)</f>
        <v>202921.02074656531</v>
      </c>
      <c r="Y211" s="413">
        <f>SUM(Y206:Y210)</f>
        <v>211629.40798708529</v>
      </c>
      <c r="Z211" s="413">
        <f>SUM(Z206:Z210)</f>
        <v>223623.80650835103</v>
      </c>
      <c r="AA211" s="414">
        <f>SUM(AA206:AA210)</f>
        <v>235821.8109883994</v>
      </c>
      <c r="AB211" s="396"/>
      <c r="AC211" s="412">
        <f>SUM(AC206:AC210)</f>
        <v>335396.8499634522</v>
      </c>
      <c r="AD211" s="413">
        <f>SUM(AD206:AD210)</f>
        <v>363969.00508727826</v>
      </c>
      <c r="AE211" s="413">
        <f>SUM(AE206:AE210)</f>
        <v>378130.10656269739</v>
      </c>
      <c r="AF211" s="413">
        <f>SUM(AF206:AF210)</f>
        <v>395990.01799316978</v>
      </c>
      <c r="AG211" s="414">
        <f>SUM(AG206:AG210)</f>
        <v>414123.68543793709</v>
      </c>
    </row>
    <row r="212" spans="2:33" s="79" customFormat="1" x14ac:dyDescent="0.25">
      <c r="B212" s="98"/>
      <c r="C212" s="375"/>
      <c r="D212" s="376"/>
      <c r="E212" s="376"/>
      <c r="F212" s="377"/>
      <c r="G212" s="350"/>
      <c r="H212" s="375"/>
      <c r="I212" s="376"/>
      <c r="J212" s="376"/>
      <c r="K212" s="376"/>
      <c r="L212" s="377"/>
      <c r="N212" s="261"/>
      <c r="O212" s="261"/>
      <c r="Q212" s="409"/>
      <c r="R212" s="410"/>
      <c r="S212" s="410"/>
      <c r="T212" s="410"/>
      <c r="U212" s="411"/>
      <c r="V212" s="396"/>
      <c r="W212" s="409"/>
      <c r="X212" s="410"/>
      <c r="Y212" s="410"/>
      <c r="Z212" s="410"/>
      <c r="AA212" s="411"/>
      <c r="AB212" s="396"/>
      <c r="AC212" s="409"/>
      <c r="AD212" s="410"/>
      <c r="AE212" s="410"/>
      <c r="AF212" s="410"/>
      <c r="AG212" s="411"/>
    </row>
    <row r="213" spans="2:33" s="79" customFormat="1" x14ac:dyDescent="0.2">
      <c r="C213" s="385">
        <f>+C211+C203</f>
        <v>0</v>
      </c>
      <c r="D213" s="386">
        <f>+D211+D203</f>
        <v>1232</v>
      </c>
      <c r="E213" s="386">
        <f>+E211+E203</f>
        <v>1094</v>
      </c>
      <c r="F213" s="387">
        <f>+F211+F203</f>
        <v>1190</v>
      </c>
      <c r="G213" s="388"/>
      <c r="H213" s="385">
        <f>+H211+H203</f>
        <v>1182</v>
      </c>
      <c r="I213" s="386">
        <f>+I211+I203</f>
        <v>1182</v>
      </c>
      <c r="J213" s="386">
        <f>+J211+J203</f>
        <v>1182</v>
      </c>
      <c r="K213" s="386">
        <f>+K211+K203</f>
        <v>1182</v>
      </c>
      <c r="L213" s="387">
        <f>+L211+L203</f>
        <v>1182</v>
      </c>
      <c r="Q213" s="415">
        <f>+Q211+Q203</f>
        <v>956661.9828050714</v>
      </c>
      <c r="R213" s="416">
        <f>+R211+R203</f>
        <v>998400.87715266715</v>
      </c>
      <c r="S213" s="416">
        <f>+S211+S203</f>
        <v>1032204.4338831184</v>
      </c>
      <c r="T213" s="416">
        <f>+T211+T203</f>
        <v>1068567.0947228395</v>
      </c>
      <c r="U213" s="417">
        <f>+U211+U203</f>
        <v>1105364.6438180257</v>
      </c>
      <c r="V213" s="396"/>
      <c r="W213" s="415">
        <f>+W211+W203</f>
        <v>1122597.2551703728</v>
      </c>
      <c r="X213" s="416">
        <f>+X211+X203</f>
        <v>1257988.5798351397</v>
      </c>
      <c r="Y213" s="416">
        <f>+Y211+Y203</f>
        <v>1311975.3558579069</v>
      </c>
      <c r="Z213" s="416">
        <f>+Z211+Z203</f>
        <v>1386333.4302763713</v>
      </c>
      <c r="AA213" s="417">
        <f>+AA211+AA203</f>
        <v>1461953.7394795443</v>
      </c>
      <c r="AB213" s="396"/>
      <c r="AC213" s="415">
        <f>+AC211+AC203</f>
        <v>2079259.2379754437</v>
      </c>
      <c r="AD213" s="416">
        <f>+AD211+AD203</f>
        <v>2256389.4569878071</v>
      </c>
      <c r="AE213" s="416">
        <f>+AE211+AE203</f>
        <v>2344179.7897410258</v>
      </c>
      <c r="AF213" s="416">
        <f>+AF211+AF203</f>
        <v>2454900.5249992115</v>
      </c>
      <c r="AG213" s="417">
        <f>+AG211+AG203</f>
        <v>2567318.3832975691</v>
      </c>
    </row>
    <row r="214" spans="2:33" s="79" customFormat="1" x14ac:dyDescent="0.25">
      <c r="Q214" s="396"/>
      <c r="R214" s="396"/>
      <c r="S214" s="396"/>
      <c r="T214" s="396"/>
      <c r="U214" s="396"/>
      <c r="V214" s="396"/>
      <c r="W214" s="396"/>
      <c r="X214" s="396"/>
      <c r="Y214" s="396"/>
      <c r="Z214" s="396"/>
      <c r="AA214" s="396"/>
      <c r="AB214" s="396"/>
      <c r="AC214" s="396"/>
      <c r="AD214" s="396"/>
      <c r="AE214" s="396"/>
      <c r="AF214" s="396"/>
      <c r="AG214" s="396"/>
    </row>
    <row r="215" spans="2:33" s="79" customFormat="1" hidden="1" x14ac:dyDescent="0.25">
      <c r="W215" s="68"/>
      <c r="X215" s="68"/>
      <c r="Y215" s="68"/>
      <c r="Z215" s="68"/>
      <c r="AA215" s="68"/>
      <c r="AC215" s="330"/>
      <c r="AD215" s="330"/>
      <c r="AE215" s="330"/>
      <c r="AF215" s="330"/>
      <c r="AG215" s="330"/>
    </row>
    <row r="216" spans="2:33" x14ac:dyDescent="0.25"/>
    <row r="217" spans="2:33" x14ac:dyDescent="0.25">
      <c r="Q217" s="28"/>
      <c r="R217" s="28"/>
      <c r="S217" s="28"/>
      <c r="T217" s="28"/>
      <c r="U217" s="28"/>
    </row>
    <row r="218" spans="2:33" x14ac:dyDescent="0.25">
      <c r="Q218" s="28"/>
      <c r="R218" s="28"/>
      <c r="S218" s="28"/>
      <c r="T218" s="28"/>
      <c r="U218" s="28"/>
    </row>
    <row r="219" spans="2:33" x14ac:dyDescent="0.25">
      <c r="Q219" s="28"/>
      <c r="R219" s="28"/>
      <c r="S219" s="28"/>
      <c r="T219" s="28"/>
      <c r="U219" s="28"/>
    </row>
    <row r="220" spans="2:33" x14ac:dyDescent="0.25">
      <c r="Q220" s="28"/>
      <c r="R220" s="28"/>
      <c r="S220" s="28"/>
      <c r="T220" s="28"/>
      <c r="U220" s="28"/>
    </row>
    <row r="221" spans="2:33" x14ac:dyDescent="0.25">
      <c r="Q221" s="28"/>
      <c r="R221" s="28"/>
      <c r="S221" s="28"/>
      <c r="T221" s="28"/>
      <c r="U221" s="28"/>
    </row>
    <row r="222" spans="2:33" x14ac:dyDescent="0.25">
      <c r="Q222" s="318"/>
      <c r="R222" s="318"/>
      <c r="S222" s="318"/>
      <c r="T222" s="318"/>
      <c r="U222" s="318"/>
    </row>
    <row r="223" spans="2:33" x14ac:dyDescent="0.25">
      <c r="Q223" s="318"/>
      <c r="R223" s="318"/>
      <c r="S223" s="318"/>
      <c r="T223" s="318"/>
      <c r="U223" s="318"/>
    </row>
    <row r="224" spans="2:33" x14ac:dyDescent="0.25">
      <c r="Q224" s="28"/>
      <c r="R224" s="28"/>
      <c r="S224" s="28"/>
      <c r="T224" s="28"/>
      <c r="U224" s="28"/>
    </row>
    <row r="225" spans="17:21" x14ac:dyDescent="0.25">
      <c r="Q225" s="28"/>
      <c r="R225" s="28"/>
      <c r="S225" s="28"/>
      <c r="T225" s="28"/>
      <c r="U225" s="28"/>
    </row>
    <row r="226" spans="17:21" x14ac:dyDescent="0.25">
      <c r="Q226" s="28"/>
      <c r="R226" s="28"/>
      <c r="S226" s="28"/>
      <c r="T226" s="28"/>
      <c r="U226" s="28"/>
    </row>
    <row r="227" spans="17:21" x14ac:dyDescent="0.25">
      <c r="Q227" s="28"/>
      <c r="R227" s="28"/>
      <c r="S227" s="28"/>
      <c r="T227" s="28"/>
      <c r="U227" s="28"/>
    </row>
    <row r="228" spans="17:21" x14ac:dyDescent="0.25">
      <c r="Q228" s="28"/>
      <c r="R228" s="28"/>
      <c r="S228" s="28"/>
      <c r="T228" s="28"/>
      <c r="U228" s="28"/>
    </row>
    <row r="229" spans="17:21" x14ac:dyDescent="0.25">
      <c r="Q229" s="28"/>
      <c r="R229" s="28"/>
      <c r="S229" s="28"/>
      <c r="T229" s="28"/>
      <c r="U229" s="28"/>
    </row>
    <row r="230" spans="17:21" x14ac:dyDescent="0.25">
      <c r="Q230" s="318"/>
      <c r="R230" s="318"/>
      <c r="S230" s="318"/>
      <c r="T230" s="318"/>
      <c r="U230" s="318"/>
    </row>
    <row r="231" spans="17:21" x14ac:dyDescent="0.25">
      <c r="Q231" s="79"/>
      <c r="R231" s="79"/>
      <c r="S231" s="79"/>
      <c r="T231" s="79"/>
      <c r="U231" s="79"/>
    </row>
    <row r="232" spans="17:21" x14ac:dyDescent="0.25"/>
    <row r="233" spans="17:21" x14ac:dyDescent="0.25"/>
    <row r="234" spans="17:21" x14ac:dyDescent="0.25"/>
    <row r="235" spans="17:21" x14ac:dyDescent="0.25"/>
    <row r="236" spans="17:21" x14ac:dyDescent="0.25"/>
    <row r="237" spans="17:21" x14ac:dyDescent="0.25"/>
    <row r="238" spans="17:21" x14ac:dyDescent="0.25"/>
    <row r="239" spans="17:21" x14ac:dyDescent="0.25"/>
    <row r="240" spans="17:21"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sheetData>
  <mergeCells count="10">
    <mergeCell ref="AC111:AG111"/>
    <mergeCell ref="C111:F111"/>
    <mergeCell ref="H111:L111"/>
    <mergeCell ref="C7:F7"/>
    <mergeCell ref="Q7:U7"/>
    <mergeCell ref="H7:L7"/>
    <mergeCell ref="W7:AA7"/>
    <mergeCell ref="Q111:U111"/>
    <mergeCell ref="W111:AA111"/>
    <mergeCell ref="AC7:AG7"/>
  </mergeCells>
  <pageMargins left="0.39370078740157483" right="0.39370078740157483" top="0.39370078740157483" bottom="0.39370078740157483" header="0.19685039370078741" footer="0.19685039370078741"/>
  <pageSetup paperSize="8" scale="56" fitToHeight="0" orientation="landscape" r:id="rId1"/>
  <headerFooter>
    <oddFooter>&amp;C&amp;F&amp;R&amp;A</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Input Documents --&gt;</vt:lpstr>
      <vt:lpstr>Input Sheet</vt:lpstr>
      <vt:lpstr>Standard Hour Calcs</vt:lpstr>
      <vt:lpstr>Methodology Statements --&gt;</vt:lpstr>
      <vt:lpstr>AER Summary</vt:lpstr>
      <vt:lpstr>Service Description</vt:lpstr>
      <vt:lpstr>Fee Breakdown</vt:lpstr>
      <vt:lpstr>'AER Summary'!Print_Area</vt:lpstr>
      <vt:lpstr>'Fee Breakdown'!Print_Area</vt:lpstr>
      <vt:lpstr>'Standard Hour Calcs'!Print_Titles</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2014-04-30T00:35:25Z</cp:lastPrinted>
  <dcterms:created xsi:type="dcterms:W3CDTF">2013-06-17T01:25:32Z</dcterms:created>
  <dcterms:modified xsi:type="dcterms:W3CDTF">2015-01-05T00:22:04Z</dcterms:modified>
</cp:coreProperties>
</file>