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firstSheet="1" activeTab="4"/>
  </bookViews>
  <sheets>
    <sheet name="Input Documents --&gt;" sheetId="16" r:id="rId1"/>
    <sheet name="Input Sheet" sheetId="13" r:id="rId2"/>
    <sheet name="Standard Hour Calcs" sheetId="12" r:id="rId3"/>
    <sheet name="Methodology Statements --&gt;" sheetId="15" r:id="rId4"/>
    <sheet name="AER Summary" sheetId="8" r:id="rId5"/>
    <sheet name="Service Description" sheetId="9" r:id="rId6"/>
    <sheet name="Fee Breakdown" sheetId="11" r:id="rId7"/>
  </sheets>
  <definedNames>
    <definedName name="_xlnm.Print_Area" localSheetId="4">'AER Summary'!$A:$I</definedName>
    <definedName name="_xlnm.Print_Area" localSheetId="6">'Fee Breakdown'!$A$1:$AG$56</definedName>
    <definedName name="_xlnm.Print_Titles" localSheetId="2">'Standard Hour Calcs'!$9:$9</definedName>
    <definedName name="TM1REBUILDOPTION">1</definedName>
  </definedNames>
  <calcPr calcId="145621" calcMode="manual" concurrentCalc="0"/>
</workbook>
</file>

<file path=xl/calcChain.xml><?xml version="1.0" encoding="utf-8"?>
<calcChain xmlns="http://schemas.openxmlformats.org/spreadsheetml/2006/main">
  <c r="K117" i="13" l="1"/>
  <c r="K98" i="13"/>
  <c r="T45" i="11"/>
  <c r="K108" i="13"/>
  <c r="Z45" i="11"/>
  <c r="AF45" i="11"/>
  <c r="T46" i="11"/>
  <c r="Z46" i="11"/>
  <c r="AF46" i="11"/>
  <c r="T47" i="11"/>
  <c r="Z47" i="11"/>
  <c r="AF47" i="11"/>
  <c r="T48" i="11"/>
  <c r="Z48" i="11"/>
  <c r="AF48" i="11"/>
  <c r="T49" i="11"/>
  <c r="Z49" i="11"/>
  <c r="AF49" i="11"/>
  <c r="T50" i="11"/>
  <c r="Z50" i="11"/>
  <c r="AF50" i="11"/>
  <c r="AF51" i="11"/>
  <c r="T36" i="11"/>
  <c r="Z36" i="11"/>
  <c r="AF36" i="11"/>
  <c r="T37" i="11"/>
  <c r="Z37" i="11"/>
  <c r="AF37" i="11"/>
  <c r="T38" i="11"/>
  <c r="Z38" i="11"/>
  <c r="AF38" i="11"/>
  <c r="T39" i="11"/>
  <c r="Z39" i="11"/>
  <c r="AF39" i="11"/>
  <c r="T40" i="11"/>
  <c r="Z40" i="11"/>
  <c r="AF40" i="11"/>
  <c r="T41" i="11"/>
  <c r="Z41" i="11"/>
  <c r="AF41" i="11"/>
  <c r="AF42" i="11"/>
  <c r="AF53" i="11"/>
  <c r="J117" i="13"/>
  <c r="J98" i="13"/>
  <c r="S45" i="11"/>
  <c r="J108" i="13"/>
  <c r="Y45" i="11"/>
  <c r="AE45" i="11"/>
  <c r="S46" i="11"/>
  <c r="Y46" i="11"/>
  <c r="AE46" i="11"/>
  <c r="S47" i="11"/>
  <c r="Y47" i="11"/>
  <c r="AE47" i="11"/>
  <c r="S48" i="11"/>
  <c r="Y48" i="11"/>
  <c r="AE48" i="11"/>
  <c r="S49" i="11"/>
  <c r="Y49" i="11"/>
  <c r="AE49" i="11"/>
  <c r="S50" i="11"/>
  <c r="Y50" i="11"/>
  <c r="AE50" i="11"/>
  <c r="AE51" i="11"/>
  <c r="S36" i="11"/>
  <c r="Y36" i="11"/>
  <c r="AE36" i="11"/>
  <c r="S37" i="11"/>
  <c r="Y37" i="11"/>
  <c r="AE37" i="11"/>
  <c r="S38" i="11"/>
  <c r="Y38" i="11"/>
  <c r="AE38" i="11"/>
  <c r="S39" i="11"/>
  <c r="Y39" i="11"/>
  <c r="AE39" i="11"/>
  <c r="S40" i="11"/>
  <c r="Y40" i="11"/>
  <c r="AE40" i="11"/>
  <c r="S41" i="11"/>
  <c r="Y41" i="11"/>
  <c r="AE41" i="11"/>
  <c r="AE42" i="11"/>
  <c r="AE53" i="11"/>
  <c r="I117" i="13"/>
  <c r="I98" i="13"/>
  <c r="R45" i="11"/>
  <c r="I108" i="13"/>
  <c r="X45" i="11"/>
  <c r="AD45" i="11"/>
  <c r="R46" i="11"/>
  <c r="X46" i="11"/>
  <c r="AD46" i="11"/>
  <c r="R47" i="11"/>
  <c r="X47" i="11"/>
  <c r="AD47" i="11"/>
  <c r="R48" i="11"/>
  <c r="X48" i="11"/>
  <c r="AD48" i="11"/>
  <c r="R49" i="11"/>
  <c r="X49" i="11"/>
  <c r="AD49" i="11"/>
  <c r="R50" i="11"/>
  <c r="X50" i="11"/>
  <c r="AD50" i="11"/>
  <c r="AD51" i="11"/>
  <c r="R36" i="11"/>
  <c r="X36" i="11"/>
  <c r="AD36" i="11"/>
  <c r="R37" i="11"/>
  <c r="X37" i="11"/>
  <c r="AD37" i="11"/>
  <c r="R38" i="11"/>
  <c r="X38" i="11"/>
  <c r="AD38" i="11"/>
  <c r="R39" i="11"/>
  <c r="X39" i="11"/>
  <c r="AD39" i="11"/>
  <c r="R40" i="11"/>
  <c r="X40" i="11"/>
  <c r="AD40" i="11"/>
  <c r="R41" i="11"/>
  <c r="X41" i="11"/>
  <c r="AD41" i="11"/>
  <c r="AD42" i="11"/>
  <c r="AD53" i="11"/>
  <c r="H117" i="13"/>
  <c r="H98" i="13"/>
  <c r="Q45" i="11"/>
  <c r="H108" i="13"/>
  <c r="W45" i="11"/>
  <c r="AC45" i="11"/>
  <c r="Q46" i="11"/>
  <c r="W46" i="11"/>
  <c r="AC46" i="11"/>
  <c r="Q47" i="11"/>
  <c r="W47" i="11"/>
  <c r="AC47" i="11"/>
  <c r="Q48" i="11"/>
  <c r="W48" i="11"/>
  <c r="AC48" i="11"/>
  <c r="Q49" i="11"/>
  <c r="W49" i="11"/>
  <c r="AC49" i="11"/>
  <c r="Q50" i="11"/>
  <c r="W50" i="11"/>
  <c r="AC50" i="11"/>
  <c r="AC51" i="11"/>
  <c r="Q36" i="11"/>
  <c r="W36" i="11"/>
  <c r="AC36" i="11"/>
  <c r="Q37" i="11"/>
  <c r="W37" i="11"/>
  <c r="AC37" i="11"/>
  <c r="Q38" i="11"/>
  <c r="W38" i="11"/>
  <c r="AC38" i="11"/>
  <c r="Q39" i="11"/>
  <c r="W39" i="11"/>
  <c r="AC39" i="11"/>
  <c r="Q40" i="11"/>
  <c r="W40" i="11"/>
  <c r="AC40" i="11"/>
  <c r="Q41" i="11"/>
  <c r="W41" i="11"/>
  <c r="AC41" i="11"/>
  <c r="AC42" i="11"/>
  <c r="AC53" i="11"/>
  <c r="G117" i="13"/>
  <c r="G98" i="13"/>
  <c r="P45" i="11"/>
  <c r="G108" i="13"/>
  <c r="V45" i="11"/>
  <c r="AB45" i="11"/>
  <c r="P46" i="11"/>
  <c r="V46" i="11"/>
  <c r="AB46" i="11"/>
  <c r="P47" i="11"/>
  <c r="V47" i="11"/>
  <c r="AB47" i="11"/>
  <c r="P48" i="11"/>
  <c r="V48" i="11"/>
  <c r="AB48" i="11"/>
  <c r="P49" i="11"/>
  <c r="V49" i="11"/>
  <c r="AB49" i="11"/>
  <c r="P50" i="11"/>
  <c r="V50" i="11"/>
  <c r="AB50" i="11"/>
  <c r="AB51" i="11"/>
  <c r="P36" i="11"/>
  <c r="V36" i="11"/>
  <c r="AB36" i="11"/>
  <c r="P37" i="11"/>
  <c r="V37" i="11"/>
  <c r="AB37" i="11"/>
  <c r="P38" i="11"/>
  <c r="V38" i="11"/>
  <c r="AB38" i="11"/>
  <c r="P39" i="11"/>
  <c r="V39" i="11"/>
  <c r="AB39" i="11"/>
  <c r="P40" i="11"/>
  <c r="V40" i="11"/>
  <c r="AB40" i="11"/>
  <c r="P41" i="11"/>
  <c r="V41" i="11"/>
  <c r="AB41" i="11"/>
  <c r="AB42" i="11"/>
  <c r="AB53" i="11"/>
  <c r="Z51" i="11"/>
  <c r="Z42" i="11"/>
  <c r="Z53" i="11"/>
  <c r="Y51" i="11"/>
  <c r="Y42" i="11"/>
  <c r="Y53" i="11"/>
  <c r="X51" i="11"/>
  <c r="X42" i="11"/>
  <c r="X53" i="11"/>
  <c r="W51" i="11"/>
  <c r="W42" i="11"/>
  <c r="W53" i="11"/>
  <c r="V51" i="11"/>
  <c r="V42" i="11"/>
  <c r="V53" i="11"/>
  <c r="T51" i="11"/>
  <c r="T42" i="11"/>
  <c r="T53" i="11"/>
  <c r="S51" i="11"/>
  <c r="S42" i="11"/>
  <c r="S53" i="11"/>
  <c r="R51" i="11"/>
  <c r="R42" i="11"/>
  <c r="R53" i="11"/>
  <c r="Q51" i="11"/>
  <c r="Q42" i="11"/>
  <c r="Q53" i="11"/>
  <c r="P51" i="11"/>
  <c r="P42" i="11"/>
  <c r="P53" i="11"/>
  <c r="D25" i="12"/>
  <c r="E25" i="12"/>
  <c r="I25" i="12"/>
  <c r="N25" i="12"/>
  <c r="K19" i="13"/>
  <c r="H19" i="13"/>
  <c r="D21" i="12"/>
  <c r="I21" i="12"/>
  <c r="N21" i="12"/>
  <c r="K20" i="13"/>
  <c r="H20" i="13"/>
  <c r="D22" i="12"/>
  <c r="I22" i="12"/>
  <c r="N22" i="12"/>
  <c r="K21" i="13"/>
  <c r="H21" i="13"/>
  <c r="D23" i="12"/>
  <c r="I23" i="12"/>
  <c r="N23" i="12"/>
  <c r="D24" i="12"/>
  <c r="E24" i="12"/>
  <c r="I24" i="12"/>
  <c r="N24" i="12"/>
  <c r="D26" i="12"/>
  <c r="E26" i="12"/>
  <c r="I26" i="12"/>
  <c r="N26" i="12"/>
  <c r="N27" i="12"/>
  <c r="K11" i="13"/>
  <c r="H11" i="13"/>
  <c r="D12" i="12"/>
  <c r="I12" i="12"/>
  <c r="N12" i="12"/>
  <c r="K12" i="13"/>
  <c r="H12" i="13"/>
  <c r="D13" i="12"/>
  <c r="I13" i="12"/>
  <c r="N13" i="12"/>
  <c r="K13" i="13"/>
  <c r="H13" i="13"/>
  <c r="D14" i="12"/>
  <c r="I14" i="12"/>
  <c r="N14" i="12"/>
  <c r="D15" i="12"/>
  <c r="E15" i="12"/>
  <c r="I15" i="12"/>
  <c r="N15" i="12"/>
  <c r="D16" i="12"/>
  <c r="E16" i="12"/>
  <c r="I16" i="12"/>
  <c r="N16" i="12"/>
  <c r="D17" i="12"/>
  <c r="E17" i="12"/>
  <c r="I17" i="12"/>
  <c r="N17" i="12"/>
  <c r="N18" i="12"/>
  <c r="N29" i="12"/>
  <c r="H77" i="13"/>
  <c r="S25" i="12"/>
  <c r="J25" i="12"/>
  <c r="O25" i="12"/>
  <c r="J21" i="12"/>
  <c r="O21" i="12"/>
  <c r="J22" i="12"/>
  <c r="O22" i="12"/>
  <c r="J23" i="12"/>
  <c r="O23" i="12"/>
  <c r="J24" i="12"/>
  <c r="O24" i="12"/>
  <c r="J26" i="12"/>
  <c r="O26" i="12"/>
  <c r="O27" i="12"/>
  <c r="J12" i="12"/>
  <c r="O12" i="12"/>
  <c r="J13" i="12"/>
  <c r="O13" i="12"/>
  <c r="J14" i="12"/>
  <c r="O14" i="12"/>
  <c r="J15" i="12"/>
  <c r="O15" i="12"/>
  <c r="J16" i="12"/>
  <c r="O16" i="12"/>
  <c r="J17" i="12"/>
  <c r="O17" i="12"/>
  <c r="O18" i="12"/>
  <c r="O29" i="12"/>
  <c r="I77" i="13"/>
  <c r="T25" i="12"/>
  <c r="K25" i="12"/>
  <c r="P25" i="12"/>
  <c r="K21" i="12"/>
  <c r="P21" i="12"/>
  <c r="K22" i="12"/>
  <c r="P22" i="12"/>
  <c r="K23" i="12"/>
  <c r="P23" i="12"/>
  <c r="K24" i="12"/>
  <c r="P24" i="12"/>
  <c r="K26" i="12"/>
  <c r="P26" i="12"/>
  <c r="P27" i="12"/>
  <c r="K12" i="12"/>
  <c r="P12" i="12"/>
  <c r="K13" i="12"/>
  <c r="P13" i="12"/>
  <c r="K14" i="12"/>
  <c r="P14" i="12"/>
  <c r="K15" i="12"/>
  <c r="P15" i="12"/>
  <c r="K16" i="12"/>
  <c r="P16" i="12"/>
  <c r="K17" i="12"/>
  <c r="P17" i="12"/>
  <c r="P18" i="12"/>
  <c r="P29" i="12"/>
  <c r="J77" i="13"/>
  <c r="U25" i="12"/>
  <c r="V25" i="12"/>
  <c r="L25" i="12"/>
  <c r="X25" i="12"/>
  <c r="Y25" i="12"/>
  <c r="N49" i="11"/>
  <c r="S26" i="12"/>
  <c r="T26" i="12"/>
  <c r="U26" i="12"/>
  <c r="V26" i="12"/>
  <c r="L26" i="12"/>
  <c r="X26" i="12"/>
  <c r="Y26" i="12"/>
  <c r="N50" i="11"/>
  <c r="S24" i="12"/>
  <c r="T24" i="12"/>
  <c r="U24" i="12"/>
  <c r="V24" i="12"/>
  <c r="L24" i="12"/>
  <c r="X24" i="12"/>
  <c r="Y24" i="12"/>
  <c r="N48" i="11"/>
  <c r="S16" i="12"/>
  <c r="T16" i="12"/>
  <c r="U16" i="12"/>
  <c r="V16" i="12"/>
  <c r="L16" i="12"/>
  <c r="X16" i="12"/>
  <c r="Y16" i="12"/>
  <c r="N40" i="11"/>
  <c r="S17" i="12"/>
  <c r="T17" i="12"/>
  <c r="U17" i="12"/>
  <c r="V17" i="12"/>
  <c r="L17" i="12"/>
  <c r="X17" i="12"/>
  <c r="Y17" i="12"/>
  <c r="N41" i="11"/>
  <c r="S15" i="12"/>
  <c r="T15" i="12"/>
  <c r="U15" i="12"/>
  <c r="V15" i="12"/>
  <c r="L15" i="12"/>
  <c r="X15" i="12"/>
  <c r="Y15" i="12"/>
  <c r="N39" i="11"/>
  <c r="S22" i="12"/>
  <c r="T22" i="12"/>
  <c r="U22" i="12"/>
  <c r="V22" i="12"/>
  <c r="L22" i="12"/>
  <c r="X22" i="12"/>
  <c r="Y22" i="12"/>
  <c r="Z22" i="12"/>
  <c r="N21" i="11"/>
  <c r="S23" i="12"/>
  <c r="T23" i="12"/>
  <c r="U23" i="12"/>
  <c r="V23" i="12"/>
  <c r="L23" i="12"/>
  <c r="X23" i="12"/>
  <c r="Y23" i="12"/>
  <c r="Z23" i="12"/>
  <c r="N22" i="11"/>
  <c r="Z24" i="12"/>
  <c r="N23" i="11"/>
  <c r="Z25" i="12"/>
  <c r="N24" i="11"/>
  <c r="Z26" i="12"/>
  <c r="N25" i="11"/>
  <c r="S21" i="12"/>
  <c r="T21" i="12"/>
  <c r="U21" i="12"/>
  <c r="V21" i="12"/>
  <c r="L21" i="12"/>
  <c r="X21" i="12"/>
  <c r="Y21" i="12"/>
  <c r="Z21" i="12"/>
  <c r="N20" i="11"/>
  <c r="S13" i="12"/>
  <c r="T13" i="12"/>
  <c r="U13" i="12"/>
  <c r="V13" i="12"/>
  <c r="L13" i="12"/>
  <c r="X13" i="12"/>
  <c r="Y13" i="12"/>
  <c r="Z13" i="12"/>
  <c r="N12" i="11"/>
  <c r="S14" i="12"/>
  <c r="T14" i="12"/>
  <c r="U14" i="12"/>
  <c r="V14" i="12"/>
  <c r="L14" i="12"/>
  <c r="X14" i="12"/>
  <c r="Y14" i="12"/>
  <c r="Z14" i="12"/>
  <c r="N13" i="11"/>
  <c r="Z15" i="12"/>
  <c r="N14" i="11"/>
  <c r="Z16" i="12"/>
  <c r="N15" i="11"/>
  <c r="Z17" i="12"/>
  <c r="N16" i="11"/>
  <c r="S12" i="12"/>
  <c r="T12" i="12"/>
  <c r="U12" i="12"/>
  <c r="V12" i="12"/>
  <c r="L12" i="12"/>
  <c r="X12" i="12"/>
  <c r="Y12" i="12"/>
  <c r="Z12" i="12"/>
  <c r="N11" i="11"/>
  <c r="K24" i="13"/>
  <c r="F25" i="11"/>
  <c r="E25" i="11"/>
  <c r="D25" i="11"/>
  <c r="C25" i="11"/>
  <c r="K23" i="13"/>
  <c r="F24" i="11"/>
  <c r="E24" i="11"/>
  <c r="D24" i="11"/>
  <c r="C24" i="11"/>
  <c r="K22" i="13"/>
  <c r="F23" i="11"/>
  <c r="E23" i="11"/>
  <c r="D23" i="11"/>
  <c r="C23" i="11"/>
  <c r="F22" i="11"/>
  <c r="E22" i="11"/>
  <c r="D22" i="11"/>
  <c r="C22" i="11"/>
  <c r="F21" i="11"/>
  <c r="E21" i="11"/>
  <c r="D21" i="11"/>
  <c r="C21" i="11"/>
  <c r="F20" i="11"/>
  <c r="E20" i="11"/>
  <c r="D20" i="11"/>
  <c r="C20" i="11"/>
  <c r="K16" i="13"/>
  <c r="F16" i="11"/>
  <c r="E16" i="11"/>
  <c r="D16" i="11"/>
  <c r="C16" i="11"/>
  <c r="K15" i="13"/>
  <c r="F15" i="11"/>
  <c r="E15" i="11"/>
  <c r="D15" i="11"/>
  <c r="C15" i="11"/>
  <c r="K14" i="13"/>
  <c r="F14" i="11"/>
  <c r="E14" i="11"/>
  <c r="D14" i="11"/>
  <c r="C14" i="11"/>
  <c r="F13" i="11"/>
  <c r="E13" i="11"/>
  <c r="D13" i="11"/>
  <c r="C13" i="11"/>
  <c r="F12" i="11"/>
  <c r="E12" i="11"/>
  <c r="D12" i="11"/>
  <c r="C12" i="11"/>
  <c r="F11" i="11"/>
  <c r="E11" i="11"/>
  <c r="D11" i="11"/>
  <c r="C11" i="11"/>
  <c r="K110" i="13"/>
  <c r="J90" i="13"/>
  <c r="H39" i="13"/>
  <c r="H82" i="13"/>
  <c r="H83" i="13"/>
  <c r="H84" i="13"/>
  <c r="H85" i="13"/>
  <c r="I85" i="13"/>
  <c r="H86" i="13"/>
  <c r="I39" i="13"/>
  <c r="I82" i="13"/>
  <c r="I83" i="13"/>
  <c r="I84" i="13"/>
  <c r="I86" i="13"/>
  <c r="J39" i="13"/>
  <c r="J82" i="13"/>
  <c r="J83" i="13"/>
  <c r="J84" i="13"/>
  <c r="J86" i="13"/>
  <c r="J88" i="13"/>
  <c r="J92" i="13"/>
  <c r="G99" i="13"/>
  <c r="H20" i="11"/>
  <c r="P20" i="11"/>
  <c r="C45" i="11"/>
  <c r="D45" i="11"/>
  <c r="E45" i="11"/>
  <c r="F45" i="11"/>
  <c r="H45" i="11"/>
  <c r="AB20" i="11"/>
  <c r="H21" i="11"/>
  <c r="P21" i="11"/>
  <c r="C46" i="11"/>
  <c r="D46" i="11"/>
  <c r="E46" i="11"/>
  <c r="F46" i="11"/>
  <c r="H46" i="11"/>
  <c r="AB21" i="11"/>
  <c r="H22" i="11"/>
  <c r="P22" i="11"/>
  <c r="C47" i="11"/>
  <c r="D47" i="11"/>
  <c r="E47" i="11"/>
  <c r="F47" i="11"/>
  <c r="H47" i="11"/>
  <c r="AB22" i="11"/>
  <c r="H23" i="11"/>
  <c r="P23" i="11"/>
  <c r="C48" i="11"/>
  <c r="D48" i="11"/>
  <c r="E48" i="11"/>
  <c r="F48" i="11"/>
  <c r="H48" i="11"/>
  <c r="AB23" i="11"/>
  <c r="H24" i="11"/>
  <c r="P24" i="11"/>
  <c r="C49" i="11"/>
  <c r="D49" i="11"/>
  <c r="E49" i="11"/>
  <c r="F49" i="11"/>
  <c r="H49" i="11"/>
  <c r="AB24" i="11"/>
  <c r="H25" i="11"/>
  <c r="P25" i="11"/>
  <c r="C50" i="11"/>
  <c r="D50" i="11"/>
  <c r="E50" i="11"/>
  <c r="F50" i="11"/>
  <c r="H50" i="11"/>
  <c r="AB25" i="11"/>
  <c r="AB26" i="11"/>
  <c r="H11" i="11"/>
  <c r="P11" i="11"/>
  <c r="C36" i="11"/>
  <c r="D36" i="11"/>
  <c r="E36" i="11"/>
  <c r="F36" i="11"/>
  <c r="H36" i="11"/>
  <c r="AB11" i="11"/>
  <c r="H12" i="11"/>
  <c r="P12" i="11"/>
  <c r="C37" i="11"/>
  <c r="D37" i="11"/>
  <c r="E37" i="11"/>
  <c r="F37" i="11"/>
  <c r="H37" i="11"/>
  <c r="AB12" i="11"/>
  <c r="H13" i="11"/>
  <c r="P13" i="11"/>
  <c r="C38" i="11"/>
  <c r="D38" i="11"/>
  <c r="E38" i="11"/>
  <c r="F38" i="11"/>
  <c r="H38" i="11"/>
  <c r="AB13" i="11"/>
  <c r="H14" i="11"/>
  <c r="P14" i="11"/>
  <c r="C39" i="11"/>
  <c r="D39" i="11"/>
  <c r="E39" i="11"/>
  <c r="F39" i="11"/>
  <c r="H39" i="11"/>
  <c r="AB14" i="11"/>
  <c r="H15" i="11"/>
  <c r="P15" i="11"/>
  <c r="C40" i="11"/>
  <c r="D40" i="11"/>
  <c r="E40" i="11"/>
  <c r="F40" i="11"/>
  <c r="H40" i="11"/>
  <c r="AB15" i="11"/>
  <c r="H16" i="11"/>
  <c r="P16" i="11"/>
  <c r="C41" i="11"/>
  <c r="D41" i="11"/>
  <c r="E41" i="11"/>
  <c r="F41" i="11"/>
  <c r="H41" i="11"/>
  <c r="AB16" i="11"/>
  <c r="AB17" i="11"/>
  <c r="AB28" i="11"/>
  <c r="C34" i="8"/>
  <c r="H99" i="13"/>
  <c r="I20" i="11"/>
  <c r="Q20" i="11"/>
  <c r="I45" i="11"/>
  <c r="AC20" i="11"/>
  <c r="I21" i="11"/>
  <c r="Q21" i="11"/>
  <c r="I46" i="11"/>
  <c r="AC21" i="11"/>
  <c r="I22" i="11"/>
  <c r="Q22" i="11"/>
  <c r="I47" i="11"/>
  <c r="AC22" i="11"/>
  <c r="I23" i="11"/>
  <c r="Q23" i="11"/>
  <c r="I48" i="11"/>
  <c r="AC23" i="11"/>
  <c r="I24" i="11"/>
  <c r="Q24" i="11"/>
  <c r="I49" i="11"/>
  <c r="AC24" i="11"/>
  <c r="I25" i="11"/>
  <c r="Q25" i="11"/>
  <c r="I50" i="11"/>
  <c r="AC25" i="11"/>
  <c r="AC26" i="11"/>
  <c r="I11" i="11"/>
  <c r="Q11" i="11"/>
  <c r="I36" i="11"/>
  <c r="AC11" i="11"/>
  <c r="I12" i="11"/>
  <c r="Q12" i="11"/>
  <c r="I37" i="11"/>
  <c r="AC12" i="11"/>
  <c r="I13" i="11"/>
  <c r="Q13" i="11"/>
  <c r="I38" i="11"/>
  <c r="AC13" i="11"/>
  <c r="I14" i="11"/>
  <c r="Q14" i="11"/>
  <c r="I39" i="11"/>
  <c r="AC14" i="11"/>
  <c r="I15" i="11"/>
  <c r="Q15" i="11"/>
  <c r="I40" i="11"/>
  <c r="AC15" i="11"/>
  <c r="I16" i="11"/>
  <c r="Q16" i="11"/>
  <c r="I41" i="11"/>
  <c r="AC16" i="11"/>
  <c r="AC17" i="11"/>
  <c r="AC28" i="11"/>
  <c r="D34" i="8"/>
  <c r="I99" i="13"/>
  <c r="J20" i="11"/>
  <c r="R20" i="11"/>
  <c r="J45" i="11"/>
  <c r="AD20" i="11"/>
  <c r="J21" i="11"/>
  <c r="R21" i="11"/>
  <c r="J46" i="11"/>
  <c r="AD21" i="11"/>
  <c r="J22" i="11"/>
  <c r="R22" i="11"/>
  <c r="J47" i="11"/>
  <c r="AD22" i="11"/>
  <c r="J23" i="11"/>
  <c r="R23" i="11"/>
  <c r="J48" i="11"/>
  <c r="AD23" i="11"/>
  <c r="J24" i="11"/>
  <c r="R24" i="11"/>
  <c r="J49" i="11"/>
  <c r="AD24" i="11"/>
  <c r="J25" i="11"/>
  <c r="R25" i="11"/>
  <c r="J50" i="11"/>
  <c r="AD25" i="11"/>
  <c r="AD26" i="11"/>
  <c r="J11" i="11"/>
  <c r="R11" i="11"/>
  <c r="J36" i="11"/>
  <c r="AD11" i="11"/>
  <c r="J12" i="11"/>
  <c r="R12" i="11"/>
  <c r="J37" i="11"/>
  <c r="AD12" i="11"/>
  <c r="J13" i="11"/>
  <c r="R13" i="11"/>
  <c r="J38" i="11"/>
  <c r="AD13" i="11"/>
  <c r="J14" i="11"/>
  <c r="R14" i="11"/>
  <c r="J39" i="11"/>
  <c r="AD14" i="11"/>
  <c r="J15" i="11"/>
  <c r="R15" i="11"/>
  <c r="J40" i="11"/>
  <c r="AD15" i="11"/>
  <c r="J16" i="11"/>
  <c r="R16" i="11"/>
  <c r="J41" i="11"/>
  <c r="AD16" i="11"/>
  <c r="AD17" i="11"/>
  <c r="AD28" i="11"/>
  <c r="E34" i="8"/>
  <c r="J99" i="13"/>
  <c r="K20" i="11"/>
  <c r="S20" i="11"/>
  <c r="K45" i="11"/>
  <c r="AE20" i="11"/>
  <c r="K21" i="11"/>
  <c r="S21" i="11"/>
  <c r="K46" i="11"/>
  <c r="AE21" i="11"/>
  <c r="K22" i="11"/>
  <c r="S22" i="11"/>
  <c r="K47" i="11"/>
  <c r="AE22" i="11"/>
  <c r="K23" i="11"/>
  <c r="S23" i="11"/>
  <c r="K48" i="11"/>
  <c r="AE23" i="11"/>
  <c r="K24" i="11"/>
  <c r="S24" i="11"/>
  <c r="K49" i="11"/>
  <c r="AE24" i="11"/>
  <c r="K25" i="11"/>
  <c r="S25" i="11"/>
  <c r="K50" i="11"/>
  <c r="AE25" i="11"/>
  <c r="AE26" i="11"/>
  <c r="K11" i="11"/>
  <c r="S11" i="11"/>
  <c r="K36" i="11"/>
  <c r="AE11" i="11"/>
  <c r="K12" i="11"/>
  <c r="S12" i="11"/>
  <c r="K37" i="11"/>
  <c r="AE12" i="11"/>
  <c r="K13" i="11"/>
  <c r="S13" i="11"/>
  <c r="K38" i="11"/>
  <c r="AE13" i="11"/>
  <c r="K14" i="11"/>
  <c r="S14" i="11"/>
  <c r="K39" i="11"/>
  <c r="AE14" i="11"/>
  <c r="K15" i="11"/>
  <c r="S15" i="11"/>
  <c r="K40" i="11"/>
  <c r="AE15" i="11"/>
  <c r="K16" i="11"/>
  <c r="S16" i="11"/>
  <c r="K41" i="11"/>
  <c r="AE16" i="11"/>
  <c r="AE17" i="11"/>
  <c r="AE28" i="11"/>
  <c r="F34" i="8"/>
  <c r="K99" i="13"/>
  <c r="L20" i="11"/>
  <c r="T20" i="11"/>
  <c r="L45" i="11"/>
  <c r="AF20" i="11"/>
  <c r="L21" i="11"/>
  <c r="T21" i="11"/>
  <c r="L46" i="11"/>
  <c r="AF21" i="11"/>
  <c r="L22" i="11"/>
  <c r="T22" i="11"/>
  <c r="L47" i="11"/>
  <c r="AF22" i="11"/>
  <c r="L23" i="11"/>
  <c r="T23" i="11"/>
  <c r="L48" i="11"/>
  <c r="AF23" i="11"/>
  <c r="L24" i="11"/>
  <c r="T24" i="11"/>
  <c r="L49" i="11"/>
  <c r="AF24" i="11"/>
  <c r="L25" i="11"/>
  <c r="T25" i="11"/>
  <c r="L50" i="11"/>
  <c r="AF25" i="11"/>
  <c r="AF26" i="11"/>
  <c r="L11" i="11"/>
  <c r="T11" i="11"/>
  <c r="L36" i="11"/>
  <c r="AF11" i="11"/>
  <c r="L12" i="11"/>
  <c r="T12" i="11"/>
  <c r="L37" i="11"/>
  <c r="AF12" i="11"/>
  <c r="L13" i="11"/>
  <c r="T13" i="11"/>
  <c r="L38" i="11"/>
  <c r="AF13" i="11"/>
  <c r="L14" i="11"/>
  <c r="T14" i="11"/>
  <c r="L39" i="11"/>
  <c r="AF14" i="11"/>
  <c r="L15" i="11"/>
  <c r="T15" i="11"/>
  <c r="L40" i="11"/>
  <c r="AF15" i="11"/>
  <c r="L16" i="11"/>
  <c r="T16" i="11"/>
  <c r="L41" i="11"/>
  <c r="AF16" i="11"/>
  <c r="AF17" i="11"/>
  <c r="AF28" i="11"/>
  <c r="G34" i="8"/>
  <c r="H34" i="8"/>
  <c r="G26" i="12"/>
  <c r="F26" i="12"/>
  <c r="C26" i="12"/>
  <c r="G25" i="12"/>
  <c r="F25" i="12"/>
  <c r="C25" i="12"/>
  <c r="G24" i="12"/>
  <c r="F24" i="12"/>
  <c r="C24" i="12"/>
  <c r="G23" i="12"/>
  <c r="F23" i="12"/>
  <c r="C23" i="12"/>
  <c r="G22" i="12"/>
  <c r="F22" i="12"/>
  <c r="C22" i="12"/>
  <c r="G21" i="12"/>
  <c r="F21" i="12"/>
  <c r="C21" i="12"/>
  <c r="G17" i="12"/>
  <c r="F17" i="12"/>
  <c r="C17" i="12"/>
  <c r="G16" i="12"/>
  <c r="F16" i="12"/>
  <c r="C16" i="12"/>
  <c r="G15" i="12"/>
  <c r="F15" i="12"/>
  <c r="C15" i="12"/>
  <c r="G14" i="12"/>
  <c r="F14" i="12"/>
  <c r="C14" i="12"/>
  <c r="G13" i="12"/>
  <c r="F13" i="12"/>
  <c r="C13" i="12"/>
  <c r="G12" i="12"/>
  <c r="F12" i="12"/>
  <c r="C12" i="12"/>
  <c r="F98" i="13"/>
  <c r="G27" i="8"/>
  <c r="F27" i="8"/>
  <c r="E27" i="8"/>
  <c r="U27" i="12"/>
  <c r="U18" i="12"/>
  <c r="U29" i="12"/>
  <c r="T27" i="12"/>
  <c r="T18" i="12"/>
  <c r="T29" i="12"/>
  <c r="S27" i="12"/>
  <c r="S18" i="12"/>
  <c r="S29" i="12"/>
  <c r="L51" i="11"/>
  <c r="L42" i="11"/>
  <c r="L53" i="11"/>
  <c r="K51" i="11"/>
  <c r="K42" i="11"/>
  <c r="K53" i="11"/>
  <c r="J51" i="11"/>
  <c r="J42" i="11"/>
  <c r="J53" i="11"/>
  <c r="I51" i="11"/>
  <c r="I42" i="11"/>
  <c r="I53" i="11"/>
  <c r="H51" i="11"/>
  <c r="H42" i="11"/>
  <c r="H53" i="11"/>
  <c r="J61" i="13"/>
  <c r="J52" i="13"/>
  <c r="J63" i="13"/>
  <c r="I61" i="13"/>
  <c r="I52" i="13"/>
  <c r="I63" i="13"/>
  <c r="H61" i="13"/>
  <c r="H52" i="13"/>
  <c r="H63" i="13"/>
  <c r="G61" i="13"/>
  <c r="G52" i="13"/>
  <c r="G63" i="13"/>
  <c r="K119" i="13"/>
  <c r="B5" i="11"/>
  <c r="H8" i="8"/>
  <c r="G8" i="8"/>
  <c r="F8" i="8"/>
  <c r="E8" i="8"/>
  <c r="D8" i="8"/>
  <c r="G26" i="8"/>
  <c r="F26" i="8"/>
  <c r="E26" i="8"/>
  <c r="AA26" i="12"/>
  <c r="Q26" i="12"/>
  <c r="AA25" i="12"/>
  <c r="Q25" i="12"/>
  <c r="AA24" i="12"/>
  <c r="Q24" i="12"/>
  <c r="AA23" i="12"/>
  <c r="Q23" i="12"/>
  <c r="AA22" i="12"/>
  <c r="Q22" i="12"/>
  <c r="AA21" i="12"/>
  <c r="Q21" i="12"/>
  <c r="AA17" i="12"/>
  <c r="Q17" i="12"/>
  <c r="AA16" i="12"/>
  <c r="Q16" i="12"/>
  <c r="AA15" i="12"/>
  <c r="Q15" i="12"/>
  <c r="AA14" i="12"/>
  <c r="Q14" i="12"/>
  <c r="AA13" i="12"/>
  <c r="Q13" i="12"/>
  <c r="E28" i="8"/>
  <c r="F42" i="11"/>
  <c r="F51" i="11"/>
  <c r="F53" i="11"/>
  <c r="E51" i="11"/>
  <c r="E42" i="11"/>
  <c r="E53" i="11"/>
  <c r="D51" i="11"/>
  <c r="D42" i="11"/>
  <c r="D53" i="11"/>
  <c r="C42" i="11"/>
  <c r="C51" i="11"/>
  <c r="C53" i="11"/>
  <c r="AA27" i="12"/>
  <c r="AA12" i="12"/>
  <c r="AA18" i="12"/>
  <c r="AA29" i="12"/>
  <c r="V27" i="12"/>
  <c r="V18" i="12"/>
  <c r="V29" i="12"/>
  <c r="Q27" i="12"/>
  <c r="Q12" i="12"/>
  <c r="Q18" i="12"/>
  <c r="Q29" i="12"/>
  <c r="L27" i="12"/>
  <c r="L18" i="12"/>
  <c r="L29" i="12"/>
  <c r="K27" i="12"/>
  <c r="K18" i="12"/>
  <c r="K29" i="12"/>
  <c r="J27" i="12"/>
  <c r="J18" i="12"/>
  <c r="J29" i="12"/>
  <c r="I27" i="12"/>
  <c r="I18" i="12"/>
  <c r="I29" i="12"/>
  <c r="K61" i="13"/>
  <c r="K52" i="13"/>
  <c r="K63" i="13"/>
  <c r="U30" i="12"/>
  <c r="T30" i="12"/>
  <c r="S30" i="12"/>
  <c r="B3" i="12"/>
  <c r="B3" i="13"/>
  <c r="D40" i="8"/>
  <c r="E40" i="8"/>
  <c r="F40" i="8"/>
  <c r="G40" i="8"/>
  <c r="C40" i="8"/>
  <c r="D37" i="8"/>
  <c r="E37" i="8"/>
  <c r="F37" i="8"/>
  <c r="G37" i="8"/>
  <c r="C37" i="8"/>
  <c r="D36" i="8"/>
  <c r="E36" i="8"/>
  <c r="F36" i="8"/>
  <c r="G36" i="8"/>
  <c r="C36" i="8"/>
  <c r="F28" i="8"/>
  <c r="G28" i="8"/>
  <c r="H26" i="8"/>
  <c r="C3" i="11"/>
  <c r="K101" i="13"/>
  <c r="J101" i="13"/>
  <c r="I101" i="13"/>
  <c r="H101" i="13"/>
  <c r="H36" i="8"/>
  <c r="H37" i="8"/>
  <c r="H38" i="8"/>
  <c r="G38" i="8"/>
  <c r="F38" i="8"/>
  <c r="E38" i="8"/>
  <c r="D38" i="8"/>
  <c r="C38" i="8"/>
  <c r="C46" i="8"/>
  <c r="D46" i="8"/>
  <c r="E46" i="8"/>
  <c r="F46" i="8"/>
  <c r="G46" i="8"/>
  <c r="H46" i="8"/>
  <c r="H28" i="8"/>
  <c r="H27" i="8"/>
  <c r="H40" i="8"/>
  <c r="J85" i="13"/>
  <c r="G77" i="13"/>
  <c r="G39" i="13"/>
  <c r="D3" i="9"/>
</calcChain>
</file>

<file path=xl/comments1.xml><?xml version="1.0" encoding="utf-8"?>
<comments xmlns="http://schemas.openxmlformats.org/spreadsheetml/2006/main">
  <authors>
    <author>Jacob Muscat</author>
  </authors>
  <commentList>
    <comment ref="F33" authorId="0">
      <text>
        <r>
          <rPr>
            <b/>
            <sz val="9"/>
            <color indexed="81"/>
            <rFont val="Tahoma"/>
            <family val="2"/>
          </rPr>
          <t>Jacob Muscat:</t>
        </r>
        <r>
          <rPr>
            <sz val="9"/>
            <color indexed="81"/>
            <rFont val="Tahoma"/>
            <family val="2"/>
          </rPr>
          <t xml:space="preserve">
This represents the YTD May extrapolated figures for 2012/13 as the full 2012/13 year was not available when the forecast was developed.</t>
        </r>
      </text>
    </comment>
  </commentList>
</comments>
</file>

<file path=xl/sharedStrings.xml><?xml version="1.0" encoding="utf-8"?>
<sst xmlns="http://schemas.openxmlformats.org/spreadsheetml/2006/main" count="376" uniqueCount="164">
  <si>
    <t>Service:</t>
  </si>
  <si>
    <t>Total</t>
  </si>
  <si>
    <t>Historical Revenue</t>
  </si>
  <si>
    <t>Description</t>
  </si>
  <si>
    <t>Volumes</t>
  </si>
  <si>
    <t>Source</t>
  </si>
  <si>
    <t>Current Fee</t>
  </si>
  <si>
    <t>AER Framework and Approach paper March 2013</t>
  </si>
  <si>
    <t>Standard Hours</t>
  </si>
  <si>
    <t>Hourly</t>
  </si>
  <si>
    <t>Fee Type</t>
  </si>
  <si>
    <t>Not available</t>
  </si>
  <si>
    <t>2009/10</t>
  </si>
  <si>
    <t>2010/11</t>
  </si>
  <si>
    <t>2011/12</t>
  </si>
  <si>
    <t>2012/13</t>
  </si>
  <si>
    <t>2013/14</t>
  </si>
  <si>
    <t>2014/15</t>
  </si>
  <si>
    <t>2015/16</t>
  </si>
  <si>
    <t>2016/17</t>
  </si>
  <si>
    <t>2017/18</t>
  </si>
  <si>
    <t>2018/19</t>
  </si>
  <si>
    <t>Average Hours per job</t>
  </si>
  <si>
    <t>Overhead Factor (Nominal)</t>
  </si>
  <si>
    <t>Average NOMINAL Overhead Factor for Regulatory Period</t>
  </si>
  <si>
    <t>Average Conversion Factor From Real to Nominal</t>
  </si>
  <si>
    <t>Direct Costs (Nominal)</t>
  </si>
  <si>
    <t>Work Order</t>
  </si>
  <si>
    <t>Indirect Costs (Nominal)</t>
  </si>
  <si>
    <t>Type</t>
  </si>
  <si>
    <t>2010/11 Volumes</t>
  </si>
  <si>
    <t>2011/12 Volumes</t>
  </si>
  <si>
    <t>2012/13 Volumes</t>
  </si>
  <si>
    <t>Standard Hours
2010/11</t>
  </si>
  <si>
    <t>Standard Hours
2011/12</t>
  </si>
  <si>
    <t>Standard Hours
2012/13</t>
  </si>
  <si>
    <t>Total Standard Hours</t>
  </si>
  <si>
    <t>Actual Hours 2010/11</t>
  </si>
  <si>
    <t>Actual Hours 2011/12</t>
  </si>
  <si>
    <t>Actual Hours 2012/13</t>
  </si>
  <si>
    <t>Actual Hours per job</t>
  </si>
  <si>
    <t>Revised Standard Hours per job (Rounded)</t>
  </si>
  <si>
    <t>Work Order Description</t>
  </si>
  <si>
    <t>Historical Work Order Costs</t>
  </si>
  <si>
    <t>Average Hourly Rate (Nominal)</t>
  </si>
  <si>
    <t>Assumed annual labour growth</t>
  </si>
  <si>
    <t>Total Hours</t>
  </si>
  <si>
    <t>Historical Volumes</t>
  </si>
  <si>
    <t>Labour Growth</t>
  </si>
  <si>
    <t>Total Operating Expenditure</t>
  </si>
  <si>
    <t>All unit rates have been calculated in real 12/13 dollars for comparison purposes. To estimate labour rates in real 12/13 dollars for prior years, the actual salary increases for award staff in those years has been used.</t>
  </si>
  <si>
    <t>Ancillary Network Services</t>
  </si>
  <si>
    <t>Data Input Work Sheet</t>
  </si>
  <si>
    <t>Hours were extracted from Ellipse work orders.</t>
  </si>
  <si>
    <t>This worksheet left blank intentionally</t>
  </si>
  <si>
    <t>Calculation of Overhead Factor</t>
  </si>
  <si>
    <t>Average Hourly Rate (Real 2012/13$)</t>
  </si>
  <si>
    <t>Overhead Factor</t>
  </si>
  <si>
    <t>Average Hourly Rate (2012/13$) - Incl OH</t>
  </si>
  <si>
    <t>Ancillary Network Services - Service Description</t>
  </si>
  <si>
    <t>Ancillary Network Services - Summary</t>
  </si>
  <si>
    <t>Ancillary Network Services - Fee Breakdown</t>
  </si>
  <si>
    <t>Fee
(Excluding GST)</t>
  </si>
  <si>
    <t>Hourly Rate
(Excluding GST)</t>
  </si>
  <si>
    <t>Historic Volumes</t>
  </si>
  <si>
    <t>Overheads</t>
  </si>
  <si>
    <t>Direct Operating Expenditure</t>
  </si>
  <si>
    <t>Hourly rate (excl overheads)</t>
  </si>
  <si>
    <t>Hourly rate (incl overheads)</t>
  </si>
  <si>
    <t>Framework &amp; Approach Service Description</t>
  </si>
  <si>
    <t>Network &amp; Corporate Overhead Factor</t>
  </si>
  <si>
    <t>Overhead Conversion Factor</t>
  </si>
  <si>
    <t>Average</t>
  </si>
  <si>
    <t>Total Costs</t>
  </si>
  <si>
    <t>Proposed Hourly Rates</t>
  </si>
  <si>
    <t>Fee
(Including GST)</t>
  </si>
  <si>
    <t>2012/13 YTD May Extrapolated</t>
  </si>
  <si>
    <t>Labour Growth Rates</t>
  </si>
  <si>
    <t>Average Hourly Rates - 2012/13 Dollars</t>
  </si>
  <si>
    <t>Average Hourly Rates - Forecast Nominal</t>
  </si>
  <si>
    <t>Growth</t>
  </si>
  <si>
    <t>Current Fees</t>
  </si>
  <si>
    <t>Average per Job (Hourly Only)</t>
  </si>
  <si>
    <t>Estimated Hours Based on Standard Hours</t>
  </si>
  <si>
    <t>Actual Hours Booked to Work Orders - Pro Rata Based on Standard Hours</t>
  </si>
  <si>
    <t>Total Actual Hours for 3 Years</t>
  </si>
  <si>
    <t>Total Volumes</t>
  </si>
  <si>
    <t>Revised Standard Hours</t>
  </si>
  <si>
    <t>Total Hours Based on Revised Standard</t>
  </si>
  <si>
    <t>Proposed Fees (Nominal)</t>
  </si>
  <si>
    <t>Forecast Volumes</t>
  </si>
  <si>
    <t>Forecast Operating Expenditure</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</si>
  <si>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</si>
  <si>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</si>
  <si>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</si>
  <si>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</si>
  <si>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</si>
  <si>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</si>
  <si>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</si>
  <si>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CAM projects invoiced</t>
  </si>
  <si>
    <t xml:space="preserve">Existing Service Description (2009-14) </t>
  </si>
  <si>
    <t>Updated Service Description (2015-19)</t>
  </si>
  <si>
    <t>NCP10001</t>
  </si>
  <si>
    <t>ADMINISTRATION OF CONTESTABLE WORKS (33.33%)</t>
  </si>
  <si>
    <t>Notification Of Arrangement</t>
  </si>
  <si>
    <t>Historical Revenue - Notification of Arrangement</t>
  </si>
  <si>
    <t>Historical Revenue - Compliance Certificate</t>
  </si>
  <si>
    <t>Revenue related to this service is billed through Endeavour Energy's Ellipse billing system and is extracted from the general ledger.</t>
  </si>
  <si>
    <t>NCN10005</t>
  </si>
  <si>
    <t>NCP10006</t>
  </si>
  <si>
    <t>NOA / COMPLIANCE CERTIFICATE</t>
  </si>
  <si>
    <t>NOTIFICATION OF ARRANGEMENT</t>
  </si>
  <si>
    <t>Work orders relating to this service were identified and extracted from the general ledger. These work orders capture the costs associated with performing this ancillary network service.</t>
  </si>
  <si>
    <t>COMPLIANCE CERTIFICATE</t>
  </si>
  <si>
    <t>Subdivision - Industrial &amp; Commercial - Per NOA</t>
  </si>
  <si>
    <t>Subdivision - Non Urban - Per NOA</t>
  </si>
  <si>
    <t>Subdivision - URD - Per NOA</t>
  </si>
  <si>
    <t>Subdivision - Industrial &amp; Commercial - Per hour for early notification</t>
  </si>
  <si>
    <t>Subdivision - Non Urban - Per hour for early notification</t>
  </si>
  <si>
    <t>Subdivision - URD - Per hour for early notification</t>
  </si>
  <si>
    <t>Connection of Load - Industrial &amp; Commercial - Per Compliance Cert</t>
  </si>
  <si>
    <t>Connection of Load - Non Urban - Per Compliance Cert</t>
  </si>
  <si>
    <t>Connection of Load - URD - Per Compliance Cert</t>
  </si>
  <si>
    <t>Connection of Load - Industrial &amp; Commercial - Per hour for early cert</t>
  </si>
  <si>
    <t>Connection of Load - Non Urban - Per hour for early cert</t>
  </si>
  <si>
    <t>Connection of Load - URD - Per hour for early cert</t>
  </si>
  <si>
    <t>Work of an administrative nature performed by a distributor where a local council requires evidence in writing from the distributor that all necessary arrangements have been made to supply electricity to a development. This may include receiving and checking linen plans and 88 B instruments, copying linen plans, checking and recording easement details, preparing files for conveyance officers, liaising with developers if errors or charges are required, checking and receiving duct declarations and any amended linen plans and 88B instruments approved by a conveyancing officer and preparing notifications of arrangement.</t>
  </si>
  <si>
    <t>Based on the following average labour rates per hour for the 2015-19 regulatory period - Refer to the Fee Breakdown schedule for specific fees</t>
  </si>
  <si>
    <t>Proposed Revenue (Nominal)</t>
  </si>
  <si>
    <t>2008/09</t>
  </si>
  <si>
    <t>2009-14 Current Fees</t>
  </si>
  <si>
    <t>Current Fees approved by the AER for the 2009-14 Regulatory Control Period.</t>
  </si>
  <si>
    <t>The calculation of individual fees relies on an hourly labour rate.  An hourly labour rate is calculated for the historic period by dividing historic costs by historic labour hours.  This is converted to 2012/13 real dollars and an average of the three years calculated.  This is inflated by the overhead factor derived from the CAM to calculate a fully loaded hourly labour rate for this service.</t>
  </si>
  <si>
    <t>Pricing Mechanism:</t>
  </si>
  <si>
    <t>Current Fee (Excl GST):</t>
  </si>
  <si>
    <t>Proposed Fee (Excl GST):</t>
  </si>
  <si>
    <t>Based on average rate of $64 per hour - Refer to the Fee Breakdown schedule for specific fees</t>
  </si>
  <si>
    <t xml:space="preserve">3) Historic work order data was used to derive an average hourly rate for each year in the historic analysis period. These hourly rates were converted to real 2012/13 dollars using actual award wage increases for the period, and an average 2012/13 hourly rate derived based on the 3 years data.  </t>
  </si>
  <si>
    <t>Work orders</t>
  </si>
  <si>
    <t>Work of an administrative nature performed by a DNSP where a local council requires evidence in writing from the DNSP that all necessary arrangements have been made to supply electricity to a development. 
This may include without limitation:
• receiving and checking linen plans and 88B instruments;
• copying linen plans;
• checking and recording easement details;
• preparing files for conveyance officers;
• liaising with developers if errors or charges are required;
• checking and receiving duct declarations and any amended linen plans and 88B instruments approved by a conveyancing officer; and
• preparing notifications of arrangement.</t>
  </si>
  <si>
    <t>Work of an administrative nature performed by a distributor where a local council requires evidence in writing from the distributor that all necessary arrangements have been made to supply electricity to a development. This may include receiving and checking linen plans and 88B instruments, copying linen plans, checking and recording easement details, preparing files for conveyance officers, liaising with developers if errors or charges are required, checking and receiving duct declarations and any amended linen plans and 88B instruments approved by a conveyancing officer and preparing notifications of arrangement.</t>
  </si>
  <si>
    <r>
      <t>Work of an administrative nature performed by a DNSP where a local council requires evidence in writing from a DNSP that all necessary arrangements have been made to supply electricity to a development.
This may include without limitation a Notification of Arrangement (NoA)</t>
    </r>
    <r>
      <rPr>
        <vertAlign val="superscript"/>
        <sz val="11"/>
        <color theme="1"/>
        <rFont val="Calibri"/>
        <family val="2"/>
        <scheme val="minor"/>
      </rPr>
      <t>1</t>
    </r>
    <r>
      <rPr>
        <sz val="11"/>
        <color theme="1"/>
        <rFont val="Calibri"/>
        <family val="2"/>
        <scheme val="minor"/>
      </rPr>
      <t xml:space="preserve"> or a Compliance Certificate</t>
    </r>
    <r>
      <rPr>
        <vertAlign val="superscript"/>
        <sz val="11"/>
        <color theme="1"/>
        <rFont val="Calibri"/>
        <family val="2"/>
        <scheme val="minor"/>
      </rPr>
      <t>2</t>
    </r>
    <r>
      <rPr>
        <sz val="11"/>
        <color theme="1"/>
        <rFont val="Calibri"/>
        <family val="2"/>
        <scheme val="minor"/>
      </rPr>
      <t xml:space="preserve"> involving:
• Receiving and checking linen plans and 88B Instruments;
• Checking and recording easement details;
• Prepare records for conveyance officers;
• Liaise with developers if errors occur or changes are required;
• Check and receive duct declarations and any amended linen plans and 88B instruments approved by a conveyance officer;
• Confirm the works are completed in accordance with the DNSP's requirements including substations and ducts, service mains to the customer’s ‘point of supply’ and peg all easements and lot frontages and complete the works.
The DNSP, may issue a NoA or Compliance Certificate prior to completion of the contestable works provided:
• the contestable design has been certified, and
• an additional bond has been deposited either in cash or as a Banker’s Guarantee, consisting of an amount equal to the value of the contestable works remaining to be completed which is returned if all of the above requirements have been satisfied.
• Prepare notification of arrangement or compliance certificate;
</t>
    </r>
    <r>
      <rPr>
        <vertAlign val="superscript"/>
        <sz val="11"/>
        <color theme="1"/>
        <rFont val="Calibri"/>
        <family val="2"/>
        <scheme val="minor"/>
      </rPr>
      <t>1</t>
    </r>
    <r>
      <rPr>
        <sz val="11"/>
        <color theme="1"/>
        <rFont val="Calibri"/>
        <family val="2"/>
        <scheme val="minor"/>
      </rPr>
      <t xml:space="preserve">  Notification of Arrangement (NoA) are issued for subdivisions and notifies the Council they can register the lots so the developer can proceed with sale.
</t>
    </r>
    <r>
      <rPr>
        <vertAlign val="superscript"/>
        <sz val="11"/>
        <color theme="1"/>
        <rFont val="Calibri"/>
        <family val="2"/>
        <scheme val="minor"/>
      </rPr>
      <t>2</t>
    </r>
    <r>
      <rPr>
        <sz val="11"/>
        <color theme="1"/>
        <rFont val="Calibri"/>
        <family val="2"/>
        <scheme val="minor"/>
      </rPr>
      <t xml:space="preserve">  Compliance Certificate are issued when the Council requires the DNSP to put in writing that supply has been made available to a development other than a subdivision.
</t>
    </r>
  </si>
  <si>
    <t>The average hourly labour rate in 2012/13 real dollars is converted to nominal dollars for each year in the next regulatory period using the nominal conversion factor derived from the CAM.  These rates form the basis of the calculation of the individual service fees.</t>
  </si>
  <si>
    <t>Direct Opex ANS (Nominal)</t>
  </si>
  <si>
    <t>Total Opex ANS (Nominal)</t>
  </si>
  <si>
    <t>Direct ANS (Real 2012/13$)</t>
  </si>
  <si>
    <t>Endeavour Energy's overhead factor is derived from the Cost Allocation Methodology ('CAM') approved by the AER and the final opex budget for the regulatory period. Refer to the CAM model output for the forecast period.</t>
  </si>
  <si>
    <t xml:space="preserve">In order to calculate a fee for each service sub-category, revised standard hours are required to be calculated for the 2015-19 regulatory period.  Revised standard hours are calculated by pro-rating the total actual hours captured within the work orders and/or estimated by relevant stakeholders for the historic period, based on the standard hours approved by the Regulator for the 2009-14 regulatory period.  Total hours for the historic period are then divided by total volumes at the fee sub-category level to calculate revised standard hours for each fee sub-category. </t>
  </si>
  <si>
    <t>Per job or per hour - Refer to the Fee Breakdown schedule for specific fees</t>
  </si>
  <si>
    <t>2) Work orders used to capture the costs associated with the provision of this service were identified and extracted from the general ledger over a 3 year historic period (2010/11 to 2012/13). Adjustments were made to remove costs that were not relevant to the service.</t>
  </si>
  <si>
    <t>4) An overhead factor derived from Endeavour Energy's Cost Allocation Model ('CAM') was applied to the direct labour rate to calculate a labour rate inclusive of network and corporate overheads. In addition, a 2012/13 real to nominal conversion factor derived from the CAM was applied to the labour rate to calculate the forecast labour rates in nominal dollars over the 2015-19 regulatory period.</t>
  </si>
  <si>
    <t>5) Historic volumes were extracted from business systems and used in conjunction with current approved standard hours and actual historic hours to calculate revised standard hours for each fee sub category.</t>
  </si>
  <si>
    <t>6) Where the fee is charged on a fixed fee basis, the revised standard hours are multiplied by proposed fee labour rates to calculate a fixed fee for the fee sub category over the 2015-19 regulatory period.  Where the fee is charged on an hourly basis the fee for the 2015-19 regulatory period is equal to the proposed fee labour rates.</t>
  </si>
  <si>
    <t xml:space="preserve">Historic revenue was extracted from Endeavour Energy's general ledger via an account code combination specifically set up to capture the revenue related to this service (as defined in the 2009-14 regulatory period). As outlined above, historic costs were obtained from costs recorded to specific work orders and historic volumes were derived based on the number of invoices that were raised throughout the year for the provision of this service. </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</si>
  <si>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</si>
  <si>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Volumes were derived based on the number of invoices that were raised throughout the year. CAMS (Endeavour Energy's contestable work system) was used to split the fees within the different categories for this ancillary network service.
2012/13 YTD May extrapolated has been included as this  was used to forecast future volumes. At the time future volumes forecasts were being estimated, the full year for 2012/13 was not available, only YTD May. YTD May results were extrapolated for 2012/13 and used in conjunction with prior years to develop averages for forecast volumes.</t>
  </si>
  <si>
    <t>Average Hourly Rate (2012/13$) - Excl OH</t>
  </si>
  <si>
    <t>2015-2019 Pricing Methodology for Service (Summary)</t>
  </si>
  <si>
    <t>Proposed fees (including network and corporate overheads) were multiplied by forecast volumes at the fee sub category level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fees uses an average overhead factor for the regulatory period, whereas costs are forecast based on the actual overhead factor for the year in order to balance to CAM outcomes. Volumes were forecasted based on an average of historic data.</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</si>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</sst>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0.0%"/>
    <numFmt numFmtId="172" formatCode="_(* #,##0_);_(* \(#,##0\);_(* &quot;-&quot;??_);_(@_)"/>
    <numFmt numFmtId="173" formatCode="_-* #,##0_-;* \(#,##0\)_-;_-* &quot;-&quot;_-;_-@_-"/>
  </numFmts>
  <fonts count="2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10"/>
      <color rgb="FFFF0000"/>
      <name val="Calibri"/>
      <family val="2"/>
      <scheme val="minor"/>
    </font>
    <font>
      <b/>
      <sz val="10"/>
      <color rgb="FFFF0000"/>
      <name val="Calibri"/>
      <family val="2"/>
      <scheme val="minor"/>
    </font>
    <font>
      <vertAlign val="superscript"/>
      <sz val="11"/>
      <color theme="1"/>
      <name val="Calibri"/>
      <family val="2"/>
      <scheme val="minor"/>
    </font>
    <font>
      <sz val="9"/>
      <color indexed="81"/>
      <name val="Tahoma"/>
      <family val="2"/>
    </font>
    <font>
      <b/>
      <sz val="9"/>
      <color indexed="81"/>
      <name val="Tahoma"/>
      <family val="2"/>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style="thin">
        <color theme="0"/>
      </top>
      <bottom style="thin">
        <color theme="0"/>
      </bottom>
      <diagonal/>
    </border>
  </borders>
  <cellStyleXfs count="17">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 fillId="0" borderId="0"/>
    <xf numFmtId="0" fontId="15" fillId="0" borderId="0"/>
  </cellStyleXfs>
  <cellXfs count="462">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2" xfId="0" applyNumberFormat="1" applyFont="1" applyBorder="1" applyAlignment="1">
      <alignment horizontal="right" vertical="center"/>
    </xf>
    <xf numFmtId="0" fontId="11" fillId="0" borderId="7" xfId="0" applyFont="1" applyFill="1" applyBorder="1" applyAlignment="1">
      <alignment horizontal="left" vertical="center"/>
    </xf>
    <xf numFmtId="170" fontId="11" fillId="0" borderId="7" xfId="0" applyNumberFormat="1" applyFont="1" applyFill="1" applyBorder="1" applyAlignment="1">
      <alignment horizontal="right" vertical="center"/>
    </xf>
    <xf numFmtId="170" fontId="11" fillId="0" borderId="17" xfId="0" applyNumberFormat="1" applyFont="1" applyBorder="1" applyAlignment="1">
      <alignment horizontal="right" vertical="center" wrapText="1"/>
    </xf>
    <xf numFmtId="170" fontId="11" fillId="2" borderId="7" xfId="0" applyNumberFormat="1" applyFont="1" applyFill="1" applyBorder="1" applyAlignment="1">
      <alignment horizontal="center" vertical="center"/>
    </xf>
    <xf numFmtId="0" fontId="11" fillId="0" borderId="0" xfId="0" applyFont="1" applyAlignment="1">
      <alignment vertical="center"/>
    </xf>
    <xf numFmtId="0" fontId="18"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6" fillId="0" borderId="0" xfId="0" applyFont="1" applyAlignment="1">
      <alignment vertical="center"/>
    </xf>
    <xf numFmtId="0" fontId="21" fillId="0" borderId="0" xfId="0" applyFont="1" applyAlignment="1">
      <alignment vertical="center"/>
    </xf>
    <xf numFmtId="0" fontId="22" fillId="7" borderId="0" xfId="0" applyFont="1" applyFill="1" applyAlignment="1">
      <alignment vertical="center"/>
    </xf>
    <xf numFmtId="0" fontId="23" fillId="7" borderId="0" xfId="0" applyFont="1" applyFill="1" applyAlignment="1">
      <alignment vertical="center"/>
    </xf>
    <xf numFmtId="170" fontId="23" fillId="7" borderId="0" xfId="0" applyNumberFormat="1" applyFont="1" applyFill="1" applyAlignment="1">
      <alignment vertical="center"/>
    </xf>
    <xf numFmtId="0" fontId="23" fillId="7" borderId="0" xfId="0" applyFont="1" applyFill="1" applyAlignment="1">
      <alignment horizontal="left" vertical="center"/>
    </xf>
    <xf numFmtId="170" fontId="18" fillId="5" borderId="11" xfId="0" quotePrefix="1" applyNumberFormat="1" applyFont="1" applyFill="1" applyBorder="1" applyAlignment="1">
      <alignment horizontal="center" vertical="center"/>
    </xf>
    <xf numFmtId="170" fontId="18" fillId="5" borderId="7" xfId="0" quotePrefix="1" applyNumberFormat="1" applyFont="1" applyFill="1" applyBorder="1" applyAlignment="1">
      <alignment horizontal="center" vertical="center"/>
    </xf>
    <xf numFmtId="170"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170" fontId="11" fillId="0" borderId="14" xfId="0" applyNumberFormat="1" applyFont="1" applyBorder="1" applyAlignment="1">
      <alignment vertical="center"/>
    </xf>
    <xf numFmtId="170" fontId="11" fillId="0" borderId="8" xfId="0" applyNumberFormat="1" applyFont="1" applyBorder="1" applyAlignment="1">
      <alignment vertical="center"/>
    </xf>
    <xf numFmtId="170" fontId="11" fillId="0" borderId="15" xfId="0" applyNumberFormat="1" applyFont="1" applyBorder="1" applyAlignment="1">
      <alignment vertical="center"/>
    </xf>
    <xf numFmtId="170" fontId="11" fillId="0" borderId="16"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170" fontId="11" fillId="0" borderId="19" xfId="0" applyNumberFormat="1" applyFont="1" applyBorder="1" applyAlignment="1">
      <alignment vertical="center"/>
    </xf>
    <xf numFmtId="170" fontId="18" fillId="5" borderId="25" xfId="0" applyNumberFormat="1" applyFont="1" applyFill="1" applyBorder="1" applyAlignment="1">
      <alignment vertical="center"/>
    </xf>
    <xf numFmtId="9" fontId="11" fillId="0" borderId="7" xfId="1" applyFont="1" applyBorder="1" applyAlignment="1">
      <alignment horizontal="left" vertical="center" wrapText="1"/>
    </xf>
    <xf numFmtId="170" fontId="17" fillId="5" borderId="7" xfId="0" applyNumberFormat="1" applyFont="1" applyFill="1" applyBorder="1" applyAlignment="1">
      <alignment horizontal="left" vertical="center"/>
    </xf>
    <xf numFmtId="0" fontId="17"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8" fillId="0" borderId="23" xfId="0" applyNumberFormat="1" applyFont="1" applyBorder="1" applyAlignment="1">
      <alignment horizontal="right" vertical="center"/>
    </xf>
    <xf numFmtId="170" fontId="11" fillId="0" borderId="0" xfId="0" applyNumberFormat="1" applyFont="1" applyAlignment="1">
      <alignment horizontal="left" vertical="center"/>
    </xf>
    <xf numFmtId="170" fontId="17"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8" fillId="5" borderId="23" xfId="0" applyNumberFormat="1" applyFont="1" applyFill="1" applyBorder="1" applyAlignment="1">
      <alignment horizontal="right" vertical="center"/>
    </xf>
    <xf numFmtId="170" fontId="11" fillId="0" borderId="17" xfId="0" applyNumberFormat="1" applyFont="1" applyBorder="1" applyAlignment="1">
      <alignment vertical="center"/>
    </xf>
    <xf numFmtId="9" fontId="11" fillId="0" borderId="16" xfId="1" applyFont="1" applyBorder="1" applyAlignment="1">
      <alignment vertical="center"/>
    </xf>
    <xf numFmtId="9" fontId="11" fillId="0" borderId="0" xfId="1" applyFont="1" applyBorder="1" applyAlignment="1">
      <alignment vertical="center"/>
    </xf>
    <xf numFmtId="9" fontId="11" fillId="0" borderId="17" xfId="1" applyFont="1" applyBorder="1" applyAlignment="1">
      <alignment vertical="center"/>
    </xf>
    <xf numFmtId="167" fontId="18" fillId="0" borderId="11" xfId="0" applyNumberFormat="1" applyFont="1" applyBorder="1" applyAlignment="1">
      <alignment vertical="center"/>
    </xf>
    <xf numFmtId="167" fontId="18" fillId="0" borderId="12" xfId="0" applyNumberFormat="1" applyFont="1" applyBorder="1" applyAlignment="1">
      <alignment vertical="center"/>
    </xf>
    <xf numFmtId="167" fontId="18" fillId="0" borderId="13"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11" fillId="0" borderId="0" xfId="0" applyFont="1" applyBorder="1" applyAlignment="1">
      <alignment vertical="center"/>
    </xf>
    <xf numFmtId="0" fontId="11" fillId="0" borderId="19" xfId="0" applyFont="1" applyBorder="1" applyAlignment="1">
      <alignment vertical="center"/>
    </xf>
    <xf numFmtId="169" fontId="18"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0" borderId="16" xfId="0" applyFont="1" applyBorder="1" applyAlignment="1">
      <alignment vertical="center"/>
    </xf>
    <xf numFmtId="0" fontId="11" fillId="2" borderId="13" xfId="0" applyFont="1" applyFill="1" applyBorder="1" applyAlignment="1">
      <alignment horizontal="right" vertical="center"/>
    </xf>
    <xf numFmtId="9" fontId="11" fillId="2" borderId="13" xfId="1" applyFont="1" applyFill="1" applyBorder="1" applyAlignment="1">
      <alignment horizontal="center" vertical="center"/>
    </xf>
    <xf numFmtId="0" fontId="11" fillId="2" borderId="7" xfId="0" applyFont="1" applyFill="1" applyBorder="1" applyAlignment="1">
      <alignment horizontal="center" vertical="center"/>
    </xf>
    <xf numFmtId="170" fontId="18" fillId="2" borderId="23" xfId="0" applyNumberFormat="1" applyFont="1" applyFill="1" applyBorder="1" applyAlignment="1">
      <alignment horizontal="right" vertical="center"/>
    </xf>
    <xf numFmtId="0" fontId="11" fillId="2" borderId="7" xfId="0" applyFont="1" applyFill="1" applyBorder="1" applyAlignment="1">
      <alignment horizontal="left" vertical="center"/>
    </xf>
    <xf numFmtId="0" fontId="11" fillId="2" borderId="8" xfId="0" applyFont="1" applyFill="1" applyBorder="1" applyAlignment="1">
      <alignment horizontal="lef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7" fontId="18" fillId="0" borderId="0" xfId="0" applyNumberFormat="1" applyFont="1" applyFill="1" applyBorder="1" applyAlignment="1">
      <alignment horizontal="center" vertical="center" wrapText="1"/>
    </xf>
    <xf numFmtId="170" fontId="18" fillId="4" borderId="14"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center" vertical="center" wrapText="1"/>
    </xf>
    <xf numFmtId="170" fontId="18" fillId="4" borderId="21"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right" vertical="center" wrapText="1"/>
    </xf>
    <xf numFmtId="170" fontId="18" fillId="4" borderId="21" xfId="0" quotePrefix="1" applyNumberFormat="1" applyFont="1" applyFill="1" applyBorder="1" applyAlignment="1">
      <alignment horizontal="right"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14" xfId="0" applyNumberFormat="1" applyFont="1" applyBorder="1" applyAlignment="1">
      <alignment horizontal="center" vertical="center"/>
    </xf>
    <xf numFmtId="170" fontId="11" fillId="0" borderId="21" xfId="0" applyNumberFormat="1" applyFont="1" applyBorder="1" applyAlignment="1">
      <alignment horizontal="center" vertical="center"/>
    </xf>
    <xf numFmtId="170" fontId="11" fillId="0" borderId="8" xfId="0" applyNumberFormat="1" applyFont="1" applyBorder="1" applyAlignment="1">
      <alignment horizontal="center" vertical="center"/>
    </xf>
    <xf numFmtId="168" fontId="11" fillId="0" borderId="15" xfId="0" applyNumberFormat="1" applyFont="1" applyBorder="1" applyAlignment="1">
      <alignment horizontal="right" vertical="center"/>
    </xf>
    <xf numFmtId="168" fontId="11" fillId="0" borderId="21" xfId="0" applyNumberFormat="1" applyFont="1" applyBorder="1" applyAlignment="1">
      <alignment horizontal="right" vertical="center"/>
    </xf>
    <xf numFmtId="168" fontId="11" fillId="0" borderId="14" xfId="0" applyNumberFormat="1" applyFont="1" applyBorder="1" applyAlignment="1">
      <alignment horizontal="right"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9" xfId="0" applyNumberFormat="1" applyFont="1" applyBorder="1" applyAlignment="1">
      <alignment horizontal="center" vertical="center"/>
    </xf>
    <xf numFmtId="168" fontId="11" fillId="0" borderId="0" xfId="0" applyNumberFormat="1" applyFont="1" applyBorder="1" applyAlignment="1">
      <alignment horizontal="right" vertical="center"/>
    </xf>
    <xf numFmtId="168" fontId="11" fillId="0" borderId="17" xfId="0" applyNumberFormat="1" applyFont="1" applyBorder="1" applyAlignment="1">
      <alignment horizontal="right" vertical="center"/>
    </xf>
    <xf numFmtId="168" fontId="11" fillId="0" borderId="16" xfId="0" applyNumberFormat="1" applyFont="1" applyBorder="1" applyAlignment="1">
      <alignment horizontal="right"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70" fontId="11" fillId="0" borderId="1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0" fontId="18" fillId="4" borderId="11" xfId="0" applyFont="1" applyFill="1" applyBorder="1" applyAlignment="1">
      <alignment horizontal="center" vertical="center" wrapText="1"/>
    </xf>
    <xf numFmtId="0" fontId="18" fillId="4" borderId="13" xfId="0" applyFont="1" applyFill="1" applyBorder="1" applyAlignment="1">
      <alignment horizontal="center" vertical="center" wrapText="1"/>
    </xf>
    <xf numFmtId="170" fontId="18" fillId="4" borderId="8" xfId="0" quotePrefix="1" applyNumberFormat="1" applyFont="1" applyFill="1" applyBorder="1" applyAlignment="1">
      <alignment horizontal="center" vertical="center" wrapText="1"/>
    </xf>
    <xf numFmtId="168" fontId="11" fillId="0" borderId="17" xfId="0" applyNumberFormat="1" applyFont="1" applyFill="1" applyBorder="1" applyAlignment="1">
      <alignment horizontal="center" vertical="center"/>
    </xf>
    <xf numFmtId="168" fontId="11" fillId="0" borderId="0" xfId="0" applyNumberFormat="1" applyFont="1" applyBorder="1" applyAlignment="1">
      <alignment horizontal="center" vertical="center"/>
    </xf>
    <xf numFmtId="0" fontId="11" fillId="0" borderId="0" xfId="6" applyFont="1" applyAlignment="1">
      <alignment horizontal="center" vertical="top"/>
    </xf>
    <xf numFmtId="170" fontId="11" fillId="0" borderId="0" xfId="6" applyNumberFormat="1" applyFont="1" applyAlignment="1">
      <alignment horizontal="center" vertical="top"/>
    </xf>
    <xf numFmtId="168" fontId="11" fillId="0" borderId="0" xfId="6" applyNumberFormat="1" applyFont="1" applyFill="1" applyBorder="1" applyAlignment="1">
      <alignment horizontal="center" vertical="top"/>
    </xf>
    <xf numFmtId="169" fontId="11" fillId="0" borderId="0" xfId="6" applyNumberFormat="1" applyFont="1" applyFill="1" applyBorder="1" applyAlignment="1">
      <alignment horizontal="center" vertical="top"/>
    </xf>
    <xf numFmtId="0" fontId="11" fillId="0" borderId="0" xfId="6" applyFont="1" applyBorder="1" applyAlignment="1">
      <alignment horizontal="center" vertical="top"/>
    </xf>
    <xf numFmtId="170" fontId="11" fillId="0" borderId="9" xfId="6" applyNumberFormat="1" applyFont="1" applyFill="1" applyBorder="1" applyAlignment="1">
      <alignment horizontal="center" vertical="top"/>
    </xf>
    <xf numFmtId="170" fontId="11" fillId="0" borderId="0" xfId="6" applyNumberFormat="1" applyFont="1" applyFill="1" applyBorder="1" applyAlignment="1">
      <alignment horizontal="center" vertical="top"/>
    </xf>
    <xf numFmtId="170" fontId="11" fillId="0" borderId="0" xfId="6" applyNumberFormat="1" applyFont="1" applyBorder="1" applyAlignment="1">
      <alignment horizontal="center" vertical="top"/>
    </xf>
    <xf numFmtId="171" fontId="11" fillId="0" borderId="0" xfId="9" applyNumberFormat="1" applyFont="1" applyAlignment="1">
      <alignment horizontal="center" vertical="top"/>
    </xf>
    <xf numFmtId="0" fontId="18" fillId="0" borderId="0" xfId="0" applyFont="1" applyAlignment="1">
      <alignment horizontal="left" vertical="top"/>
    </xf>
    <xf numFmtId="169" fontId="11" fillId="0" borderId="0" xfId="6" applyNumberFormat="1" applyFont="1" applyAlignment="1">
      <alignment horizontal="center" vertical="top"/>
    </xf>
    <xf numFmtId="0" fontId="24" fillId="0" borderId="0" xfId="6" applyFont="1" applyAlignment="1">
      <alignment horizontal="center" vertical="top"/>
    </xf>
    <xf numFmtId="0" fontId="25" fillId="0" borderId="0" xfId="6" applyFont="1" applyAlignment="1">
      <alignment horizontal="center" vertical="top"/>
    </xf>
    <xf numFmtId="168" fontId="18" fillId="0" borderId="0" xfId="6" applyNumberFormat="1" applyFont="1" applyAlignment="1">
      <alignment horizontal="center" vertical="top"/>
    </xf>
    <xf numFmtId="0" fontId="18" fillId="0" borderId="0" xfId="6" applyFont="1" applyAlignment="1">
      <alignment horizontal="center" vertical="top"/>
    </xf>
    <xf numFmtId="9" fontId="11" fillId="0" borderId="0" xfId="9" applyFont="1" applyAlignment="1">
      <alignment horizontal="center" vertical="top"/>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0" xfId="0" applyNumberFormat="1" applyFont="1" applyFill="1" applyBorder="1" applyAlignment="1">
      <alignment vertical="center" wrapText="1"/>
    </xf>
    <xf numFmtId="167" fontId="11" fillId="0" borderId="17" xfId="0" applyNumberFormat="1" applyFont="1" applyFill="1" applyBorder="1" applyAlignment="1">
      <alignment vertical="center" wrapText="1"/>
    </xf>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0" fontId="18" fillId="4" borderId="7" xfId="0" applyFont="1" applyFill="1" applyBorder="1" applyAlignment="1">
      <alignment horizontal="center" vertical="center" wrapText="1"/>
    </xf>
    <xf numFmtId="167" fontId="11" fillId="0" borderId="16" xfId="0" applyNumberFormat="1" applyFont="1" applyFill="1" applyBorder="1" applyAlignment="1">
      <alignment vertical="center" wrapText="1"/>
    </xf>
    <xf numFmtId="167" fontId="11" fillId="0" borderId="18" xfId="0" applyNumberFormat="1" applyFont="1" applyFill="1" applyBorder="1" applyAlignment="1">
      <alignment vertical="center" wrapText="1"/>
    </xf>
    <xf numFmtId="170" fontId="18" fillId="4" borderId="11" xfId="0" quotePrefix="1" applyNumberFormat="1" applyFont="1" applyFill="1" applyBorder="1" applyAlignment="1">
      <alignment horizontal="center" vertical="center" wrapText="1"/>
    </xf>
    <xf numFmtId="170" fontId="18" fillId="4" borderId="12" xfId="0" quotePrefix="1" applyNumberFormat="1" applyFont="1" applyFill="1" applyBorder="1" applyAlignment="1">
      <alignment horizontal="center" vertical="center" wrapText="1"/>
    </xf>
    <xf numFmtId="170" fontId="18" fillId="4" borderId="13" xfId="0" quotePrefix="1" applyNumberFormat="1" applyFont="1" applyFill="1" applyBorder="1" applyAlignment="1">
      <alignment horizontal="center" vertical="center" wrapText="1"/>
    </xf>
    <xf numFmtId="170" fontId="18"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170" fontId="18" fillId="0" borderId="0" xfId="0" quotePrefix="1" applyNumberFormat="1" applyFont="1" applyFill="1" applyBorder="1" applyAlignment="1">
      <alignment horizontal="center" vertical="center" wrapText="1"/>
    </xf>
    <xf numFmtId="170" fontId="11" fillId="0" borderId="0" xfId="0" applyNumberFormat="1" applyFont="1" applyFill="1" applyBorder="1" applyAlignment="1">
      <alignment horizontal="center" vertical="center"/>
    </xf>
    <xf numFmtId="170" fontId="17" fillId="0" borderId="0" xfId="0" applyNumberFormat="1" applyFont="1" applyFill="1" applyBorder="1" applyAlignment="1">
      <alignment horizontal="center" vertical="center"/>
    </xf>
    <xf numFmtId="170" fontId="18" fillId="4" borderId="14" xfId="0" quotePrefix="1" applyNumberFormat="1" applyFont="1" applyFill="1" applyBorder="1" applyAlignment="1">
      <alignment horizontal="right" vertical="center" wrapText="1"/>
    </xf>
    <xf numFmtId="170" fontId="18" fillId="4" borderId="11" xfId="0" quotePrefix="1" applyNumberFormat="1" applyFont="1" applyFill="1" applyBorder="1" applyAlignment="1">
      <alignment horizontal="right" vertical="center" wrapText="1"/>
    </xf>
    <xf numFmtId="170" fontId="18" fillId="4" borderId="12" xfId="0" quotePrefix="1" applyNumberFormat="1" applyFont="1" applyFill="1" applyBorder="1" applyAlignment="1">
      <alignment horizontal="right" vertical="center" wrapText="1"/>
    </xf>
    <xf numFmtId="170" fontId="18" fillId="4" borderId="13" xfId="0" quotePrefix="1" applyNumberFormat="1" applyFont="1" applyFill="1" applyBorder="1" applyAlignment="1">
      <alignment horizontal="right" vertical="center" wrapText="1"/>
    </xf>
    <xf numFmtId="0" fontId="12" fillId="7" borderId="0" xfId="0" applyFont="1" applyFill="1" applyAlignment="1">
      <alignment vertical="center"/>
    </xf>
    <xf numFmtId="0" fontId="20" fillId="7" borderId="0" xfId="0" applyFont="1" applyFill="1" applyAlignment="1">
      <alignment vertical="center"/>
    </xf>
    <xf numFmtId="167" fontId="20" fillId="7" borderId="0" xfId="0" applyNumberFormat="1" applyFont="1" applyFill="1" applyAlignment="1">
      <alignment vertical="center"/>
    </xf>
    <xf numFmtId="0" fontId="11" fillId="2" borderId="9" xfId="0" applyFont="1" applyFill="1" applyBorder="1" applyAlignment="1">
      <alignment vertical="center"/>
    </xf>
    <xf numFmtId="167" fontId="11" fillId="2" borderId="9" xfId="0" applyNumberFormat="1"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0" fontId="18" fillId="0" borderId="13" xfId="1" applyNumberFormat="1" applyFont="1" applyBorder="1" applyAlignment="1">
      <alignment vertical="center"/>
    </xf>
    <xf numFmtId="169" fontId="11" fillId="0" borderId="0" xfId="0" applyNumberFormat="1" applyFont="1" applyAlignment="1">
      <alignment horizontal="right" vertical="center"/>
    </xf>
    <xf numFmtId="167" fontId="18" fillId="5" borderId="7" xfId="0" applyNumberFormat="1" applyFont="1" applyFill="1" applyBorder="1" applyAlignment="1">
      <alignment vertical="center"/>
    </xf>
    <xf numFmtId="9" fontId="18" fillId="5" borderId="7" xfId="1" applyFont="1" applyFill="1" applyBorder="1" applyAlignment="1">
      <alignment vertical="center"/>
    </xf>
    <xf numFmtId="170" fontId="11" fillId="0" borderId="9" xfId="6" applyNumberFormat="1" applyFont="1" applyFill="1" applyBorder="1" applyAlignment="1">
      <alignment horizontal="right" vertical="top"/>
    </xf>
    <xf numFmtId="170" fontId="11" fillId="0" borderId="10" xfId="6" applyNumberFormat="1" applyFont="1" applyFill="1" applyBorder="1" applyAlignment="1">
      <alignment horizontal="right" vertical="top"/>
    </xf>
    <xf numFmtId="169" fontId="11" fillId="0" borderId="10" xfId="6" applyNumberFormat="1" applyFont="1" applyBorder="1" applyAlignment="1">
      <alignment horizontal="right" vertical="top"/>
    </xf>
    <xf numFmtId="170" fontId="18" fillId="3" borderId="23" xfId="6" applyNumberFormat="1" applyFont="1" applyFill="1" applyBorder="1" applyAlignment="1">
      <alignment horizontal="right" vertical="top"/>
    </xf>
    <xf numFmtId="170" fontId="11" fillId="0" borderId="10" xfId="6" applyNumberFormat="1" applyFont="1" applyBorder="1" applyAlignment="1">
      <alignment horizontal="right" vertical="top"/>
    </xf>
    <xf numFmtId="0" fontId="18" fillId="0" borderId="10" xfId="6" applyFont="1" applyBorder="1" applyAlignment="1">
      <alignment horizontal="left" vertical="top" wrapText="1"/>
    </xf>
    <xf numFmtId="0" fontId="18" fillId="0" borderId="18" xfId="6" applyFont="1" applyBorder="1" applyAlignment="1">
      <alignment horizontal="left" vertical="top" wrapText="1"/>
    </xf>
    <xf numFmtId="0" fontId="18" fillId="0" borderId="20" xfId="6" applyFont="1" applyBorder="1" applyAlignment="1">
      <alignment horizontal="left" vertical="top" wrapText="1"/>
    </xf>
    <xf numFmtId="0" fontId="16" fillId="0" borderId="0" xfId="0" applyFont="1" applyAlignment="1">
      <alignment vertical="top"/>
    </xf>
    <xf numFmtId="0" fontId="18" fillId="0" borderId="0" xfId="0" applyFont="1" applyAlignment="1">
      <alignment vertical="top"/>
    </xf>
    <xf numFmtId="0" fontId="21" fillId="0" borderId="0" xfId="0" applyFont="1" applyAlignment="1">
      <alignment vertical="top"/>
    </xf>
    <xf numFmtId="0" fontId="11" fillId="0" borderId="0" xfId="0" applyFont="1" applyAlignment="1">
      <alignment vertical="top"/>
    </xf>
    <xf numFmtId="0" fontId="11" fillId="0" borderId="14" xfId="0" applyFont="1" applyBorder="1" applyAlignment="1">
      <alignment vertical="top"/>
    </xf>
    <xf numFmtId="168" fontId="11" fillId="0" borderId="14" xfId="0" applyNumberFormat="1" applyFont="1" applyBorder="1" applyAlignment="1">
      <alignment horizontal="center" vertical="top"/>
    </xf>
    <xf numFmtId="0" fontId="11" fillId="0" borderId="16" xfId="0" applyFont="1" applyBorder="1" applyAlignment="1">
      <alignment vertical="top"/>
    </xf>
    <xf numFmtId="168" fontId="11" fillId="0" borderId="16" xfId="0" applyNumberFormat="1" applyFont="1" applyBorder="1" applyAlignment="1">
      <alignment horizontal="center" vertical="top"/>
    </xf>
    <xf numFmtId="0" fontId="11" fillId="0" borderId="0" xfId="6" applyFont="1" applyAlignment="1">
      <alignment horizontal="center" vertical="center" wrapText="1"/>
    </xf>
    <xf numFmtId="0" fontId="11" fillId="0" borderId="0" xfId="6" applyFont="1" applyAlignment="1">
      <alignment horizontal="center" vertical="center"/>
    </xf>
    <xf numFmtId="170" fontId="18" fillId="4" borderId="7" xfId="6" quotePrefix="1" applyNumberFormat="1" applyFont="1" applyFill="1" applyBorder="1" applyAlignment="1">
      <alignment horizontal="center" vertical="center" wrapText="1"/>
    </xf>
    <xf numFmtId="170" fontId="11" fillId="0" borderId="8" xfId="0" applyNumberFormat="1" applyFont="1" applyBorder="1" applyAlignment="1">
      <alignment horizontal="center" vertical="top"/>
    </xf>
    <xf numFmtId="170" fontId="11" fillId="0" borderId="9" xfId="0" applyNumberFormat="1" applyFont="1" applyBorder="1" applyAlignment="1">
      <alignment horizontal="center" vertical="top"/>
    </xf>
    <xf numFmtId="0" fontId="11" fillId="0" borderId="9" xfId="0" applyFont="1" applyBorder="1" applyAlignment="1">
      <alignment horizontal="center" vertical="top"/>
    </xf>
    <xf numFmtId="169" fontId="18" fillId="4" borderId="7" xfId="7" applyNumberFormat="1" applyFont="1" applyFill="1" applyBorder="1" applyAlignment="1">
      <alignment horizontal="center" vertical="center" wrapText="1"/>
    </xf>
    <xf numFmtId="170" fontId="18" fillId="4" borderId="7" xfId="7" applyNumberFormat="1" applyFont="1" applyFill="1" applyBorder="1" applyAlignment="1">
      <alignment horizontal="center" vertical="center" wrapText="1"/>
    </xf>
    <xf numFmtId="170" fontId="18" fillId="0" borderId="9" xfId="6" applyNumberFormat="1" applyFont="1" applyFill="1" applyBorder="1" applyAlignment="1">
      <alignment horizontal="right" vertical="top"/>
    </xf>
    <xf numFmtId="170" fontId="18" fillId="4" borderId="10" xfId="6" quotePrefix="1" applyNumberFormat="1" applyFont="1" applyFill="1" applyBorder="1" applyAlignment="1">
      <alignment horizontal="center" vertical="center" wrapText="1"/>
    </xf>
    <xf numFmtId="0" fontId="11" fillId="0" borderId="0" xfId="6" applyFont="1" applyBorder="1" applyAlignment="1">
      <alignment horizontal="center" vertical="top" wrapText="1"/>
    </xf>
    <xf numFmtId="0" fontId="18" fillId="0" borderId="0" xfId="6" quotePrefix="1" applyFont="1" applyBorder="1" applyAlignment="1">
      <alignment horizontal="center" vertical="top"/>
    </xf>
    <xf numFmtId="9" fontId="11" fillId="0" borderId="0" xfId="8" applyNumberFormat="1" applyFont="1" applyBorder="1" applyAlignment="1">
      <alignment horizontal="center" vertical="top"/>
    </xf>
    <xf numFmtId="169" fontId="11" fillId="0" borderId="9" xfId="6" applyNumberFormat="1" applyFont="1" applyFill="1" applyBorder="1" applyAlignment="1">
      <alignment horizontal="right" vertical="top"/>
    </xf>
    <xf numFmtId="170" fontId="11" fillId="0" borderId="0" xfId="6" applyNumberFormat="1" applyFont="1" applyAlignment="1">
      <alignment horizontal="right" vertical="top"/>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6" xfId="0" applyNumberFormat="1" applyFont="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2" fontId="7" fillId="0" borderId="0" xfId="3" applyNumberFormat="1" applyFont="1"/>
    <xf numFmtId="172" fontId="14" fillId="0" borderId="0" xfId="3" applyNumberFormat="1" applyFont="1"/>
    <xf numFmtId="0" fontId="14" fillId="3" borderId="6" xfId="0" applyFont="1" applyFill="1" applyBorder="1" applyAlignment="1">
      <alignment horizontal="center"/>
    </xf>
    <xf numFmtId="169" fontId="18" fillId="0" borderId="7" xfId="0" applyNumberFormat="1" applyFont="1" applyBorder="1" applyAlignment="1">
      <alignment vertical="center"/>
    </xf>
    <xf numFmtId="169" fontId="18" fillId="4" borderId="7" xfId="0" quotePrefix="1" applyNumberFormat="1" applyFont="1" applyFill="1" applyBorder="1" applyAlignment="1">
      <alignment horizontal="right" vertical="center"/>
    </xf>
    <xf numFmtId="170" fontId="11" fillId="0" borderId="9" xfId="0" applyNumberFormat="1" applyFont="1" applyBorder="1" applyAlignment="1">
      <alignment horizontal="right" vertical="center" wrapText="1"/>
    </xf>
    <xf numFmtId="168" fontId="11" fillId="0" borderId="8" xfId="0" applyNumberFormat="1" applyFont="1" applyBorder="1" applyAlignment="1">
      <alignment horizontal="center" vertical="center"/>
    </xf>
    <xf numFmtId="168" fontId="11" fillId="0" borderId="21" xfId="0" applyNumberFormat="1" applyFont="1" applyFill="1" applyBorder="1" applyAlignment="1">
      <alignment horizontal="center" vertical="center"/>
    </xf>
    <xf numFmtId="168" fontId="11" fillId="0" borderId="9" xfId="0" applyNumberFormat="1" applyFont="1" applyBorder="1" applyAlignment="1">
      <alignment horizontal="center" vertical="center"/>
    </xf>
    <xf numFmtId="0" fontId="18" fillId="4" borderId="8" xfId="0" applyFont="1" applyFill="1" applyBorder="1" applyAlignment="1">
      <alignment horizontal="center" vertical="center" wrapText="1"/>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170" fontId="17" fillId="5" borderId="13" xfId="0" applyNumberFormat="1" applyFont="1" applyFill="1" applyBorder="1" applyAlignment="1">
      <alignment horizontal="left" vertical="center"/>
    </xf>
    <xf numFmtId="0" fontId="11" fillId="0" borderId="16" xfId="0" applyFont="1" applyBorder="1" applyAlignment="1">
      <alignment horizontal="left"/>
    </xf>
    <xf numFmtId="0" fontId="11" fillId="0" borderId="0" xfId="0" applyFont="1" applyBorder="1" applyAlignment="1">
      <alignment horizontal="left"/>
    </xf>
    <xf numFmtId="0" fontId="11" fillId="0" borderId="17" xfId="0" applyFont="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20" xfId="0" applyFont="1" applyBorder="1" applyAlignment="1">
      <alignment horizontal="left"/>
    </xf>
    <xf numFmtId="0" fontId="11" fillId="0" borderId="16" xfId="0" applyFont="1" applyBorder="1"/>
    <xf numFmtId="0" fontId="11" fillId="2" borderId="11" xfId="0" applyFont="1" applyFill="1" applyBorder="1" applyAlignment="1">
      <alignment horizontal="left"/>
    </xf>
    <xf numFmtId="0" fontId="11" fillId="2" borderId="12" xfId="0" applyFont="1" applyFill="1" applyBorder="1" applyAlignment="1">
      <alignment horizontal="left"/>
    </xf>
    <xf numFmtId="0" fontId="11" fillId="2" borderId="13" xfId="0" applyFont="1" applyFill="1" applyBorder="1" applyAlignment="1">
      <alignment horizontal="left"/>
    </xf>
    <xf numFmtId="170" fontId="18" fillId="2" borderId="7" xfId="0" applyNumberFormat="1" applyFont="1" applyFill="1" applyBorder="1" applyAlignment="1">
      <alignment vertical="center"/>
    </xf>
    <xf numFmtId="170" fontId="11" fillId="0" borderId="18" xfId="0" applyNumberFormat="1" applyFont="1" applyBorder="1" applyAlignment="1">
      <alignment vertical="center"/>
    </xf>
    <xf numFmtId="170" fontId="11" fillId="0" borderId="10" xfId="0" applyNumberFormat="1" applyFont="1" applyBorder="1" applyAlignment="1">
      <alignment vertical="center"/>
    </xf>
    <xf numFmtId="170" fontId="18" fillId="0" borderId="9" xfId="6" applyNumberFormat="1" applyFont="1" applyFill="1" applyBorder="1" applyAlignment="1">
      <alignment horizontal="right"/>
    </xf>
    <xf numFmtId="170" fontId="18" fillId="2" borderId="7" xfId="6" applyNumberFormat="1" applyFont="1" applyFill="1" applyBorder="1" applyAlignment="1">
      <alignment horizontal="right"/>
    </xf>
    <xf numFmtId="169" fontId="11" fillId="0" borderId="0" xfId="6" applyNumberFormat="1" applyFont="1" applyAlignment="1">
      <alignment horizontal="right"/>
    </xf>
    <xf numFmtId="170" fontId="11" fillId="0" borderId="0" xfId="0" applyNumberFormat="1" applyFont="1" applyBorder="1" applyAlignment="1">
      <alignment horizontal="center" vertical="top"/>
    </xf>
    <xf numFmtId="0" fontId="11" fillId="0" borderId="0" xfId="0" applyFont="1" applyBorder="1" applyAlignment="1">
      <alignment horizontal="center" vertical="top"/>
    </xf>
    <xf numFmtId="168" fontId="11" fillId="0" borderId="15" xfId="0" applyNumberFormat="1" applyFont="1" applyBorder="1" applyAlignment="1">
      <alignment horizontal="center" vertical="center"/>
    </xf>
    <xf numFmtId="168" fontId="11" fillId="0" borderId="18" xfId="0" applyNumberFormat="1" applyFont="1" applyBorder="1" applyAlignment="1">
      <alignment horizontal="center" vertical="center"/>
    </xf>
    <xf numFmtId="0" fontId="18" fillId="4" borderId="14" xfId="0" applyFont="1" applyFill="1" applyBorder="1" applyAlignment="1">
      <alignment horizontal="center" vertical="center" wrapText="1"/>
    </xf>
    <xf numFmtId="0" fontId="18" fillId="4" borderId="15" xfId="0" applyFont="1" applyFill="1" applyBorder="1" applyAlignment="1">
      <alignment horizontal="center" vertical="center" wrapText="1"/>
    </xf>
    <xf numFmtId="0" fontId="18" fillId="4" borderId="21" xfId="0" applyFont="1" applyFill="1" applyBorder="1" applyAlignment="1">
      <alignment horizontal="center" vertical="center" wrapText="1"/>
    </xf>
    <xf numFmtId="168" fontId="11" fillId="0" borderId="14" xfId="0" applyNumberFormat="1" applyFont="1" applyBorder="1" applyAlignment="1">
      <alignment horizontal="center" vertical="center"/>
    </xf>
    <xf numFmtId="169" fontId="11" fillId="0" borderId="0" xfId="0" applyNumberFormat="1" applyFont="1" applyFill="1" applyBorder="1" applyAlignment="1">
      <alignment horizontal="center" vertical="center"/>
    </xf>
    <xf numFmtId="0" fontId="11" fillId="0" borderId="11" xfId="0" applyFont="1" applyFill="1" applyBorder="1" applyAlignment="1">
      <alignment horizontal="left"/>
    </xf>
    <xf numFmtId="0" fontId="11" fillId="0" borderId="12" xfId="0" applyFont="1" applyFill="1" applyBorder="1" applyAlignment="1">
      <alignment horizontal="left"/>
    </xf>
    <xf numFmtId="0" fontId="11" fillId="0" borderId="13" xfId="0" applyFont="1" applyFill="1" applyBorder="1" applyAlignment="1">
      <alignment horizontal="left"/>
    </xf>
    <xf numFmtId="0" fontId="11" fillId="2" borderId="21" xfId="0" applyFont="1" applyFill="1" applyBorder="1" applyAlignment="1">
      <alignment vertical="center"/>
    </xf>
    <xf numFmtId="0" fontId="11" fillId="2" borderId="17" xfId="0" applyFont="1" applyFill="1" applyBorder="1" applyAlignment="1">
      <alignment vertical="center"/>
    </xf>
    <xf numFmtId="170" fontId="18" fillId="5" borderId="8" xfId="0" quotePrefix="1" applyNumberFormat="1" applyFont="1" applyFill="1" applyBorder="1" applyAlignment="1">
      <alignment horizontal="center" vertical="center"/>
    </xf>
    <xf numFmtId="167" fontId="11" fillId="0" borderId="18" xfId="0" applyNumberFormat="1" applyFont="1" applyBorder="1" applyAlignment="1">
      <alignment vertical="center"/>
    </xf>
    <xf numFmtId="167" fontId="11" fillId="0" borderId="19" xfId="0" applyNumberFormat="1" applyFont="1" applyBorder="1" applyAlignment="1">
      <alignment vertical="center"/>
    </xf>
    <xf numFmtId="167" fontId="11" fillId="0" borderId="20" xfId="0" applyNumberFormat="1" applyFont="1" applyBorder="1" applyAlignment="1">
      <alignment vertical="center"/>
    </xf>
    <xf numFmtId="170" fontId="11" fillId="0" borderId="21" xfId="0" applyNumberFormat="1" applyFont="1" applyBorder="1" applyAlignment="1">
      <alignment vertical="center"/>
    </xf>
    <xf numFmtId="170" fontId="11" fillId="0" borderId="20" xfId="0" applyNumberFormat="1" applyFont="1" applyBorder="1" applyAlignment="1">
      <alignment vertical="center"/>
    </xf>
    <xf numFmtId="0" fontId="7" fillId="4" borderId="0" xfId="0" applyFont="1" applyFill="1" applyBorder="1" applyAlignment="1">
      <alignment horizontal="left" vertical="top" wrapText="1"/>
    </xf>
    <xf numFmtId="170" fontId="17" fillId="5" borderId="11" xfId="0" applyNumberFormat="1" applyFont="1" applyFill="1" applyBorder="1" applyAlignment="1">
      <alignment horizontal="center" vertical="center"/>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170" fontId="11" fillId="0" borderId="0" xfId="0" applyNumberFormat="1" applyFont="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2" xfId="0" applyFont="1" applyBorder="1" applyAlignment="1">
      <alignment horizontal="left"/>
    </xf>
    <xf numFmtId="170" fontId="17" fillId="5" borderId="11" xfId="0" applyNumberFormat="1" applyFont="1" applyFill="1" applyBorder="1" applyAlignment="1">
      <alignment vertical="center"/>
    </xf>
    <xf numFmtId="170" fontId="17"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0" fontId="11" fillId="0" borderId="0" xfId="0" applyFont="1" applyBorder="1" applyAlignment="1">
      <alignment horizontal="right" vertical="center"/>
    </xf>
    <xf numFmtId="0" fontId="20" fillId="7" borderId="16" xfId="0" applyFont="1" applyFill="1" applyBorder="1" applyAlignment="1">
      <alignment horizontal="left"/>
    </xf>
    <xf numFmtId="170" fontId="11" fillId="7" borderId="16" xfId="0" applyNumberFormat="1" applyFont="1" applyFill="1" applyBorder="1" applyAlignment="1">
      <alignment vertical="center"/>
    </xf>
    <xf numFmtId="170" fontId="11" fillId="7" borderId="9" xfId="0" applyNumberFormat="1" applyFont="1" applyFill="1" applyBorder="1" applyAlignment="1">
      <alignment vertical="center"/>
    </xf>
    <xf numFmtId="170" fontId="11" fillId="7" borderId="0" xfId="0" applyNumberFormat="1" applyFont="1" applyFill="1" applyBorder="1" applyAlignment="1">
      <alignment vertical="center"/>
    </xf>
    <xf numFmtId="170" fontId="23" fillId="7" borderId="16" xfId="0" applyNumberFormat="1" applyFont="1" applyFill="1" applyBorder="1" applyAlignment="1">
      <alignment vertical="center"/>
    </xf>
    <xf numFmtId="170" fontId="23" fillId="7" borderId="9" xfId="0" applyNumberFormat="1" applyFont="1" applyFill="1" applyBorder="1" applyAlignment="1">
      <alignment vertical="center"/>
    </xf>
    <xf numFmtId="170" fontId="23" fillId="7" borderId="0" xfId="0" applyNumberFormat="1" applyFont="1" applyFill="1" applyBorder="1" applyAlignment="1">
      <alignment vertical="center"/>
    </xf>
    <xf numFmtId="0" fontId="20" fillId="7" borderId="0" xfId="0" applyFont="1" applyFill="1" applyBorder="1" applyAlignment="1">
      <alignment horizontal="left"/>
    </xf>
    <xf numFmtId="0" fontId="20" fillId="7" borderId="17" xfId="0" applyFont="1" applyFill="1" applyBorder="1" applyAlignment="1">
      <alignment horizontal="left"/>
    </xf>
    <xf numFmtId="170" fontId="23" fillId="7" borderId="9" xfId="6" applyNumberFormat="1" applyFont="1" applyFill="1" applyBorder="1" applyAlignment="1">
      <alignment horizontal="center" vertical="top"/>
    </xf>
    <xf numFmtId="170" fontId="20" fillId="7" borderId="9" xfId="6" applyNumberFormat="1" applyFont="1" applyFill="1" applyBorder="1" applyAlignment="1">
      <alignment horizontal="right" vertical="top"/>
    </xf>
    <xf numFmtId="170" fontId="23" fillId="7" borderId="9" xfId="6" applyNumberFormat="1" applyFont="1" applyFill="1" applyBorder="1" applyAlignment="1">
      <alignment horizontal="right" vertical="top"/>
    </xf>
    <xf numFmtId="169" fontId="23" fillId="7" borderId="9" xfId="6" applyNumberFormat="1" applyFont="1" applyFill="1" applyBorder="1" applyAlignment="1">
      <alignment horizontal="right" vertical="top"/>
    </xf>
    <xf numFmtId="9" fontId="11" fillId="0" borderId="0" xfId="1" applyFont="1" applyAlignment="1">
      <alignment horizontal="center" vertical="top"/>
    </xf>
    <xf numFmtId="167" fontId="23" fillId="7" borderId="16" xfId="0" applyNumberFormat="1" applyFont="1" applyFill="1" applyBorder="1" applyAlignment="1">
      <alignment vertical="center" wrapText="1"/>
    </xf>
    <xf numFmtId="167" fontId="23" fillId="7" borderId="0" xfId="0" applyNumberFormat="1" applyFont="1" applyFill="1" applyBorder="1" applyAlignment="1">
      <alignment vertical="center" wrapText="1"/>
    </xf>
    <xf numFmtId="167" fontId="23" fillId="7" borderId="17" xfId="0" applyNumberFormat="1" applyFont="1" applyFill="1" applyBorder="1" applyAlignment="1">
      <alignment vertical="center" wrapText="1"/>
    </xf>
    <xf numFmtId="170" fontId="23" fillId="7" borderId="9" xfId="0" applyNumberFormat="1" applyFont="1" applyFill="1" applyBorder="1" applyAlignment="1">
      <alignment horizontal="center" vertical="center"/>
    </xf>
    <xf numFmtId="167" fontId="23" fillId="7" borderId="16" xfId="0" applyNumberFormat="1" applyFont="1" applyFill="1" applyBorder="1" applyAlignment="1">
      <alignment horizontal="right" vertical="center"/>
    </xf>
    <xf numFmtId="167" fontId="23" fillId="7" borderId="0" xfId="0" applyNumberFormat="1" applyFont="1" applyFill="1" applyBorder="1" applyAlignment="1">
      <alignment horizontal="right" vertical="center"/>
    </xf>
    <xf numFmtId="167" fontId="23" fillId="7" borderId="17" xfId="0" applyNumberFormat="1" applyFont="1" applyFill="1" applyBorder="1" applyAlignment="1">
      <alignment horizontal="right" vertical="center"/>
    </xf>
    <xf numFmtId="173" fontId="23" fillId="7" borderId="16" xfId="0" applyNumberFormat="1" applyFont="1" applyFill="1" applyBorder="1" applyAlignment="1">
      <alignment horizontal="right" vertical="center"/>
    </xf>
    <xf numFmtId="173" fontId="23" fillId="7" borderId="0" xfId="0" applyNumberFormat="1" applyFont="1" applyFill="1" applyBorder="1" applyAlignment="1">
      <alignment horizontal="right" vertical="center"/>
    </xf>
    <xf numFmtId="173" fontId="23" fillId="7" borderId="17" xfId="0" applyNumberFormat="1" applyFont="1" applyFill="1" applyBorder="1" applyAlignment="1">
      <alignment horizontal="right" vertical="center"/>
    </xf>
    <xf numFmtId="173" fontId="11" fillId="0" borderId="16" xfId="0" applyNumberFormat="1" applyFont="1" applyBorder="1" applyAlignment="1">
      <alignment horizontal="right" vertical="center"/>
    </xf>
    <xf numFmtId="173" fontId="11" fillId="0" borderId="0" xfId="0" applyNumberFormat="1" applyFont="1" applyBorder="1" applyAlignment="1">
      <alignment horizontal="right" vertical="center"/>
    </xf>
    <xf numFmtId="173" fontId="11" fillId="0" borderId="17" xfId="0" applyNumberFormat="1" applyFont="1" applyBorder="1" applyAlignment="1">
      <alignment horizontal="right" vertical="center"/>
    </xf>
    <xf numFmtId="173" fontId="11" fillId="0" borderId="18" xfId="0" applyNumberFormat="1" applyFont="1" applyBorder="1" applyAlignment="1">
      <alignment horizontal="right" vertical="center"/>
    </xf>
    <xf numFmtId="173" fontId="11" fillId="0" borderId="19" xfId="0" applyNumberFormat="1" applyFont="1" applyBorder="1" applyAlignment="1">
      <alignment horizontal="right" vertical="center"/>
    </xf>
    <xf numFmtId="173" fontId="11" fillId="0" borderId="20" xfId="0" applyNumberFormat="1" applyFont="1" applyBorder="1" applyAlignment="1">
      <alignment horizontal="right" vertical="center"/>
    </xf>
    <xf numFmtId="173" fontId="18" fillId="2" borderId="16" xfId="0" applyNumberFormat="1" applyFont="1" applyFill="1" applyBorder="1" applyAlignment="1"/>
    <xf numFmtId="173" fontId="18" fillId="2" borderId="0" xfId="0" applyNumberFormat="1" applyFont="1" applyFill="1" applyBorder="1" applyAlignment="1"/>
    <xf numFmtId="173" fontId="18" fillId="2" borderId="17" xfId="0" applyNumberFormat="1" applyFont="1" applyFill="1" applyBorder="1" applyAlignment="1"/>
    <xf numFmtId="173" fontId="11" fillId="0" borderId="14" xfId="0" applyNumberFormat="1" applyFont="1" applyBorder="1" applyAlignment="1">
      <alignment horizontal="right" vertical="center"/>
    </xf>
    <xf numFmtId="173" fontId="11" fillId="0" borderId="15" xfId="0" applyNumberFormat="1" applyFont="1" applyBorder="1" applyAlignment="1">
      <alignment horizontal="right" vertical="center"/>
    </xf>
    <xf numFmtId="173" fontId="11" fillId="0" borderId="21" xfId="0" applyNumberFormat="1" applyFont="1" applyBorder="1" applyAlignment="1">
      <alignment horizontal="right" vertical="center"/>
    </xf>
    <xf numFmtId="173" fontId="18" fillId="2" borderId="18" xfId="0" applyNumberFormat="1" applyFont="1" applyFill="1" applyBorder="1" applyAlignment="1">
      <alignment vertical="center"/>
    </xf>
    <xf numFmtId="173" fontId="18" fillId="2" borderId="19" xfId="0" applyNumberFormat="1" applyFont="1" applyFill="1" applyBorder="1" applyAlignment="1">
      <alignment vertical="center"/>
    </xf>
    <xf numFmtId="173" fontId="18" fillId="2" borderId="20" xfId="0" applyNumberFormat="1" applyFont="1" applyFill="1" applyBorder="1" applyAlignment="1">
      <alignment vertical="center"/>
    </xf>
    <xf numFmtId="173" fontId="17" fillId="3" borderId="11" xfId="0" applyNumberFormat="1" applyFont="1" applyFill="1" applyBorder="1" applyAlignment="1"/>
    <xf numFmtId="173" fontId="17" fillId="3" borderId="12" xfId="0" applyNumberFormat="1" applyFont="1" applyFill="1" applyBorder="1" applyAlignment="1"/>
    <xf numFmtId="173" fontId="17" fillId="3" borderId="13" xfId="0" applyNumberFormat="1" applyFont="1" applyFill="1" applyBorder="1" applyAlignment="1"/>
    <xf numFmtId="173" fontId="11" fillId="0" borderId="0" xfId="0" applyNumberFormat="1" applyFont="1" applyBorder="1" applyAlignment="1">
      <alignment vertical="center"/>
    </xf>
    <xf numFmtId="173" fontId="11" fillId="7" borderId="0" xfId="0" applyNumberFormat="1" applyFont="1" applyFill="1" applyBorder="1" applyAlignment="1">
      <alignment horizontal="center" vertical="center"/>
    </xf>
    <xf numFmtId="173" fontId="11" fillId="0" borderId="0" xfId="0" applyNumberFormat="1" applyFont="1" applyFill="1" applyBorder="1" applyAlignment="1">
      <alignment vertical="center"/>
    </xf>
    <xf numFmtId="173" fontId="11" fillId="0" borderId="0" xfId="0" applyNumberFormat="1" applyFont="1" applyAlignment="1">
      <alignment vertical="center"/>
    </xf>
    <xf numFmtId="173" fontId="18" fillId="2" borderId="11" xfId="0" applyNumberFormat="1" applyFont="1" applyFill="1" applyBorder="1" applyAlignment="1"/>
    <xf numFmtId="173" fontId="18" fillId="2" borderId="12" xfId="0" applyNumberFormat="1" applyFont="1" applyFill="1" applyBorder="1" applyAlignment="1"/>
    <xf numFmtId="173" fontId="18" fillId="2" borderId="13" xfId="0" applyNumberFormat="1" applyFont="1" applyFill="1" applyBorder="1" applyAlignment="1"/>
    <xf numFmtId="173" fontId="18" fillId="2" borderId="11" xfId="0" applyNumberFormat="1" applyFont="1" applyFill="1" applyBorder="1" applyAlignment="1">
      <alignment vertical="center"/>
    </xf>
    <xf numFmtId="173" fontId="18" fillId="2" borderId="12" xfId="0" applyNumberFormat="1" applyFont="1" applyFill="1" applyBorder="1" applyAlignment="1">
      <alignment vertical="center"/>
    </xf>
    <xf numFmtId="173" fontId="18" fillId="2" borderId="13" xfId="0" applyNumberFormat="1" applyFont="1" applyFill="1" applyBorder="1" applyAlignment="1">
      <alignment vertical="center"/>
    </xf>
    <xf numFmtId="170" fontId="11" fillId="0" borderId="16"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8" fillId="2" borderId="11" xfId="0" applyNumberFormat="1" applyFont="1" applyFill="1" applyBorder="1" applyAlignment="1">
      <alignment horizontal="right" vertical="center"/>
    </xf>
    <xf numFmtId="170" fontId="18" fillId="2" borderId="12" xfId="0" applyNumberFormat="1" applyFont="1" applyFill="1" applyBorder="1" applyAlignment="1">
      <alignment horizontal="right" vertical="center"/>
    </xf>
    <xf numFmtId="170" fontId="18" fillId="2" borderId="13" xfId="0" applyNumberFormat="1" applyFont="1" applyFill="1" applyBorder="1" applyAlignment="1">
      <alignment horizontal="right" vertical="center"/>
    </xf>
    <xf numFmtId="0" fontId="20" fillId="7" borderId="16" xfId="0" applyFont="1" applyFill="1" applyBorder="1" applyAlignment="1">
      <alignment horizontal="right"/>
    </xf>
    <xf numFmtId="0" fontId="20" fillId="7" borderId="0" xfId="0" applyFont="1" applyFill="1" applyBorder="1" applyAlignment="1">
      <alignment horizontal="right"/>
    </xf>
    <xf numFmtId="0" fontId="20" fillId="7" borderId="17" xfId="0" applyFont="1" applyFill="1" applyBorder="1" applyAlignment="1">
      <alignment horizontal="right"/>
    </xf>
    <xf numFmtId="0" fontId="11" fillId="0" borderId="0" xfId="0" quotePrefix="1" applyFont="1" applyBorder="1" applyAlignment="1">
      <alignment horizontal="right" vertical="center"/>
    </xf>
    <xf numFmtId="167" fontId="23" fillId="7" borderId="16" xfId="0" applyNumberFormat="1" applyFont="1" applyFill="1" applyBorder="1" applyAlignment="1">
      <alignment horizontal="right" vertical="center" wrapText="1"/>
    </xf>
    <xf numFmtId="167" fontId="23" fillId="7" borderId="0" xfId="0" applyNumberFormat="1" applyFont="1" applyFill="1" applyBorder="1" applyAlignment="1">
      <alignment horizontal="right" vertical="center" wrapText="1"/>
    </xf>
    <xf numFmtId="167" fontId="23" fillId="7" borderId="17" xfId="0" applyNumberFormat="1" applyFont="1" applyFill="1" applyBorder="1" applyAlignment="1">
      <alignment horizontal="right" vertical="center" wrapText="1"/>
    </xf>
    <xf numFmtId="170" fontId="17" fillId="3" borderId="11" xfId="0" applyNumberFormat="1" applyFont="1" applyFill="1" applyBorder="1" applyAlignment="1">
      <alignment horizontal="right" vertical="center"/>
    </xf>
    <xf numFmtId="170" fontId="17" fillId="3" borderId="12" xfId="0" applyNumberFormat="1" applyFont="1" applyFill="1" applyBorder="1" applyAlignment="1">
      <alignment horizontal="right" vertical="center"/>
    </xf>
    <xf numFmtId="170" fontId="17" fillId="3" borderId="13" xfId="0" applyNumberFormat="1" applyFont="1" applyFill="1" applyBorder="1" applyAlignment="1">
      <alignment horizontal="right" vertical="center"/>
    </xf>
    <xf numFmtId="0" fontId="11" fillId="0" borderId="0" xfId="0" applyFont="1" applyAlignment="1">
      <alignment horizontal="right" vertical="center"/>
    </xf>
    <xf numFmtId="169" fontId="11" fillId="2" borderId="7" xfId="6" applyNumberFormat="1" applyFont="1" applyFill="1" applyBorder="1" applyAlignment="1">
      <alignment horizontal="right" vertical="top"/>
    </xf>
    <xf numFmtId="170" fontId="11" fillId="2" borderId="7" xfId="6" applyNumberFormat="1" applyFont="1" applyFill="1" applyBorder="1" applyAlignment="1">
      <alignment horizontal="center" vertical="top"/>
    </xf>
    <xf numFmtId="0" fontId="18" fillId="8" borderId="8" xfId="0" applyFont="1" applyFill="1" applyBorder="1" applyAlignment="1">
      <alignment horizontal="left" vertical="center"/>
    </xf>
    <xf numFmtId="0" fontId="11" fillId="0" borderId="0" xfId="0" applyFont="1" applyBorder="1" applyAlignment="1">
      <alignment vertical="top" wrapText="1"/>
    </xf>
    <xf numFmtId="170" fontId="17" fillId="5" borderId="11" xfId="0" applyNumberFormat="1" applyFont="1" applyFill="1" applyBorder="1" applyAlignment="1">
      <alignment horizontal="left" vertical="center"/>
    </xf>
    <xf numFmtId="170" fontId="17" fillId="5" borderId="12" xfId="0" applyNumberFormat="1" applyFont="1" applyFill="1" applyBorder="1" applyAlignment="1">
      <alignment horizontal="left" vertical="center"/>
    </xf>
    <xf numFmtId="170" fontId="17" fillId="5" borderId="13" xfId="0" applyNumberFormat="1" applyFont="1" applyFill="1" applyBorder="1" applyAlignment="1">
      <alignment horizontal="left" vertical="center"/>
    </xf>
    <xf numFmtId="0" fontId="11" fillId="0" borderId="14" xfId="0" applyFont="1" applyBorder="1" applyAlignment="1">
      <alignment horizontal="left" vertical="center"/>
    </xf>
    <xf numFmtId="0" fontId="11" fillId="0" borderId="15" xfId="0" applyFont="1" applyBorder="1" applyAlignment="1">
      <alignment horizontal="left" vertical="center"/>
    </xf>
    <xf numFmtId="0" fontId="11" fillId="0" borderId="21" xfId="0" applyFont="1" applyBorder="1" applyAlignment="1">
      <alignment horizontal="left" vertical="center"/>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20" fillId="7" borderId="16" xfId="0" applyFont="1" applyFill="1" applyBorder="1" applyAlignment="1">
      <alignment horizontal="left" vertical="center"/>
    </xf>
    <xf numFmtId="0" fontId="20" fillId="7" borderId="0" xfId="0" applyFont="1" applyFill="1" applyBorder="1" applyAlignment="1">
      <alignment horizontal="left" vertical="center"/>
    </xf>
    <xf numFmtId="0" fontId="20" fillId="7" borderId="17" xfId="0" applyFont="1" applyFill="1" applyBorder="1" applyAlignment="1">
      <alignment horizontal="left" vertical="center"/>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8" fillId="0" borderId="11" xfId="0" applyFont="1" applyBorder="1" applyAlignment="1">
      <alignment horizontal="right"/>
    </xf>
    <xf numFmtId="0" fontId="18" fillId="0" borderId="12" xfId="0" applyFont="1" applyBorder="1" applyAlignment="1">
      <alignment horizontal="right"/>
    </xf>
    <xf numFmtId="0" fontId="18" fillId="0" borderId="13" xfId="0" applyFont="1" applyBorder="1" applyAlignment="1">
      <alignment horizontal="right"/>
    </xf>
    <xf numFmtId="170" fontId="17" fillId="2" borderId="11" xfId="0" applyNumberFormat="1" applyFont="1" applyFill="1" applyBorder="1" applyAlignment="1">
      <alignment horizontal="left" vertical="center"/>
    </xf>
    <xf numFmtId="170" fontId="17" fillId="2" borderId="12" xfId="0" applyNumberFormat="1" applyFont="1" applyFill="1" applyBorder="1" applyAlignment="1">
      <alignment horizontal="left" vertical="center"/>
    </xf>
    <xf numFmtId="170" fontId="17"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7" fillId="5" borderId="11"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170" fontId="17"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0" fontId="17" fillId="5" borderId="11" xfId="0" applyNumberFormat="1" applyFont="1" applyFill="1" applyBorder="1" applyAlignment="1">
      <alignment horizontal="right"/>
    </xf>
    <xf numFmtId="170" fontId="17" fillId="5" borderId="12" xfId="0" applyNumberFormat="1" applyFont="1" applyFill="1" applyBorder="1" applyAlignment="1">
      <alignment horizontal="right"/>
    </xf>
    <xf numFmtId="170" fontId="17" fillId="5" borderId="13" xfId="0" applyNumberFormat="1" applyFont="1" applyFill="1" applyBorder="1" applyAlignment="1">
      <alignment horizontal="right"/>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170" fontId="17" fillId="5" borderId="7" xfId="0" applyNumberFormat="1" applyFont="1" applyFill="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9" fillId="0" borderId="8" xfId="0" applyFont="1" applyBorder="1" applyAlignment="1">
      <alignment horizontal="left" vertical="center" wrapText="1"/>
    </xf>
    <xf numFmtId="0" fontId="19" fillId="0" borderId="10" xfId="0" applyFont="1" applyBorder="1" applyAlignment="1">
      <alignment horizontal="left" vertical="center" wrapText="1"/>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167" fontId="18" fillId="2" borderId="7" xfId="0" applyNumberFormat="1" applyFont="1" applyFill="1" applyBorder="1" applyAlignment="1">
      <alignment horizontal="left" vertical="center"/>
    </xf>
    <xf numFmtId="170" fontId="17" fillId="5" borderId="11" xfId="0" applyNumberFormat="1" applyFont="1" applyFill="1" applyBorder="1" applyAlignment="1">
      <alignment horizontal="center" vertical="center"/>
    </xf>
    <xf numFmtId="170" fontId="17" fillId="5" borderId="12" xfId="0" applyNumberFormat="1" applyFont="1" applyFill="1" applyBorder="1" applyAlignment="1">
      <alignment horizontal="center" vertical="center"/>
    </xf>
    <xf numFmtId="170" fontId="17" fillId="5" borderId="13" xfId="0" applyNumberFormat="1" applyFont="1" applyFill="1" applyBorder="1" applyAlignment="1">
      <alignment horizontal="center"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0" fontId="18" fillId="0" borderId="18" xfId="0" applyFont="1" applyBorder="1" applyAlignment="1">
      <alignment horizontal="left" vertical="center"/>
    </xf>
    <xf numFmtId="0" fontId="18" fillId="0" borderId="19" xfId="0" applyFont="1" applyBorder="1" applyAlignment="1">
      <alignment horizontal="left" vertical="center"/>
    </xf>
    <xf numFmtId="0" fontId="18" fillId="0" borderId="20" xfId="0" applyFont="1" applyBorder="1" applyAlignment="1">
      <alignment horizontal="left" vertical="center"/>
    </xf>
    <xf numFmtId="0" fontId="11" fillId="0" borderId="11" xfId="6" applyFont="1" applyBorder="1" applyAlignment="1">
      <alignment horizontal="left" vertical="top" wrapText="1"/>
    </xf>
    <xf numFmtId="0" fontId="11" fillId="0" borderId="12" xfId="6" applyFont="1" applyBorder="1" applyAlignment="1">
      <alignment horizontal="left" vertical="top" wrapText="1"/>
    </xf>
    <xf numFmtId="0" fontId="11" fillId="0" borderId="13" xfId="6" applyFont="1" applyBorder="1" applyAlignment="1">
      <alignment horizontal="left" vertical="top" wrapText="1"/>
    </xf>
    <xf numFmtId="0" fontId="18" fillId="3" borderId="11" xfId="6" applyFont="1" applyFill="1" applyBorder="1" applyAlignment="1">
      <alignment horizontal="center" vertical="top"/>
    </xf>
    <xf numFmtId="0" fontId="18" fillId="3" borderId="12" xfId="6" applyFont="1" applyFill="1" applyBorder="1" applyAlignment="1">
      <alignment horizontal="center" vertical="top"/>
    </xf>
    <xf numFmtId="0" fontId="18" fillId="3" borderId="13" xfId="6" applyFont="1" applyFill="1" applyBorder="1" applyAlignment="1">
      <alignment horizontal="center" vertical="top"/>
    </xf>
    <xf numFmtId="170" fontId="18" fillId="3" borderId="11" xfId="6" applyNumberFormat="1" applyFont="1" applyFill="1" applyBorder="1" applyAlignment="1">
      <alignment horizontal="center" vertical="top"/>
    </xf>
    <xf numFmtId="170" fontId="18" fillId="3" borderId="12" xfId="6" applyNumberFormat="1" applyFont="1" applyFill="1" applyBorder="1" applyAlignment="1">
      <alignment horizontal="center" vertical="top"/>
    </xf>
    <xf numFmtId="170" fontId="18" fillId="3" borderId="13" xfId="6" applyNumberFormat="1" applyFont="1" applyFill="1" applyBorder="1" applyAlignment="1">
      <alignment horizontal="center" vertical="top"/>
    </xf>
    <xf numFmtId="168" fontId="18" fillId="3" borderId="11" xfId="6" applyNumberFormat="1" applyFont="1" applyFill="1" applyBorder="1" applyAlignment="1">
      <alignment horizontal="center" vertical="top"/>
    </xf>
    <xf numFmtId="168" fontId="18" fillId="3" borderId="12" xfId="6" applyNumberFormat="1" applyFont="1" applyFill="1" applyBorder="1" applyAlignment="1">
      <alignment horizontal="center" vertical="top"/>
    </xf>
    <xf numFmtId="168" fontId="18" fillId="3" borderId="13" xfId="6" applyNumberFormat="1" applyFont="1" applyFill="1" applyBorder="1" applyAlignment="1">
      <alignment horizontal="center" vertical="top"/>
    </xf>
    <xf numFmtId="170" fontId="17" fillId="3" borderId="11" xfId="6" applyNumberFormat="1" applyFont="1" applyFill="1" applyBorder="1" applyAlignment="1">
      <alignment horizontal="center" vertical="top" wrapText="1"/>
    </xf>
    <xf numFmtId="170" fontId="17" fillId="3" borderId="12" xfId="6" applyNumberFormat="1" applyFont="1" applyFill="1" applyBorder="1" applyAlignment="1">
      <alignment horizontal="center" vertical="top" wrapText="1"/>
    </xf>
    <xf numFmtId="170" fontId="17" fillId="3" borderId="13" xfId="6" applyNumberFormat="1" applyFont="1" applyFill="1" applyBorder="1" applyAlignment="1">
      <alignment horizontal="center" vertical="top" wrapText="1"/>
    </xf>
    <xf numFmtId="170" fontId="17" fillId="3" borderId="11" xfId="6" applyNumberFormat="1" applyFont="1" applyFill="1" applyBorder="1" applyAlignment="1">
      <alignment horizontal="center" vertical="top"/>
    </xf>
    <xf numFmtId="170" fontId="17" fillId="3" borderId="12" xfId="6" applyNumberFormat="1" applyFont="1" applyFill="1" applyBorder="1" applyAlignment="1">
      <alignment horizontal="center" vertical="top"/>
    </xf>
    <xf numFmtId="170" fontId="17" fillId="3" borderId="13" xfId="6" applyNumberFormat="1" applyFont="1" applyFill="1" applyBorder="1" applyAlignment="1">
      <alignment horizontal="center" vertical="top"/>
    </xf>
    <xf numFmtId="0" fontId="7" fillId="4" borderId="1" xfId="0" applyFont="1" applyFill="1" applyBorder="1" applyAlignment="1">
      <alignment horizontal="left" vertical="top" wrapText="1"/>
    </xf>
    <xf numFmtId="0" fontId="7" fillId="4" borderId="26" xfId="0" applyFont="1" applyFill="1" applyBorder="1" applyAlignment="1">
      <alignment horizontal="left"/>
    </xf>
    <xf numFmtId="0" fontId="7" fillId="4" borderId="2" xfId="0" applyFont="1" applyFill="1" applyBorder="1" applyAlignment="1">
      <alignment horizontal="left"/>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5" fillId="4" borderId="6" xfId="0" applyFont="1" applyFill="1" applyBorder="1" applyAlignment="1">
      <alignment horizontal="left"/>
    </xf>
    <xf numFmtId="0" fontId="5" fillId="4" borderId="0" xfId="0" applyFont="1" applyFill="1" applyBorder="1" applyAlignment="1">
      <alignment horizontal="left"/>
    </xf>
    <xf numFmtId="170" fontId="17" fillId="3" borderId="11" xfId="0" applyNumberFormat="1" applyFont="1" applyFill="1" applyBorder="1" applyAlignment="1">
      <alignment horizontal="center" vertical="center"/>
    </xf>
    <xf numFmtId="170" fontId="17" fillId="3" borderId="12" xfId="0" applyNumberFormat="1" applyFont="1" applyFill="1" applyBorder="1" applyAlignment="1">
      <alignment horizontal="center" vertical="center"/>
    </xf>
    <xf numFmtId="170" fontId="17" fillId="3" borderId="13" xfId="0" applyNumberFormat="1" applyFont="1" applyFill="1" applyBorder="1" applyAlignment="1">
      <alignment horizontal="center" vertical="center"/>
    </xf>
    <xf numFmtId="170" fontId="17" fillId="3" borderId="14" xfId="0" applyNumberFormat="1" applyFont="1" applyFill="1" applyBorder="1" applyAlignment="1">
      <alignment horizontal="center"/>
    </xf>
    <xf numFmtId="170" fontId="17" fillId="3" borderId="15" xfId="0" applyNumberFormat="1" applyFont="1" applyFill="1" applyBorder="1" applyAlignment="1">
      <alignment horizontal="center"/>
    </xf>
    <xf numFmtId="170" fontId="17" fillId="3" borderId="21" xfId="0" applyNumberFormat="1" applyFont="1" applyFill="1" applyBorder="1" applyAlignment="1">
      <alignment horizontal="center"/>
    </xf>
    <xf numFmtId="0" fontId="17" fillId="3" borderId="14" xfId="0" applyFont="1" applyFill="1" applyBorder="1" applyAlignment="1">
      <alignment horizontal="center" vertical="center"/>
    </xf>
    <xf numFmtId="0" fontId="17" fillId="3" borderId="15"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0" fontId="17" fillId="0" borderId="0" xfId="0" applyNumberFormat="1" applyFont="1" applyFill="1" applyBorder="1" applyAlignment="1">
      <alignment horizontal="center" vertical="center"/>
    </xf>
    <xf numFmtId="170" fontId="17" fillId="3" borderId="14" xfId="0" applyNumberFormat="1" applyFont="1" applyFill="1" applyBorder="1" applyAlignment="1">
      <alignment horizontal="center" vertical="center"/>
    </xf>
    <xf numFmtId="170" fontId="17" fillId="3" borderId="15" xfId="0" applyNumberFormat="1" applyFont="1" applyFill="1" applyBorder="1" applyAlignment="1">
      <alignment horizontal="center" vertical="center"/>
    </xf>
    <xf numFmtId="170" fontId="17" fillId="3" borderId="21" xfId="0" applyNumberFormat="1" applyFont="1" applyFill="1" applyBorder="1" applyAlignment="1">
      <alignment horizontal="center" vertical="center"/>
    </xf>
  </cellXfs>
  <cellStyles count="17">
    <cellStyle name="Comma" xfId="3" builtinId="3"/>
    <cellStyle name="Comma 2" xfId="10"/>
    <cellStyle name="Comma 3" xfId="11"/>
    <cellStyle name="Currency" xfId="2" builtinId="4"/>
    <cellStyle name="Currency 2" xfId="4"/>
    <cellStyle name="Normal" xfId="0" builtinId="0"/>
    <cellStyle name="Normal 15" xfId="16"/>
    <cellStyle name="Normal 2" xfId="5"/>
    <cellStyle name="Normal 2 2" xfId="6"/>
    <cellStyle name="Normal 2 2 2" xfId="12"/>
    <cellStyle name="Normal 3" xfId="7"/>
    <cellStyle name="Normal 4" xfId="13"/>
    <cellStyle name="Normal 5"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54</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55"/>
  <sheetViews>
    <sheetView showGridLines="0" zoomScaleNormal="100" workbookViewId="0"/>
  </sheetViews>
  <sheetFormatPr defaultColWidth="9.140625" defaultRowHeight="12.75" zeroHeight="1" x14ac:dyDescent="0.25"/>
  <cols>
    <col min="1" max="1" width="2.85546875" style="26" customWidth="1"/>
    <col min="2" max="2" width="21.140625" style="26" bestFit="1" customWidth="1"/>
    <col min="3" max="3" width="16.85546875" style="26" customWidth="1"/>
    <col min="4" max="4" width="13.42578125" style="26" bestFit="1" customWidth="1"/>
    <col min="5" max="5" width="13.42578125" style="26" customWidth="1"/>
    <col min="6" max="6" width="12.7109375" style="26" customWidth="1"/>
    <col min="7" max="10" width="12.85546875" style="28" customWidth="1"/>
    <col min="11" max="11" width="12.85546875" style="26" customWidth="1"/>
    <col min="12" max="12" width="2.85546875" style="26" customWidth="1"/>
    <col min="13" max="13" width="49.85546875" style="29" customWidth="1"/>
    <col min="14" max="14" width="2.85546875" style="26" customWidth="1"/>
    <col min="15" max="17" width="9.140625" style="26" customWidth="1"/>
    <col min="18" max="16384" width="9.140625" style="26"/>
  </cols>
  <sheetData>
    <row r="1" spans="2:13" x14ac:dyDescent="0.25">
      <c r="B1" s="27"/>
    </row>
    <row r="2" spans="2:13" ht="21" x14ac:dyDescent="0.25">
      <c r="B2" s="30" t="s">
        <v>51</v>
      </c>
    </row>
    <row r="3" spans="2:13" ht="21" x14ac:dyDescent="0.25">
      <c r="B3" s="30" t="str">
        <f>+'AER Summary'!C3</f>
        <v>Notification Of Arrangement</v>
      </c>
    </row>
    <row r="4" spans="2:13" ht="18.75" x14ac:dyDescent="0.25">
      <c r="B4" s="31" t="s">
        <v>52</v>
      </c>
    </row>
    <row r="5" spans="2:13" x14ac:dyDescent="0.25"/>
    <row r="6" spans="2:13" ht="15.75" x14ac:dyDescent="0.25">
      <c r="B6" s="32" t="s">
        <v>130</v>
      </c>
      <c r="C6" s="33"/>
      <c r="D6" s="33"/>
      <c r="E6" s="33"/>
      <c r="F6" s="33"/>
      <c r="G6" s="34"/>
      <c r="H6" s="34"/>
      <c r="I6" s="34"/>
      <c r="J6" s="34"/>
      <c r="K6" s="33"/>
      <c r="M6" s="35"/>
    </row>
    <row r="7" spans="2:13" x14ac:dyDescent="0.25"/>
    <row r="8" spans="2:13" ht="38.25" x14ac:dyDescent="0.25">
      <c r="B8" s="355" t="s">
        <v>10</v>
      </c>
      <c r="C8" s="356"/>
      <c r="D8" s="356"/>
      <c r="E8" s="356"/>
      <c r="F8" s="357"/>
      <c r="G8" s="114" t="s">
        <v>63</v>
      </c>
      <c r="H8" s="150" t="s">
        <v>8</v>
      </c>
      <c r="I8" s="150" t="s">
        <v>82</v>
      </c>
      <c r="J8" s="150" t="s">
        <v>75</v>
      </c>
      <c r="K8" s="115" t="s">
        <v>62</v>
      </c>
      <c r="M8" s="40" t="s">
        <v>5</v>
      </c>
    </row>
    <row r="9" spans="2:13" ht="12.75" customHeight="1" x14ac:dyDescent="0.25">
      <c r="B9" s="358"/>
      <c r="C9" s="359"/>
      <c r="D9" s="359"/>
      <c r="E9" s="359"/>
      <c r="F9" s="360"/>
      <c r="G9" s="41"/>
      <c r="H9" s="42"/>
      <c r="I9" s="43"/>
      <c r="J9" s="42"/>
      <c r="K9" s="42"/>
      <c r="M9" s="361" t="s">
        <v>131</v>
      </c>
    </row>
    <row r="10" spans="2:13" x14ac:dyDescent="0.25">
      <c r="B10" s="364" t="s">
        <v>111</v>
      </c>
      <c r="C10" s="365"/>
      <c r="D10" s="365"/>
      <c r="E10" s="365"/>
      <c r="F10" s="366"/>
      <c r="G10" s="286"/>
      <c r="H10" s="287"/>
      <c r="I10" s="288"/>
      <c r="J10" s="287"/>
      <c r="K10" s="287"/>
      <c r="M10" s="362"/>
    </row>
    <row r="11" spans="2:13" x14ac:dyDescent="0.2">
      <c r="B11" s="239" t="s">
        <v>114</v>
      </c>
      <c r="C11" s="234"/>
      <c r="D11" s="234"/>
      <c r="E11" s="234"/>
      <c r="F11" s="235"/>
      <c r="G11" s="194">
        <v>63.636363636363633</v>
      </c>
      <c r="H11" s="199">
        <f>+K11/G11</f>
        <v>3.0285714285714289</v>
      </c>
      <c r="I11" s="199"/>
      <c r="J11" s="227">
        <v>212</v>
      </c>
      <c r="K11" s="227">
        <f>+J11/11*10</f>
        <v>192.72727272727275</v>
      </c>
      <c r="M11" s="362"/>
    </row>
    <row r="12" spans="2:13" x14ac:dyDescent="0.2">
      <c r="B12" s="239" t="s">
        <v>115</v>
      </c>
      <c r="C12" s="234"/>
      <c r="D12" s="234"/>
      <c r="E12" s="234"/>
      <c r="F12" s="235"/>
      <c r="G12" s="194">
        <v>63.636363636363633</v>
      </c>
      <c r="H12" s="199">
        <f t="shared" ref="H12:H13" si="0">+K12/G12</f>
        <v>3.0285714285714289</v>
      </c>
      <c r="I12" s="199"/>
      <c r="J12" s="227">
        <v>212</v>
      </c>
      <c r="K12" s="227">
        <f t="shared" ref="K12:K16" si="1">+J12/11*10</f>
        <v>192.72727272727275</v>
      </c>
      <c r="M12" s="362"/>
    </row>
    <row r="13" spans="2:13" x14ac:dyDescent="0.2">
      <c r="B13" s="239" t="s">
        <v>116</v>
      </c>
      <c r="C13" s="234"/>
      <c r="D13" s="234"/>
      <c r="E13" s="234"/>
      <c r="F13" s="235"/>
      <c r="G13" s="194">
        <v>63.636363636363633</v>
      </c>
      <c r="H13" s="199">
        <f t="shared" si="0"/>
        <v>3.0285714285714289</v>
      </c>
      <c r="I13" s="199"/>
      <c r="J13" s="227">
        <v>212</v>
      </c>
      <c r="K13" s="227">
        <f t="shared" si="1"/>
        <v>192.72727272727275</v>
      </c>
      <c r="M13" s="362"/>
    </row>
    <row r="14" spans="2:13" x14ac:dyDescent="0.2">
      <c r="B14" s="239" t="s">
        <v>117</v>
      </c>
      <c r="C14" s="234"/>
      <c r="D14" s="234"/>
      <c r="E14" s="234"/>
      <c r="F14" s="235"/>
      <c r="G14" s="194">
        <v>63.636363636363633</v>
      </c>
      <c r="H14" s="200" t="s">
        <v>9</v>
      </c>
      <c r="I14" s="199">
        <v>2</v>
      </c>
      <c r="J14" s="227">
        <v>70</v>
      </c>
      <c r="K14" s="227">
        <f t="shared" si="1"/>
        <v>63.636363636363633</v>
      </c>
      <c r="M14" s="362"/>
    </row>
    <row r="15" spans="2:13" x14ac:dyDescent="0.2">
      <c r="B15" s="239" t="s">
        <v>118</v>
      </c>
      <c r="C15" s="234"/>
      <c r="D15" s="234"/>
      <c r="E15" s="234"/>
      <c r="F15" s="235"/>
      <c r="G15" s="194">
        <v>63.636363636363633</v>
      </c>
      <c r="H15" s="200" t="s">
        <v>9</v>
      </c>
      <c r="I15" s="199">
        <v>3</v>
      </c>
      <c r="J15" s="227">
        <v>70</v>
      </c>
      <c r="K15" s="227">
        <f t="shared" si="1"/>
        <v>63.636363636363633</v>
      </c>
      <c r="M15" s="362"/>
    </row>
    <row r="16" spans="2:13" x14ac:dyDescent="0.2">
      <c r="B16" s="239" t="s">
        <v>119</v>
      </c>
      <c r="C16" s="234"/>
      <c r="D16" s="234"/>
      <c r="E16" s="234"/>
      <c r="F16" s="235"/>
      <c r="G16" s="194">
        <v>63.636363636363633</v>
      </c>
      <c r="H16" s="200" t="s">
        <v>9</v>
      </c>
      <c r="I16" s="199">
        <v>3</v>
      </c>
      <c r="J16" s="227">
        <v>70</v>
      </c>
      <c r="K16" s="227">
        <f t="shared" si="1"/>
        <v>63.636363636363633</v>
      </c>
      <c r="M16" s="362"/>
    </row>
    <row r="17" spans="2:13" x14ac:dyDescent="0.2">
      <c r="B17" s="233"/>
      <c r="C17" s="234"/>
      <c r="D17" s="234"/>
      <c r="E17" s="234"/>
      <c r="F17" s="235"/>
      <c r="G17" s="44"/>
      <c r="H17" s="45"/>
      <c r="I17" s="46"/>
      <c r="J17" s="45"/>
      <c r="K17" s="45"/>
      <c r="M17" s="362"/>
    </row>
    <row r="18" spans="2:13" x14ac:dyDescent="0.25">
      <c r="B18" s="364" t="s">
        <v>113</v>
      </c>
      <c r="C18" s="365"/>
      <c r="D18" s="365"/>
      <c r="E18" s="365"/>
      <c r="F18" s="366"/>
      <c r="G18" s="283"/>
      <c r="H18" s="284"/>
      <c r="I18" s="285"/>
      <c r="J18" s="284"/>
      <c r="K18" s="284"/>
      <c r="M18" s="362"/>
    </row>
    <row r="19" spans="2:13" x14ac:dyDescent="0.2">
      <c r="B19" s="233" t="s">
        <v>120</v>
      </c>
      <c r="C19" s="234"/>
      <c r="D19" s="234"/>
      <c r="E19" s="234"/>
      <c r="F19" s="235"/>
      <c r="G19" s="194">
        <v>63.636363636363633</v>
      </c>
      <c r="H19" s="199">
        <f t="shared" ref="H19:H21" si="2">+K19/G19</f>
        <v>3.0285714285714289</v>
      </c>
      <c r="I19" s="199"/>
      <c r="J19" s="227">
        <v>212</v>
      </c>
      <c r="K19" s="227">
        <f t="shared" ref="K19:K24" si="3">+J19/11*10</f>
        <v>192.72727272727275</v>
      </c>
      <c r="M19" s="362"/>
    </row>
    <row r="20" spans="2:13" x14ac:dyDescent="0.2">
      <c r="B20" s="233" t="s">
        <v>121</v>
      </c>
      <c r="C20" s="234"/>
      <c r="D20" s="234"/>
      <c r="E20" s="234"/>
      <c r="F20" s="235"/>
      <c r="G20" s="194">
        <v>63.636363636363633</v>
      </c>
      <c r="H20" s="199">
        <f t="shared" si="2"/>
        <v>3.0285714285714289</v>
      </c>
      <c r="I20" s="199"/>
      <c r="J20" s="227">
        <v>212</v>
      </c>
      <c r="K20" s="227">
        <f t="shared" si="3"/>
        <v>192.72727272727275</v>
      </c>
      <c r="M20" s="362"/>
    </row>
    <row r="21" spans="2:13" x14ac:dyDescent="0.2">
      <c r="B21" s="233" t="s">
        <v>122</v>
      </c>
      <c r="C21" s="234"/>
      <c r="D21" s="234"/>
      <c r="E21" s="234"/>
      <c r="F21" s="235"/>
      <c r="G21" s="194">
        <v>63.636363636363633</v>
      </c>
      <c r="H21" s="199">
        <f t="shared" si="2"/>
        <v>3.0285714285714289</v>
      </c>
      <c r="I21" s="199"/>
      <c r="J21" s="227">
        <v>212</v>
      </c>
      <c r="K21" s="227">
        <f t="shared" si="3"/>
        <v>192.72727272727275</v>
      </c>
      <c r="M21" s="362"/>
    </row>
    <row r="22" spans="2:13" x14ac:dyDescent="0.2">
      <c r="B22" s="233" t="s">
        <v>123</v>
      </c>
      <c r="C22" s="234"/>
      <c r="D22" s="234"/>
      <c r="E22" s="234"/>
      <c r="F22" s="235"/>
      <c r="G22" s="194">
        <v>63.636363636363633</v>
      </c>
      <c r="H22" s="200" t="s">
        <v>9</v>
      </c>
      <c r="I22" s="199">
        <v>0</v>
      </c>
      <c r="J22" s="227">
        <v>70</v>
      </c>
      <c r="K22" s="227">
        <f t="shared" si="3"/>
        <v>63.636363636363633</v>
      </c>
      <c r="M22" s="362"/>
    </row>
    <row r="23" spans="2:13" x14ac:dyDescent="0.2">
      <c r="B23" s="233" t="s">
        <v>124</v>
      </c>
      <c r="C23" s="234"/>
      <c r="D23" s="234"/>
      <c r="E23" s="234"/>
      <c r="F23" s="235"/>
      <c r="G23" s="194">
        <v>63.636363636363633</v>
      </c>
      <c r="H23" s="200" t="s">
        <v>9</v>
      </c>
      <c r="I23" s="199">
        <v>0</v>
      </c>
      <c r="J23" s="227">
        <v>70</v>
      </c>
      <c r="K23" s="227">
        <f t="shared" si="3"/>
        <v>63.636363636363633</v>
      </c>
      <c r="M23" s="362"/>
    </row>
    <row r="24" spans="2:13" x14ac:dyDescent="0.2">
      <c r="B24" s="233" t="s">
        <v>125</v>
      </c>
      <c r="C24" s="234"/>
      <c r="D24" s="234"/>
      <c r="E24" s="234"/>
      <c r="F24" s="235"/>
      <c r="G24" s="194">
        <v>63.636363636363633</v>
      </c>
      <c r="H24" s="200" t="s">
        <v>9</v>
      </c>
      <c r="I24" s="199">
        <v>0</v>
      </c>
      <c r="J24" s="227">
        <v>70</v>
      </c>
      <c r="K24" s="227">
        <f t="shared" si="3"/>
        <v>63.636363636363633</v>
      </c>
      <c r="M24" s="362"/>
    </row>
    <row r="25" spans="2:13" x14ac:dyDescent="0.2">
      <c r="B25" s="236"/>
      <c r="C25" s="237"/>
      <c r="D25" s="237"/>
      <c r="E25" s="237"/>
      <c r="F25" s="238"/>
      <c r="G25" s="244"/>
      <c r="H25" s="245"/>
      <c r="I25" s="47"/>
      <c r="J25" s="245"/>
      <c r="K25" s="245"/>
      <c r="M25" s="363"/>
    </row>
    <row r="26" spans="2:13" x14ac:dyDescent="0.25"/>
    <row r="27" spans="2:13" ht="15.75" x14ac:dyDescent="0.25">
      <c r="B27" s="32" t="s">
        <v>2</v>
      </c>
      <c r="C27" s="33"/>
      <c r="D27" s="33"/>
      <c r="E27" s="33"/>
      <c r="F27" s="33"/>
      <c r="G27" s="34"/>
      <c r="H27" s="34"/>
      <c r="I27" s="34"/>
      <c r="J27" s="34"/>
      <c r="K27" s="33"/>
      <c r="M27" s="35"/>
    </row>
    <row r="28" spans="2:13" x14ac:dyDescent="0.25"/>
    <row r="29" spans="2:13" x14ac:dyDescent="0.25">
      <c r="B29" s="355" t="s">
        <v>29</v>
      </c>
      <c r="C29" s="356"/>
      <c r="D29" s="356"/>
      <c r="E29" s="356"/>
      <c r="F29" s="357"/>
      <c r="G29" s="36" t="s">
        <v>12</v>
      </c>
      <c r="H29" s="37" t="s">
        <v>13</v>
      </c>
      <c r="I29" s="38" t="s">
        <v>14</v>
      </c>
      <c r="J29" s="37" t="s">
        <v>15</v>
      </c>
      <c r="K29" s="39" t="s">
        <v>16</v>
      </c>
      <c r="M29" s="40" t="s">
        <v>5</v>
      </c>
    </row>
    <row r="30" spans="2:13" ht="24.95" customHeight="1" x14ac:dyDescent="0.25">
      <c r="B30" s="397" t="s">
        <v>105</v>
      </c>
      <c r="C30" s="398"/>
      <c r="D30" s="398"/>
      <c r="E30" s="398"/>
      <c r="F30" s="399"/>
      <c r="G30" s="19">
        <v>164896.98000000103</v>
      </c>
      <c r="H30" s="20">
        <v>159611.23000000062</v>
      </c>
      <c r="I30" s="21">
        <v>197555.29000000199</v>
      </c>
      <c r="J30" s="20">
        <v>212779.19999999995</v>
      </c>
      <c r="K30" s="74"/>
      <c r="M30" s="404" t="s">
        <v>107</v>
      </c>
    </row>
    <row r="31" spans="2:13" ht="24.95" customHeight="1" x14ac:dyDescent="0.25">
      <c r="B31" s="397" t="s">
        <v>106</v>
      </c>
      <c r="C31" s="398"/>
      <c r="D31" s="398"/>
      <c r="E31" s="398"/>
      <c r="F31" s="399"/>
      <c r="G31" s="19">
        <v>15854.109999999973</v>
      </c>
      <c r="H31" s="20">
        <v>15803.85</v>
      </c>
      <c r="I31" s="21">
        <v>13836.559999999978</v>
      </c>
      <c r="J31" s="20">
        <v>13298.369999999986</v>
      </c>
      <c r="K31" s="74"/>
      <c r="M31" s="405"/>
    </row>
    <row r="32" spans="2:13" x14ac:dyDescent="0.25"/>
    <row r="33" spans="2:13" ht="15.75" x14ac:dyDescent="0.25">
      <c r="B33" s="32" t="s">
        <v>43</v>
      </c>
      <c r="C33" s="33"/>
      <c r="D33" s="33"/>
      <c r="E33" s="33"/>
      <c r="F33" s="33"/>
      <c r="G33" s="34"/>
      <c r="H33" s="34"/>
      <c r="I33" s="34"/>
      <c r="J33" s="34"/>
      <c r="K33" s="33"/>
      <c r="M33" s="35"/>
    </row>
    <row r="34" spans="2:13" x14ac:dyDescent="0.25"/>
    <row r="35" spans="2:13" x14ac:dyDescent="0.25">
      <c r="B35" s="50" t="s">
        <v>27</v>
      </c>
      <c r="C35" s="400" t="s">
        <v>42</v>
      </c>
      <c r="D35" s="400"/>
      <c r="E35" s="400"/>
      <c r="F35" s="400"/>
      <c r="G35" s="37" t="s">
        <v>12</v>
      </c>
      <c r="H35" s="37" t="s">
        <v>13</v>
      </c>
      <c r="I35" s="37" t="s">
        <v>14</v>
      </c>
      <c r="J35" s="37" t="s">
        <v>15</v>
      </c>
      <c r="K35" s="51" t="s">
        <v>16</v>
      </c>
      <c r="M35" s="40" t="s">
        <v>5</v>
      </c>
    </row>
    <row r="36" spans="2:13" ht="17.100000000000001" customHeight="1" x14ac:dyDescent="0.25">
      <c r="B36" s="22" t="s">
        <v>108</v>
      </c>
      <c r="C36" s="406" t="s">
        <v>110</v>
      </c>
      <c r="D36" s="407"/>
      <c r="E36" s="407"/>
      <c r="F36" s="408"/>
      <c r="G36" s="25" t="s">
        <v>11</v>
      </c>
      <c r="H36" s="23">
        <v>52659.763384087375</v>
      </c>
      <c r="I36" s="20">
        <v>54478.074756179871</v>
      </c>
      <c r="J36" s="20">
        <v>45907.848605305117</v>
      </c>
      <c r="K36" s="76"/>
      <c r="M36" s="361" t="s">
        <v>112</v>
      </c>
    </row>
    <row r="37" spans="2:13" ht="17.100000000000001" customHeight="1" x14ac:dyDescent="0.25">
      <c r="B37" s="22" t="s">
        <v>109</v>
      </c>
      <c r="C37" s="229" t="s">
        <v>111</v>
      </c>
      <c r="D37" s="230"/>
      <c r="E37" s="230"/>
      <c r="F37" s="231"/>
      <c r="G37" s="25" t="s">
        <v>11</v>
      </c>
      <c r="H37" s="23">
        <v>48785.542904656555</v>
      </c>
      <c r="I37" s="20">
        <v>53904.134934061374</v>
      </c>
      <c r="J37" s="20">
        <v>41101.891360866633</v>
      </c>
      <c r="K37" s="76"/>
      <c r="M37" s="362"/>
    </row>
    <row r="38" spans="2:13" ht="17.100000000000001" customHeight="1" x14ac:dyDescent="0.25">
      <c r="B38" s="22" t="s">
        <v>102</v>
      </c>
      <c r="C38" s="229" t="s">
        <v>103</v>
      </c>
      <c r="D38" s="230"/>
      <c r="E38" s="230"/>
      <c r="F38" s="231"/>
      <c r="G38" s="25" t="s">
        <v>11</v>
      </c>
      <c r="H38" s="23">
        <v>84611.772001180347</v>
      </c>
      <c r="I38" s="20">
        <v>66030.397436662912</v>
      </c>
      <c r="J38" s="20">
        <v>72646.694909465208</v>
      </c>
      <c r="K38" s="76"/>
      <c r="M38" s="363"/>
    </row>
    <row r="39" spans="2:13" ht="13.5" thickBot="1" x14ac:dyDescent="0.3">
      <c r="B39" s="52"/>
      <c r="C39" s="52"/>
      <c r="D39" s="52"/>
      <c r="E39" s="52"/>
      <c r="F39" s="52"/>
      <c r="G39" s="53">
        <f>SUM(G36:G38)</f>
        <v>0</v>
      </c>
      <c r="H39" s="53">
        <f>SUM(H36:H38)</f>
        <v>186057.07828992428</v>
      </c>
      <c r="I39" s="53">
        <f>SUM(I36:I38)</f>
        <v>174412.60712690416</v>
      </c>
      <c r="J39" s="53">
        <f>SUM(J36:J38)</f>
        <v>159656.43487563694</v>
      </c>
      <c r="K39" s="77"/>
    </row>
    <row r="40" spans="2:13" x14ac:dyDescent="0.25">
      <c r="B40" s="52"/>
      <c r="C40" s="52"/>
      <c r="D40" s="52"/>
      <c r="E40" s="52"/>
      <c r="F40" s="52"/>
      <c r="G40" s="54"/>
      <c r="H40" s="54"/>
      <c r="I40" s="54"/>
      <c r="J40" s="54"/>
      <c r="K40" s="29"/>
    </row>
    <row r="41" spans="2:13" ht="15.75" x14ac:dyDescent="0.25">
      <c r="B41" s="32" t="s">
        <v>47</v>
      </c>
      <c r="C41" s="33"/>
      <c r="D41" s="33"/>
      <c r="E41" s="33"/>
      <c r="F41" s="33"/>
      <c r="G41" s="34"/>
      <c r="H41" s="34"/>
      <c r="I41" s="34"/>
      <c r="J41" s="34"/>
      <c r="K41" s="33"/>
      <c r="M41" s="35"/>
    </row>
    <row r="42" spans="2:13" x14ac:dyDescent="0.25"/>
    <row r="43" spans="2:13" ht="38.25" x14ac:dyDescent="0.25">
      <c r="B43" s="355" t="s">
        <v>29</v>
      </c>
      <c r="C43" s="356"/>
      <c r="D43" s="356"/>
      <c r="E43" s="356"/>
      <c r="F43" s="357"/>
      <c r="G43" s="36" t="s">
        <v>12</v>
      </c>
      <c r="H43" s="37" t="s">
        <v>13</v>
      </c>
      <c r="I43" s="37" t="s">
        <v>14</v>
      </c>
      <c r="J43" s="37" t="s">
        <v>15</v>
      </c>
      <c r="K43" s="156" t="s">
        <v>76</v>
      </c>
      <c r="M43" s="40" t="s">
        <v>5</v>
      </c>
    </row>
    <row r="44" spans="2:13" ht="12.75" customHeight="1" x14ac:dyDescent="0.25">
      <c r="B44" s="358"/>
      <c r="C44" s="359"/>
      <c r="D44" s="359"/>
      <c r="E44" s="359"/>
      <c r="F44" s="360"/>
      <c r="G44" s="41"/>
      <c r="H44" s="42"/>
      <c r="I44" s="43"/>
      <c r="J44" s="42"/>
      <c r="K44" s="42"/>
      <c r="M44" s="361" t="s">
        <v>155</v>
      </c>
    </row>
    <row r="45" spans="2:13" x14ac:dyDescent="0.25">
      <c r="B45" s="364" t="s">
        <v>111</v>
      </c>
      <c r="C45" s="365"/>
      <c r="D45" s="365"/>
      <c r="E45" s="365"/>
      <c r="F45" s="366"/>
      <c r="G45" s="283"/>
      <c r="H45" s="284"/>
      <c r="I45" s="285"/>
      <c r="J45" s="284"/>
      <c r="K45" s="284"/>
      <c r="M45" s="362"/>
    </row>
    <row r="46" spans="2:13" x14ac:dyDescent="0.2">
      <c r="B46" s="239" t="s">
        <v>114</v>
      </c>
      <c r="C46" s="234"/>
      <c r="D46" s="234"/>
      <c r="E46" s="234"/>
      <c r="F46" s="235"/>
      <c r="G46" s="44">
        <v>46</v>
      </c>
      <c r="H46" s="45">
        <v>38</v>
      </c>
      <c r="I46" s="46">
        <v>49</v>
      </c>
      <c r="J46" s="45">
        <v>43</v>
      </c>
      <c r="K46" s="45">
        <v>41</v>
      </c>
      <c r="M46" s="362"/>
    </row>
    <row r="47" spans="2:13" x14ac:dyDescent="0.2">
      <c r="B47" s="239" t="s">
        <v>115</v>
      </c>
      <c r="C47" s="234"/>
      <c r="D47" s="234"/>
      <c r="E47" s="234"/>
      <c r="F47" s="235"/>
      <c r="G47" s="44">
        <v>82</v>
      </c>
      <c r="H47" s="45">
        <v>85</v>
      </c>
      <c r="I47" s="46">
        <v>109</v>
      </c>
      <c r="J47" s="45">
        <v>102</v>
      </c>
      <c r="K47" s="45">
        <v>104</v>
      </c>
      <c r="M47" s="362"/>
    </row>
    <row r="48" spans="2:13" x14ac:dyDescent="0.2">
      <c r="B48" s="239" t="s">
        <v>116</v>
      </c>
      <c r="C48" s="234"/>
      <c r="D48" s="234"/>
      <c r="E48" s="234"/>
      <c r="F48" s="235"/>
      <c r="G48" s="44">
        <v>739</v>
      </c>
      <c r="H48" s="45">
        <v>659</v>
      </c>
      <c r="I48" s="46">
        <v>787</v>
      </c>
      <c r="J48" s="45">
        <v>864</v>
      </c>
      <c r="K48" s="45">
        <v>844</v>
      </c>
      <c r="M48" s="362"/>
    </row>
    <row r="49" spans="2:13" x14ac:dyDescent="0.2">
      <c r="B49" s="239" t="s">
        <v>117</v>
      </c>
      <c r="C49" s="234"/>
      <c r="D49" s="234"/>
      <c r="E49" s="234"/>
      <c r="F49" s="235"/>
      <c r="G49" s="44">
        <v>0</v>
      </c>
      <c r="H49" s="45">
        <v>2</v>
      </c>
      <c r="I49" s="46">
        <v>4</v>
      </c>
      <c r="J49" s="45">
        <v>1</v>
      </c>
      <c r="K49" s="45">
        <v>1</v>
      </c>
      <c r="M49" s="362"/>
    </row>
    <row r="50" spans="2:13" x14ac:dyDescent="0.2">
      <c r="B50" s="239" t="s">
        <v>118</v>
      </c>
      <c r="C50" s="234"/>
      <c r="D50" s="234"/>
      <c r="E50" s="234"/>
      <c r="F50" s="235"/>
      <c r="G50" s="44">
        <v>0</v>
      </c>
      <c r="H50" s="45">
        <v>3</v>
      </c>
      <c r="I50" s="46">
        <v>2</v>
      </c>
      <c r="J50" s="45">
        <v>2</v>
      </c>
      <c r="K50" s="45">
        <v>1</v>
      </c>
      <c r="M50" s="362"/>
    </row>
    <row r="51" spans="2:13" x14ac:dyDescent="0.2">
      <c r="B51" s="239" t="s">
        <v>119</v>
      </c>
      <c r="C51" s="234"/>
      <c r="D51" s="234"/>
      <c r="E51" s="234"/>
      <c r="F51" s="235"/>
      <c r="G51" s="44">
        <v>45</v>
      </c>
      <c r="H51" s="45">
        <v>72</v>
      </c>
      <c r="I51" s="46">
        <v>82</v>
      </c>
      <c r="J51" s="45">
        <v>92</v>
      </c>
      <c r="K51" s="45">
        <v>91</v>
      </c>
      <c r="M51" s="362"/>
    </row>
    <row r="52" spans="2:13" x14ac:dyDescent="0.2">
      <c r="B52" s="240"/>
      <c r="C52" s="241"/>
      <c r="D52" s="241"/>
      <c r="E52" s="241"/>
      <c r="F52" s="242"/>
      <c r="G52" s="243">
        <f>SUM(G46:G51)</f>
        <v>912</v>
      </c>
      <c r="H52" s="243">
        <f>SUM(H46:H51)</f>
        <v>859</v>
      </c>
      <c r="I52" s="243">
        <f>SUM(I46:I51)</f>
        <v>1033</v>
      </c>
      <c r="J52" s="243">
        <f>SUM(J46:J51)</f>
        <v>1104</v>
      </c>
      <c r="K52" s="243">
        <f>SUM(K46:K51)</f>
        <v>1082</v>
      </c>
      <c r="M52" s="362"/>
    </row>
    <row r="53" spans="2:13" x14ac:dyDescent="0.2">
      <c r="B53" s="233"/>
      <c r="C53" s="234"/>
      <c r="D53" s="234"/>
      <c r="E53" s="234"/>
      <c r="F53" s="235"/>
      <c r="G53" s="44"/>
      <c r="H53" s="45"/>
      <c r="I53" s="46"/>
      <c r="J53" s="45"/>
      <c r="K53" s="45"/>
      <c r="M53" s="362"/>
    </row>
    <row r="54" spans="2:13" x14ac:dyDescent="0.25">
      <c r="B54" s="364" t="s">
        <v>113</v>
      </c>
      <c r="C54" s="365"/>
      <c r="D54" s="365"/>
      <c r="E54" s="365"/>
      <c r="F54" s="366"/>
      <c r="G54" s="283"/>
      <c r="H54" s="284"/>
      <c r="I54" s="285"/>
      <c r="J54" s="284"/>
      <c r="K54" s="284"/>
      <c r="M54" s="362"/>
    </row>
    <row r="55" spans="2:13" x14ac:dyDescent="0.2">
      <c r="B55" s="233" t="s">
        <v>120</v>
      </c>
      <c r="C55" s="234"/>
      <c r="D55" s="234"/>
      <c r="E55" s="234"/>
      <c r="F55" s="235"/>
      <c r="G55" s="44">
        <v>18</v>
      </c>
      <c r="H55" s="45">
        <v>14</v>
      </c>
      <c r="I55" s="46">
        <v>11</v>
      </c>
      <c r="J55" s="45">
        <v>12</v>
      </c>
      <c r="K55" s="45">
        <v>12</v>
      </c>
      <c r="M55" s="362"/>
    </row>
    <row r="56" spans="2:13" x14ac:dyDescent="0.2">
      <c r="B56" s="233" t="s">
        <v>121</v>
      </c>
      <c r="C56" s="234"/>
      <c r="D56" s="234"/>
      <c r="E56" s="234"/>
      <c r="F56" s="235"/>
      <c r="G56" s="44">
        <v>1</v>
      </c>
      <c r="H56" s="45">
        <v>2</v>
      </c>
      <c r="I56" s="46">
        <v>1</v>
      </c>
      <c r="J56" s="45">
        <v>0</v>
      </c>
      <c r="K56" s="45">
        <v>0</v>
      </c>
      <c r="M56" s="362"/>
    </row>
    <row r="57" spans="2:13" x14ac:dyDescent="0.2">
      <c r="B57" s="233" t="s">
        <v>122</v>
      </c>
      <c r="C57" s="234"/>
      <c r="D57" s="234"/>
      <c r="E57" s="234"/>
      <c r="F57" s="235"/>
      <c r="G57" s="44">
        <v>64</v>
      </c>
      <c r="H57" s="45">
        <v>66</v>
      </c>
      <c r="I57" s="46">
        <v>60</v>
      </c>
      <c r="J57" s="45">
        <v>57</v>
      </c>
      <c r="K57" s="45">
        <v>56</v>
      </c>
      <c r="M57" s="362"/>
    </row>
    <row r="58" spans="2:13" x14ac:dyDescent="0.2">
      <c r="B58" s="233" t="s">
        <v>123</v>
      </c>
      <c r="C58" s="234"/>
      <c r="D58" s="234"/>
      <c r="E58" s="234"/>
      <c r="F58" s="235"/>
      <c r="G58" s="44">
        <v>0</v>
      </c>
      <c r="H58" s="45">
        <v>0</v>
      </c>
      <c r="I58" s="46">
        <v>0</v>
      </c>
      <c r="J58" s="45">
        <v>0</v>
      </c>
      <c r="K58" s="45">
        <v>0</v>
      </c>
      <c r="M58" s="362"/>
    </row>
    <row r="59" spans="2:13" x14ac:dyDescent="0.2">
      <c r="B59" s="233" t="s">
        <v>124</v>
      </c>
      <c r="C59" s="234"/>
      <c r="D59" s="234"/>
      <c r="E59" s="234"/>
      <c r="F59" s="235"/>
      <c r="G59" s="44">
        <v>0</v>
      </c>
      <c r="H59" s="45">
        <v>0</v>
      </c>
      <c r="I59" s="46">
        <v>0</v>
      </c>
      <c r="J59" s="45">
        <v>0</v>
      </c>
      <c r="K59" s="45">
        <v>0</v>
      </c>
      <c r="M59" s="362"/>
    </row>
    <row r="60" spans="2:13" x14ac:dyDescent="0.2">
      <c r="B60" s="233" t="s">
        <v>125</v>
      </c>
      <c r="C60" s="234"/>
      <c r="D60" s="234"/>
      <c r="E60" s="234"/>
      <c r="F60" s="235"/>
      <c r="G60" s="44">
        <v>0</v>
      </c>
      <c r="H60" s="45">
        <v>0</v>
      </c>
      <c r="I60" s="46">
        <v>0</v>
      </c>
      <c r="J60" s="45">
        <v>0</v>
      </c>
      <c r="K60" s="45">
        <v>0</v>
      </c>
      <c r="M60" s="362"/>
    </row>
    <row r="61" spans="2:13" x14ac:dyDescent="0.2">
      <c r="B61" s="240"/>
      <c r="C61" s="241"/>
      <c r="D61" s="241"/>
      <c r="E61" s="241"/>
      <c r="F61" s="242"/>
      <c r="G61" s="243">
        <f>SUM(G55:G60)</f>
        <v>83</v>
      </c>
      <c r="H61" s="243">
        <f>SUM(H55:H60)</f>
        <v>82</v>
      </c>
      <c r="I61" s="243">
        <f>SUM(I55:I60)</f>
        <v>72</v>
      </c>
      <c r="J61" s="243">
        <f>SUM(J55:J60)</f>
        <v>69</v>
      </c>
      <c r="K61" s="243">
        <f>SUM(K55:K60)</f>
        <v>68</v>
      </c>
      <c r="M61" s="362"/>
    </row>
    <row r="62" spans="2:13" x14ac:dyDescent="0.2">
      <c r="B62" s="236"/>
      <c r="C62" s="237"/>
      <c r="D62" s="237"/>
      <c r="E62" s="237"/>
      <c r="F62" s="238"/>
      <c r="G62" s="244"/>
      <c r="H62" s="245"/>
      <c r="I62" s="47"/>
      <c r="J62" s="245"/>
      <c r="K62" s="245"/>
      <c r="M62" s="363"/>
    </row>
    <row r="63" spans="2:13" ht="13.5" thickBot="1" x14ac:dyDescent="0.3">
      <c r="G63" s="48">
        <f>+G61+G52</f>
        <v>995</v>
      </c>
      <c r="H63" s="48">
        <f>+H61+H52</f>
        <v>941</v>
      </c>
      <c r="I63" s="48">
        <f>+I61+I52</f>
        <v>1105</v>
      </c>
      <c r="J63" s="48">
        <f>+J61+J52</f>
        <v>1173</v>
      </c>
      <c r="K63" s="48">
        <f>+K61+K52</f>
        <v>1150</v>
      </c>
    </row>
    <row r="64" spans="2:13" x14ac:dyDescent="0.25"/>
    <row r="65" spans="2:13" ht="15.75" x14ac:dyDescent="0.25">
      <c r="B65" s="32" t="s">
        <v>48</v>
      </c>
      <c r="C65" s="33"/>
      <c r="D65" s="33"/>
      <c r="E65" s="33"/>
      <c r="F65" s="33"/>
      <c r="G65" s="34"/>
      <c r="H65" s="34"/>
      <c r="I65" s="34"/>
      <c r="J65" s="34"/>
      <c r="K65" s="33"/>
      <c r="M65" s="35"/>
    </row>
    <row r="66" spans="2:13" x14ac:dyDescent="0.25"/>
    <row r="67" spans="2:13" x14ac:dyDescent="0.25">
      <c r="B67" s="277" t="s">
        <v>29</v>
      </c>
      <c r="C67" s="278"/>
      <c r="D67" s="278"/>
      <c r="E67" s="278"/>
      <c r="F67" s="36" t="s">
        <v>129</v>
      </c>
      <c r="G67" s="36" t="s">
        <v>12</v>
      </c>
      <c r="H67" s="37" t="s">
        <v>13</v>
      </c>
      <c r="I67" s="38" t="s">
        <v>14</v>
      </c>
      <c r="J67" s="37" t="s">
        <v>15</v>
      </c>
      <c r="K67" s="39" t="s">
        <v>16</v>
      </c>
      <c r="M67" s="40" t="s">
        <v>5</v>
      </c>
    </row>
    <row r="68" spans="2:13" ht="54" customHeight="1" x14ac:dyDescent="0.2">
      <c r="B68" s="274" t="s">
        <v>45</v>
      </c>
      <c r="C68" s="276"/>
      <c r="D68" s="275"/>
      <c r="E68" s="276"/>
      <c r="F68" s="279">
        <v>3.5000000000000003E-2</v>
      </c>
      <c r="G68" s="279">
        <v>3.5000000000000003E-2</v>
      </c>
      <c r="H68" s="279">
        <v>0.04</v>
      </c>
      <c r="I68" s="280">
        <v>0.04</v>
      </c>
      <c r="J68" s="279">
        <v>0</v>
      </c>
      <c r="K68" s="75"/>
      <c r="M68" s="49" t="s">
        <v>50</v>
      </c>
    </row>
    <row r="69" spans="2:13" x14ac:dyDescent="0.25"/>
    <row r="70" spans="2:13" x14ac:dyDescent="0.25">
      <c r="E70" s="56"/>
    </row>
    <row r="71" spans="2:13" ht="15.75" x14ac:dyDescent="0.25">
      <c r="B71" s="32" t="s">
        <v>46</v>
      </c>
      <c r="C71" s="33"/>
      <c r="D71" s="33"/>
      <c r="E71" s="33"/>
      <c r="F71" s="33"/>
      <c r="G71" s="34"/>
      <c r="H71" s="34"/>
      <c r="I71" s="34"/>
      <c r="J71" s="34"/>
      <c r="K71" s="33"/>
      <c r="M71" s="35"/>
    </row>
    <row r="72" spans="2:13" x14ac:dyDescent="0.25"/>
    <row r="73" spans="2:13" x14ac:dyDescent="0.25">
      <c r="B73" s="50" t="s">
        <v>27</v>
      </c>
      <c r="C73" s="355" t="s">
        <v>3</v>
      </c>
      <c r="D73" s="356"/>
      <c r="E73" s="357"/>
      <c r="F73" s="232" t="s">
        <v>5</v>
      </c>
      <c r="G73" s="37" t="s">
        <v>12</v>
      </c>
      <c r="H73" s="37" t="s">
        <v>13</v>
      </c>
      <c r="I73" s="37" t="s">
        <v>14</v>
      </c>
      <c r="J73" s="37" t="s">
        <v>15</v>
      </c>
      <c r="K73" s="51" t="s">
        <v>16</v>
      </c>
      <c r="M73" s="40" t="s">
        <v>5</v>
      </c>
    </row>
    <row r="74" spans="2:13" x14ac:dyDescent="0.2">
      <c r="B74" s="22" t="s">
        <v>108</v>
      </c>
      <c r="C74" s="258" t="s">
        <v>110</v>
      </c>
      <c r="D74" s="259"/>
      <c r="E74" s="260"/>
      <c r="F74" s="260" t="s">
        <v>27</v>
      </c>
      <c r="G74" s="25" t="s">
        <v>11</v>
      </c>
      <c r="H74" s="23">
        <v>861.92182487710193</v>
      </c>
      <c r="I74" s="23">
        <v>864.57821533798051</v>
      </c>
      <c r="J74" s="23">
        <v>726.82365422299802</v>
      </c>
      <c r="K74" s="78"/>
      <c r="M74" s="401" t="s">
        <v>53</v>
      </c>
    </row>
    <row r="75" spans="2:13" x14ac:dyDescent="0.2">
      <c r="B75" s="22" t="s">
        <v>109</v>
      </c>
      <c r="C75" s="258" t="s">
        <v>111</v>
      </c>
      <c r="D75" s="259"/>
      <c r="E75" s="260"/>
      <c r="F75" s="260" t="s">
        <v>27</v>
      </c>
      <c r="G75" s="25" t="s">
        <v>11</v>
      </c>
      <c r="H75" s="23">
        <v>682.97538261748923</v>
      </c>
      <c r="I75" s="23">
        <v>673.65203915637449</v>
      </c>
      <c r="J75" s="23">
        <v>535.74831376221641</v>
      </c>
      <c r="K75" s="78"/>
      <c r="M75" s="402"/>
    </row>
    <row r="76" spans="2:13" x14ac:dyDescent="0.2">
      <c r="B76" s="22" t="s">
        <v>102</v>
      </c>
      <c r="C76" s="258" t="s">
        <v>103</v>
      </c>
      <c r="D76" s="259"/>
      <c r="E76" s="260"/>
      <c r="F76" s="260" t="s">
        <v>27</v>
      </c>
      <c r="G76" s="25" t="s">
        <v>11</v>
      </c>
      <c r="H76" s="23">
        <v>974.39741665798988</v>
      </c>
      <c r="I76" s="23">
        <v>842.59607228315645</v>
      </c>
      <c r="J76" s="23">
        <v>816.54265556570465</v>
      </c>
      <c r="K76" s="79"/>
      <c r="M76" s="403"/>
    </row>
    <row r="77" spans="2:13" ht="13.5" thickBot="1" x14ac:dyDescent="0.3">
      <c r="B77" s="52"/>
      <c r="C77" s="52"/>
      <c r="D77" s="52"/>
      <c r="E77" s="52"/>
      <c r="F77" s="52"/>
      <c r="G77" s="57">
        <f>SUM(G74:G75)</f>
        <v>0</v>
      </c>
      <c r="H77" s="57">
        <f>SUM(H74:H76)</f>
        <v>2519.294624152581</v>
      </c>
      <c r="I77" s="57">
        <f>SUM(I74:I76)</f>
        <v>2380.8263267775114</v>
      </c>
      <c r="J77" s="57">
        <f>SUM(J74:J76)</f>
        <v>2079.1146235509191</v>
      </c>
      <c r="K77" s="77"/>
    </row>
    <row r="78" spans="2:13" x14ac:dyDescent="0.25">
      <c r="E78" s="56"/>
    </row>
    <row r="79" spans="2:13" ht="15.75" x14ac:dyDescent="0.25">
      <c r="B79" s="32" t="s">
        <v>78</v>
      </c>
      <c r="C79" s="33"/>
      <c r="D79" s="33"/>
      <c r="E79" s="33"/>
      <c r="F79" s="33"/>
      <c r="G79" s="34"/>
      <c r="H79" s="34"/>
      <c r="I79" s="34"/>
      <c r="J79" s="34"/>
      <c r="K79" s="33"/>
      <c r="M79" s="35"/>
    </row>
    <row r="80" spans="2:13" x14ac:dyDescent="0.25">
      <c r="E80" s="56"/>
    </row>
    <row r="81" spans="2:14" x14ac:dyDescent="0.25">
      <c r="B81" s="410"/>
      <c r="C81" s="411"/>
      <c r="D81" s="411"/>
      <c r="E81" s="411"/>
      <c r="F81" s="411"/>
      <c r="G81" s="412"/>
      <c r="H81" s="263" t="s">
        <v>13</v>
      </c>
      <c r="I81" s="263" t="s">
        <v>14</v>
      </c>
      <c r="J81" s="263" t="s">
        <v>15</v>
      </c>
      <c r="K81" s="51" t="s">
        <v>16</v>
      </c>
      <c r="M81" s="40" t="s">
        <v>5</v>
      </c>
    </row>
    <row r="82" spans="2:14" x14ac:dyDescent="0.25">
      <c r="B82" s="358" t="s">
        <v>49</v>
      </c>
      <c r="C82" s="359"/>
      <c r="D82" s="359"/>
      <c r="E82" s="359"/>
      <c r="F82" s="359"/>
      <c r="G82" s="359"/>
      <c r="H82" s="41">
        <f>H39</f>
        <v>186057.07828992428</v>
      </c>
      <c r="I82" s="43">
        <f>I39</f>
        <v>174412.60712690416</v>
      </c>
      <c r="J82" s="267">
        <f>J39</f>
        <v>159656.43487563694</v>
      </c>
      <c r="K82" s="261"/>
      <c r="M82" s="361" t="s">
        <v>132</v>
      </c>
    </row>
    <row r="83" spans="2:14" x14ac:dyDescent="0.25">
      <c r="B83" s="413" t="s">
        <v>46</v>
      </c>
      <c r="C83" s="414"/>
      <c r="D83" s="414"/>
      <c r="E83" s="414"/>
      <c r="F83" s="414"/>
      <c r="G83" s="414"/>
      <c r="H83" s="244">
        <f>+H77</f>
        <v>2519.294624152581</v>
      </c>
      <c r="I83" s="47">
        <f>+I77</f>
        <v>2380.8263267775114</v>
      </c>
      <c r="J83" s="268">
        <f>+J77</f>
        <v>2079.1146235509191</v>
      </c>
      <c r="K83" s="262"/>
      <c r="M83" s="362"/>
    </row>
    <row r="84" spans="2:14" x14ac:dyDescent="0.25">
      <c r="B84" s="397" t="s">
        <v>44</v>
      </c>
      <c r="C84" s="398"/>
      <c r="D84" s="398"/>
      <c r="E84" s="398"/>
      <c r="F84" s="398"/>
      <c r="G84" s="399"/>
      <c r="H84" s="264">
        <f>+H82/H83</f>
        <v>73.852846152326691</v>
      </c>
      <c r="I84" s="265">
        <f>+I82/I83</f>
        <v>73.257173429770731</v>
      </c>
      <c r="J84" s="266">
        <f>+J82/J83</f>
        <v>76.790588199009335</v>
      </c>
      <c r="K84" s="169"/>
      <c r="M84" s="362"/>
      <c r="N84" s="65"/>
    </row>
    <row r="85" spans="2:14" x14ac:dyDescent="0.25">
      <c r="B85" s="358" t="s">
        <v>77</v>
      </c>
      <c r="C85" s="359"/>
      <c r="D85" s="359"/>
      <c r="E85" s="359"/>
      <c r="F85" s="359"/>
      <c r="G85" s="360"/>
      <c r="H85" s="59">
        <f>+H68</f>
        <v>0.04</v>
      </c>
      <c r="I85" s="60">
        <f>+I68</f>
        <v>0.04</v>
      </c>
      <c r="J85" s="61">
        <f>+J68</f>
        <v>0</v>
      </c>
      <c r="K85" s="168"/>
      <c r="M85" s="362"/>
    </row>
    <row r="86" spans="2:14" x14ac:dyDescent="0.25">
      <c r="B86" s="415" t="s">
        <v>56</v>
      </c>
      <c r="C86" s="416"/>
      <c r="D86" s="416"/>
      <c r="E86" s="416"/>
      <c r="F86" s="416"/>
      <c r="G86" s="417"/>
      <c r="H86" s="62">
        <f>+H84*(1+H85)*(1+I85)</f>
        <v>79.879238398356549</v>
      </c>
      <c r="I86" s="63">
        <f>+I84*(1+I85)</f>
        <v>76.18746036696156</v>
      </c>
      <c r="J86" s="64">
        <f>+J84</f>
        <v>76.790588199009335</v>
      </c>
      <c r="K86" s="170"/>
      <c r="M86" s="362"/>
    </row>
    <row r="87" spans="2:14" x14ac:dyDescent="0.25">
      <c r="E87" s="56"/>
      <c r="H87" s="65"/>
      <c r="I87" s="65"/>
      <c r="J87" s="65"/>
      <c r="M87" s="362"/>
    </row>
    <row r="88" spans="2:14" x14ac:dyDescent="0.25">
      <c r="E88" s="56"/>
      <c r="G88" s="409" t="s">
        <v>156</v>
      </c>
      <c r="H88" s="409"/>
      <c r="I88" s="409"/>
      <c r="J88" s="177">
        <f>AVERAGE(H86:J86)</f>
        <v>77.619095654775819</v>
      </c>
      <c r="K88" s="82"/>
      <c r="M88" s="362"/>
    </row>
    <row r="89" spans="2:14" x14ac:dyDescent="0.25">
      <c r="E89" s="56"/>
      <c r="H89" s="65"/>
      <c r="I89" s="65"/>
      <c r="J89" s="65"/>
      <c r="K89" s="82"/>
      <c r="M89" s="362"/>
    </row>
    <row r="90" spans="2:14" x14ac:dyDescent="0.25">
      <c r="E90" s="56"/>
      <c r="G90" s="409" t="s">
        <v>57</v>
      </c>
      <c r="H90" s="409"/>
      <c r="I90" s="409"/>
      <c r="J90" s="178">
        <f>+K110-1</f>
        <v>1.2648945446885498</v>
      </c>
      <c r="K90" s="82"/>
      <c r="M90" s="362"/>
    </row>
    <row r="91" spans="2:14" x14ac:dyDescent="0.25">
      <c r="E91" s="56"/>
      <c r="H91" s="65"/>
      <c r="I91" s="65"/>
      <c r="J91" s="65"/>
      <c r="K91" s="82"/>
      <c r="M91" s="362"/>
    </row>
    <row r="92" spans="2:14" x14ac:dyDescent="0.25">
      <c r="E92" s="56"/>
      <c r="G92" s="409" t="s">
        <v>58</v>
      </c>
      <c r="H92" s="409"/>
      <c r="I92" s="409"/>
      <c r="J92" s="177">
        <f>+J88+(J90*J88)</f>
        <v>175.79906631216048</v>
      </c>
      <c r="K92" s="82"/>
      <c r="M92" s="363"/>
    </row>
    <row r="93" spans="2:14" x14ac:dyDescent="0.25">
      <c r="E93" s="56"/>
      <c r="H93" s="65"/>
      <c r="I93" s="65"/>
      <c r="J93" s="65"/>
    </row>
    <row r="94" spans="2:14" ht="15.75" x14ac:dyDescent="0.25">
      <c r="B94" s="32" t="s">
        <v>79</v>
      </c>
      <c r="C94" s="33"/>
      <c r="D94" s="33"/>
      <c r="E94" s="33"/>
      <c r="F94" s="33"/>
      <c r="G94" s="34"/>
      <c r="H94" s="34"/>
      <c r="I94" s="34"/>
      <c r="J94" s="34"/>
      <c r="K94" s="33"/>
      <c r="M94" s="35"/>
    </row>
    <row r="95" spans="2:14" x14ac:dyDescent="0.25">
      <c r="E95" s="56"/>
    </row>
    <row r="96" spans="2:14" x14ac:dyDescent="0.25">
      <c r="B96" s="171"/>
      <c r="C96" s="172"/>
      <c r="D96" s="172"/>
      <c r="E96" s="172"/>
      <c r="F96" s="37" t="s">
        <v>16</v>
      </c>
      <c r="G96" s="37" t="s">
        <v>17</v>
      </c>
      <c r="H96" s="37" t="s">
        <v>18</v>
      </c>
      <c r="I96" s="37" t="s">
        <v>19</v>
      </c>
      <c r="J96" s="37" t="s">
        <v>20</v>
      </c>
      <c r="K96" s="37" t="s">
        <v>21</v>
      </c>
      <c r="M96" s="40" t="s">
        <v>5</v>
      </c>
    </row>
    <row r="97" spans="2:13" ht="12.75" customHeight="1" x14ac:dyDescent="0.25">
      <c r="H97" s="65"/>
      <c r="I97" s="65"/>
      <c r="J97" s="65"/>
      <c r="M97" s="379" t="s">
        <v>142</v>
      </c>
    </row>
    <row r="98" spans="2:13" x14ac:dyDescent="0.25">
      <c r="B98" s="26" t="s">
        <v>67</v>
      </c>
      <c r="F98" s="66">
        <f>+G98/1.025</f>
        <v>80.968119017595001</v>
      </c>
      <c r="G98" s="66">
        <f>$J88*G117</f>
        <v>82.992321993034864</v>
      </c>
      <c r="H98" s="66">
        <f>$J88*H117</f>
        <v>86.613253755340253</v>
      </c>
      <c r="I98" s="66">
        <f>$J88*I117</f>
        <v>89.545779260804053</v>
      </c>
      <c r="J98" s="66">
        <f>$J88*J117</f>
        <v>92.700312116897052</v>
      </c>
      <c r="K98" s="66">
        <f>$J88*K117</f>
        <v>95.892572390591241</v>
      </c>
      <c r="M98" s="380"/>
    </row>
    <row r="99" spans="2:13" x14ac:dyDescent="0.25">
      <c r="B99" s="26" t="s">
        <v>68</v>
      </c>
      <c r="G99" s="66">
        <f>$J92*G117</f>
        <v>187.96885733306021</v>
      </c>
      <c r="H99" s="66">
        <f>$J92*H117</f>
        <v>196.16988592819519</v>
      </c>
      <c r="I99" s="66">
        <f>$J92*I117</f>
        <v>202.81174694768021</v>
      </c>
      <c r="J99" s="66">
        <f>$J92*J117</f>
        <v>209.95643120448602</v>
      </c>
      <c r="K99" s="66">
        <f>$J92*K117</f>
        <v>217.18656408360198</v>
      </c>
      <c r="M99" s="380"/>
    </row>
    <row r="100" spans="2:13" x14ac:dyDescent="0.25">
      <c r="G100" s="66"/>
      <c r="H100" s="66"/>
      <c r="I100" s="66"/>
      <c r="J100" s="66"/>
      <c r="K100" s="66"/>
      <c r="M100" s="380"/>
    </row>
    <row r="101" spans="2:13" x14ac:dyDescent="0.25">
      <c r="B101" s="173" t="s">
        <v>80</v>
      </c>
      <c r="C101" s="173"/>
      <c r="D101" s="173"/>
      <c r="E101" s="173"/>
      <c r="F101" s="173"/>
      <c r="G101" s="174"/>
      <c r="H101" s="174">
        <f t="shared" ref="H101:K101" si="4">(H99-G99)/G99</f>
        <v>4.3629719898779021E-2</v>
      </c>
      <c r="I101" s="174">
        <f t="shared" si="4"/>
        <v>3.3857699351041916E-2</v>
      </c>
      <c r="J101" s="174">
        <f t="shared" si="4"/>
        <v>3.5228157956003148E-2</v>
      </c>
      <c r="K101" s="175">
        <f t="shared" si="4"/>
        <v>3.4436348711196205E-2</v>
      </c>
      <c r="M101" s="381"/>
    </row>
    <row r="102" spans="2:13" x14ac:dyDescent="0.25">
      <c r="E102" s="56"/>
      <c r="H102" s="65"/>
      <c r="I102" s="65"/>
      <c r="J102" s="65"/>
    </row>
    <row r="103" spans="2:13" ht="15.75" x14ac:dyDescent="0.25">
      <c r="B103" s="32" t="s">
        <v>55</v>
      </c>
      <c r="C103" s="33"/>
      <c r="D103" s="33"/>
      <c r="E103" s="33"/>
      <c r="F103" s="33"/>
      <c r="G103" s="34"/>
      <c r="H103" s="34"/>
      <c r="I103" s="34"/>
      <c r="J103" s="34"/>
      <c r="K103" s="33"/>
      <c r="M103" s="35"/>
    </row>
    <row r="104" spans="2:13" x14ac:dyDescent="0.25"/>
    <row r="105" spans="2:13" x14ac:dyDescent="0.25">
      <c r="B105" s="382" t="s">
        <v>23</v>
      </c>
      <c r="C105" s="383"/>
      <c r="D105" s="383"/>
      <c r="E105" s="384"/>
      <c r="F105" s="270" t="s">
        <v>16</v>
      </c>
      <c r="G105" s="270" t="s">
        <v>17</v>
      </c>
      <c r="H105" s="270" t="s">
        <v>18</v>
      </c>
      <c r="I105" s="270" t="s">
        <v>19</v>
      </c>
      <c r="J105" s="270" t="s">
        <v>20</v>
      </c>
      <c r="K105" s="55" t="s">
        <v>21</v>
      </c>
      <c r="M105" s="40" t="s">
        <v>5</v>
      </c>
    </row>
    <row r="106" spans="2:13" ht="12.75" customHeight="1" x14ac:dyDescent="0.25">
      <c r="B106" s="385" t="s">
        <v>143</v>
      </c>
      <c r="C106" s="386"/>
      <c r="D106" s="386"/>
      <c r="E106" s="387"/>
      <c r="F106" s="45"/>
      <c r="G106" s="58">
        <v>18449161.14072692</v>
      </c>
      <c r="H106" s="58">
        <v>19652616.51053571</v>
      </c>
      <c r="I106" s="58">
        <v>20750302.453561164</v>
      </c>
      <c r="J106" s="58">
        <v>21950966.582370307</v>
      </c>
      <c r="K106" s="45">
        <v>23217206.584968176</v>
      </c>
      <c r="M106" s="361" t="s">
        <v>146</v>
      </c>
    </row>
    <row r="107" spans="2:13" x14ac:dyDescent="0.25">
      <c r="B107" s="388" t="s">
        <v>144</v>
      </c>
      <c r="C107" s="389"/>
      <c r="D107" s="389"/>
      <c r="E107" s="390"/>
      <c r="F107" s="45"/>
      <c r="G107" s="58">
        <v>40098372.700329572</v>
      </c>
      <c r="H107" s="58">
        <v>44414981.708611391</v>
      </c>
      <c r="I107" s="58">
        <v>47124811.758132517</v>
      </c>
      <c r="J107" s="58">
        <v>50429626.415997855</v>
      </c>
      <c r="K107" s="45">
        <v>53924251.70079805</v>
      </c>
      <c r="M107" s="362"/>
    </row>
    <row r="108" spans="2:13" x14ac:dyDescent="0.25">
      <c r="B108" s="391" t="s">
        <v>23</v>
      </c>
      <c r="C108" s="392"/>
      <c r="D108" s="392"/>
      <c r="E108" s="393"/>
      <c r="F108" s="69"/>
      <c r="G108" s="69">
        <f t="shared" ref="G108:K108" si="5">+G107/G106</f>
        <v>2.1734523534412387</v>
      </c>
      <c r="H108" s="69">
        <f t="shared" si="5"/>
        <v>2.2600034801880273</v>
      </c>
      <c r="I108" s="69">
        <f t="shared" si="5"/>
        <v>2.2710421625707418</v>
      </c>
      <c r="J108" s="69">
        <f t="shared" si="5"/>
        <v>2.2973761190315822</v>
      </c>
      <c r="K108" s="222">
        <f t="shared" si="5"/>
        <v>2.3225986082111594</v>
      </c>
      <c r="M108" s="362"/>
    </row>
    <row r="109" spans="2:13" x14ac:dyDescent="0.25">
      <c r="F109" s="28"/>
      <c r="K109" s="28"/>
      <c r="M109" s="362"/>
    </row>
    <row r="110" spans="2:13" x14ac:dyDescent="0.25">
      <c r="F110" s="373" t="s">
        <v>24</v>
      </c>
      <c r="G110" s="374"/>
      <c r="H110" s="374"/>
      <c r="I110" s="374"/>
      <c r="J110" s="375"/>
      <c r="K110" s="223">
        <f>AVERAGE(G108:K108)</f>
        <v>2.2648945446885498</v>
      </c>
      <c r="M110" s="363"/>
    </row>
    <row r="111" spans="2:13" x14ac:dyDescent="0.25">
      <c r="G111" s="26"/>
      <c r="H111" s="26"/>
      <c r="I111" s="26"/>
      <c r="J111" s="26"/>
      <c r="K111" s="273"/>
    </row>
    <row r="112" spans="2:13" ht="15.75" x14ac:dyDescent="0.25">
      <c r="B112" s="32" t="s">
        <v>159</v>
      </c>
      <c r="C112" s="33"/>
      <c r="D112" s="33"/>
      <c r="E112" s="33"/>
      <c r="F112" s="33"/>
      <c r="G112" s="34"/>
      <c r="H112" s="34"/>
      <c r="I112" s="34"/>
      <c r="J112" s="34"/>
      <c r="K112" s="33"/>
      <c r="M112" s="35"/>
    </row>
    <row r="113" spans="2:13" x14ac:dyDescent="0.25"/>
    <row r="114" spans="2:13" x14ac:dyDescent="0.2">
      <c r="B114" s="394" t="s">
        <v>160</v>
      </c>
      <c r="C114" s="395"/>
      <c r="D114" s="395"/>
      <c r="E114" s="396"/>
      <c r="F114" s="270" t="s">
        <v>16</v>
      </c>
      <c r="G114" s="270" t="s">
        <v>17</v>
      </c>
      <c r="H114" s="270" t="s">
        <v>18</v>
      </c>
      <c r="I114" s="270" t="s">
        <v>19</v>
      </c>
      <c r="J114" s="270" t="s">
        <v>20</v>
      </c>
      <c r="K114" s="55" t="s">
        <v>21</v>
      </c>
      <c r="M114" s="353" t="s">
        <v>5</v>
      </c>
    </row>
    <row r="115" spans="2:13" ht="12.75" customHeight="1" x14ac:dyDescent="0.2">
      <c r="B115" s="376" t="s">
        <v>145</v>
      </c>
      <c r="C115" s="377"/>
      <c r="D115" s="377"/>
      <c r="E115" s="378"/>
      <c r="F115" s="24"/>
      <c r="G115" s="24">
        <v>17254695.000010207</v>
      </c>
      <c r="H115" s="24">
        <v>17611834.848126188</v>
      </c>
      <c r="I115" s="24">
        <v>17986550.838063825</v>
      </c>
      <c r="J115" s="24">
        <v>18379810.552560411</v>
      </c>
      <c r="K115" s="224">
        <v>18792890.146016706</v>
      </c>
      <c r="M115" s="379" t="s">
        <v>163</v>
      </c>
    </row>
    <row r="116" spans="2:13" x14ac:dyDescent="0.2">
      <c r="B116" s="367" t="s">
        <v>161</v>
      </c>
      <c r="C116" s="368"/>
      <c r="D116" s="368"/>
      <c r="E116" s="369"/>
      <c r="F116" s="24"/>
      <c r="G116" s="24">
        <v>18449161.14072692</v>
      </c>
      <c r="H116" s="24">
        <v>19652616.51053571</v>
      </c>
      <c r="I116" s="24">
        <v>20750302.453561164</v>
      </c>
      <c r="J116" s="24">
        <v>21950966.582370307</v>
      </c>
      <c r="K116" s="224">
        <v>23217206.584968176</v>
      </c>
      <c r="M116" s="380"/>
    </row>
    <row r="117" spans="2:13" x14ac:dyDescent="0.2">
      <c r="B117" s="370" t="s">
        <v>162</v>
      </c>
      <c r="C117" s="371"/>
      <c r="D117" s="371"/>
      <c r="E117" s="372"/>
      <c r="F117" s="69"/>
      <c r="G117" s="69">
        <f t="shared" ref="G117:K117" si="6">+G116/G115</f>
        <v>1.0692255725595849</v>
      </c>
      <c r="H117" s="69">
        <f t="shared" si="6"/>
        <v>1.1158755847989712</v>
      </c>
      <c r="I117" s="69">
        <f t="shared" si="6"/>
        <v>1.1536565648622628</v>
      </c>
      <c r="J117" s="69">
        <f t="shared" si="6"/>
        <v>1.1942977605562106</v>
      </c>
      <c r="K117" s="222">
        <f t="shared" si="6"/>
        <v>1.2354250147037249</v>
      </c>
      <c r="M117" s="380"/>
    </row>
    <row r="118" spans="2:13" x14ac:dyDescent="0.25">
      <c r="F118" s="28"/>
      <c r="K118" s="28"/>
      <c r="M118" s="380"/>
    </row>
    <row r="119" spans="2:13" x14ac:dyDescent="0.25">
      <c r="F119" s="373" t="s">
        <v>25</v>
      </c>
      <c r="G119" s="374"/>
      <c r="H119" s="374"/>
      <c r="I119" s="374"/>
      <c r="J119" s="375"/>
      <c r="K119" s="223">
        <f>AVERAGE(G117:K117)</f>
        <v>1.1536960994961507</v>
      </c>
      <c r="M119" s="381"/>
    </row>
    <row r="120" spans="2:13" x14ac:dyDescent="0.25">
      <c r="K120" s="176"/>
      <c r="M120" s="354"/>
    </row>
    <row r="121" spans="2:13" ht="12.75" customHeight="1" x14ac:dyDescent="0.25">
      <c r="M121" s="71"/>
    </row>
    <row r="122" spans="2:13" ht="12.75" customHeight="1" x14ac:dyDescent="0.25">
      <c r="M122" s="72"/>
    </row>
    <row r="123" spans="2:13" ht="12.75" customHeight="1" x14ac:dyDescent="0.25">
      <c r="M123" s="72"/>
    </row>
    <row r="124" spans="2:13" x14ac:dyDescent="0.25">
      <c r="M124" s="72"/>
    </row>
    <row r="125" spans="2:13" x14ac:dyDescent="0.25"/>
    <row r="126" spans="2:13" x14ac:dyDescent="0.25"/>
    <row r="127" spans="2:13" x14ac:dyDescent="0.25"/>
    <row r="128" spans="2:13"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sheetData>
  <mergeCells count="42">
    <mergeCell ref="B45:F45"/>
    <mergeCell ref="G88:I88"/>
    <mergeCell ref="G92:I92"/>
    <mergeCell ref="B81:G81"/>
    <mergeCell ref="B82:G82"/>
    <mergeCell ref="B83:G83"/>
    <mergeCell ref="B84:G84"/>
    <mergeCell ref="B85:G85"/>
    <mergeCell ref="B86:G86"/>
    <mergeCell ref="G90:I90"/>
    <mergeCell ref="B29:F29"/>
    <mergeCell ref="B31:F31"/>
    <mergeCell ref="B43:F43"/>
    <mergeCell ref="B44:F44"/>
    <mergeCell ref="M106:M110"/>
    <mergeCell ref="C73:E73"/>
    <mergeCell ref="C35:F35"/>
    <mergeCell ref="B54:F54"/>
    <mergeCell ref="M74:M76"/>
    <mergeCell ref="B30:F30"/>
    <mergeCell ref="M30:M31"/>
    <mergeCell ref="M36:M38"/>
    <mergeCell ref="C36:F36"/>
    <mergeCell ref="M82:M92"/>
    <mergeCell ref="M97:M101"/>
    <mergeCell ref="M44:M62"/>
    <mergeCell ref="M115:M119"/>
    <mergeCell ref="B105:E105"/>
    <mergeCell ref="B106:E106"/>
    <mergeCell ref="B107:E107"/>
    <mergeCell ref="B108:E108"/>
    <mergeCell ref="B114:E114"/>
    <mergeCell ref="B116:E116"/>
    <mergeCell ref="B117:E117"/>
    <mergeCell ref="F110:J110"/>
    <mergeCell ref="F119:J119"/>
    <mergeCell ref="B115:E115"/>
    <mergeCell ref="B8:F8"/>
    <mergeCell ref="B9:F9"/>
    <mergeCell ref="M9:M25"/>
    <mergeCell ref="B10:F10"/>
    <mergeCell ref="B18:F18"/>
  </mergeCells>
  <pageMargins left="0.70866141732283472" right="0.70866141732283472" top="0.74803149606299213" bottom="0.74803149606299213" header="0.31496062992125984" footer="0.31496062992125984"/>
  <pageSetup paperSize="8" scale="65" orientation="portrait" r:id="rId1"/>
  <headerFooter>
    <oddFooter>&amp;C&amp;F&amp;R&amp;A</oddFooter>
  </headerFooter>
  <rowBreaks count="1" manualBreakCount="1">
    <brk id="7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131"/>
  <sheetViews>
    <sheetView showGridLines="0" zoomScaleNormal="100" workbookViewId="0"/>
  </sheetViews>
  <sheetFormatPr defaultColWidth="9.140625" defaultRowHeight="12.75" zeroHeight="1" x14ac:dyDescent="0.25"/>
  <cols>
    <col min="1" max="1" width="2.85546875" style="119" customWidth="1"/>
    <col min="2" max="2" width="55.140625" style="119" customWidth="1"/>
    <col min="3" max="7" width="10.28515625" style="119" customWidth="1"/>
    <col min="8" max="8" width="2.85546875" style="119" customWidth="1"/>
    <col min="9" max="12" width="11.5703125" style="120" customWidth="1"/>
    <col min="13" max="13" width="2.85546875" style="119" customWidth="1"/>
    <col min="14" max="17" width="11.5703125" style="119" customWidth="1"/>
    <col min="18" max="18" width="2.85546875" style="119" customWidth="1"/>
    <col min="19" max="19" width="11.5703125" style="129" customWidth="1"/>
    <col min="20" max="22" width="11.5703125" style="119" customWidth="1"/>
    <col min="23" max="23" width="2.85546875" style="119" customWidth="1"/>
    <col min="24" max="27" width="11.5703125" style="119" customWidth="1"/>
    <col min="28" max="28" width="2.85546875" style="119" customWidth="1"/>
    <col min="29" max="56" width="9.140625" style="119" customWidth="1"/>
    <col min="57" max="16384" width="9.140625" style="119"/>
  </cols>
  <sheetData>
    <row r="1" spans="2:29" ht="14.25" customHeight="1" x14ac:dyDescent="0.25"/>
    <row r="2" spans="2:29" ht="21" x14ac:dyDescent="0.25">
      <c r="B2" s="187" t="s">
        <v>51</v>
      </c>
      <c r="C2" s="188"/>
      <c r="D2" s="188"/>
      <c r="E2" s="188"/>
      <c r="F2" s="188"/>
      <c r="G2" s="188"/>
      <c r="H2" s="188"/>
    </row>
    <row r="3" spans="2:29" ht="21" x14ac:dyDescent="0.25">
      <c r="B3" s="187" t="str">
        <f>+'AER Summary'!C3</f>
        <v>Notification Of Arrangement</v>
      </c>
      <c r="C3" s="188"/>
      <c r="D3" s="188"/>
      <c r="E3" s="188"/>
      <c r="F3" s="188"/>
      <c r="G3" s="188"/>
      <c r="H3" s="188"/>
    </row>
    <row r="4" spans="2:29" ht="18.75" x14ac:dyDescent="0.25">
      <c r="B4" s="189" t="s">
        <v>87</v>
      </c>
      <c r="C4" s="190"/>
      <c r="D4" s="190"/>
      <c r="E4" s="190"/>
      <c r="F4" s="190"/>
      <c r="G4" s="190"/>
      <c r="H4" s="190"/>
    </row>
    <row r="5" spans="2:29" ht="14.25" customHeight="1" x14ac:dyDescent="0.25"/>
    <row r="6" spans="2:29" ht="40.5" customHeight="1" x14ac:dyDescent="0.25">
      <c r="B6" s="418" t="s">
        <v>147</v>
      </c>
      <c r="C6" s="419"/>
      <c r="D6" s="419"/>
      <c r="E6" s="419"/>
      <c r="F6" s="419"/>
      <c r="G6" s="419"/>
      <c r="H6" s="419"/>
      <c r="I6" s="419"/>
      <c r="J6" s="419"/>
      <c r="K6" s="419"/>
      <c r="L6" s="419"/>
      <c r="M6" s="419"/>
      <c r="N6" s="419"/>
      <c r="O6" s="419"/>
      <c r="P6" s="419"/>
      <c r="Q6" s="420"/>
    </row>
    <row r="7" spans="2:29" ht="14.25" customHeight="1" x14ac:dyDescent="0.25">
      <c r="B7" s="128"/>
      <c r="C7" s="128"/>
      <c r="D7" s="128"/>
      <c r="E7" s="128"/>
      <c r="F7" s="128"/>
      <c r="G7" s="128"/>
      <c r="S7" s="122"/>
      <c r="T7" s="121"/>
      <c r="U7" s="121"/>
      <c r="V7" s="121"/>
      <c r="X7" s="121"/>
      <c r="Y7" s="121"/>
      <c r="Z7" s="121"/>
      <c r="AA7" s="121"/>
    </row>
    <row r="8" spans="2:29" ht="29.25" customHeight="1" x14ac:dyDescent="0.25">
      <c r="C8" s="421" t="s">
        <v>81</v>
      </c>
      <c r="D8" s="422"/>
      <c r="E8" s="422"/>
      <c r="F8" s="422"/>
      <c r="G8" s="423"/>
      <c r="I8" s="424" t="s">
        <v>64</v>
      </c>
      <c r="J8" s="425"/>
      <c r="K8" s="425"/>
      <c r="L8" s="426"/>
      <c r="N8" s="433" t="s">
        <v>83</v>
      </c>
      <c r="O8" s="434"/>
      <c r="P8" s="434"/>
      <c r="Q8" s="435"/>
      <c r="S8" s="430" t="s">
        <v>84</v>
      </c>
      <c r="T8" s="431"/>
      <c r="U8" s="431"/>
      <c r="V8" s="432"/>
      <c r="X8" s="427" t="s">
        <v>87</v>
      </c>
      <c r="Y8" s="428"/>
      <c r="Z8" s="428"/>
      <c r="AA8" s="429"/>
    </row>
    <row r="9" spans="2:29" s="195" customFormat="1" ht="51" x14ac:dyDescent="0.25">
      <c r="B9" s="85" t="s">
        <v>10</v>
      </c>
      <c r="C9" s="114" t="s">
        <v>63</v>
      </c>
      <c r="D9" s="150" t="s">
        <v>8</v>
      </c>
      <c r="E9" s="150" t="s">
        <v>82</v>
      </c>
      <c r="F9" s="150" t="s">
        <v>75</v>
      </c>
      <c r="G9" s="115" t="s">
        <v>62</v>
      </c>
      <c r="H9" s="196"/>
      <c r="I9" s="204" t="s">
        <v>30</v>
      </c>
      <c r="J9" s="204" t="s">
        <v>31</v>
      </c>
      <c r="K9" s="204" t="s">
        <v>32</v>
      </c>
      <c r="L9" s="197" t="s">
        <v>86</v>
      </c>
      <c r="N9" s="197" t="s">
        <v>33</v>
      </c>
      <c r="O9" s="197" t="s">
        <v>34</v>
      </c>
      <c r="P9" s="197" t="s">
        <v>35</v>
      </c>
      <c r="Q9" s="197" t="s">
        <v>36</v>
      </c>
      <c r="S9" s="201" t="s">
        <v>37</v>
      </c>
      <c r="T9" s="202" t="s">
        <v>38</v>
      </c>
      <c r="U9" s="202" t="s">
        <v>39</v>
      </c>
      <c r="V9" s="202" t="s">
        <v>85</v>
      </c>
      <c r="W9" s="196"/>
      <c r="X9" s="202" t="s">
        <v>40</v>
      </c>
      <c r="Y9" s="202" t="s">
        <v>41</v>
      </c>
      <c r="Z9" s="202" t="s">
        <v>87</v>
      </c>
      <c r="AA9" s="202" t="s">
        <v>88</v>
      </c>
    </row>
    <row r="10" spans="2:29" ht="14.25" customHeight="1" x14ac:dyDescent="0.25">
      <c r="B10" s="191"/>
      <c r="C10" s="192"/>
      <c r="D10" s="198"/>
      <c r="E10" s="198"/>
      <c r="F10" s="225"/>
      <c r="G10" s="226"/>
      <c r="I10" s="124"/>
      <c r="J10" s="124"/>
      <c r="K10" s="124"/>
      <c r="L10" s="203"/>
      <c r="N10" s="179"/>
      <c r="O10" s="179"/>
      <c r="P10" s="179"/>
      <c r="Q10" s="203"/>
      <c r="R10" s="120"/>
      <c r="S10" s="179"/>
      <c r="T10" s="179"/>
      <c r="U10" s="179"/>
      <c r="V10" s="203"/>
      <c r="X10" s="208"/>
      <c r="Y10" s="124"/>
      <c r="Z10" s="124"/>
      <c r="AA10" s="179"/>
      <c r="AB10" s="129"/>
      <c r="AC10" s="120"/>
    </row>
    <row r="11" spans="2:29" ht="14.25" customHeight="1" x14ac:dyDescent="0.2">
      <c r="B11" s="282" t="s">
        <v>111</v>
      </c>
      <c r="C11" s="289"/>
      <c r="D11" s="289"/>
      <c r="E11" s="289"/>
      <c r="F11" s="290"/>
      <c r="G11" s="290"/>
      <c r="I11" s="291"/>
      <c r="J11" s="291"/>
      <c r="K11" s="291"/>
      <c r="L11" s="292"/>
      <c r="N11" s="293"/>
      <c r="O11" s="293"/>
      <c r="P11" s="293"/>
      <c r="Q11" s="292"/>
      <c r="R11" s="120"/>
      <c r="S11" s="293"/>
      <c r="T11" s="293"/>
      <c r="U11" s="293"/>
      <c r="V11" s="292"/>
      <c r="W11" s="121"/>
      <c r="X11" s="294"/>
      <c r="Y11" s="291"/>
      <c r="Z11" s="291"/>
      <c r="AA11" s="293"/>
      <c r="AB11" s="129"/>
      <c r="AC11" s="120"/>
    </row>
    <row r="12" spans="2:29" ht="14.25" customHeight="1" x14ac:dyDescent="0.2">
      <c r="B12" s="239" t="s">
        <v>114</v>
      </c>
      <c r="C12" s="194">
        <f>'Input Sheet'!G11</f>
        <v>63.636363636363633</v>
      </c>
      <c r="D12" s="199">
        <f>'Input Sheet'!H11</f>
        <v>3.0285714285714289</v>
      </c>
      <c r="E12" s="199"/>
      <c r="F12" s="227">
        <f>'Input Sheet'!J11</f>
        <v>212</v>
      </c>
      <c r="G12" s="227">
        <f>'Input Sheet'!K11</f>
        <v>192.72727272727275</v>
      </c>
      <c r="I12" s="179">
        <f>+'Input Sheet'!H46</f>
        <v>38</v>
      </c>
      <c r="J12" s="179">
        <f>+'Input Sheet'!I46</f>
        <v>49</v>
      </c>
      <c r="K12" s="179">
        <f>+'Input Sheet'!J46</f>
        <v>43</v>
      </c>
      <c r="L12" s="246">
        <f t="shared" ref="L12" si="0">SUM(I12:K12)</f>
        <v>130</v>
      </c>
      <c r="M12" s="130"/>
      <c r="N12" s="179">
        <f>IF($D12="Hourly",$E12*I12,$D12*I12)</f>
        <v>115.0857142857143</v>
      </c>
      <c r="O12" s="179">
        <f t="shared" ref="O12:O17" si="1">IF($D12="Hourly",$E12*J12,$D12*J12)</f>
        <v>148.4</v>
      </c>
      <c r="P12" s="179">
        <f t="shared" ref="P12:P17" si="2">IF($D12="Hourly",$E12*K12,$D12*K12)</f>
        <v>130.22857142857146</v>
      </c>
      <c r="Q12" s="203">
        <f t="shared" ref="Q12" si="3">SUM(N12:P12)</f>
        <v>393.71428571428578</v>
      </c>
      <c r="R12" s="120"/>
      <c r="S12" s="179">
        <f>+N12/N$29*'Input Sheet'!H$77</f>
        <v>101.88574931562161</v>
      </c>
      <c r="T12" s="179">
        <f>+O12/O$29*'Input Sheet'!I$77</f>
        <v>105.78101265403838</v>
      </c>
      <c r="U12" s="179">
        <f>+P12/P$29*'Input Sheet'!J$77</f>
        <v>76.296248664700258</v>
      </c>
      <c r="V12" s="203">
        <f t="shared" ref="V12" si="4">SUM(S12:U12)</f>
        <v>283.96301063436027</v>
      </c>
      <c r="W12" s="121"/>
      <c r="X12" s="208">
        <f t="shared" ref="X12" si="5">IF(ISERROR(V12/L12),0,V12/L12)</f>
        <v>2.1843308510335406</v>
      </c>
      <c r="Y12" s="124">
        <f t="shared" ref="Y12" si="6">ROUND(X12,0)</f>
        <v>2</v>
      </c>
      <c r="Z12" s="124">
        <f t="shared" ref="Z12" si="7">IF(D12="Hourly","Hourly",Y12)</f>
        <v>2</v>
      </c>
      <c r="AA12" s="179">
        <f t="shared" ref="AA12" si="8">+Y12*L12</f>
        <v>260</v>
      </c>
      <c r="AB12" s="129"/>
      <c r="AC12" s="120"/>
    </row>
    <row r="13" spans="2:29" ht="14.25" customHeight="1" x14ac:dyDescent="0.2">
      <c r="B13" s="239" t="s">
        <v>115</v>
      </c>
      <c r="C13" s="194">
        <f>'Input Sheet'!G12</f>
        <v>63.636363636363633</v>
      </c>
      <c r="D13" s="199">
        <f>'Input Sheet'!H12</f>
        <v>3.0285714285714289</v>
      </c>
      <c r="E13" s="199"/>
      <c r="F13" s="227">
        <f>'Input Sheet'!J12</f>
        <v>212</v>
      </c>
      <c r="G13" s="227">
        <f>'Input Sheet'!K12</f>
        <v>192.72727272727275</v>
      </c>
      <c r="I13" s="179">
        <f>+'Input Sheet'!H47</f>
        <v>85</v>
      </c>
      <c r="J13" s="179">
        <f>+'Input Sheet'!I47</f>
        <v>109</v>
      </c>
      <c r="K13" s="179">
        <f>+'Input Sheet'!J47</f>
        <v>102</v>
      </c>
      <c r="L13" s="246">
        <f t="shared" ref="L13:L17" si="9">SUM(I13:K13)</f>
        <v>296</v>
      </c>
      <c r="M13" s="130"/>
      <c r="N13" s="179">
        <f t="shared" ref="N13:N17" si="10">IF($D13="Hourly",$E13*I13,$D13*I13)</f>
        <v>257.42857142857144</v>
      </c>
      <c r="O13" s="179">
        <f t="shared" si="1"/>
        <v>330.11428571428576</v>
      </c>
      <c r="P13" s="179">
        <f t="shared" si="2"/>
        <v>308.91428571428577</v>
      </c>
      <c r="Q13" s="203">
        <f t="shared" ref="Q13:Q17" si="11">SUM(N13:P13)</f>
        <v>896.45714285714303</v>
      </c>
      <c r="R13" s="120"/>
      <c r="S13" s="179">
        <f>+N13/N$29*'Input Sheet'!H$77</f>
        <v>227.90233399546935</v>
      </c>
      <c r="T13" s="179">
        <f>+O13/O$29*'Input Sheet'!I$77</f>
        <v>235.30878325082011</v>
      </c>
      <c r="U13" s="179">
        <f>+P13/P$29*'Input Sheet'!J$77</f>
        <v>180.98179915812617</v>
      </c>
      <c r="V13" s="203">
        <f t="shared" ref="V13:V17" si="12">SUM(S13:U13)</f>
        <v>644.19291640441566</v>
      </c>
      <c r="W13" s="121"/>
      <c r="X13" s="208">
        <f t="shared" ref="X13:X17" si="13">IF(ISERROR(V13/L13),0,V13/L13)</f>
        <v>2.1763274202851881</v>
      </c>
      <c r="Y13" s="124">
        <f t="shared" ref="Y13:Y17" si="14">ROUND(X13,0)</f>
        <v>2</v>
      </c>
      <c r="Z13" s="124">
        <f t="shared" ref="Z13:Z17" si="15">IF(D13="Hourly","Hourly",Y13)</f>
        <v>2</v>
      </c>
      <c r="AA13" s="179">
        <f t="shared" ref="AA13:AA17" si="16">+Y13*L13</f>
        <v>592</v>
      </c>
      <c r="AB13" s="129"/>
      <c r="AC13" s="120"/>
    </row>
    <row r="14" spans="2:29" ht="14.25" customHeight="1" x14ac:dyDescent="0.2">
      <c r="B14" s="239" t="s">
        <v>116</v>
      </c>
      <c r="C14" s="194">
        <f>'Input Sheet'!G13</f>
        <v>63.636363636363633</v>
      </c>
      <c r="D14" s="199">
        <f>'Input Sheet'!H13</f>
        <v>3.0285714285714289</v>
      </c>
      <c r="E14" s="199"/>
      <c r="F14" s="227">
        <f>'Input Sheet'!J13</f>
        <v>212</v>
      </c>
      <c r="G14" s="227">
        <f>'Input Sheet'!K13</f>
        <v>192.72727272727275</v>
      </c>
      <c r="I14" s="179">
        <f>+'Input Sheet'!H48</f>
        <v>659</v>
      </c>
      <c r="J14" s="179">
        <f>+'Input Sheet'!I48</f>
        <v>787</v>
      </c>
      <c r="K14" s="179">
        <f>+'Input Sheet'!J48</f>
        <v>864</v>
      </c>
      <c r="L14" s="246">
        <f t="shared" si="9"/>
        <v>2310</v>
      </c>
      <c r="M14" s="130"/>
      <c r="N14" s="179">
        <f t="shared" si="10"/>
        <v>1995.8285714285716</v>
      </c>
      <c r="O14" s="179">
        <f t="shared" si="1"/>
        <v>2383.4857142857145</v>
      </c>
      <c r="P14" s="179">
        <f t="shared" si="2"/>
        <v>2616.6857142857148</v>
      </c>
      <c r="Q14" s="203">
        <f t="shared" si="11"/>
        <v>6996.0000000000018</v>
      </c>
      <c r="R14" s="120"/>
      <c r="S14" s="179">
        <f>+N14/N$29*'Input Sheet'!H$77</f>
        <v>1766.9133894472272</v>
      </c>
      <c r="T14" s="179">
        <f>+O14/O$29*'Input Sheet'!I$77</f>
        <v>1698.9725909944532</v>
      </c>
      <c r="U14" s="179">
        <f>+P14/P$29*'Input Sheet'!J$77</f>
        <v>1533.0222987511863</v>
      </c>
      <c r="V14" s="203">
        <f t="shared" si="12"/>
        <v>4998.9082791928668</v>
      </c>
      <c r="W14" s="121"/>
      <c r="X14" s="208">
        <f t="shared" si="13"/>
        <v>2.16402955809215</v>
      </c>
      <c r="Y14" s="124">
        <f t="shared" si="14"/>
        <v>2</v>
      </c>
      <c r="Z14" s="124">
        <f t="shared" si="15"/>
        <v>2</v>
      </c>
      <c r="AA14" s="179">
        <f t="shared" si="16"/>
        <v>4620</v>
      </c>
      <c r="AB14" s="129"/>
      <c r="AC14" s="120"/>
    </row>
    <row r="15" spans="2:29" ht="14.25" customHeight="1" x14ac:dyDescent="0.2">
      <c r="B15" s="239" t="s">
        <v>117</v>
      </c>
      <c r="C15" s="194">
        <f>'Input Sheet'!G14</f>
        <v>63.636363636363633</v>
      </c>
      <c r="D15" s="200" t="str">
        <f>'Input Sheet'!H14</f>
        <v>Hourly</v>
      </c>
      <c r="E15" s="199">
        <f>'Input Sheet'!I14</f>
        <v>2</v>
      </c>
      <c r="F15" s="227">
        <f>'Input Sheet'!J14</f>
        <v>70</v>
      </c>
      <c r="G15" s="227">
        <f>'Input Sheet'!K14</f>
        <v>63.636363636363633</v>
      </c>
      <c r="I15" s="179">
        <f>+'Input Sheet'!H49</f>
        <v>2</v>
      </c>
      <c r="J15" s="179">
        <f>+'Input Sheet'!I49</f>
        <v>4</v>
      </c>
      <c r="K15" s="179">
        <f>+'Input Sheet'!J49</f>
        <v>1</v>
      </c>
      <c r="L15" s="246">
        <f t="shared" si="9"/>
        <v>7</v>
      </c>
      <c r="M15" s="130"/>
      <c r="N15" s="179">
        <f t="shared" si="10"/>
        <v>4</v>
      </c>
      <c r="O15" s="179">
        <f t="shared" si="1"/>
        <v>8</v>
      </c>
      <c r="P15" s="179">
        <f t="shared" si="2"/>
        <v>2</v>
      </c>
      <c r="Q15" s="203">
        <f t="shared" si="11"/>
        <v>14</v>
      </c>
      <c r="R15" s="120"/>
      <c r="S15" s="179">
        <f>+N15/N$29*'Input Sheet'!H$77</f>
        <v>3.5412127368885362</v>
      </c>
      <c r="T15" s="179">
        <f>+O15/O$29*'Input Sheet'!I$77</f>
        <v>5.70248046652498</v>
      </c>
      <c r="U15" s="179">
        <f>+P15/P$29*'Input Sheet'!J$77</f>
        <v>1.1717282594403284</v>
      </c>
      <c r="V15" s="203">
        <f t="shared" si="12"/>
        <v>10.415421462853844</v>
      </c>
      <c r="W15" s="121"/>
      <c r="X15" s="208">
        <f t="shared" si="13"/>
        <v>1.4879173518362634</v>
      </c>
      <c r="Y15" s="124">
        <f t="shared" si="14"/>
        <v>1</v>
      </c>
      <c r="Z15" s="124" t="str">
        <f t="shared" si="15"/>
        <v>Hourly</v>
      </c>
      <c r="AA15" s="179">
        <f t="shared" si="16"/>
        <v>7</v>
      </c>
      <c r="AB15" s="129"/>
      <c r="AC15" s="120"/>
    </row>
    <row r="16" spans="2:29" ht="14.25" customHeight="1" x14ac:dyDescent="0.2">
      <c r="B16" s="239" t="s">
        <v>118</v>
      </c>
      <c r="C16" s="194">
        <f>'Input Sheet'!G15</f>
        <v>63.636363636363633</v>
      </c>
      <c r="D16" s="200" t="str">
        <f>'Input Sheet'!H15</f>
        <v>Hourly</v>
      </c>
      <c r="E16" s="199">
        <f>'Input Sheet'!I15</f>
        <v>3</v>
      </c>
      <c r="F16" s="227">
        <f>'Input Sheet'!J15</f>
        <v>70</v>
      </c>
      <c r="G16" s="227">
        <f>'Input Sheet'!K15</f>
        <v>63.636363636363633</v>
      </c>
      <c r="I16" s="179">
        <f>+'Input Sheet'!H50</f>
        <v>3</v>
      </c>
      <c r="J16" s="179">
        <f>+'Input Sheet'!I50</f>
        <v>2</v>
      </c>
      <c r="K16" s="179">
        <f>+'Input Sheet'!J50</f>
        <v>2</v>
      </c>
      <c r="L16" s="246">
        <f t="shared" si="9"/>
        <v>7</v>
      </c>
      <c r="M16" s="130"/>
      <c r="N16" s="179">
        <f t="shared" si="10"/>
        <v>9</v>
      </c>
      <c r="O16" s="179">
        <f t="shared" si="1"/>
        <v>6</v>
      </c>
      <c r="P16" s="179">
        <f t="shared" si="2"/>
        <v>6</v>
      </c>
      <c r="Q16" s="203">
        <f t="shared" si="11"/>
        <v>21</v>
      </c>
      <c r="R16" s="120"/>
      <c r="S16" s="179">
        <f>+N16/N$29*'Input Sheet'!H$77</f>
        <v>7.9677286579992064</v>
      </c>
      <c r="T16" s="179">
        <f>+O16/O$29*'Input Sheet'!I$77</f>
        <v>4.2768603498937345</v>
      </c>
      <c r="U16" s="179">
        <f>+P16/P$29*'Input Sheet'!J$77</f>
        <v>3.5151847783209851</v>
      </c>
      <c r="V16" s="203">
        <f t="shared" si="12"/>
        <v>15.759773786213927</v>
      </c>
      <c r="W16" s="121"/>
      <c r="X16" s="208">
        <f t="shared" si="13"/>
        <v>2.2513962551734181</v>
      </c>
      <c r="Y16" s="124">
        <f t="shared" si="14"/>
        <v>2</v>
      </c>
      <c r="Z16" s="124" t="str">
        <f t="shared" si="15"/>
        <v>Hourly</v>
      </c>
      <c r="AA16" s="179">
        <f t="shared" si="16"/>
        <v>14</v>
      </c>
      <c r="AB16" s="129"/>
      <c r="AC16" s="120"/>
    </row>
    <row r="17" spans="2:29" ht="14.25" customHeight="1" x14ac:dyDescent="0.2">
      <c r="B17" s="239" t="s">
        <v>119</v>
      </c>
      <c r="C17" s="194">
        <f>'Input Sheet'!G16</f>
        <v>63.636363636363633</v>
      </c>
      <c r="D17" s="200" t="str">
        <f>'Input Sheet'!H16</f>
        <v>Hourly</v>
      </c>
      <c r="E17" s="199">
        <f>'Input Sheet'!I16</f>
        <v>3</v>
      </c>
      <c r="F17" s="227">
        <f>'Input Sheet'!J16</f>
        <v>70</v>
      </c>
      <c r="G17" s="227">
        <f>'Input Sheet'!K16</f>
        <v>63.636363636363633</v>
      </c>
      <c r="I17" s="179">
        <f>+'Input Sheet'!H51</f>
        <v>72</v>
      </c>
      <c r="J17" s="179">
        <f>+'Input Sheet'!I51</f>
        <v>82</v>
      </c>
      <c r="K17" s="179">
        <f>+'Input Sheet'!J51</f>
        <v>92</v>
      </c>
      <c r="L17" s="246">
        <f t="shared" si="9"/>
        <v>246</v>
      </c>
      <c r="M17" s="130"/>
      <c r="N17" s="179">
        <f t="shared" si="10"/>
        <v>216</v>
      </c>
      <c r="O17" s="179">
        <f t="shared" si="1"/>
        <v>246</v>
      </c>
      <c r="P17" s="179">
        <f t="shared" si="2"/>
        <v>276</v>
      </c>
      <c r="Q17" s="203">
        <f t="shared" si="11"/>
        <v>738</v>
      </c>
      <c r="R17" s="120"/>
      <c r="S17" s="179">
        <f>+N17/N$29*'Input Sheet'!H$77</f>
        <v>191.22548779198092</v>
      </c>
      <c r="T17" s="179">
        <f>+O17/O$29*'Input Sheet'!I$77</f>
        <v>175.35127434564311</v>
      </c>
      <c r="U17" s="179">
        <f>+P17/P$29*'Input Sheet'!J$77</f>
        <v>161.6984998027653</v>
      </c>
      <c r="V17" s="203">
        <f t="shared" si="12"/>
        <v>528.27526194038933</v>
      </c>
      <c r="W17" s="121"/>
      <c r="X17" s="208">
        <f t="shared" si="13"/>
        <v>2.1474604143918263</v>
      </c>
      <c r="Y17" s="124">
        <f t="shared" si="14"/>
        <v>2</v>
      </c>
      <c r="Z17" s="124" t="str">
        <f t="shared" si="15"/>
        <v>Hourly</v>
      </c>
      <c r="AA17" s="179">
        <f t="shared" si="16"/>
        <v>492</v>
      </c>
      <c r="AB17" s="129"/>
      <c r="AC17" s="120"/>
    </row>
    <row r="18" spans="2:29" ht="14.25" customHeight="1" x14ac:dyDescent="0.2">
      <c r="B18" s="193"/>
      <c r="C18" s="194"/>
      <c r="D18" s="200"/>
      <c r="E18" s="199"/>
      <c r="F18" s="227"/>
      <c r="G18" s="117"/>
      <c r="I18" s="247">
        <f>SUM(I12:I17)</f>
        <v>859</v>
      </c>
      <c r="J18" s="247">
        <f>SUM(J12:J17)</f>
        <v>1033</v>
      </c>
      <c r="K18" s="247">
        <f>SUM(K12:K17)</f>
        <v>1104</v>
      </c>
      <c r="L18" s="247">
        <f>SUM(L12:L17)</f>
        <v>2996</v>
      </c>
      <c r="N18" s="247">
        <f>SUM(N12:N17)</f>
        <v>2597.3428571428576</v>
      </c>
      <c r="O18" s="247">
        <f>SUM(O12:O17)</f>
        <v>3122</v>
      </c>
      <c r="P18" s="247">
        <f>SUM(P12:P17)</f>
        <v>3339.8285714285721</v>
      </c>
      <c r="Q18" s="247">
        <f>SUM(Q12:Q17)</f>
        <v>9059.1714285714297</v>
      </c>
      <c r="R18" s="120"/>
      <c r="S18" s="247">
        <f>SUM(S12:S17)</f>
        <v>2299.4359019451867</v>
      </c>
      <c r="T18" s="247">
        <f>SUM(T12:T17)</f>
        <v>2225.3930020613734</v>
      </c>
      <c r="U18" s="247">
        <f>SUM(U12:U17)</f>
        <v>1956.6857594145392</v>
      </c>
      <c r="V18" s="247">
        <f>SUM(V12:V17)</f>
        <v>6481.5146634211005</v>
      </c>
      <c r="W18" s="121"/>
      <c r="X18" s="351"/>
      <c r="Y18" s="352"/>
      <c r="Z18" s="352"/>
      <c r="AA18" s="247">
        <f>SUM(AA12:AA17)</f>
        <v>5985</v>
      </c>
      <c r="AB18" s="129"/>
      <c r="AC18" s="120"/>
    </row>
    <row r="19" spans="2:29" ht="14.25" customHeight="1" x14ac:dyDescent="0.25">
      <c r="B19" s="193"/>
      <c r="C19" s="194"/>
      <c r="D19" s="200"/>
      <c r="E19" s="199"/>
      <c r="F19" s="227"/>
      <c r="G19" s="117"/>
      <c r="I19" s="179"/>
      <c r="J19" s="179"/>
      <c r="K19" s="179"/>
      <c r="L19" s="203"/>
      <c r="N19" s="179"/>
      <c r="O19" s="179"/>
      <c r="P19" s="179"/>
      <c r="Q19" s="203"/>
      <c r="R19" s="120"/>
      <c r="S19" s="179"/>
      <c r="T19" s="179"/>
      <c r="U19" s="179"/>
      <c r="V19" s="203"/>
      <c r="W19" s="121"/>
      <c r="X19" s="208"/>
      <c r="Y19" s="124"/>
      <c r="Z19" s="124"/>
      <c r="AA19" s="179"/>
      <c r="AB19" s="129"/>
      <c r="AC19" s="120"/>
    </row>
    <row r="20" spans="2:29" ht="14.25" customHeight="1" x14ac:dyDescent="0.2">
      <c r="B20" s="282" t="s">
        <v>113</v>
      </c>
      <c r="C20" s="289"/>
      <c r="D20" s="289"/>
      <c r="E20" s="289"/>
      <c r="F20" s="290"/>
      <c r="G20" s="290"/>
      <c r="I20" s="291"/>
      <c r="J20" s="291"/>
      <c r="K20" s="291"/>
      <c r="L20" s="292"/>
      <c r="N20" s="293"/>
      <c r="O20" s="293"/>
      <c r="P20" s="293"/>
      <c r="Q20" s="292"/>
      <c r="R20" s="120"/>
      <c r="S20" s="293"/>
      <c r="T20" s="293"/>
      <c r="U20" s="293"/>
      <c r="V20" s="292"/>
      <c r="W20" s="121"/>
      <c r="X20" s="294"/>
      <c r="Y20" s="291"/>
      <c r="Z20" s="291"/>
      <c r="AA20" s="293"/>
      <c r="AB20" s="129"/>
      <c r="AC20" s="120"/>
    </row>
    <row r="21" spans="2:29" ht="14.25" customHeight="1" x14ac:dyDescent="0.2">
      <c r="B21" s="233" t="s">
        <v>120</v>
      </c>
      <c r="C21" s="194">
        <f>'Input Sheet'!G19</f>
        <v>63.636363636363633</v>
      </c>
      <c r="D21" s="199">
        <f>'Input Sheet'!H19</f>
        <v>3.0285714285714289</v>
      </c>
      <c r="E21" s="199"/>
      <c r="F21" s="227">
        <f>'Input Sheet'!J19</f>
        <v>212</v>
      </c>
      <c r="G21" s="227">
        <f>'Input Sheet'!K19</f>
        <v>192.72727272727275</v>
      </c>
      <c r="I21" s="179">
        <f>+'Input Sheet'!H55</f>
        <v>14</v>
      </c>
      <c r="J21" s="179">
        <f>+'Input Sheet'!I55</f>
        <v>11</v>
      </c>
      <c r="K21" s="179">
        <f>+'Input Sheet'!J55</f>
        <v>12</v>
      </c>
      <c r="L21" s="246">
        <f t="shared" ref="L21:L26" si="17">SUM(I21:K21)</f>
        <v>37</v>
      </c>
      <c r="M21" s="130"/>
      <c r="N21" s="179">
        <f t="shared" ref="N21:N26" si="18">IF($D21="Hourly",$E21*I21,$D21*I21)</f>
        <v>42.400000000000006</v>
      </c>
      <c r="O21" s="179">
        <f t="shared" ref="O21:O26" si="19">IF($D21="Hourly",$E21*J21,$D21*J21)</f>
        <v>33.314285714285717</v>
      </c>
      <c r="P21" s="179">
        <f t="shared" ref="P21:P26" si="20">IF($D21="Hourly",$E21*K21,$D21*K21)</f>
        <v>36.342857142857149</v>
      </c>
      <c r="Q21" s="203">
        <f t="shared" ref="Q21:Q26" si="21">SUM(N21:P21)</f>
        <v>112.05714285714288</v>
      </c>
      <c r="R21" s="120"/>
      <c r="S21" s="179">
        <f>+N21/N$29*'Input Sheet'!H$77</f>
        <v>37.536855011018488</v>
      </c>
      <c r="T21" s="179">
        <f>+O21/O$29*'Input Sheet'!I$77</f>
        <v>23.746757942743312</v>
      </c>
      <c r="U21" s="179">
        <f>+P21/P$29*'Input Sheet'!J$77</f>
        <v>21.291976371544255</v>
      </c>
      <c r="V21" s="203">
        <f t="shared" ref="V21:V26" si="22">SUM(S21:U21)</f>
        <v>82.575589325306055</v>
      </c>
      <c r="W21" s="121"/>
      <c r="X21" s="208">
        <f t="shared" ref="X21:X26" si="23">IF(ISERROR(V21/L21),0,V21/L21)</f>
        <v>2.2317726844677312</v>
      </c>
      <c r="Y21" s="124">
        <f t="shared" ref="Y21:Y26" si="24">ROUND(X21,0)</f>
        <v>2</v>
      </c>
      <c r="Z21" s="124">
        <f t="shared" ref="Z21:Z26" si="25">IF(D21="Hourly","Hourly",Y21)</f>
        <v>2</v>
      </c>
      <c r="AA21" s="179">
        <f t="shared" ref="AA21:AA26" si="26">+Y21*L21</f>
        <v>74</v>
      </c>
      <c r="AB21" s="129"/>
      <c r="AC21" s="120"/>
    </row>
    <row r="22" spans="2:29" ht="14.25" customHeight="1" x14ac:dyDescent="0.2">
      <c r="B22" s="233" t="s">
        <v>121</v>
      </c>
      <c r="C22" s="194">
        <f>'Input Sheet'!G20</f>
        <v>63.636363636363633</v>
      </c>
      <c r="D22" s="199">
        <f>'Input Sheet'!H20</f>
        <v>3.0285714285714289</v>
      </c>
      <c r="E22" s="199"/>
      <c r="F22" s="227">
        <f>'Input Sheet'!J20</f>
        <v>212</v>
      </c>
      <c r="G22" s="227">
        <f>'Input Sheet'!K20</f>
        <v>192.72727272727275</v>
      </c>
      <c r="I22" s="179">
        <f>+'Input Sheet'!H56</f>
        <v>2</v>
      </c>
      <c r="J22" s="179">
        <f>+'Input Sheet'!I56</f>
        <v>1</v>
      </c>
      <c r="K22" s="179">
        <f>+'Input Sheet'!J56</f>
        <v>0</v>
      </c>
      <c r="L22" s="246">
        <f t="shared" si="17"/>
        <v>3</v>
      </c>
      <c r="M22" s="130"/>
      <c r="N22" s="179">
        <f t="shared" si="18"/>
        <v>6.0571428571428578</v>
      </c>
      <c r="O22" s="179">
        <f t="shared" si="19"/>
        <v>3.0285714285714289</v>
      </c>
      <c r="P22" s="179">
        <f t="shared" si="20"/>
        <v>0</v>
      </c>
      <c r="Q22" s="203">
        <f t="shared" si="21"/>
        <v>9.0857142857142872</v>
      </c>
      <c r="R22" s="120"/>
      <c r="S22" s="179">
        <f>+N22/N$29*'Input Sheet'!H$77</f>
        <v>5.362407858716927</v>
      </c>
      <c r="T22" s="179">
        <f>+O22/O$29*'Input Sheet'!I$77</f>
        <v>2.1587961766130284</v>
      </c>
      <c r="U22" s="179">
        <f>+P22/P$29*'Input Sheet'!J$77</f>
        <v>0</v>
      </c>
      <c r="V22" s="203">
        <f t="shared" si="22"/>
        <v>7.521204035329955</v>
      </c>
      <c r="W22" s="121"/>
      <c r="X22" s="208">
        <f t="shared" si="23"/>
        <v>2.5070680117766515</v>
      </c>
      <c r="Y22" s="124">
        <f t="shared" si="24"/>
        <v>3</v>
      </c>
      <c r="Z22" s="124">
        <f t="shared" si="25"/>
        <v>3</v>
      </c>
      <c r="AA22" s="179">
        <f t="shared" si="26"/>
        <v>9</v>
      </c>
      <c r="AB22" s="129"/>
      <c r="AC22" s="120"/>
    </row>
    <row r="23" spans="2:29" ht="14.25" customHeight="1" x14ac:dyDescent="0.2">
      <c r="B23" s="233" t="s">
        <v>122</v>
      </c>
      <c r="C23" s="194">
        <f>'Input Sheet'!G21</f>
        <v>63.636363636363633</v>
      </c>
      <c r="D23" s="199">
        <f>'Input Sheet'!H21</f>
        <v>3.0285714285714289</v>
      </c>
      <c r="E23" s="199"/>
      <c r="F23" s="227">
        <f>'Input Sheet'!J21</f>
        <v>212</v>
      </c>
      <c r="G23" s="227">
        <f>'Input Sheet'!K21</f>
        <v>192.72727272727275</v>
      </c>
      <c r="I23" s="179">
        <f>+'Input Sheet'!H57</f>
        <v>66</v>
      </c>
      <c r="J23" s="179">
        <f>+'Input Sheet'!I57</f>
        <v>60</v>
      </c>
      <c r="K23" s="179">
        <f>+'Input Sheet'!J57</f>
        <v>57</v>
      </c>
      <c r="L23" s="246">
        <f t="shared" si="17"/>
        <v>183</v>
      </c>
      <c r="M23" s="130"/>
      <c r="N23" s="179">
        <f t="shared" si="18"/>
        <v>199.8857142857143</v>
      </c>
      <c r="O23" s="179">
        <f t="shared" si="19"/>
        <v>181.71428571428572</v>
      </c>
      <c r="P23" s="179">
        <f t="shared" si="20"/>
        <v>172.62857142857146</v>
      </c>
      <c r="Q23" s="203">
        <f t="shared" si="21"/>
        <v>554.22857142857151</v>
      </c>
      <c r="R23" s="120"/>
      <c r="S23" s="179">
        <f>+N23/N$29*'Input Sheet'!H$77</f>
        <v>176.95945933765856</v>
      </c>
      <c r="T23" s="179">
        <f>+O23/O$29*'Input Sheet'!I$77</f>
        <v>129.52777059678169</v>
      </c>
      <c r="U23" s="179">
        <f>+P23/P$29*'Input Sheet'!J$77</f>
        <v>101.13688776483522</v>
      </c>
      <c r="V23" s="203">
        <f t="shared" si="22"/>
        <v>407.62411769927553</v>
      </c>
      <c r="W23" s="121"/>
      <c r="X23" s="208">
        <f t="shared" si="23"/>
        <v>2.2274541950780082</v>
      </c>
      <c r="Y23" s="124">
        <f t="shared" si="24"/>
        <v>2</v>
      </c>
      <c r="Z23" s="124">
        <f t="shared" si="25"/>
        <v>2</v>
      </c>
      <c r="AA23" s="179">
        <f t="shared" si="26"/>
        <v>366</v>
      </c>
      <c r="AB23" s="129"/>
      <c r="AC23" s="120"/>
    </row>
    <row r="24" spans="2:29" ht="14.25" customHeight="1" x14ac:dyDescent="0.2">
      <c r="B24" s="233" t="s">
        <v>123</v>
      </c>
      <c r="C24" s="194">
        <f>'Input Sheet'!G22</f>
        <v>63.636363636363633</v>
      </c>
      <c r="D24" s="200" t="str">
        <f>'Input Sheet'!H22</f>
        <v>Hourly</v>
      </c>
      <c r="E24" s="199">
        <f>'Input Sheet'!I22</f>
        <v>0</v>
      </c>
      <c r="F24" s="227">
        <f>'Input Sheet'!J22</f>
        <v>70</v>
      </c>
      <c r="G24" s="227">
        <f>'Input Sheet'!K22</f>
        <v>63.636363636363633</v>
      </c>
      <c r="I24" s="179">
        <f>+'Input Sheet'!H58</f>
        <v>0</v>
      </c>
      <c r="J24" s="179">
        <f>+'Input Sheet'!I58</f>
        <v>0</v>
      </c>
      <c r="K24" s="179">
        <f>+'Input Sheet'!J58</f>
        <v>0</v>
      </c>
      <c r="L24" s="246">
        <f t="shared" si="17"/>
        <v>0</v>
      </c>
      <c r="M24" s="130"/>
      <c r="N24" s="179">
        <f t="shared" si="18"/>
        <v>0</v>
      </c>
      <c r="O24" s="179">
        <f t="shared" si="19"/>
        <v>0</v>
      </c>
      <c r="P24" s="179">
        <f t="shared" si="20"/>
        <v>0</v>
      </c>
      <c r="Q24" s="203">
        <f t="shared" si="21"/>
        <v>0</v>
      </c>
      <c r="R24" s="120"/>
      <c r="S24" s="179">
        <f>+N24/N$29*'Input Sheet'!H$77</f>
        <v>0</v>
      </c>
      <c r="T24" s="179">
        <f>+O24/O$29*'Input Sheet'!I$77</f>
        <v>0</v>
      </c>
      <c r="U24" s="179">
        <f>+P24/P$29*'Input Sheet'!J$77</f>
        <v>0</v>
      </c>
      <c r="V24" s="203">
        <f t="shared" si="22"/>
        <v>0</v>
      </c>
      <c r="W24" s="121"/>
      <c r="X24" s="208">
        <f t="shared" si="23"/>
        <v>0</v>
      </c>
      <c r="Y24" s="124">
        <f t="shared" si="24"/>
        <v>0</v>
      </c>
      <c r="Z24" s="124" t="str">
        <f t="shared" si="25"/>
        <v>Hourly</v>
      </c>
      <c r="AA24" s="179">
        <f t="shared" si="26"/>
        <v>0</v>
      </c>
      <c r="AB24" s="129"/>
      <c r="AC24" s="120"/>
    </row>
    <row r="25" spans="2:29" ht="14.25" customHeight="1" x14ac:dyDescent="0.2">
      <c r="B25" s="233" t="s">
        <v>124</v>
      </c>
      <c r="C25" s="194">
        <f>'Input Sheet'!G23</f>
        <v>63.636363636363633</v>
      </c>
      <c r="D25" s="200" t="str">
        <f>'Input Sheet'!H23</f>
        <v>Hourly</v>
      </c>
      <c r="E25" s="199">
        <f>'Input Sheet'!I23</f>
        <v>0</v>
      </c>
      <c r="F25" s="227">
        <f>'Input Sheet'!J23</f>
        <v>70</v>
      </c>
      <c r="G25" s="227">
        <f>'Input Sheet'!K23</f>
        <v>63.636363636363633</v>
      </c>
      <c r="I25" s="179">
        <f>+'Input Sheet'!H59</f>
        <v>0</v>
      </c>
      <c r="J25" s="179">
        <f>+'Input Sheet'!I59</f>
        <v>0</v>
      </c>
      <c r="K25" s="179">
        <f>+'Input Sheet'!J59</f>
        <v>0</v>
      </c>
      <c r="L25" s="246">
        <f t="shared" si="17"/>
        <v>0</v>
      </c>
      <c r="M25" s="130"/>
      <c r="N25" s="179">
        <f t="shared" si="18"/>
        <v>0</v>
      </c>
      <c r="O25" s="179">
        <f t="shared" si="19"/>
        <v>0</v>
      </c>
      <c r="P25" s="179">
        <f t="shared" si="20"/>
        <v>0</v>
      </c>
      <c r="Q25" s="203">
        <f t="shared" si="21"/>
        <v>0</v>
      </c>
      <c r="R25" s="120"/>
      <c r="S25" s="179">
        <f>+N25/N$29*'Input Sheet'!H$77</f>
        <v>0</v>
      </c>
      <c r="T25" s="179">
        <f>+O25/O$29*'Input Sheet'!I$77</f>
        <v>0</v>
      </c>
      <c r="U25" s="179">
        <f>+P25/P$29*'Input Sheet'!J$77</f>
        <v>0</v>
      </c>
      <c r="V25" s="203">
        <f t="shared" si="22"/>
        <v>0</v>
      </c>
      <c r="W25" s="121"/>
      <c r="X25" s="208">
        <f t="shared" si="23"/>
        <v>0</v>
      </c>
      <c r="Y25" s="124">
        <f t="shared" si="24"/>
        <v>0</v>
      </c>
      <c r="Z25" s="124" t="str">
        <f t="shared" si="25"/>
        <v>Hourly</v>
      </c>
      <c r="AA25" s="179">
        <f t="shared" si="26"/>
        <v>0</v>
      </c>
      <c r="AB25" s="129"/>
      <c r="AC25" s="120"/>
    </row>
    <row r="26" spans="2:29" ht="14.25" customHeight="1" x14ac:dyDescent="0.2">
      <c r="B26" s="233" t="s">
        <v>125</v>
      </c>
      <c r="C26" s="194">
        <f>'Input Sheet'!G24</f>
        <v>63.636363636363633</v>
      </c>
      <c r="D26" s="200" t="str">
        <f>'Input Sheet'!H24</f>
        <v>Hourly</v>
      </c>
      <c r="E26" s="199">
        <f>'Input Sheet'!I24</f>
        <v>0</v>
      </c>
      <c r="F26" s="227">
        <f>'Input Sheet'!J24</f>
        <v>70</v>
      </c>
      <c r="G26" s="227">
        <f>'Input Sheet'!K24</f>
        <v>63.636363636363633</v>
      </c>
      <c r="I26" s="179">
        <f>+'Input Sheet'!H60</f>
        <v>0</v>
      </c>
      <c r="J26" s="179">
        <f>+'Input Sheet'!I60</f>
        <v>0</v>
      </c>
      <c r="K26" s="179">
        <f>+'Input Sheet'!J60</f>
        <v>0</v>
      </c>
      <c r="L26" s="246">
        <f t="shared" si="17"/>
        <v>0</v>
      </c>
      <c r="M26" s="130"/>
      <c r="N26" s="179">
        <f t="shared" si="18"/>
        <v>0</v>
      </c>
      <c r="O26" s="179">
        <f t="shared" si="19"/>
        <v>0</v>
      </c>
      <c r="P26" s="179">
        <f t="shared" si="20"/>
        <v>0</v>
      </c>
      <c r="Q26" s="203">
        <f t="shared" si="21"/>
        <v>0</v>
      </c>
      <c r="R26" s="120"/>
      <c r="S26" s="179">
        <f>+N26/N$29*'Input Sheet'!H$77</f>
        <v>0</v>
      </c>
      <c r="T26" s="179">
        <f>+O26/O$29*'Input Sheet'!I$77</f>
        <v>0</v>
      </c>
      <c r="U26" s="179">
        <f>+P26/P$29*'Input Sheet'!J$77</f>
        <v>0</v>
      </c>
      <c r="V26" s="203">
        <f t="shared" si="22"/>
        <v>0</v>
      </c>
      <c r="W26" s="121"/>
      <c r="X26" s="208">
        <f t="shared" si="23"/>
        <v>0</v>
      </c>
      <c r="Y26" s="124">
        <f t="shared" si="24"/>
        <v>0</v>
      </c>
      <c r="Z26" s="124" t="str">
        <f t="shared" si="25"/>
        <v>Hourly</v>
      </c>
      <c r="AA26" s="179">
        <f t="shared" si="26"/>
        <v>0</v>
      </c>
      <c r="AB26" s="129"/>
      <c r="AC26" s="120"/>
    </row>
    <row r="27" spans="2:29" ht="14.25" customHeight="1" x14ac:dyDescent="0.2">
      <c r="B27" s="193"/>
      <c r="C27" s="194"/>
      <c r="D27" s="200"/>
      <c r="E27" s="199"/>
      <c r="F27" s="227"/>
      <c r="G27" s="117"/>
      <c r="I27" s="247">
        <f>SUM(I21:I26)</f>
        <v>82</v>
      </c>
      <c r="J27" s="247">
        <f>SUM(J21:J26)</f>
        <v>72</v>
      </c>
      <c r="K27" s="247">
        <f>SUM(K21:K26)</f>
        <v>69</v>
      </c>
      <c r="L27" s="247">
        <f>SUM(L21:L26)</f>
        <v>223</v>
      </c>
      <c r="N27" s="247">
        <f>SUM(N21:N26)</f>
        <v>248.34285714285716</v>
      </c>
      <c r="O27" s="247">
        <f>SUM(O21:O26)</f>
        <v>218.05714285714288</v>
      </c>
      <c r="P27" s="247">
        <f>SUM(P21:P26)</f>
        <v>208.97142857142862</v>
      </c>
      <c r="Q27" s="247">
        <f>SUM(Q21:Q26)</f>
        <v>675.37142857142862</v>
      </c>
      <c r="R27" s="120"/>
      <c r="S27" s="247">
        <f>SUM(S21:S26)</f>
        <v>219.85872220739398</v>
      </c>
      <c r="T27" s="247">
        <f>SUM(T21:T26)</f>
        <v>155.43332471613803</v>
      </c>
      <c r="U27" s="247">
        <f>SUM(U21:U26)</f>
        <v>122.42886413637947</v>
      </c>
      <c r="V27" s="247">
        <f>SUM(V21:V26)</f>
        <v>497.72091105991154</v>
      </c>
      <c r="W27" s="121"/>
      <c r="X27" s="351"/>
      <c r="Y27" s="352"/>
      <c r="Z27" s="352"/>
      <c r="AA27" s="247">
        <f>SUM(AA21:AA26)</f>
        <v>449</v>
      </c>
      <c r="AB27" s="129"/>
      <c r="AC27" s="120"/>
    </row>
    <row r="28" spans="2:29" ht="14.25" customHeight="1" x14ac:dyDescent="0.25">
      <c r="B28" s="185"/>
      <c r="C28" s="185"/>
      <c r="D28" s="184"/>
      <c r="E28" s="184"/>
      <c r="F28" s="184"/>
      <c r="G28" s="186"/>
      <c r="I28" s="183"/>
      <c r="J28" s="183"/>
      <c r="K28" s="180"/>
      <c r="L28" s="183"/>
      <c r="N28" s="183"/>
      <c r="O28" s="183"/>
      <c r="P28" s="183"/>
      <c r="Q28" s="183"/>
      <c r="S28" s="181"/>
      <c r="T28" s="181"/>
      <c r="U28" s="181"/>
      <c r="V28" s="181"/>
      <c r="W28" s="126"/>
      <c r="X28" s="183"/>
      <c r="Y28" s="183"/>
      <c r="Z28" s="183"/>
      <c r="AA28" s="183"/>
    </row>
    <row r="29" spans="2:29" ht="14.25" customHeight="1" thickBot="1" x14ac:dyDescent="0.3">
      <c r="I29" s="182">
        <f>+I27+I18</f>
        <v>941</v>
      </c>
      <c r="J29" s="182">
        <f>+J27+J18</f>
        <v>1105</v>
      </c>
      <c r="K29" s="182">
        <f>+K27+K18</f>
        <v>1173</v>
      </c>
      <c r="L29" s="182">
        <f>+L27+L18</f>
        <v>3219</v>
      </c>
      <c r="N29" s="182">
        <f>+N27+N18</f>
        <v>2845.6857142857148</v>
      </c>
      <c r="O29" s="182">
        <f>+O27+O18</f>
        <v>3340.0571428571429</v>
      </c>
      <c r="P29" s="182">
        <f>+P27+P18</f>
        <v>3548.8000000000006</v>
      </c>
      <c r="Q29" s="182">
        <f>+Q27+Q18</f>
        <v>9734.5428571428583</v>
      </c>
      <c r="S29" s="182">
        <f>+S27+S18</f>
        <v>2519.2946241525806</v>
      </c>
      <c r="T29" s="182">
        <f>+T27+T18</f>
        <v>2380.8263267775114</v>
      </c>
      <c r="U29" s="182">
        <f>+U27+U18</f>
        <v>2079.1146235509186</v>
      </c>
      <c r="V29" s="182">
        <f>+V27+V18</f>
        <v>6979.235574481012</v>
      </c>
      <c r="X29" s="209"/>
      <c r="Y29" s="209"/>
      <c r="Z29" s="209"/>
      <c r="AA29" s="182">
        <f>+AA27+AA18</f>
        <v>6434</v>
      </c>
    </row>
    <row r="30" spans="2:29" ht="14.25" customHeight="1" x14ac:dyDescent="0.2">
      <c r="S30" s="248">
        <f>+S29-'Input Sheet'!H77</f>
        <v>0</v>
      </c>
      <c r="T30" s="248">
        <f>+T29-'Input Sheet'!I77</f>
        <v>0</v>
      </c>
      <c r="U30" s="248">
        <f>+U29-'Input Sheet'!J77</f>
        <v>0</v>
      </c>
      <c r="AA30" s="295"/>
    </row>
    <row r="31" spans="2:29" ht="14.25" hidden="1" customHeight="1" x14ac:dyDescent="0.25">
      <c r="M31" s="131"/>
      <c r="Y31" s="132"/>
      <c r="Z31" s="132"/>
      <c r="AA31" s="120"/>
    </row>
    <row r="32" spans="2:29" ht="14.25" hidden="1" customHeight="1" x14ac:dyDescent="0.25">
      <c r="Y32" s="133"/>
      <c r="Z32" s="133"/>
      <c r="AA32" s="120"/>
    </row>
    <row r="33" spans="11:27" ht="14.25" hidden="1" customHeight="1" x14ac:dyDescent="0.25">
      <c r="Y33" s="133"/>
      <c r="Z33" s="133"/>
      <c r="AA33" s="127"/>
    </row>
    <row r="34" spans="11:27" hidden="1" x14ac:dyDescent="0.25">
      <c r="V34" s="120"/>
    </row>
    <row r="35" spans="11:27" hidden="1" x14ac:dyDescent="0.25">
      <c r="K35" s="126"/>
      <c r="L35" s="126"/>
      <c r="M35" s="123"/>
      <c r="N35" s="123"/>
      <c r="O35" s="123"/>
      <c r="P35" s="123"/>
      <c r="Q35" s="123"/>
      <c r="V35" s="120"/>
    </row>
    <row r="36" spans="11:27" hidden="1" x14ac:dyDescent="0.25">
      <c r="K36" s="126"/>
      <c r="L36" s="126"/>
      <c r="M36" s="205"/>
      <c r="N36" s="206"/>
      <c r="O36" s="206"/>
      <c r="P36" s="206"/>
      <c r="Q36" s="206"/>
      <c r="V36" s="120"/>
    </row>
    <row r="37" spans="11:27" hidden="1" x14ac:dyDescent="0.25">
      <c r="K37" s="126"/>
      <c r="L37" s="126"/>
      <c r="M37" s="123"/>
      <c r="N37" s="126"/>
      <c r="O37" s="126"/>
      <c r="P37" s="125"/>
      <c r="Q37" s="125"/>
      <c r="R37" s="131"/>
    </row>
    <row r="38" spans="11:27" hidden="1" x14ac:dyDescent="0.25">
      <c r="K38" s="126"/>
      <c r="L38" s="126"/>
      <c r="M38" s="123"/>
      <c r="N38" s="126"/>
      <c r="O38" s="126"/>
      <c r="P38" s="126"/>
      <c r="Q38" s="125"/>
    </row>
    <row r="39" spans="11:27" hidden="1" x14ac:dyDescent="0.25">
      <c r="K39" s="126"/>
      <c r="L39" s="126"/>
      <c r="M39" s="123"/>
      <c r="N39" s="126"/>
      <c r="O39" s="126"/>
      <c r="P39" s="126"/>
      <c r="Q39" s="126"/>
    </row>
    <row r="40" spans="11:27" hidden="1" x14ac:dyDescent="0.25">
      <c r="K40" s="126"/>
      <c r="L40" s="126"/>
      <c r="M40" s="123"/>
      <c r="N40" s="207"/>
      <c r="O40" s="207"/>
      <c r="P40" s="207"/>
      <c r="Q40" s="207"/>
    </row>
    <row r="41" spans="11:27" hidden="1" x14ac:dyDescent="0.25">
      <c r="N41" s="134"/>
      <c r="O41" s="134"/>
      <c r="P41" s="134"/>
      <c r="Q41" s="134"/>
    </row>
    <row r="42" spans="11:27" hidden="1" x14ac:dyDescent="0.25"/>
    <row r="43" spans="11:27" hidden="1" x14ac:dyDescent="0.25"/>
    <row r="44" spans="11:27" hidden="1" x14ac:dyDescent="0.25"/>
    <row r="45" spans="11:27" hidden="1" x14ac:dyDescent="0.25"/>
    <row r="46" spans="11:27" hidden="1" x14ac:dyDescent="0.25"/>
    <row r="47" spans="11:27" hidden="1" x14ac:dyDescent="0.25"/>
    <row r="48" spans="11:27" hidden="1" x14ac:dyDescent="0.25"/>
    <row r="49" hidden="1" x14ac:dyDescent="0.25"/>
    <row r="50" hidden="1"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sheetData>
  <mergeCells count="6">
    <mergeCell ref="B6:Q6"/>
    <mergeCell ref="C8:G8"/>
    <mergeCell ref="I8:L8"/>
    <mergeCell ref="X8:AA8"/>
    <mergeCell ref="S8:V8"/>
    <mergeCell ref="N8:Q8"/>
  </mergeCells>
  <pageMargins left="0.39370078740157483" right="0.39370078740157483" top="0.39370078740157483" bottom="0.39370078740157483" header="0.19685039370078741" footer="0.19685039370078741"/>
  <pageSetup paperSize="9" scale="45" fitToHeight="0" orientation="landscape"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54</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6"/>
  <sheetViews>
    <sheetView showGridLines="0" tabSelected="1"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143" t="s">
        <v>60</v>
      </c>
      <c r="C2" s="144"/>
      <c r="D2" s="144"/>
      <c r="E2" s="144"/>
      <c r="F2" s="144"/>
      <c r="G2" s="144"/>
      <c r="H2" s="144"/>
    </row>
    <row r="3" spans="2:8" x14ac:dyDescent="0.25">
      <c r="B3" s="11" t="s">
        <v>0</v>
      </c>
      <c r="C3" s="16" t="s">
        <v>104</v>
      </c>
      <c r="D3" s="17"/>
      <c r="E3" s="17"/>
      <c r="F3" s="17"/>
      <c r="G3" s="17"/>
      <c r="H3" s="17"/>
    </row>
    <row r="4" spans="2:8" x14ac:dyDescent="0.25">
      <c r="B4" s="11" t="s">
        <v>133</v>
      </c>
      <c r="C4" s="437" t="s">
        <v>148</v>
      </c>
      <c r="D4" s="438"/>
      <c r="E4" s="438"/>
      <c r="F4" s="438"/>
      <c r="G4" s="438"/>
      <c r="H4" s="438"/>
    </row>
    <row r="5" spans="2:8" x14ac:dyDescent="0.25">
      <c r="B5" s="11" t="s">
        <v>134</v>
      </c>
      <c r="C5" s="436" t="s">
        <v>136</v>
      </c>
      <c r="D5" s="436"/>
      <c r="E5" s="436"/>
      <c r="F5" s="436"/>
      <c r="G5" s="436"/>
      <c r="H5" s="436"/>
    </row>
    <row r="6" spans="2:8" ht="31.5" customHeight="1" x14ac:dyDescent="0.25">
      <c r="B6" s="149" t="s">
        <v>135</v>
      </c>
      <c r="C6" s="436" t="s">
        <v>127</v>
      </c>
      <c r="D6" s="436"/>
      <c r="E6" s="436"/>
      <c r="F6" s="436"/>
      <c r="G6" s="436"/>
      <c r="H6" s="436"/>
    </row>
    <row r="7" spans="2:8" x14ac:dyDescent="0.25">
      <c r="B7" s="149"/>
      <c r="C7" s="269"/>
      <c r="D7" s="271" t="s">
        <v>17</v>
      </c>
      <c r="E7" s="271" t="s">
        <v>18</v>
      </c>
      <c r="F7" s="271" t="s">
        <v>19</v>
      </c>
      <c r="G7" s="271" t="s">
        <v>20</v>
      </c>
      <c r="H7" s="271" t="s">
        <v>21</v>
      </c>
    </row>
    <row r="8" spans="2:8" x14ac:dyDescent="0.25">
      <c r="B8" s="149"/>
      <c r="C8" s="269"/>
      <c r="D8" s="272">
        <f>+'Input Sheet'!G99</f>
        <v>187.96885733306021</v>
      </c>
      <c r="E8" s="272">
        <f>+'Input Sheet'!H99</f>
        <v>196.16988592819519</v>
      </c>
      <c r="F8" s="272">
        <f>+'Input Sheet'!I99</f>
        <v>202.81174694768021</v>
      </c>
      <c r="G8" s="272">
        <f>+'Input Sheet'!J99</f>
        <v>209.95643120448602</v>
      </c>
      <c r="H8" s="272">
        <f>+'Input Sheet'!K99</f>
        <v>217.18656408360198</v>
      </c>
    </row>
    <row r="10" spans="2:8" x14ac:dyDescent="0.25">
      <c r="B10" s="141" t="s">
        <v>69</v>
      </c>
      <c r="C10" s="138"/>
      <c r="D10" s="138"/>
      <c r="E10" s="138"/>
      <c r="F10" s="138"/>
      <c r="G10" s="138"/>
      <c r="H10" s="138"/>
    </row>
    <row r="11" spans="2:8" ht="78.75" customHeight="1" x14ac:dyDescent="0.25">
      <c r="B11" s="439" t="s">
        <v>126</v>
      </c>
      <c r="C11" s="439"/>
      <c r="D11" s="439"/>
      <c r="E11" s="439"/>
      <c r="F11" s="439"/>
      <c r="G11" s="439"/>
      <c r="H11" s="439"/>
    </row>
    <row r="13" spans="2:8" x14ac:dyDescent="0.25">
      <c r="B13" s="141" t="s">
        <v>157</v>
      </c>
      <c r="C13" s="138"/>
      <c r="D13" s="138"/>
      <c r="E13" s="138"/>
      <c r="F13" s="138"/>
      <c r="G13" s="138"/>
      <c r="H13" s="138"/>
    </row>
    <row r="14" spans="2:8" ht="15" customHeight="1" x14ac:dyDescent="0.25">
      <c r="B14" s="439" t="s">
        <v>92</v>
      </c>
      <c r="C14" s="439"/>
      <c r="D14" s="439"/>
      <c r="E14" s="439"/>
      <c r="F14" s="439"/>
      <c r="G14" s="439"/>
      <c r="H14" s="439"/>
    </row>
    <row r="15" spans="2:8" ht="47.25" customHeight="1" x14ac:dyDescent="0.25">
      <c r="B15" s="440" t="s">
        <v>93</v>
      </c>
      <c r="C15" s="440"/>
      <c r="D15" s="440"/>
      <c r="E15" s="440"/>
      <c r="F15" s="440"/>
      <c r="G15" s="440"/>
      <c r="H15" s="440"/>
    </row>
    <row r="16" spans="2:8" ht="35.25" customHeight="1" x14ac:dyDescent="0.25">
      <c r="B16" s="440" t="s">
        <v>149</v>
      </c>
      <c r="C16" s="440"/>
      <c r="D16" s="440"/>
      <c r="E16" s="440"/>
      <c r="F16" s="440"/>
      <c r="G16" s="440"/>
      <c r="H16" s="440"/>
    </row>
    <row r="17" spans="2:8" ht="47.25" customHeight="1" x14ac:dyDescent="0.25">
      <c r="B17" s="440" t="s">
        <v>137</v>
      </c>
      <c r="C17" s="440"/>
      <c r="D17" s="440"/>
      <c r="E17" s="440"/>
      <c r="F17" s="440"/>
      <c r="G17" s="440"/>
      <c r="H17" s="440"/>
    </row>
    <row r="18" spans="2:8" ht="47.25" customHeight="1" x14ac:dyDescent="0.25">
      <c r="B18" s="440" t="s">
        <v>150</v>
      </c>
      <c r="C18" s="440"/>
      <c r="D18" s="440"/>
      <c r="E18" s="440"/>
      <c r="F18" s="440"/>
      <c r="G18" s="440"/>
      <c r="H18" s="440"/>
    </row>
    <row r="19" spans="2:8" ht="32.25" customHeight="1" x14ac:dyDescent="0.25">
      <c r="B19" s="440" t="s">
        <v>151</v>
      </c>
      <c r="C19" s="440"/>
      <c r="D19" s="440"/>
      <c r="E19" s="440"/>
      <c r="F19" s="440"/>
      <c r="G19" s="440"/>
      <c r="H19" s="440"/>
    </row>
    <row r="20" spans="2:8" ht="48" customHeight="1" x14ac:dyDescent="0.25">
      <c r="B20" s="440" t="s">
        <v>152</v>
      </c>
      <c r="C20" s="440"/>
      <c r="D20" s="440"/>
      <c r="E20" s="440"/>
      <c r="F20" s="440"/>
      <c r="G20" s="440"/>
      <c r="H20" s="440"/>
    </row>
    <row r="22" spans="2:8" x14ac:dyDescent="0.25">
      <c r="B22" s="141" t="s">
        <v>94</v>
      </c>
      <c r="C22" s="138"/>
      <c r="D22" s="138"/>
      <c r="E22" s="138"/>
      <c r="F22" s="138"/>
      <c r="G22" s="138"/>
      <c r="H22" s="138"/>
    </row>
    <row r="23" spans="2:8" ht="63" customHeight="1" x14ac:dyDescent="0.25">
      <c r="B23" s="439" t="s">
        <v>153</v>
      </c>
      <c r="C23" s="439"/>
      <c r="D23" s="439"/>
      <c r="E23" s="439"/>
      <c r="F23" s="439"/>
      <c r="G23" s="439"/>
      <c r="H23" s="439"/>
    </row>
    <row r="25" spans="2:8" x14ac:dyDescent="0.25">
      <c r="B25" s="14" t="s">
        <v>97</v>
      </c>
      <c r="C25" s="441" t="s">
        <v>5</v>
      </c>
      <c r="D25" s="442"/>
      <c r="E25" s="13" t="s">
        <v>13</v>
      </c>
      <c r="F25" s="13" t="s">
        <v>14</v>
      </c>
      <c r="G25" s="13" t="s">
        <v>15</v>
      </c>
      <c r="H25" s="221" t="s">
        <v>1</v>
      </c>
    </row>
    <row r="26" spans="2:8" x14ac:dyDescent="0.25">
      <c r="B26" s="15" t="s">
        <v>95</v>
      </c>
      <c r="C26" s="443" t="s">
        <v>98</v>
      </c>
      <c r="D26" s="443"/>
      <c r="E26" s="9">
        <f>+'Input Sheet'!H30+'Input Sheet'!H31</f>
        <v>175415.08000000063</v>
      </c>
      <c r="F26" s="9">
        <f>+'Input Sheet'!I30+'Input Sheet'!I31</f>
        <v>211391.85000000196</v>
      </c>
      <c r="G26" s="9">
        <f>+'Input Sheet'!J30+'Input Sheet'!J31</f>
        <v>226077.56999999995</v>
      </c>
      <c r="H26" s="18">
        <f>SUM(D26:G26)</f>
        <v>612884.50000000256</v>
      </c>
    </row>
    <row r="27" spans="2:8" x14ac:dyDescent="0.25">
      <c r="B27" s="15" t="s">
        <v>26</v>
      </c>
      <c r="C27" s="443" t="s">
        <v>138</v>
      </c>
      <c r="D27" s="443"/>
      <c r="E27" s="9">
        <f>'Input Sheet'!H82</f>
        <v>186057.07828992428</v>
      </c>
      <c r="F27" s="9">
        <f>'Input Sheet'!I82</f>
        <v>174412.60712690416</v>
      </c>
      <c r="G27" s="9">
        <f>'Input Sheet'!J82</f>
        <v>159656.43487563694</v>
      </c>
      <c r="H27" s="18">
        <f>SUM(D27:G27)</f>
        <v>520126.12029246538</v>
      </c>
    </row>
    <row r="28" spans="2:8" x14ac:dyDescent="0.25">
      <c r="B28" t="s">
        <v>4</v>
      </c>
      <c r="C28" s="443" t="s">
        <v>99</v>
      </c>
      <c r="D28" s="443"/>
      <c r="E28" s="135">
        <f>+'Input Sheet'!H63</f>
        <v>941</v>
      </c>
      <c r="F28" s="135">
        <f>'Input Sheet'!I63</f>
        <v>1105</v>
      </c>
      <c r="G28" s="135">
        <f>'Input Sheet'!J63</f>
        <v>1173</v>
      </c>
      <c r="H28" s="137">
        <f>SUM(D28:G28)</f>
        <v>3219</v>
      </c>
    </row>
    <row r="30" spans="2:8" x14ac:dyDescent="0.25">
      <c r="B30" s="141" t="s">
        <v>96</v>
      </c>
      <c r="C30" s="138"/>
      <c r="D30" s="138"/>
      <c r="E30" s="138"/>
      <c r="F30" s="138"/>
      <c r="G30" s="138"/>
      <c r="H30" s="138"/>
    </row>
    <row r="31" spans="2:8" ht="78" customHeight="1" x14ac:dyDescent="0.25">
      <c r="B31" s="439" t="s">
        <v>158</v>
      </c>
      <c r="C31" s="439"/>
      <c r="D31" s="439"/>
      <c r="E31" s="439"/>
      <c r="F31" s="439"/>
      <c r="G31" s="439"/>
      <c r="H31" s="439"/>
    </row>
    <row r="33" spans="2:8" x14ac:dyDescent="0.25">
      <c r="B33" s="12" t="s">
        <v>97</v>
      </c>
      <c r="C33" s="13" t="s">
        <v>17</v>
      </c>
      <c r="D33" s="13" t="s">
        <v>18</v>
      </c>
      <c r="E33" s="13" t="s">
        <v>19</v>
      </c>
      <c r="F33" s="13" t="s">
        <v>20</v>
      </c>
      <c r="G33" s="13" t="s">
        <v>21</v>
      </c>
      <c r="H33" s="221" t="s">
        <v>1</v>
      </c>
    </row>
    <row r="34" spans="2:8" x14ac:dyDescent="0.25">
      <c r="B34" s="15" t="s">
        <v>95</v>
      </c>
      <c r="C34" s="9">
        <f>'Fee Breakdown'!AB28</f>
        <v>394546.63154209335</v>
      </c>
      <c r="D34" s="9">
        <f>'Fee Breakdown'!AC28</f>
        <v>411760.59056328167</v>
      </c>
      <c r="E34" s="9">
        <f>'Fee Breakdown'!AD28</f>
        <v>425701.85684318078</v>
      </c>
      <c r="F34" s="9">
        <f>'Fee Breakdown'!AE28</f>
        <v>440698.54909821617</v>
      </c>
      <c r="G34" s="9">
        <f>'Fee Breakdown'!AF28</f>
        <v>455874.59801148053</v>
      </c>
      <c r="H34" s="18">
        <f>SUM(C34:G34)</f>
        <v>2128582.2260582526</v>
      </c>
    </row>
    <row r="35" spans="2:8" x14ac:dyDescent="0.25">
      <c r="B35" s="15"/>
      <c r="C35" s="9"/>
      <c r="D35" s="9"/>
      <c r="E35" s="9"/>
      <c r="F35" s="9"/>
      <c r="G35" s="9"/>
      <c r="H35" s="18"/>
    </row>
    <row r="36" spans="2:8" x14ac:dyDescent="0.25">
      <c r="B36" s="15" t="s">
        <v>26</v>
      </c>
      <c r="C36" s="9">
        <f>'Fee Breakdown'!P53</f>
        <v>174200.88386338018</v>
      </c>
      <c r="D36" s="9">
        <f>'Fee Breakdown'!Q53</f>
        <v>181801.21963245916</v>
      </c>
      <c r="E36" s="9">
        <f>'Fee Breakdown'!R53</f>
        <v>187956.5906684277</v>
      </c>
      <c r="F36" s="9">
        <f>'Fee Breakdown'!S53</f>
        <v>194577.95513336689</v>
      </c>
      <c r="G36" s="9">
        <f>'Fee Breakdown'!T53</f>
        <v>201278.50944785099</v>
      </c>
      <c r="H36" s="18">
        <f>SUM(C36:G36)</f>
        <v>939815.15874548489</v>
      </c>
    </row>
    <row r="37" spans="2:8" x14ac:dyDescent="0.25">
      <c r="B37" s="15" t="s">
        <v>28</v>
      </c>
      <c r="C37" s="9">
        <f>'Fee Breakdown'!V53</f>
        <v>204416.43714102736</v>
      </c>
      <c r="D37" s="9">
        <f>'Fee Breakdown'!W53</f>
        <v>229070.16943932651</v>
      </c>
      <c r="E37" s="9">
        <f>'Fee Breakdown'!X53</f>
        <v>238900.75147262207</v>
      </c>
      <c r="F37" s="9">
        <f>'Fee Breakdown'!Y53</f>
        <v>252440.79228002892</v>
      </c>
      <c r="G37" s="9">
        <f>'Fee Breakdown'!Z53</f>
        <v>266210.67645854451</v>
      </c>
      <c r="H37" s="18">
        <f>SUM(C37:G37)</f>
        <v>1191038.8267915493</v>
      </c>
    </row>
    <row r="38" spans="2:8" ht="15.75" thickBot="1" x14ac:dyDescent="0.3">
      <c r="B38" s="139" t="s">
        <v>73</v>
      </c>
      <c r="C38" s="140">
        <f>SUM(C36:C37)</f>
        <v>378617.32100440754</v>
      </c>
      <c r="D38" s="140">
        <f t="shared" ref="D38:H38" si="0">SUM(D36:D37)</f>
        <v>410871.38907178567</v>
      </c>
      <c r="E38" s="140">
        <f t="shared" si="0"/>
        <v>426857.3421410498</v>
      </c>
      <c r="F38" s="140">
        <f t="shared" si="0"/>
        <v>447018.74741339579</v>
      </c>
      <c r="G38" s="140">
        <f t="shared" si="0"/>
        <v>467489.18590639549</v>
      </c>
      <c r="H38" s="140">
        <f t="shared" si="0"/>
        <v>2130853.9855370345</v>
      </c>
    </row>
    <row r="39" spans="2:8" x14ac:dyDescent="0.25">
      <c r="B39" s="15"/>
      <c r="C39" s="9"/>
      <c r="D39" s="9"/>
      <c r="E39" s="9"/>
      <c r="F39" s="9"/>
      <c r="G39" s="9"/>
      <c r="H39" s="18"/>
    </row>
    <row r="40" spans="2:8" x14ac:dyDescent="0.25">
      <c r="B40" t="s">
        <v>4</v>
      </c>
      <c r="C40" s="219">
        <f>'Fee Breakdown'!H53</f>
        <v>1050</v>
      </c>
      <c r="D40" s="219">
        <f>'Fee Breakdown'!I53</f>
        <v>1050</v>
      </c>
      <c r="E40" s="219">
        <f>'Fee Breakdown'!J53</f>
        <v>1050</v>
      </c>
      <c r="F40" s="219">
        <f>'Fee Breakdown'!K53</f>
        <v>1050</v>
      </c>
      <c r="G40" s="219">
        <f>'Fee Breakdown'!L53</f>
        <v>1050</v>
      </c>
      <c r="H40" s="220">
        <f>SUM(C40:G40)</f>
        <v>5250</v>
      </c>
    </row>
    <row r="41" spans="2:8" x14ac:dyDescent="0.25">
      <c r="C41" s="3"/>
      <c r="D41" s="4"/>
      <c r="E41" s="3"/>
      <c r="F41" s="3"/>
      <c r="G41" s="3"/>
    </row>
    <row r="42" spans="2:8" x14ac:dyDescent="0.25">
      <c r="B42" s="141" t="s">
        <v>70</v>
      </c>
      <c r="C42" s="138"/>
      <c r="D42" s="138"/>
      <c r="E42" s="138"/>
      <c r="F42" s="138"/>
      <c r="G42" s="138"/>
      <c r="H42" s="138"/>
    </row>
    <row r="43" spans="2:8" ht="61.5" customHeight="1" x14ac:dyDescent="0.25">
      <c r="B43" s="439" t="s">
        <v>154</v>
      </c>
      <c r="C43" s="439"/>
      <c r="D43" s="439"/>
      <c r="E43" s="439"/>
      <c r="F43" s="439"/>
      <c r="G43" s="439"/>
      <c r="H43" s="439"/>
    </row>
    <row r="45" spans="2:8" x14ac:dyDescent="0.25">
      <c r="B45" s="12" t="s">
        <v>97</v>
      </c>
      <c r="C45" s="13" t="s">
        <v>17</v>
      </c>
      <c r="D45" s="13" t="s">
        <v>18</v>
      </c>
      <c r="E45" s="13" t="s">
        <v>19</v>
      </c>
      <c r="F45" s="13" t="s">
        <v>20</v>
      </c>
      <c r="G45" s="13" t="s">
        <v>21</v>
      </c>
      <c r="H45" s="221" t="s">
        <v>72</v>
      </c>
    </row>
    <row r="46" spans="2:8" x14ac:dyDescent="0.25">
      <c r="B46" t="s">
        <v>71</v>
      </c>
      <c r="C46" s="8">
        <f>+'Input Sheet'!G108</f>
        <v>2.1734523534412387</v>
      </c>
      <c r="D46" s="8">
        <f>+'Input Sheet'!H108</f>
        <v>2.2600034801880273</v>
      </c>
      <c r="E46" s="8">
        <f>+'Input Sheet'!I108</f>
        <v>2.2710421625707418</v>
      </c>
      <c r="F46" s="8">
        <f>+'Input Sheet'!J108</f>
        <v>2.2973761190315822</v>
      </c>
      <c r="G46" s="8">
        <f>+'Input Sheet'!K108</f>
        <v>2.3225986082111594</v>
      </c>
      <c r="H46" s="136">
        <f>AVERAGE(C46:G46)</f>
        <v>2.2648945446885498</v>
      </c>
    </row>
  </sheetData>
  <mergeCells count="18">
    <mergeCell ref="C27:D27"/>
    <mergeCell ref="C28:D28"/>
    <mergeCell ref="C6:H6"/>
    <mergeCell ref="C4:H4"/>
    <mergeCell ref="C5:H5"/>
    <mergeCell ref="B43:H43"/>
    <mergeCell ref="B14:H14"/>
    <mergeCell ref="B11:H11"/>
    <mergeCell ref="B15:H15"/>
    <mergeCell ref="B16:H16"/>
    <mergeCell ref="B23:H23"/>
    <mergeCell ref="B17:H17"/>
    <mergeCell ref="B19:H19"/>
    <mergeCell ref="B20:H20"/>
    <mergeCell ref="B18:H18"/>
    <mergeCell ref="B31:H31"/>
    <mergeCell ref="C25:D25"/>
    <mergeCell ref="C26:D26"/>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143" t="s">
        <v>59</v>
      </c>
      <c r="C2" s="143"/>
      <c r="D2" s="142"/>
      <c r="E2" s="142"/>
      <c r="F2" s="142"/>
      <c r="G2" s="142"/>
      <c r="H2" s="142"/>
      <c r="I2" s="142"/>
      <c r="J2" s="142"/>
      <c r="K2" s="142"/>
    </row>
    <row r="3" spans="2:13" x14ac:dyDescent="0.25">
      <c r="B3" s="14" t="s">
        <v>0</v>
      </c>
      <c r="C3" s="12"/>
      <c r="D3" s="444" t="str">
        <f>'AER Summary'!C3</f>
        <v>Notification Of Arrangement</v>
      </c>
      <c r="E3" s="445"/>
      <c r="F3" s="445"/>
      <c r="G3" s="445"/>
      <c r="H3" s="445"/>
      <c r="I3" s="445"/>
      <c r="J3" s="445"/>
      <c r="K3" s="445"/>
      <c r="M3" s="6"/>
    </row>
    <row r="4" spans="2:13" x14ac:dyDescent="0.25">
      <c r="M4" s="6"/>
    </row>
    <row r="5" spans="2:13" x14ac:dyDescent="0.25">
      <c r="B5" s="141" t="s">
        <v>100</v>
      </c>
      <c r="C5" s="141"/>
      <c r="D5" s="141"/>
      <c r="E5" s="141"/>
      <c r="F5" s="141"/>
      <c r="G5" s="141"/>
      <c r="H5" s="141"/>
      <c r="I5" s="141"/>
      <c r="J5" s="141"/>
      <c r="K5" s="141"/>
      <c r="M5" s="7"/>
    </row>
    <row r="6" spans="2:13" ht="189" customHeight="1" x14ac:dyDescent="0.25">
      <c r="B6" s="439" t="s">
        <v>139</v>
      </c>
      <c r="C6" s="439"/>
      <c r="D6" s="439"/>
      <c r="E6" s="439"/>
      <c r="F6" s="439"/>
      <c r="G6" s="439"/>
      <c r="H6" s="439"/>
      <c r="I6" s="439"/>
      <c r="J6" s="439"/>
      <c r="K6" s="439"/>
      <c r="M6" s="7"/>
    </row>
    <row r="8" spans="2:13" x14ac:dyDescent="0.25">
      <c r="B8" s="141" t="s">
        <v>7</v>
      </c>
      <c r="C8" s="141"/>
      <c r="D8" s="141"/>
      <c r="E8" s="141"/>
      <c r="F8" s="141"/>
      <c r="G8" s="141"/>
      <c r="H8" s="141"/>
      <c r="I8" s="141"/>
      <c r="J8" s="141"/>
      <c r="K8" s="141"/>
    </row>
    <row r="9" spans="2:13" ht="92.25" customHeight="1" x14ac:dyDescent="0.25">
      <c r="B9" s="439" t="s">
        <v>140</v>
      </c>
      <c r="C9" s="439"/>
      <c r="D9" s="439"/>
      <c r="E9" s="439"/>
      <c r="F9" s="439"/>
      <c r="G9" s="439"/>
      <c r="H9" s="439"/>
      <c r="I9" s="439"/>
      <c r="J9" s="439"/>
      <c r="K9" s="439"/>
    </row>
    <row r="11" spans="2:13" x14ac:dyDescent="0.25">
      <c r="B11" s="141" t="s">
        <v>101</v>
      </c>
      <c r="C11" s="141"/>
      <c r="D11" s="141"/>
      <c r="E11" s="141"/>
      <c r="F11" s="141"/>
      <c r="G11" s="141"/>
      <c r="H11" s="141"/>
      <c r="I11" s="141"/>
      <c r="J11" s="141"/>
      <c r="K11" s="141"/>
    </row>
    <row r="12" spans="2:13" ht="338.25" customHeight="1" x14ac:dyDescent="0.25">
      <c r="B12" s="439" t="s">
        <v>141</v>
      </c>
      <c r="C12" s="439"/>
      <c r="D12" s="439"/>
      <c r="E12" s="439"/>
      <c r="F12" s="439"/>
      <c r="G12" s="439"/>
      <c r="H12" s="439"/>
      <c r="I12" s="439"/>
      <c r="J12" s="439"/>
      <c r="K12" s="439"/>
    </row>
    <row r="13" spans="2:13" x14ac:dyDescent="0.25">
      <c r="B13" s="10"/>
    </row>
  </sheetData>
  <mergeCells count="4">
    <mergeCell ref="D3:K3"/>
    <mergeCell ref="B9:K9"/>
    <mergeCell ref="B6:K6"/>
    <mergeCell ref="B12:K12"/>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G55"/>
  <sheetViews>
    <sheetView showGridLines="0" workbookViewId="0"/>
  </sheetViews>
  <sheetFormatPr defaultColWidth="9.140625" defaultRowHeight="12.75" x14ac:dyDescent="0.25"/>
  <cols>
    <col min="1" max="1" width="2.5703125" style="26" customWidth="1"/>
    <col min="2" max="2" width="57.28515625" style="26" bestFit="1" customWidth="1"/>
    <col min="3" max="6" width="10" style="26" customWidth="1"/>
    <col min="7" max="7" width="2.85546875" style="26" customWidth="1"/>
    <col min="8" max="9" width="10" style="26" customWidth="1"/>
    <col min="10" max="12" width="10" style="65" customWidth="1"/>
    <col min="13" max="13" width="2.85546875" style="65" customWidth="1"/>
    <col min="14" max="14" width="12" style="65" customWidth="1"/>
    <col min="15" max="15" width="2.85546875" style="65" customWidth="1"/>
    <col min="16" max="20" width="10" style="65" customWidth="1"/>
    <col min="21" max="21" width="3.7109375" style="82" customWidth="1"/>
    <col min="22" max="26" width="10" style="83" customWidth="1"/>
    <col min="27" max="27" width="3.7109375" style="26" customWidth="1"/>
    <col min="28" max="32" width="10" style="26" customWidth="1"/>
    <col min="33" max="33" width="2.85546875" style="26" customWidth="1"/>
    <col min="34" max="63" width="9.140625" style="26" customWidth="1"/>
    <col min="64" max="16384" width="9.140625" style="26"/>
  </cols>
  <sheetData>
    <row r="2" spans="2:33" ht="21" x14ac:dyDescent="0.25">
      <c r="B2" s="165" t="s">
        <v>61</v>
      </c>
      <c r="C2" s="166"/>
      <c r="D2" s="166"/>
      <c r="E2" s="166"/>
      <c r="F2" s="166"/>
      <c r="G2" s="166"/>
      <c r="H2" s="166"/>
      <c r="I2" s="166"/>
      <c r="J2" s="167"/>
      <c r="K2" s="167"/>
      <c r="L2" s="167"/>
      <c r="M2" s="167"/>
      <c r="N2" s="167"/>
      <c r="O2" s="167"/>
      <c r="P2" s="167"/>
      <c r="Q2" s="167"/>
      <c r="R2" s="167"/>
      <c r="S2" s="167"/>
      <c r="T2" s="167"/>
      <c r="U2" s="167"/>
      <c r="V2" s="167"/>
      <c r="W2" s="167"/>
      <c r="X2" s="167"/>
      <c r="Y2" s="167"/>
      <c r="Z2" s="167"/>
      <c r="AA2" s="167"/>
      <c r="AB2" s="167"/>
      <c r="AC2" s="167"/>
      <c r="AD2" s="167"/>
      <c r="AE2" s="167"/>
      <c r="AF2" s="167"/>
    </row>
    <row r="3" spans="2:33" ht="15" x14ac:dyDescent="0.25">
      <c r="B3" s="80" t="s">
        <v>0</v>
      </c>
      <c r="C3" s="81" t="str">
        <f>+'AER Summary'!C3</f>
        <v>Notification Of Arrangement</v>
      </c>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row>
    <row r="5" spans="2:33" ht="15" x14ac:dyDescent="0.25">
      <c r="B5" s="141" t="str">
        <f>"Proposed "&amp;'AER Summary'!C3&amp;" Fees &amp; Revenue"</f>
        <v>Proposed Notification Of Arrangement Fees &amp; Revenue</v>
      </c>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row>
    <row r="6" spans="2:33" x14ac:dyDescent="0.25">
      <c r="M6" s="113"/>
      <c r="N6" s="113"/>
      <c r="O6" s="113"/>
      <c r="V6" s="70"/>
      <c r="W6" s="70"/>
      <c r="X6" s="70"/>
      <c r="Y6" s="70"/>
      <c r="Z6" s="70"/>
    </row>
    <row r="7" spans="2:33" x14ac:dyDescent="0.25">
      <c r="C7" s="452" t="s">
        <v>6</v>
      </c>
      <c r="D7" s="453"/>
      <c r="E7" s="453"/>
      <c r="F7" s="454"/>
      <c r="H7" s="455" t="s">
        <v>74</v>
      </c>
      <c r="I7" s="456"/>
      <c r="J7" s="456"/>
      <c r="K7" s="456"/>
      <c r="L7" s="457"/>
      <c r="M7" s="84"/>
      <c r="N7" s="84"/>
      <c r="O7" s="84"/>
      <c r="P7" s="455" t="s">
        <v>89</v>
      </c>
      <c r="Q7" s="456"/>
      <c r="R7" s="456"/>
      <c r="S7" s="456"/>
      <c r="T7" s="457"/>
      <c r="V7" s="458"/>
      <c r="W7" s="458"/>
      <c r="X7" s="458"/>
      <c r="Y7" s="458"/>
      <c r="Z7" s="458"/>
      <c r="AA7" s="157"/>
      <c r="AB7" s="455" t="s">
        <v>128</v>
      </c>
      <c r="AC7" s="456"/>
      <c r="AD7" s="456"/>
      <c r="AE7" s="456"/>
      <c r="AF7" s="457"/>
      <c r="AG7" s="157"/>
    </row>
    <row r="8" spans="2:33" ht="51" x14ac:dyDescent="0.25">
      <c r="B8" s="85" t="s">
        <v>10</v>
      </c>
      <c r="C8" s="253" t="s">
        <v>63</v>
      </c>
      <c r="D8" s="254" t="s">
        <v>8</v>
      </c>
      <c r="E8" s="254" t="s">
        <v>75</v>
      </c>
      <c r="F8" s="255" t="s">
        <v>62</v>
      </c>
      <c r="H8" s="153" t="s">
        <v>17</v>
      </c>
      <c r="I8" s="154" t="s">
        <v>18</v>
      </c>
      <c r="J8" s="154" t="s">
        <v>19</v>
      </c>
      <c r="K8" s="154" t="s">
        <v>20</v>
      </c>
      <c r="L8" s="155" t="s">
        <v>21</v>
      </c>
      <c r="M8" s="86"/>
      <c r="N8" s="228" t="s">
        <v>87</v>
      </c>
      <c r="O8" s="86"/>
      <c r="P8" s="87" t="s">
        <v>17</v>
      </c>
      <c r="Q8" s="88" t="s">
        <v>18</v>
      </c>
      <c r="R8" s="88" t="s">
        <v>19</v>
      </c>
      <c r="S8" s="88" t="s">
        <v>20</v>
      </c>
      <c r="T8" s="89" t="s">
        <v>21</v>
      </c>
      <c r="V8" s="158"/>
      <c r="W8" s="158"/>
      <c r="X8" s="158"/>
      <c r="Y8" s="158"/>
      <c r="Z8" s="158"/>
      <c r="AA8" s="157"/>
      <c r="AB8" s="87" t="s">
        <v>17</v>
      </c>
      <c r="AC8" s="88" t="s">
        <v>18</v>
      </c>
      <c r="AD8" s="88" t="s">
        <v>19</v>
      </c>
      <c r="AE8" s="88" t="s">
        <v>20</v>
      </c>
      <c r="AF8" s="89" t="s">
        <v>21</v>
      </c>
      <c r="AG8" s="157"/>
    </row>
    <row r="9" spans="2:33" x14ac:dyDescent="0.25">
      <c r="B9" s="92"/>
      <c r="C9" s="256"/>
      <c r="D9" s="93"/>
      <c r="E9" s="251"/>
      <c r="F9" s="226"/>
      <c r="G9" s="102"/>
      <c r="H9" s="151"/>
      <c r="I9" s="145"/>
      <c r="J9" s="145"/>
      <c r="K9" s="145"/>
      <c r="L9" s="146"/>
      <c r="M9" s="94"/>
      <c r="N9" s="98"/>
      <c r="O9" s="94"/>
      <c r="P9" s="210"/>
      <c r="Q9" s="211"/>
      <c r="R9" s="211"/>
      <c r="S9" s="211"/>
      <c r="T9" s="212"/>
      <c r="U9" s="95"/>
      <c r="V9" s="159"/>
      <c r="W9" s="159"/>
      <c r="X9" s="159"/>
      <c r="Y9" s="159"/>
      <c r="Z9" s="159"/>
      <c r="AA9" s="157"/>
      <c r="AB9" s="210"/>
      <c r="AC9" s="211"/>
      <c r="AD9" s="211"/>
      <c r="AE9" s="211"/>
      <c r="AF9" s="212"/>
      <c r="AG9" s="157"/>
    </row>
    <row r="10" spans="2:33" x14ac:dyDescent="0.2">
      <c r="B10" s="282" t="s">
        <v>111</v>
      </c>
      <c r="C10" s="282"/>
      <c r="D10" s="289"/>
      <c r="E10" s="289"/>
      <c r="F10" s="290"/>
      <c r="G10" s="102"/>
      <c r="H10" s="296"/>
      <c r="I10" s="297"/>
      <c r="J10" s="297"/>
      <c r="K10" s="297"/>
      <c r="L10" s="298"/>
      <c r="M10" s="94"/>
      <c r="N10" s="299"/>
      <c r="O10" s="94"/>
      <c r="P10" s="300"/>
      <c r="Q10" s="301"/>
      <c r="R10" s="301"/>
      <c r="S10" s="301"/>
      <c r="T10" s="302"/>
      <c r="U10" s="95"/>
      <c r="V10" s="159"/>
      <c r="W10" s="159"/>
      <c r="X10" s="159"/>
      <c r="Y10" s="159"/>
      <c r="Z10" s="159"/>
      <c r="AA10" s="157"/>
      <c r="AB10" s="303"/>
      <c r="AC10" s="304"/>
      <c r="AD10" s="304"/>
      <c r="AE10" s="304"/>
      <c r="AF10" s="305"/>
      <c r="AG10" s="157"/>
    </row>
    <row r="11" spans="2:33" x14ac:dyDescent="0.2">
      <c r="B11" s="239" t="s">
        <v>114</v>
      </c>
      <c r="C11" s="194">
        <f>'Input Sheet'!G11</f>
        <v>63.636363636363633</v>
      </c>
      <c r="D11" s="249">
        <f>'Input Sheet'!H11</f>
        <v>3.0285714285714289</v>
      </c>
      <c r="E11" s="118">
        <f>'Input Sheet'!J11</f>
        <v>212</v>
      </c>
      <c r="F11" s="117">
        <f>'Input Sheet'!K11</f>
        <v>192.72727272727275</v>
      </c>
      <c r="G11" s="102"/>
      <c r="H11" s="151">
        <f>+'Input Sheet'!G$99</f>
        <v>187.96885733306021</v>
      </c>
      <c r="I11" s="145">
        <f>+'Input Sheet'!H$99</f>
        <v>196.16988592819519</v>
      </c>
      <c r="J11" s="145">
        <f>+'Input Sheet'!I$99</f>
        <v>202.81174694768021</v>
      </c>
      <c r="K11" s="145">
        <f>+'Input Sheet'!J$99</f>
        <v>209.95643120448602</v>
      </c>
      <c r="L11" s="146">
        <f>+'Input Sheet'!K$99</f>
        <v>217.18656408360198</v>
      </c>
      <c r="M11" s="94"/>
      <c r="N11" s="105">
        <f>+'Standard Hour Calcs'!Z12</f>
        <v>2</v>
      </c>
      <c r="O11" s="94"/>
      <c r="P11" s="213">
        <f t="shared" ref="P11" si="0">IF($N11="Hourly",H11,H11*$N11)</f>
        <v>375.93771466612043</v>
      </c>
      <c r="Q11" s="214">
        <f t="shared" ref="Q11" si="1">IF($N11="Hourly",I11,I11*$N11)</f>
        <v>392.33977185639037</v>
      </c>
      <c r="R11" s="214">
        <f t="shared" ref="R11" si="2">IF($N11="Hourly",J11,J11*$N11)</f>
        <v>405.62349389536041</v>
      </c>
      <c r="S11" s="214">
        <f t="shared" ref="S11" si="3">IF($N11="Hourly",K11,K11*$N11)</f>
        <v>419.91286240897205</v>
      </c>
      <c r="T11" s="215">
        <f t="shared" ref="T11" si="4">IF($N11="Hourly",L11,L11*$N11)</f>
        <v>434.37312816720396</v>
      </c>
      <c r="U11" s="95"/>
      <c r="V11" s="257"/>
      <c r="W11" s="257"/>
      <c r="X11" s="257"/>
      <c r="Y11" s="257"/>
      <c r="Z11" s="257"/>
      <c r="AA11" s="157"/>
      <c r="AB11" s="306">
        <f>IF($N11="Hourly",P11*$N36*H36,P11*H36)</f>
        <v>16541.259445309297</v>
      </c>
      <c r="AC11" s="307">
        <f t="shared" ref="AC11:AF11" si="5">IF($N11="Hourly",Q11*$N36*I36,Q11*I36)</f>
        <v>17262.949961681177</v>
      </c>
      <c r="AD11" s="307">
        <f t="shared" si="5"/>
        <v>17847.433731395857</v>
      </c>
      <c r="AE11" s="307">
        <f t="shared" si="5"/>
        <v>18476.16594599477</v>
      </c>
      <c r="AF11" s="308">
        <f t="shared" si="5"/>
        <v>19112.417639356972</v>
      </c>
      <c r="AG11" s="157"/>
    </row>
    <row r="12" spans="2:33" x14ac:dyDescent="0.2">
      <c r="B12" s="239" t="s">
        <v>115</v>
      </c>
      <c r="C12" s="194">
        <f>'Input Sheet'!G12</f>
        <v>63.636363636363633</v>
      </c>
      <c r="D12" s="249">
        <f>'Input Sheet'!H12</f>
        <v>3.0285714285714289</v>
      </c>
      <c r="E12" s="118">
        <f>'Input Sheet'!J12</f>
        <v>212</v>
      </c>
      <c r="F12" s="117">
        <f>'Input Sheet'!K12</f>
        <v>192.72727272727275</v>
      </c>
      <c r="G12" s="102"/>
      <c r="H12" s="151">
        <f>+'Input Sheet'!G$99</f>
        <v>187.96885733306021</v>
      </c>
      <c r="I12" s="145">
        <f>+'Input Sheet'!H$99</f>
        <v>196.16988592819519</v>
      </c>
      <c r="J12" s="145">
        <f>+'Input Sheet'!I$99</f>
        <v>202.81174694768021</v>
      </c>
      <c r="K12" s="145">
        <f>+'Input Sheet'!J$99</f>
        <v>209.95643120448602</v>
      </c>
      <c r="L12" s="146">
        <f>+'Input Sheet'!K$99</f>
        <v>217.18656408360198</v>
      </c>
      <c r="M12" s="94"/>
      <c r="N12" s="105">
        <f>+'Standard Hour Calcs'!Z13</f>
        <v>2</v>
      </c>
      <c r="O12" s="94"/>
      <c r="P12" s="213">
        <f t="shared" ref="P12:P16" si="6">IF($N12="Hourly",H12,H12*$N12)</f>
        <v>375.93771466612043</v>
      </c>
      <c r="Q12" s="214">
        <f t="shared" ref="Q12:Q16" si="7">IF($N12="Hourly",I12,I12*$N12)</f>
        <v>392.33977185639037</v>
      </c>
      <c r="R12" s="214">
        <f t="shared" ref="R12:R16" si="8">IF($N12="Hourly",J12,J12*$N12)</f>
        <v>405.62349389536041</v>
      </c>
      <c r="S12" s="214">
        <f t="shared" ref="S12:S16" si="9">IF($N12="Hourly",K12,K12*$N12)</f>
        <v>419.91286240897205</v>
      </c>
      <c r="T12" s="215">
        <f t="shared" ref="T12:T16" si="10">IF($N12="Hourly",L12,L12*$N12)</f>
        <v>434.37312816720396</v>
      </c>
      <c r="U12" s="95"/>
      <c r="V12" s="257"/>
      <c r="W12" s="257"/>
      <c r="X12" s="257"/>
      <c r="Y12" s="257"/>
      <c r="Z12" s="257"/>
      <c r="AA12" s="157"/>
      <c r="AB12" s="306">
        <f t="shared" ref="AB12:AF12" si="11">IF($N12="Hourly",P12*$N37*H37,P12*H37)</f>
        <v>35714.08289328144</v>
      </c>
      <c r="AC12" s="307">
        <f t="shared" si="11"/>
        <v>37272.278326357082</v>
      </c>
      <c r="AD12" s="307">
        <f t="shared" si="11"/>
        <v>38534.231920059239</v>
      </c>
      <c r="AE12" s="307">
        <f t="shared" si="11"/>
        <v>39891.721928852341</v>
      </c>
      <c r="AF12" s="308">
        <f t="shared" si="11"/>
        <v>41265.447175884379</v>
      </c>
      <c r="AG12" s="157"/>
    </row>
    <row r="13" spans="2:33" x14ac:dyDescent="0.2">
      <c r="B13" s="239" t="s">
        <v>116</v>
      </c>
      <c r="C13" s="194">
        <f>'Input Sheet'!G13</f>
        <v>63.636363636363633</v>
      </c>
      <c r="D13" s="249">
        <f>'Input Sheet'!H13</f>
        <v>3.0285714285714289</v>
      </c>
      <c r="E13" s="118">
        <f>'Input Sheet'!J13</f>
        <v>212</v>
      </c>
      <c r="F13" s="117">
        <f>'Input Sheet'!K13</f>
        <v>192.72727272727275</v>
      </c>
      <c r="G13" s="102"/>
      <c r="H13" s="151">
        <f>+'Input Sheet'!G$99</f>
        <v>187.96885733306021</v>
      </c>
      <c r="I13" s="145">
        <f>+'Input Sheet'!H$99</f>
        <v>196.16988592819519</v>
      </c>
      <c r="J13" s="145">
        <f>+'Input Sheet'!I$99</f>
        <v>202.81174694768021</v>
      </c>
      <c r="K13" s="145">
        <f>+'Input Sheet'!J$99</f>
        <v>209.95643120448602</v>
      </c>
      <c r="L13" s="146">
        <f>+'Input Sheet'!K$99</f>
        <v>217.18656408360198</v>
      </c>
      <c r="M13" s="94"/>
      <c r="N13" s="105">
        <f>+'Standard Hour Calcs'!Z14</f>
        <v>2</v>
      </c>
      <c r="O13" s="94"/>
      <c r="P13" s="213">
        <f t="shared" si="6"/>
        <v>375.93771466612043</v>
      </c>
      <c r="Q13" s="214">
        <f t="shared" si="7"/>
        <v>392.33977185639037</v>
      </c>
      <c r="R13" s="214">
        <f t="shared" si="8"/>
        <v>405.62349389536041</v>
      </c>
      <c r="S13" s="214">
        <f t="shared" si="9"/>
        <v>419.91286240897205</v>
      </c>
      <c r="T13" s="215">
        <f t="shared" si="10"/>
        <v>434.37312816720396</v>
      </c>
      <c r="U13" s="95"/>
      <c r="V13" s="257"/>
      <c r="W13" s="257"/>
      <c r="X13" s="257"/>
      <c r="Y13" s="257"/>
      <c r="Z13" s="257"/>
      <c r="AA13" s="157"/>
      <c r="AB13" s="306">
        <f t="shared" ref="AB13:AF13" si="12">IF($N13="Hourly",P13*$N38*H38,P13*H38)</f>
        <v>284584.85000225314</v>
      </c>
      <c r="AC13" s="307">
        <f t="shared" si="12"/>
        <v>297001.20729528752</v>
      </c>
      <c r="AD13" s="307">
        <f t="shared" si="12"/>
        <v>307056.98487878783</v>
      </c>
      <c r="AE13" s="307">
        <f t="shared" si="12"/>
        <v>317874.03684359184</v>
      </c>
      <c r="AF13" s="308">
        <f t="shared" si="12"/>
        <v>328820.45802257338</v>
      </c>
      <c r="AG13" s="157"/>
    </row>
    <row r="14" spans="2:33" x14ac:dyDescent="0.2">
      <c r="B14" s="239" t="s">
        <v>117</v>
      </c>
      <c r="C14" s="194">
        <f>'Input Sheet'!G14</f>
        <v>63.636363636363633</v>
      </c>
      <c r="D14" s="250" t="str">
        <f>'Input Sheet'!H14</f>
        <v>Hourly</v>
      </c>
      <c r="E14" s="118">
        <f>'Input Sheet'!J14</f>
        <v>70</v>
      </c>
      <c r="F14" s="117">
        <f>'Input Sheet'!K14</f>
        <v>63.636363636363633</v>
      </c>
      <c r="G14" s="102"/>
      <c r="H14" s="151">
        <f>+'Input Sheet'!G$99</f>
        <v>187.96885733306021</v>
      </c>
      <c r="I14" s="145">
        <f>+'Input Sheet'!H$99</f>
        <v>196.16988592819519</v>
      </c>
      <c r="J14" s="145">
        <f>+'Input Sheet'!I$99</f>
        <v>202.81174694768021</v>
      </c>
      <c r="K14" s="145">
        <f>+'Input Sheet'!J$99</f>
        <v>209.95643120448602</v>
      </c>
      <c r="L14" s="146">
        <f>+'Input Sheet'!K$99</f>
        <v>217.18656408360198</v>
      </c>
      <c r="M14" s="94"/>
      <c r="N14" s="105" t="str">
        <f>+'Standard Hour Calcs'!Z15</f>
        <v>Hourly</v>
      </c>
      <c r="O14" s="94"/>
      <c r="P14" s="213">
        <f t="shared" si="6"/>
        <v>187.96885733306021</v>
      </c>
      <c r="Q14" s="214">
        <f t="shared" si="7"/>
        <v>196.16988592819519</v>
      </c>
      <c r="R14" s="214">
        <f t="shared" si="8"/>
        <v>202.81174694768021</v>
      </c>
      <c r="S14" s="214">
        <f t="shared" si="9"/>
        <v>209.95643120448602</v>
      </c>
      <c r="T14" s="215">
        <f t="shared" si="10"/>
        <v>217.18656408360198</v>
      </c>
      <c r="U14" s="95"/>
      <c r="V14" s="257"/>
      <c r="W14" s="257"/>
      <c r="X14" s="257"/>
      <c r="Y14" s="257"/>
      <c r="Z14" s="257"/>
      <c r="AA14" s="157"/>
      <c r="AB14" s="306">
        <f t="shared" ref="AB14:AF14" si="13">IF($N14="Hourly",P14*$N39*H39,P14*H39)</f>
        <v>375.93771466612043</v>
      </c>
      <c r="AC14" s="307">
        <f t="shared" si="13"/>
        <v>392.33977185639037</v>
      </c>
      <c r="AD14" s="307">
        <f t="shared" si="13"/>
        <v>405.62349389536041</v>
      </c>
      <c r="AE14" s="307">
        <f t="shared" si="13"/>
        <v>419.91286240897205</v>
      </c>
      <c r="AF14" s="308">
        <f t="shared" si="13"/>
        <v>434.37312816720396</v>
      </c>
      <c r="AG14" s="157"/>
    </row>
    <row r="15" spans="2:33" x14ac:dyDescent="0.2">
      <c r="B15" s="239" t="s">
        <v>118</v>
      </c>
      <c r="C15" s="194">
        <f>'Input Sheet'!G15</f>
        <v>63.636363636363633</v>
      </c>
      <c r="D15" s="250" t="str">
        <f>'Input Sheet'!H15</f>
        <v>Hourly</v>
      </c>
      <c r="E15" s="118">
        <f>'Input Sheet'!J15</f>
        <v>70</v>
      </c>
      <c r="F15" s="117">
        <f>'Input Sheet'!K15</f>
        <v>63.636363636363633</v>
      </c>
      <c r="G15" s="102"/>
      <c r="H15" s="151">
        <f>+'Input Sheet'!G$99</f>
        <v>187.96885733306021</v>
      </c>
      <c r="I15" s="145">
        <f>+'Input Sheet'!H$99</f>
        <v>196.16988592819519</v>
      </c>
      <c r="J15" s="145">
        <f>+'Input Sheet'!I$99</f>
        <v>202.81174694768021</v>
      </c>
      <c r="K15" s="145">
        <f>+'Input Sheet'!J$99</f>
        <v>209.95643120448602</v>
      </c>
      <c r="L15" s="146">
        <f>+'Input Sheet'!K$99</f>
        <v>217.18656408360198</v>
      </c>
      <c r="M15" s="94"/>
      <c r="N15" s="105" t="str">
        <f>+'Standard Hour Calcs'!Z16</f>
        <v>Hourly</v>
      </c>
      <c r="O15" s="94"/>
      <c r="P15" s="213">
        <f t="shared" si="6"/>
        <v>187.96885733306021</v>
      </c>
      <c r="Q15" s="214">
        <f t="shared" si="7"/>
        <v>196.16988592819519</v>
      </c>
      <c r="R15" s="214">
        <f t="shared" si="8"/>
        <v>202.81174694768021</v>
      </c>
      <c r="S15" s="214">
        <f t="shared" si="9"/>
        <v>209.95643120448602</v>
      </c>
      <c r="T15" s="215">
        <f t="shared" si="10"/>
        <v>217.18656408360198</v>
      </c>
      <c r="U15" s="95"/>
      <c r="V15" s="257"/>
      <c r="W15" s="257"/>
      <c r="X15" s="257"/>
      <c r="Y15" s="257"/>
      <c r="Z15" s="257"/>
      <c r="AA15" s="157"/>
      <c r="AB15" s="306">
        <f t="shared" ref="AB15:AF15" si="14">IF($N15="Hourly",P15*$N40*H40,P15*H40)</f>
        <v>751.87542933224086</v>
      </c>
      <c r="AC15" s="307">
        <f t="shared" si="14"/>
        <v>784.67954371278074</v>
      </c>
      <c r="AD15" s="307">
        <f t="shared" si="14"/>
        <v>811.24698779072082</v>
      </c>
      <c r="AE15" s="307">
        <f t="shared" si="14"/>
        <v>839.82572481794409</v>
      </c>
      <c r="AF15" s="308">
        <f t="shared" si="14"/>
        <v>868.74625633440792</v>
      </c>
      <c r="AG15" s="157"/>
    </row>
    <row r="16" spans="2:33" x14ac:dyDescent="0.2">
      <c r="B16" s="239" t="s">
        <v>119</v>
      </c>
      <c r="C16" s="194">
        <f>'Input Sheet'!G16</f>
        <v>63.636363636363633</v>
      </c>
      <c r="D16" s="250" t="str">
        <f>'Input Sheet'!H16</f>
        <v>Hourly</v>
      </c>
      <c r="E16" s="118">
        <f>'Input Sheet'!J16</f>
        <v>70</v>
      </c>
      <c r="F16" s="117">
        <f>'Input Sheet'!K16</f>
        <v>63.636363636363633</v>
      </c>
      <c r="G16" s="102"/>
      <c r="H16" s="151">
        <f>+'Input Sheet'!G$99</f>
        <v>187.96885733306021</v>
      </c>
      <c r="I16" s="145">
        <f>+'Input Sheet'!H$99</f>
        <v>196.16988592819519</v>
      </c>
      <c r="J16" s="145">
        <f>+'Input Sheet'!I$99</f>
        <v>202.81174694768021</v>
      </c>
      <c r="K16" s="145">
        <f>+'Input Sheet'!J$99</f>
        <v>209.95643120448602</v>
      </c>
      <c r="L16" s="146">
        <f>+'Input Sheet'!K$99</f>
        <v>217.18656408360198</v>
      </c>
      <c r="M16" s="94"/>
      <c r="N16" s="105" t="str">
        <f>+'Standard Hour Calcs'!Z17</f>
        <v>Hourly</v>
      </c>
      <c r="O16" s="94"/>
      <c r="P16" s="213">
        <f t="shared" si="6"/>
        <v>187.96885733306021</v>
      </c>
      <c r="Q16" s="214">
        <f t="shared" si="7"/>
        <v>196.16988592819519</v>
      </c>
      <c r="R16" s="214">
        <f t="shared" si="8"/>
        <v>202.81174694768021</v>
      </c>
      <c r="S16" s="214">
        <f t="shared" si="9"/>
        <v>209.95643120448602</v>
      </c>
      <c r="T16" s="215">
        <f t="shared" si="10"/>
        <v>217.18656408360198</v>
      </c>
      <c r="U16" s="95"/>
      <c r="V16" s="257"/>
      <c r="W16" s="257"/>
      <c r="X16" s="257"/>
      <c r="Y16" s="257"/>
      <c r="Z16" s="257"/>
      <c r="AA16" s="157"/>
      <c r="AB16" s="309">
        <f t="shared" ref="AB16:AF16" si="15">IF($N16="Hourly",P16*$N41*H41,P16*H41)</f>
        <v>27443.453170626792</v>
      </c>
      <c r="AC16" s="310">
        <f t="shared" si="15"/>
        <v>28640.803345516499</v>
      </c>
      <c r="AD16" s="310">
        <f t="shared" si="15"/>
        <v>29610.515054361309</v>
      </c>
      <c r="AE16" s="310">
        <f t="shared" si="15"/>
        <v>30653.63895585496</v>
      </c>
      <c r="AF16" s="311">
        <f t="shared" si="15"/>
        <v>31709.238356205889</v>
      </c>
      <c r="AG16" s="157"/>
    </row>
    <row r="17" spans="2:33" x14ac:dyDescent="0.2">
      <c r="B17" s="73"/>
      <c r="C17" s="194"/>
      <c r="D17" s="250"/>
      <c r="E17" s="118"/>
      <c r="F17" s="117"/>
      <c r="G17" s="102"/>
      <c r="H17" s="151"/>
      <c r="I17" s="145"/>
      <c r="J17" s="145"/>
      <c r="K17" s="145"/>
      <c r="L17" s="146"/>
      <c r="M17" s="94"/>
      <c r="N17" s="105"/>
      <c r="O17" s="94"/>
      <c r="P17" s="213"/>
      <c r="Q17" s="214"/>
      <c r="R17" s="214"/>
      <c r="S17" s="214"/>
      <c r="T17" s="215"/>
      <c r="U17" s="95"/>
      <c r="V17" s="257"/>
      <c r="W17" s="257"/>
      <c r="X17" s="257"/>
      <c r="Y17" s="257"/>
      <c r="Z17" s="257"/>
      <c r="AA17" s="157"/>
      <c r="AB17" s="312">
        <f>SUM(AB11:AB16)</f>
        <v>365411.458655469</v>
      </c>
      <c r="AC17" s="313">
        <f>SUM(AC11:AC16)</f>
        <v>381354.25824441144</v>
      </c>
      <c r="AD17" s="313">
        <f>SUM(AD11:AD16)</f>
        <v>394266.03606629034</v>
      </c>
      <c r="AE17" s="313">
        <f>SUM(AE11:AE16)</f>
        <v>408155.30226152082</v>
      </c>
      <c r="AF17" s="314">
        <f>SUM(AF11:AF16)</f>
        <v>422210.68057852221</v>
      </c>
      <c r="AG17" s="157"/>
    </row>
    <row r="18" spans="2:33" x14ac:dyDescent="0.25">
      <c r="B18" s="73"/>
      <c r="C18" s="194"/>
      <c r="D18" s="250"/>
      <c r="E18" s="118"/>
      <c r="F18" s="117"/>
      <c r="G18" s="102"/>
      <c r="H18" s="151"/>
      <c r="I18" s="145"/>
      <c r="J18" s="145"/>
      <c r="K18" s="145"/>
      <c r="L18" s="146"/>
      <c r="M18" s="94"/>
      <c r="N18" s="105"/>
      <c r="O18" s="94"/>
      <c r="P18" s="213"/>
      <c r="Q18" s="214"/>
      <c r="R18" s="214"/>
      <c r="S18" s="214"/>
      <c r="T18" s="215"/>
      <c r="U18" s="95"/>
      <c r="V18" s="257"/>
      <c r="W18" s="257"/>
      <c r="X18" s="257"/>
      <c r="Y18" s="257"/>
      <c r="Z18" s="257"/>
      <c r="AA18" s="157"/>
      <c r="AB18" s="315"/>
      <c r="AC18" s="316"/>
      <c r="AD18" s="316"/>
      <c r="AE18" s="316"/>
      <c r="AF18" s="317"/>
      <c r="AG18" s="157"/>
    </row>
    <row r="19" spans="2:33" x14ac:dyDescent="0.2">
      <c r="B19" s="282" t="s">
        <v>113</v>
      </c>
      <c r="C19" s="282"/>
      <c r="D19" s="289"/>
      <c r="E19" s="289"/>
      <c r="F19" s="290"/>
      <c r="G19" s="102"/>
      <c r="H19" s="296"/>
      <c r="I19" s="297"/>
      <c r="J19" s="297"/>
      <c r="K19" s="297"/>
      <c r="L19" s="298"/>
      <c r="M19" s="94"/>
      <c r="N19" s="299"/>
      <c r="O19" s="94"/>
      <c r="P19" s="300"/>
      <c r="Q19" s="301"/>
      <c r="R19" s="301"/>
      <c r="S19" s="301"/>
      <c r="T19" s="302"/>
      <c r="U19" s="95"/>
      <c r="V19" s="159"/>
      <c r="W19" s="159"/>
      <c r="X19" s="159"/>
      <c r="Y19" s="159"/>
      <c r="Z19" s="159"/>
      <c r="AA19" s="157"/>
      <c r="AB19" s="303"/>
      <c r="AC19" s="304"/>
      <c r="AD19" s="304"/>
      <c r="AE19" s="304"/>
      <c r="AF19" s="305"/>
      <c r="AG19" s="157"/>
    </row>
    <row r="20" spans="2:33" x14ac:dyDescent="0.2">
      <c r="B20" s="233" t="s">
        <v>120</v>
      </c>
      <c r="C20" s="194">
        <f>'Input Sheet'!G19</f>
        <v>63.636363636363633</v>
      </c>
      <c r="D20" s="249">
        <f>'Input Sheet'!H19</f>
        <v>3.0285714285714289</v>
      </c>
      <c r="E20" s="118">
        <f>'Input Sheet'!J19</f>
        <v>212</v>
      </c>
      <c r="F20" s="117">
        <f>'Input Sheet'!K19</f>
        <v>192.72727272727275</v>
      </c>
      <c r="G20" s="102"/>
      <c r="H20" s="151">
        <f>+'Input Sheet'!G$99</f>
        <v>187.96885733306021</v>
      </c>
      <c r="I20" s="145">
        <f>+'Input Sheet'!H$99</f>
        <v>196.16988592819519</v>
      </c>
      <c r="J20" s="145">
        <f>+'Input Sheet'!I$99</f>
        <v>202.81174694768021</v>
      </c>
      <c r="K20" s="145">
        <f>+'Input Sheet'!J$99</f>
        <v>209.95643120448602</v>
      </c>
      <c r="L20" s="146">
        <f>+'Input Sheet'!K$99</f>
        <v>217.18656408360198</v>
      </c>
      <c r="M20" s="94"/>
      <c r="N20" s="105">
        <f>+'Standard Hour Calcs'!Z21</f>
        <v>2</v>
      </c>
      <c r="O20" s="94"/>
      <c r="P20" s="213">
        <f t="shared" ref="P20:P25" si="16">IF($N20="Hourly",H20,H20*$N20)</f>
        <v>375.93771466612043</v>
      </c>
      <c r="Q20" s="214">
        <f t="shared" ref="Q20:Q25" si="17">IF($N20="Hourly",I20,I20*$N20)</f>
        <v>392.33977185639037</v>
      </c>
      <c r="R20" s="214">
        <f t="shared" ref="R20:R25" si="18">IF($N20="Hourly",J20,J20*$N20)</f>
        <v>405.62349389536041</v>
      </c>
      <c r="S20" s="214">
        <f t="shared" ref="S20:S25" si="19">IF($N20="Hourly",K20,K20*$N20)</f>
        <v>419.91286240897205</v>
      </c>
      <c r="T20" s="215">
        <f t="shared" ref="T20:T25" si="20">IF($N20="Hourly",L20,L20*$N20)</f>
        <v>434.37312816720396</v>
      </c>
      <c r="U20" s="95"/>
      <c r="V20" s="257"/>
      <c r="W20" s="257"/>
      <c r="X20" s="257"/>
      <c r="Y20" s="257"/>
      <c r="Z20" s="257"/>
      <c r="AA20" s="157"/>
      <c r="AB20" s="306">
        <f t="shared" ref="AB20:AF20" si="21">IF($N20="Hourly",P20*$N45*H45,P20*H45)</f>
        <v>5263.128005325686</v>
      </c>
      <c r="AC20" s="307">
        <f t="shared" si="21"/>
        <v>5492.7568059894656</v>
      </c>
      <c r="AD20" s="307">
        <f t="shared" si="21"/>
        <v>5678.728914535046</v>
      </c>
      <c r="AE20" s="307">
        <f t="shared" si="21"/>
        <v>5878.7800737256084</v>
      </c>
      <c r="AF20" s="308">
        <f t="shared" si="21"/>
        <v>6081.2237943408554</v>
      </c>
      <c r="AG20" s="157"/>
    </row>
    <row r="21" spans="2:33" x14ac:dyDescent="0.2">
      <c r="B21" s="233" t="s">
        <v>121</v>
      </c>
      <c r="C21" s="194">
        <f>'Input Sheet'!G20</f>
        <v>63.636363636363633</v>
      </c>
      <c r="D21" s="249">
        <f>'Input Sheet'!H20</f>
        <v>3.0285714285714289</v>
      </c>
      <c r="E21" s="118">
        <f>'Input Sheet'!J20</f>
        <v>212</v>
      </c>
      <c r="F21" s="117">
        <f>'Input Sheet'!K20</f>
        <v>192.72727272727275</v>
      </c>
      <c r="G21" s="102"/>
      <c r="H21" s="151">
        <f>+'Input Sheet'!G$99</f>
        <v>187.96885733306021</v>
      </c>
      <c r="I21" s="145">
        <f>+'Input Sheet'!H$99</f>
        <v>196.16988592819519</v>
      </c>
      <c r="J21" s="145">
        <f>+'Input Sheet'!I$99</f>
        <v>202.81174694768021</v>
      </c>
      <c r="K21" s="145">
        <f>+'Input Sheet'!J$99</f>
        <v>209.95643120448602</v>
      </c>
      <c r="L21" s="146">
        <f>+'Input Sheet'!K$99</f>
        <v>217.18656408360198</v>
      </c>
      <c r="M21" s="94"/>
      <c r="N21" s="105">
        <f>+'Standard Hour Calcs'!Z22</f>
        <v>3</v>
      </c>
      <c r="O21" s="94"/>
      <c r="P21" s="213">
        <f t="shared" si="16"/>
        <v>563.90657199918064</v>
      </c>
      <c r="Q21" s="214">
        <f t="shared" si="17"/>
        <v>588.50965778458556</v>
      </c>
      <c r="R21" s="214">
        <f t="shared" si="18"/>
        <v>608.43524084304067</v>
      </c>
      <c r="S21" s="214">
        <f t="shared" si="19"/>
        <v>629.86929361345801</v>
      </c>
      <c r="T21" s="215">
        <f t="shared" si="20"/>
        <v>651.55969225080594</v>
      </c>
      <c r="U21" s="95"/>
      <c r="V21" s="257"/>
      <c r="W21" s="257"/>
      <c r="X21" s="257"/>
      <c r="Y21" s="257"/>
      <c r="Z21" s="257"/>
      <c r="AA21" s="157"/>
      <c r="AB21" s="306">
        <f t="shared" ref="AB21:AF21" si="22">IF($N21="Hourly",P21*$N46*H46,P21*H46)</f>
        <v>563.90657199918064</v>
      </c>
      <c r="AC21" s="307">
        <f t="shared" si="22"/>
        <v>588.50965778458556</v>
      </c>
      <c r="AD21" s="307">
        <f t="shared" si="22"/>
        <v>608.43524084304067</v>
      </c>
      <c r="AE21" s="307">
        <f t="shared" si="22"/>
        <v>629.86929361345801</v>
      </c>
      <c r="AF21" s="308">
        <f t="shared" si="22"/>
        <v>651.55969225080594</v>
      </c>
      <c r="AG21" s="157"/>
    </row>
    <row r="22" spans="2:33" x14ac:dyDescent="0.2">
      <c r="B22" s="233" t="s">
        <v>122</v>
      </c>
      <c r="C22" s="194">
        <f>'Input Sheet'!G21</f>
        <v>63.636363636363633</v>
      </c>
      <c r="D22" s="249">
        <f>'Input Sheet'!H21</f>
        <v>3.0285714285714289</v>
      </c>
      <c r="E22" s="118">
        <f>'Input Sheet'!J21</f>
        <v>212</v>
      </c>
      <c r="F22" s="117">
        <f>'Input Sheet'!K21</f>
        <v>192.72727272727275</v>
      </c>
      <c r="G22" s="102"/>
      <c r="H22" s="151">
        <f>+'Input Sheet'!G$99</f>
        <v>187.96885733306021</v>
      </c>
      <c r="I22" s="145">
        <f>+'Input Sheet'!H$99</f>
        <v>196.16988592819519</v>
      </c>
      <c r="J22" s="145">
        <f>+'Input Sheet'!I$99</f>
        <v>202.81174694768021</v>
      </c>
      <c r="K22" s="145">
        <f>+'Input Sheet'!J$99</f>
        <v>209.95643120448602</v>
      </c>
      <c r="L22" s="146">
        <f>+'Input Sheet'!K$99</f>
        <v>217.18656408360198</v>
      </c>
      <c r="M22" s="94"/>
      <c r="N22" s="105">
        <f>+'Standard Hour Calcs'!Z23</f>
        <v>2</v>
      </c>
      <c r="O22" s="94"/>
      <c r="P22" s="213">
        <f t="shared" si="16"/>
        <v>375.93771466612043</v>
      </c>
      <c r="Q22" s="214">
        <f t="shared" si="17"/>
        <v>392.33977185639037</v>
      </c>
      <c r="R22" s="214">
        <f t="shared" si="18"/>
        <v>405.62349389536041</v>
      </c>
      <c r="S22" s="214">
        <f t="shared" si="19"/>
        <v>419.91286240897205</v>
      </c>
      <c r="T22" s="215">
        <f t="shared" si="20"/>
        <v>434.37312816720396</v>
      </c>
      <c r="U22" s="95"/>
      <c r="V22" s="257"/>
      <c r="W22" s="257"/>
      <c r="X22" s="257"/>
      <c r="Y22" s="257"/>
      <c r="Z22" s="257"/>
      <c r="AA22" s="157"/>
      <c r="AB22" s="306">
        <f t="shared" ref="AB22:AF22" si="23">IF($N22="Hourly",P22*$N47*H47,P22*H47)</f>
        <v>23308.138309299466</v>
      </c>
      <c r="AC22" s="307">
        <f t="shared" si="23"/>
        <v>24325.065855096203</v>
      </c>
      <c r="AD22" s="307">
        <f t="shared" si="23"/>
        <v>25148.656621512346</v>
      </c>
      <c r="AE22" s="307">
        <f t="shared" si="23"/>
        <v>26034.597469356268</v>
      </c>
      <c r="AF22" s="308">
        <f t="shared" si="23"/>
        <v>26931.133946366645</v>
      </c>
      <c r="AG22" s="157"/>
    </row>
    <row r="23" spans="2:33" x14ac:dyDescent="0.2">
      <c r="B23" s="233" t="s">
        <v>123</v>
      </c>
      <c r="C23" s="194">
        <f>'Input Sheet'!G22</f>
        <v>63.636363636363633</v>
      </c>
      <c r="D23" s="250" t="str">
        <f>'Input Sheet'!H22</f>
        <v>Hourly</v>
      </c>
      <c r="E23" s="118">
        <f>'Input Sheet'!J22</f>
        <v>70</v>
      </c>
      <c r="F23" s="117">
        <f>'Input Sheet'!K22</f>
        <v>63.636363636363633</v>
      </c>
      <c r="G23" s="102"/>
      <c r="H23" s="151">
        <f>+'Input Sheet'!G$99</f>
        <v>187.96885733306021</v>
      </c>
      <c r="I23" s="145">
        <f>+'Input Sheet'!H$99</f>
        <v>196.16988592819519</v>
      </c>
      <c r="J23" s="145">
        <f>+'Input Sheet'!I$99</f>
        <v>202.81174694768021</v>
      </c>
      <c r="K23" s="145">
        <f>+'Input Sheet'!J$99</f>
        <v>209.95643120448602</v>
      </c>
      <c r="L23" s="146">
        <f>+'Input Sheet'!K$99</f>
        <v>217.18656408360198</v>
      </c>
      <c r="M23" s="94"/>
      <c r="N23" s="105" t="str">
        <f>+'Standard Hour Calcs'!Z24</f>
        <v>Hourly</v>
      </c>
      <c r="O23" s="94"/>
      <c r="P23" s="213">
        <f t="shared" ref="P23" si="24">IF($N23="Hourly",H23,H23*$N23)</f>
        <v>187.96885733306021</v>
      </c>
      <c r="Q23" s="214">
        <f t="shared" ref="Q23" si="25">IF($N23="Hourly",I23,I23*$N23)</f>
        <v>196.16988592819519</v>
      </c>
      <c r="R23" s="214">
        <f t="shared" ref="R23" si="26">IF($N23="Hourly",J23,J23*$N23)</f>
        <v>202.81174694768021</v>
      </c>
      <c r="S23" s="214">
        <f t="shared" ref="S23" si="27">IF($N23="Hourly",K23,K23*$N23)</f>
        <v>209.95643120448602</v>
      </c>
      <c r="T23" s="215">
        <f t="shared" ref="T23" si="28">IF($N23="Hourly",L23,L23*$N23)</f>
        <v>217.18656408360198</v>
      </c>
      <c r="U23" s="95"/>
      <c r="V23" s="257"/>
      <c r="W23" s="257"/>
      <c r="X23" s="257"/>
      <c r="Y23" s="257"/>
      <c r="Z23" s="257"/>
      <c r="AA23" s="157"/>
      <c r="AB23" s="306">
        <f t="shared" ref="AB23:AF23" si="29">IF($N23="Hourly",P23*$N48*H48,P23*H48)</f>
        <v>0</v>
      </c>
      <c r="AC23" s="307">
        <f t="shared" si="29"/>
        <v>0</v>
      </c>
      <c r="AD23" s="307">
        <f t="shared" si="29"/>
        <v>0</v>
      </c>
      <c r="AE23" s="307">
        <f t="shared" si="29"/>
        <v>0</v>
      </c>
      <c r="AF23" s="308">
        <f t="shared" si="29"/>
        <v>0</v>
      </c>
      <c r="AG23" s="157"/>
    </row>
    <row r="24" spans="2:33" x14ac:dyDescent="0.2">
      <c r="B24" s="233" t="s">
        <v>124</v>
      </c>
      <c r="C24" s="194">
        <f>'Input Sheet'!G23</f>
        <v>63.636363636363633</v>
      </c>
      <c r="D24" s="250" t="str">
        <f>'Input Sheet'!H23</f>
        <v>Hourly</v>
      </c>
      <c r="E24" s="118">
        <f>'Input Sheet'!J23</f>
        <v>70</v>
      </c>
      <c r="F24" s="117">
        <f>'Input Sheet'!K23</f>
        <v>63.636363636363633</v>
      </c>
      <c r="G24" s="102"/>
      <c r="H24" s="151">
        <f>+'Input Sheet'!G$99</f>
        <v>187.96885733306021</v>
      </c>
      <c r="I24" s="145">
        <f>+'Input Sheet'!H$99</f>
        <v>196.16988592819519</v>
      </c>
      <c r="J24" s="145">
        <f>+'Input Sheet'!I$99</f>
        <v>202.81174694768021</v>
      </c>
      <c r="K24" s="145">
        <f>+'Input Sheet'!J$99</f>
        <v>209.95643120448602</v>
      </c>
      <c r="L24" s="146">
        <f>+'Input Sheet'!K$99</f>
        <v>217.18656408360198</v>
      </c>
      <c r="M24" s="94"/>
      <c r="N24" s="105" t="str">
        <f>+'Standard Hour Calcs'!Z25</f>
        <v>Hourly</v>
      </c>
      <c r="O24" s="94"/>
      <c r="P24" s="213">
        <f t="shared" si="16"/>
        <v>187.96885733306021</v>
      </c>
      <c r="Q24" s="214">
        <f t="shared" si="17"/>
        <v>196.16988592819519</v>
      </c>
      <c r="R24" s="214">
        <f t="shared" si="18"/>
        <v>202.81174694768021</v>
      </c>
      <c r="S24" s="214">
        <f t="shared" si="19"/>
        <v>209.95643120448602</v>
      </c>
      <c r="T24" s="215">
        <f t="shared" si="20"/>
        <v>217.18656408360198</v>
      </c>
      <c r="U24" s="95"/>
      <c r="V24" s="257"/>
      <c r="W24" s="257"/>
      <c r="X24" s="257"/>
      <c r="Y24" s="257"/>
      <c r="Z24" s="257"/>
      <c r="AA24" s="157"/>
      <c r="AB24" s="306">
        <f t="shared" ref="AB24:AF24" si="30">IF($N24="Hourly",P24*$N49*H49,P24*H49)</f>
        <v>0</v>
      </c>
      <c r="AC24" s="307">
        <f t="shared" si="30"/>
        <v>0</v>
      </c>
      <c r="AD24" s="307">
        <f t="shared" si="30"/>
        <v>0</v>
      </c>
      <c r="AE24" s="307">
        <f t="shared" si="30"/>
        <v>0</v>
      </c>
      <c r="AF24" s="308">
        <f t="shared" si="30"/>
        <v>0</v>
      </c>
      <c r="AG24" s="157"/>
    </row>
    <row r="25" spans="2:33" x14ac:dyDescent="0.2">
      <c r="B25" s="233" t="s">
        <v>125</v>
      </c>
      <c r="C25" s="194">
        <f>'Input Sheet'!G24</f>
        <v>63.636363636363633</v>
      </c>
      <c r="D25" s="250" t="str">
        <f>'Input Sheet'!H24</f>
        <v>Hourly</v>
      </c>
      <c r="E25" s="118">
        <f>'Input Sheet'!J24</f>
        <v>70</v>
      </c>
      <c r="F25" s="117">
        <f>'Input Sheet'!K24</f>
        <v>63.636363636363633</v>
      </c>
      <c r="G25" s="102"/>
      <c r="H25" s="151">
        <f>+'Input Sheet'!G$99</f>
        <v>187.96885733306021</v>
      </c>
      <c r="I25" s="145">
        <f>+'Input Sheet'!H$99</f>
        <v>196.16988592819519</v>
      </c>
      <c r="J25" s="145">
        <f>+'Input Sheet'!I$99</f>
        <v>202.81174694768021</v>
      </c>
      <c r="K25" s="145">
        <f>+'Input Sheet'!J$99</f>
        <v>209.95643120448602</v>
      </c>
      <c r="L25" s="146">
        <f>+'Input Sheet'!K$99</f>
        <v>217.18656408360198</v>
      </c>
      <c r="M25" s="94"/>
      <c r="N25" s="105" t="str">
        <f>+'Standard Hour Calcs'!Z26</f>
        <v>Hourly</v>
      </c>
      <c r="O25" s="94"/>
      <c r="P25" s="213">
        <f t="shared" si="16"/>
        <v>187.96885733306021</v>
      </c>
      <c r="Q25" s="214">
        <f t="shared" si="17"/>
        <v>196.16988592819519</v>
      </c>
      <c r="R25" s="214">
        <f t="shared" si="18"/>
        <v>202.81174694768021</v>
      </c>
      <c r="S25" s="214">
        <f t="shared" si="19"/>
        <v>209.95643120448602</v>
      </c>
      <c r="T25" s="215">
        <f t="shared" si="20"/>
        <v>217.18656408360198</v>
      </c>
      <c r="U25" s="95"/>
      <c r="V25" s="257"/>
      <c r="W25" s="257"/>
      <c r="X25" s="257"/>
      <c r="Y25" s="257"/>
      <c r="Z25" s="257"/>
      <c r="AA25" s="157"/>
      <c r="AB25" s="309">
        <f t="shared" ref="AB25:AF25" si="31">IF($N25="Hourly",P25*$N50*H50,P25*H50)</f>
        <v>0</v>
      </c>
      <c r="AC25" s="310">
        <f t="shared" si="31"/>
        <v>0</v>
      </c>
      <c r="AD25" s="310">
        <f t="shared" si="31"/>
        <v>0</v>
      </c>
      <c r="AE25" s="310">
        <f t="shared" si="31"/>
        <v>0</v>
      </c>
      <c r="AF25" s="311">
        <f t="shared" si="31"/>
        <v>0</v>
      </c>
      <c r="AG25" s="157"/>
    </row>
    <row r="26" spans="2:33" x14ac:dyDescent="0.2">
      <c r="B26" s="233"/>
      <c r="C26" s="194"/>
      <c r="D26" s="250"/>
      <c r="E26" s="118"/>
      <c r="F26" s="117"/>
      <c r="G26" s="102"/>
      <c r="H26" s="151"/>
      <c r="I26" s="145"/>
      <c r="J26" s="145"/>
      <c r="K26" s="145"/>
      <c r="L26" s="146"/>
      <c r="M26" s="94"/>
      <c r="N26" s="105"/>
      <c r="O26" s="94"/>
      <c r="P26" s="213"/>
      <c r="Q26" s="214"/>
      <c r="R26" s="214"/>
      <c r="S26" s="214"/>
      <c r="T26" s="215"/>
      <c r="U26" s="95"/>
      <c r="V26" s="257"/>
      <c r="W26" s="257"/>
      <c r="X26" s="257"/>
      <c r="Y26" s="257"/>
      <c r="Z26" s="257"/>
      <c r="AA26" s="157"/>
      <c r="AB26" s="318">
        <f>SUM(AB20:AB25)</f>
        <v>29135.172886624332</v>
      </c>
      <c r="AC26" s="319">
        <f>SUM(AC20:AC25)</f>
        <v>30406.332318870256</v>
      </c>
      <c r="AD26" s="319">
        <f>SUM(AD20:AD25)</f>
        <v>31435.820776890432</v>
      </c>
      <c r="AE26" s="319">
        <f>SUM(AE20:AE25)</f>
        <v>32543.246836695333</v>
      </c>
      <c r="AF26" s="320">
        <f>SUM(AF20:AF25)</f>
        <v>33663.917432958304</v>
      </c>
      <c r="AG26" s="157"/>
    </row>
    <row r="27" spans="2:33" x14ac:dyDescent="0.2">
      <c r="B27" s="233"/>
      <c r="C27" s="194"/>
      <c r="D27" s="250"/>
      <c r="E27" s="118"/>
      <c r="F27" s="117"/>
      <c r="G27" s="102"/>
      <c r="H27" s="151"/>
      <c r="I27" s="145"/>
      <c r="J27" s="145"/>
      <c r="K27" s="145"/>
      <c r="L27" s="146"/>
      <c r="M27" s="94"/>
      <c r="N27" s="105"/>
      <c r="O27" s="94"/>
      <c r="P27" s="213"/>
      <c r="Q27" s="214"/>
      <c r="R27" s="214"/>
      <c r="S27" s="214"/>
      <c r="T27" s="215"/>
      <c r="U27" s="95"/>
      <c r="V27" s="257"/>
      <c r="W27" s="257"/>
      <c r="X27" s="257"/>
      <c r="Y27" s="257"/>
      <c r="Z27" s="257"/>
      <c r="AA27" s="157"/>
      <c r="AB27" s="306"/>
      <c r="AC27" s="307"/>
      <c r="AD27" s="307"/>
      <c r="AE27" s="307"/>
      <c r="AF27" s="308"/>
      <c r="AG27" s="157"/>
    </row>
    <row r="28" spans="2:33" x14ac:dyDescent="0.2">
      <c r="B28" s="109"/>
      <c r="C28" s="252"/>
      <c r="D28" s="68"/>
      <c r="E28" s="68"/>
      <c r="F28" s="110"/>
      <c r="G28" s="103"/>
      <c r="H28" s="152"/>
      <c r="I28" s="147"/>
      <c r="J28" s="147"/>
      <c r="K28" s="147"/>
      <c r="L28" s="148"/>
      <c r="M28" s="104"/>
      <c r="N28" s="111"/>
      <c r="O28" s="104"/>
      <c r="P28" s="216"/>
      <c r="Q28" s="217"/>
      <c r="R28" s="217"/>
      <c r="S28" s="217"/>
      <c r="T28" s="218"/>
      <c r="U28" s="95"/>
      <c r="V28" s="257"/>
      <c r="W28" s="257"/>
      <c r="X28" s="257"/>
      <c r="Y28" s="257"/>
      <c r="Z28" s="257"/>
      <c r="AA28" s="157"/>
      <c r="AB28" s="321">
        <f>+AB26+AB17</f>
        <v>394546.63154209335</v>
      </c>
      <c r="AC28" s="322">
        <f>+AC26+AC17</f>
        <v>411760.59056328167</v>
      </c>
      <c r="AD28" s="322">
        <f>+AD26+AD17</f>
        <v>425701.85684318078</v>
      </c>
      <c r="AE28" s="322">
        <f>+AE26+AE17</f>
        <v>440698.54909821617</v>
      </c>
      <c r="AF28" s="323">
        <f>+AF26+AF17</f>
        <v>455874.59801148053</v>
      </c>
      <c r="AG28" s="157"/>
    </row>
    <row r="29" spans="2:33" x14ac:dyDescent="0.25">
      <c r="C29" s="104"/>
      <c r="D29" s="67"/>
      <c r="E29" s="67"/>
      <c r="F29" s="67"/>
      <c r="G29" s="103"/>
      <c r="H29" s="103"/>
      <c r="I29" s="103"/>
      <c r="J29" s="112"/>
      <c r="K29" s="112"/>
      <c r="L29" s="112"/>
      <c r="M29" s="112"/>
      <c r="N29" s="112"/>
      <c r="O29" s="112"/>
      <c r="P29" s="112"/>
      <c r="Q29" s="112"/>
      <c r="R29" s="112"/>
      <c r="S29" s="112"/>
      <c r="T29" s="112"/>
      <c r="V29" s="160"/>
      <c r="W29" s="160"/>
      <c r="X29" s="160"/>
      <c r="Y29" s="160"/>
      <c r="Z29" s="160"/>
      <c r="AA29" s="157"/>
      <c r="AB29" s="160"/>
      <c r="AC29" s="160"/>
      <c r="AD29" s="160"/>
      <c r="AE29" s="160"/>
      <c r="AF29" s="160"/>
      <c r="AG29" s="157"/>
    </row>
    <row r="30" spans="2:33" ht="15" x14ac:dyDescent="0.25">
      <c r="B30" s="141" t="s">
        <v>91</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row>
    <row r="31" spans="2:33" x14ac:dyDescent="0.25">
      <c r="M31" s="113"/>
      <c r="N31" s="113"/>
      <c r="O31" s="113"/>
      <c r="V31" s="70"/>
      <c r="W31" s="70"/>
      <c r="X31" s="70"/>
      <c r="Y31" s="70"/>
      <c r="Z31" s="70"/>
    </row>
    <row r="32" spans="2:33" s="82" customFormat="1" x14ac:dyDescent="0.2">
      <c r="C32" s="446" t="s">
        <v>64</v>
      </c>
      <c r="D32" s="447"/>
      <c r="E32" s="447"/>
      <c r="F32" s="448"/>
      <c r="G32" s="26"/>
      <c r="H32" s="449" t="s">
        <v>90</v>
      </c>
      <c r="I32" s="450"/>
      <c r="J32" s="450"/>
      <c r="K32" s="450"/>
      <c r="L32" s="451"/>
      <c r="P32" s="459" t="s">
        <v>66</v>
      </c>
      <c r="Q32" s="460"/>
      <c r="R32" s="460"/>
      <c r="S32" s="460"/>
      <c r="T32" s="461"/>
      <c r="V32" s="446" t="s">
        <v>65</v>
      </c>
      <c r="W32" s="447"/>
      <c r="X32" s="447"/>
      <c r="Y32" s="447"/>
      <c r="Z32" s="448"/>
      <c r="AB32" s="446" t="s">
        <v>49</v>
      </c>
      <c r="AC32" s="447"/>
      <c r="AD32" s="447"/>
      <c r="AE32" s="447"/>
      <c r="AF32" s="448"/>
    </row>
    <row r="33" spans="2:33" s="82" customFormat="1" ht="25.5" x14ac:dyDescent="0.25">
      <c r="B33" s="85" t="s">
        <v>10</v>
      </c>
      <c r="C33" s="87" t="s">
        <v>12</v>
      </c>
      <c r="D33" s="88" t="s">
        <v>13</v>
      </c>
      <c r="E33" s="88" t="s">
        <v>14</v>
      </c>
      <c r="F33" s="89" t="s">
        <v>15</v>
      </c>
      <c r="G33" s="26"/>
      <c r="H33" s="87" t="s">
        <v>17</v>
      </c>
      <c r="I33" s="88" t="s">
        <v>18</v>
      </c>
      <c r="J33" s="88" t="s">
        <v>19</v>
      </c>
      <c r="K33" s="88" t="s">
        <v>20</v>
      </c>
      <c r="L33" s="89" t="s">
        <v>21</v>
      </c>
      <c r="N33" s="116" t="s">
        <v>22</v>
      </c>
      <c r="P33" s="162" t="s">
        <v>17</v>
      </c>
      <c r="Q33" s="163" t="s">
        <v>18</v>
      </c>
      <c r="R33" s="163" t="s">
        <v>19</v>
      </c>
      <c r="S33" s="163" t="s">
        <v>20</v>
      </c>
      <c r="T33" s="164" t="s">
        <v>21</v>
      </c>
      <c r="V33" s="161" t="s">
        <v>17</v>
      </c>
      <c r="W33" s="90" t="s">
        <v>18</v>
      </c>
      <c r="X33" s="90" t="s">
        <v>19</v>
      </c>
      <c r="Y33" s="90" t="s">
        <v>20</v>
      </c>
      <c r="Z33" s="91" t="s">
        <v>21</v>
      </c>
      <c r="AB33" s="161" t="s">
        <v>17</v>
      </c>
      <c r="AC33" s="90" t="s">
        <v>18</v>
      </c>
      <c r="AD33" s="90" t="s">
        <v>19</v>
      </c>
      <c r="AE33" s="90" t="s">
        <v>20</v>
      </c>
      <c r="AF33" s="91" t="s">
        <v>21</v>
      </c>
    </row>
    <row r="34" spans="2:33" s="82" customFormat="1" x14ac:dyDescent="0.25">
      <c r="B34" s="92"/>
      <c r="C34" s="96"/>
      <c r="D34" s="93"/>
      <c r="E34" s="93"/>
      <c r="F34" s="97"/>
      <c r="G34" s="67"/>
      <c r="H34" s="96"/>
      <c r="I34" s="93"/>
      <c r="J34" s="93"/>
      <c r="K34" s="93"/>
      <c r="L34" s="97"/>
      <c r="N34" s="98"/>
      <c r="P34" s="108"/>
      <c r="Q34" s="106"/>
      <c r="R34" s="106"/>
      <c r="S34" s="106"/>
      <c r="T34" s="107"/>
      <c r="V34" s="101"/>
      <c r="W34" s="99"/>
      <c r="X34" s="99"/>
      <c r="Y34" s="99"/>
      <c r="Z34" s="100"/>
      <c r="AB34" s="101"/>
      <c r="AC34" s="99"/>
      <c r="AD34" s="99"/>
      <c r="AE34" s="99"/>
      <c r="AF34" s="100"/>
    </row>
    <row r="35" spans="2:33" x14ac:dyDescent="0.2">
      <c r="B35" s="282" t="s">
        <v>111</v>
      </c>
      <c r="C35" s="282"/>
      <c r="D35" s="289"/>
      <c r="E35" s="289"/>
      <c r="F35" s="290"/>
      <c r="G35" s="102"/>
      <c r="H35" s="296"/>
      <c r="I35" s="297"/>
      <c r="J35" s="297"/>
      <c r="K35" s="297"/>
      <c r="L35" s="298"/>
      <c r="M35" s="94"/>
      <c r="N35" s="299"/>
      <c r="O35" s="94"/>
      <c r="P35" s="303"/>
      <c r="Q35" s="304"/>
      <c r="R35" s="304"/>
      <c r="S35" s="304"/>
      <c r="T35" s="305"/>
      <c r="U35" s="324"/>
      <c r="V35" s="325"/>
      <c r="W35" s="325"/>
      <c r="X35" s="325"/>
      <c r="Y35" s="325"/>
      <c r="Z35" s="325"/>
      <c r="AA35" s="326"/>
      <c r="AB35" s="303"/>
      <c r="AC35" s="304"/>
      <c r="AD35" s="304"/>
      <c r="AE35" s="304"/>
      <c r="AF35" s="305"/>
      <c r="AG35" s="157"/>
    </row>
    <row r="36" spans="2:33" s="82" customFormat="1" x14ac:dyDescent="0.2">
      <c r="B36" s="239" t="s">
        <v>114</v>
      </c>
      <c r="C36" s="334">
        <f>+'Input Sheet'!G46</f>
        <v>46</v>
      </c>
      <c r="D36" s="335">
        <f>+'Input Sheet'!H46</f>
        <v>38</v>
      </c>
      <c r="E36" s="335">
        <f>+'Input Sheet'!I46</f>
        <v>49</v>
      </c>
      <c r="F36" s="336">
        <f>+'Input Sheet'!K46</f>
        <v>41</v>
      </c>
      <c r="G36" s="281"/>
      <c r="H36" s="334">
        <f>ROUND(AVERAGE($C36:$F36),0)</f>
        <v>44</v>
      </c>
      <c r="I36" s="335">
        <f t="shared" ref="I36:L41" si="32">ROUND(AVERAGE($C36:$F36),0)</f>
        <v>44</v>
      </c>
      <c r="J36" s="335">
        <f t="shared" si="32"/>
        <v>44</v>
      </c>
      <c r="K36" s="335">
        <f t="shared" si="32"/>
        <v>44</v>
      </c>
      <c r="L36" s="336">
        <f t="shared" si="32"/>
        <v>44</v>
      </c>
      <c r="N36" s="105"/>
      <c r="P36" s="306">
        <f>IF($N11="Hourly",'Input Sheet'!G$98*'Fee Breakdown'!$N36*'Fee Breakdown'!H36,'Input Sheet'!G$98*'Fee Breakdown'!$N11*'Fee Breakdown'!H36)</f>
        <v>7303.3243353870675</v>
      </c>
      <c r="Q36" s="307">
        <f>IF($N11="Hourly",'Input Sheet'!H$98*'Fee Breakdown'!$N36*'Fee Breakdown'!I36,'Input Sheet'!H$98*'Fee Breakdown'!$N11*'Fee Breakdown'!I36)</f>
        <v>7621.9663304699425</v>
      </c>
      <c r="R36" s="307">
        <f>IF($N11="Hourly",'Input Sheet'!I$98*'Fee Breakdown'!$N36*'Fee Breakdown'!J36,'Input Sheet'!I$98*'Fee Breakdown'!$N11*'Fee Breakdown'!J36)</f>
        <v>7880.0285749507566</v>
      </c>
      <c r="S36" s="307">
        <f>IF($N11="Hourly",'Input Sheet'!J$98*'Fee Breakdown'!$N36*'Fee Breakdown'!K36,'Input Sheet'!J$98*'Fee Breakdown'!$N11*'Fee Breakdown'!K36)</f>
        <v>8157.6274662869409</v>
      </c>
      <c r="T36" s="308">
        <f>IF($N11="Hourly",'Input Sheet'!K$98*'Fee Breakdown'!$N36*'Fee Breakdown'!L36,'Input Sheet'!K$98*'Fee Breakdown'!$N11*'Fee Breakdown'!L36)</f>
        <v>8438.5463703720288</v>
      </c>
      <c r="U36" s="327"/>
      <c r="V36" s="306">
        <f>+P36*('Input Sheet'!G$108-1)</f>
        <v>8570.1031293046253</v>
      </c>
      <c r="W36" s="307">
        <f>+Q36*('Input Sheet'!H$108-1)</f>
        <v>9603.7041022680951</v>
      </c>
      <c r="X36" s="307">
        <f>+R36*('Input Sheet'!I$108-1)</f>
        <v>10015.84856102465</v>
      </c>
      <c r="Y36" s="307">
        <f>+S36*('Input Sheet'!J$108-1)</f>
        <v>10583.511062716791</v>
      </c>
      <c r="Z36" s="308">
        <f>+T36*('Input Sheet'!K$108-1)</f>
        <v>11160.809684779377</v>
      </c>
      <c r="AA36" s="327"/>
      <c r="AB36" s="306">
        <f t="shared" ref="AB36" si="33">+P36+V36</f>
        <v>15873.427464691693</v>
      </c>
      <c r="AC36" s="307">
        <f t="shared" ref="AC36" si="34">+Q36+W36</f>
        <v>17225.670432738036</v>
      </c>
      <c r="AD36" s="307">
        <f t="shared" ref="AD36" si="35">+R36+X36</f>
        <v>17895.877135975406</v>
      </c>
      <c r="AE36" s="307">
        <f t="shared" ref="AE36" si="36">+S36+Y36</f>
        <v>18741.138529003732</v>
      </c>
      <c r="AF36" s="308">
        <f t="shared" ref="AF36" si="37">+T36+Z36</f>
        <v>19599.356055151406</v>
      </c>
    </row>
    <row r="37" spans="2:33" s="82" customFormat="1" x14ac:dyDescent="0.2">
      <c r="B37" s="239" t="s">
        <v>115</v>
      </c>
      <c r="C37" s="334">
        <f>+'Input Sheet'!G47</f>
        <v>82</v>
      </c>
      <c r="D37" s="335">
        <f>+'Input Sheet'!H47</f>
        <v>85</v>
      </c>
      <c r="E37" s="335">
        <f>+'Input Sheet'!I47</f>
        <v>109</v>
      </c>
      <c r="F37" s="336">
        <f>+'Input Sheet'!K47</f>
        <v>104</v>
      </c>
      <c r="G37" s="281"/>
      <c r="H37" s="334">
        <f t="shared" ref="H37:H41" si="38">ROUND(AVERAGE($C37:$F37),0)</f>
        <v>95</v>
      </c>
      <c r="I37" s="335">
        <f t="shared" si="32"/>
        <v>95</v>
      </c>
      <c r="J37" s="335">
        <f t="shared" si="32"/>
        <v>95</v>
      </c>
      <c r="K37" s="335">
        <f t="shared" si="32"/>
        <v>95</v>
      </c>
      <c r="L37" s="336">
        <f t="shared" si="32"/>
        <v>95</v>
      </c>
      <c r="N37" s="105"/>
      <c r="P37" s="306">
        <f>IF($N12="Hourly",'Input Sheet'!G$98*'Fee Breakdown'!$N37*'Fee Breakdown'!H37,'Input Sheet'!G$98*'Fee Breakdown'!$N12*'Fee Breakdown'!H37)</f>
        <v>15768.541178676624</v>
      </c>
      <c r="Q37" s="307">
        <f>IF($N12="Hourly",'Input Sheet'!H$98*'Fee Breakdown'!$N37*'Fee Breakdown'!I37,'Input Sheet'!H$98*'Fee Breakdown'!$N12*'Fee Breakdown'!I37)</f>
        <v>16456.51821351465</v>
      </c>
      <c r="R37" s="307">
        <f>IF($N12="Hourly",'Input Sheet'!I$98*'Fee Breakdown'!$N37*'Fee Breakdown'!J37,'Input Sheet'!I$98*'Fee Breakdown'!$N12*'Fee Breakdown'!J37)</f>
        <v>17013.698059552771</v>
      </c>
      <c r="S37" s="307">
        <f>IF($N12="Hourly",'Input Sheet'!J$98*'Fee Breakdown'!$N37*'Fee Breakdown'!K37,'Input Sheet'!J$98*'Fee Breakdown'!$N12*'Fee Breakdown'!K37)</f>
        <v>17613.05930221044</v>
      </c>
      <c r="T37" s="308">
        <f>IF($N12="Hourly",'Input Sheet'!K$98*'Fee Breakdown'!$N37*'Fee Breakdown'!L37,'Input Sheet'!K$98*'Fee Breakdown'!$N12*'Fee Breakdown'!L37)</f>
        <v>18219.588754212335</v>
      </c>
      <c r="U37" s="327"/>
      <c r="V37" s="306">
        <f>+P37*('Input Sheet'!G$108-1)</f>
        <v>18503.631756453167</v>
      </c>
      <c r="W37" s="307">
        <f>+Q37*('Input Sheet'!H$108-1)</f>
        <v>20735.270220806116</v>
      </c>
      <c r="X37" s="307">
        <f>+R37*('Input Sheet'!I$108-1)</f>
        <v>21625.127574939586</v>
      </c>
      <c r="Y37" s="307">
        <f>+S37*('Input Sheet'!J$108-1)</f>
        <v>22850.76252177489</v>
      </c>
      <c r="Z37" s="308">
        <f>+T37*('Input Sheet'!K$108-1)</f>
        <v>24097.202728500924</v>
      </c>
      <c r="AA37" s="327"/>
      <c r="AB37" s="306">
        <f t="shared" ref="AB37:AB41" si="39">+P37+V37</f>
        <v>34272.172935129791</v>
      </c>
      <c r="AC37" s="307">
        <f t="shared" ref="AC37:AC41" si="40">+Q37+W37</f>
        <v>37191.78843432077</v>
      </c>
      <c r="AD37" s="307">
        <f t="shared" ref="AD37:AD41" si="41">+R37+X37</f>
        <v>38638.825634492357</v>
      </c>
      <c r="AE37" s="307">
        <f t="shared" ref="AE37:AE41" si="42">+S37+Y37</f>
        <v>40463.82182398533</v>
      </c>
      <c r="AF37" s="308">
        <f t="shared" ref="AF37:AF41" si="43">+T37+Z37</f>
        <v>42316.791482713263</v>
      </c>
    </row>
    <row r="38" spans="2:33" s="82" customFormat="1" x14ac:dyDescent="0.2">
      <c r="B38" s="239" t="s">
        <v>116</v>
      </c>
      <c r="C38" s="334">
        <f>+'Input Sheet'!G48</f>
        <v>739</v>
      </c>
      <c r="D38" s="335">
        <f>+'Input Sheet'!H48</f>
        <v>659</v>
      </c>
      <c r="E38" s="335">
        <f>+'Input Sheet'!I48</f>
        <v>787</v>
      </c>
      <c r="F38" s="336">
        <f>+'Input Sheet'!K48</f>
        <v>844</v>
      </c>
      <c r="G38" s="281"/>
      <c r="H38" s="334">
        <f t="shared" si="38"/>
        <v>757</v>
      </c>
      <c r="I38" s="335">
        <f t="shared" si="32"/>
        <v>757</v>
      </c>
      <c r="J38" s="335">
        <f t="shared" si="32"/>
        <v>757</v>
      </c>
      <c r="K38" s="335">
        <f t="shared" si="32"/>
        <v>757</v>
      </c>
      <c r="L38" s="336">
        <f t="shared" si="32"/>
        <v>757</v>
      </c>
      <c r="N38" s="105"/>
      <c r="P38" s="306">
        <f>IF($N13="Hourly",'Input Sheet'!G$98*'Fee Breakdown'!$N38*'Fee Breakdown'!H38,'Input Sheet'!G$98*'Fee Breakdown'!$N13*'Fee Breakdown'!H38)</f>
        <v>125650.37549745478</v>
      </c>
      <c r="Q38" s="307">
        <f>IF($N13="Hourly",'Input Sheet'!H$98*'Fee Breakdown'!$N38*'Fee Breakdown'!I38,'Input Sheet'!H$98*'Fee Breakdown'!$N13*'Fee Breakdown'!I38)</f>
        <v>131132.46618558513</v>
      </c>
      <c r="R38" s="307">
        <f>IF($N13="Hourly",'Input Sheet'!I$98*'Fee Breakdown'!$N38*'Fee Breakdown'!J38,'Input Sheet'!I$98*'Fee Breakdown'!$N13*'Fee Breakdown'!J38)</f>
        <v>135572.30980085733</v>
      </c>
      <c r="S38" s="307">
        <f>IF($N13="Hourly",'Input Sheet'!J$98*'Fee Breakdown'!$N38*'Fee Breakdown'!K38,'Input Sheet'!J$98*'Fee Breakdown'!$N13*'Fee Breakdown'!K38)</f>
        <v>140348.27254498214</v>
      </c>
      <c r="T38" s="308">
        <f>IF($N13="Hourly",'Input Sheet'!K$98*'Fee Breakdown'!$N38*'Fee Breakdown'!L38,'Input Sheet'!K$98*'Fee Breakdown'!$N13*'Fee Breakdown'!L38)</f>
        <v>145181.35459935514</v>
      </c>
      <c r="U38" s="327"/>
      <c r="V38" s="306">
        <f>+P38*('Input Sheet'!G$108-1)</f>
        <v>147444.72883826366</v>
      </c>
      <c r="W38" s="307">
        <f>+Q38*('Input Sheet'!H$108-1)</f>
        <v>165227.36375947608</v>
      </c>
      <c r="X38" s="307">
        <f>+R38*('Input Sheet'!I$108-1)</f>
        <v>172318.12183399228</v>
      </c>
      <c r="Y38" s="307">
        <f>+S38*('Input Sheet'!J$108-1)</f>
        <v>182084.49714719571</v>
      </c>
      <c r="Z38" s="308">
        <f>+T38*('Input Sheet'!K$108-1)</f>
        <v>192016.65753131791</v>
      </c>
      <c r="AA38" s="327"/>
      <c r="AB38" s="306">
        <f t="shared" si="39"/>
        <v>273095.10433571844</v>
      </c>
      <c r="AC38" s="307">
        <f t="shared" si="40"/>
        <v>296359.82994506124</v>
      </c>
      <c r="AD38" s="307">
        <f t="shared" si="41"/>
        <v>307890.43163484964</v>
      </c>
      <c r="AE38" s="307">
        <f t="shared" si="42"/>
        <v>322432.76969217788</v>
      </c>
      <c r="AF38" s="308">
        <f t="shared" si="43"/>
        <v>337198.01213067304</v>
      </c>
    </row>
    <row r="39" spans="2:33" s="82" customFormat="1" x14ac:dyDescent="0.2">
      <c r="B39" s="239" t="s">
        <v>117</v>
      </c>
      <c r="C39" s="334">
        <f>+'Input Sheet'!G49</f>
        <v>0</v>
      </c>
      <c r="D39" s="335">
        <f>+'Input Sheet'!H49</f>
        <v>2</v>
      </c>
      <c r="E39" s="335">
        <f>+'Input Sheet'!I49</f>
        <v>4</v>
      </c>
      <c r="F39" s="336">
        <f>+'Input Sheet'!K49</f>
        <v>1</v>
      </c>
      <c r="G39" s="281"/>
      <c r="H39" s="334">
        <f t="shared" si="38"/>
        <v>2</v>
      </c>
      <c r="I39" s="335">
        <f t="shared" si="32"/>
        <v>2</v>
      </c>
      <c r="J39" s="335">
        <f t="shared" si="32"/>
        <v>2</v>
      </c>
      <c r="K39" s="335">
        <f t="shared" si="32"/>
        <v>2</v>
      </c>
      <c r="L39" s="336">
        <f t="shared" si="32"/>
        <v>2</v>
      </c>
      <c r="N39" s="105">
        <f>+'Standard Hour Calcs'!Y15</f>
        <v>1</v>
      </c>
      <c r="P39" s="306">
        <f>IF($N14="Hourly",'Input Sheet'!G$98*'Fee Breakdown'!$N39*'Fee Breakdown'!H39,'Input Sheet'!G$98*'Fee Breakdown'!$N14*'Fee Breakdown'!H39)</f>
        <v>165.98464398606973</v>
      </c>
      <c r="Q39" s="307">
        <f>IF($N14="Hourly",'Input Sheet'!H$98*'Fee Breakdown'!$N39*'Fee Breakdown'!I39,'Input Sheet'!H$98*'Fee Breakdown'!$N14*'Fee Breakdown'!I39)</f>
        <v>173.22650751068051</v>
      </c>
      <c r="R39" s="307">
        <f>IF($N14="Hourly",'Input Sheet'!I$98*'Fee Breakdown'!$N39*'Fee Breakdown'!J39,'Input Sheet'!I$98*'Fee Breakdown'!$N14*'Fee Breakdown'!J39)</f>
        <v>179.09155852160811</v>
      </c>
      <c r="S39" s="307">
        <f>IF($N14="Hourly",'Input Sheet'!J$98*'Fee Breakdown'!$N39*'Fee Breakdown'!K39,'Input Sheet'!J$98*'Fee Breakdown'!$N14*'Fee Breakdown'!K39)</f>
        <v>185.4006242337941</v>
      </c>
      <c r="T39" s="308">
        <f>IF($N14="Hourly",'Input Sheet'!K$98*'Fee Breakdown'!$N39*'Fee Breakdown'!L39,'Input Sheet'!K$98*'Fee Breakdown'!$N14*'Fee Breakdown'!L39)</f>
        <v>191.78514478118248</v>
      </c>
      <c r="U39" s="327"/>
      <c r="V39" s="306">
        <f>+P39*('Input Sheet'!G$108-1)</f>
        <v>194.77507112055966</v>
      </c>
      <c r="W39" s="307">
        <f>+Q39*('Input Sheet'!H$108-1)</f>
        <v>218.26600232427489</v>
      </c>
      <c r="X39" s="307">
        <f>+R39*('Input Sheet'!I$108-1)</f>
        <v>227.63292184146931</v>
      </c>
      <c r="Y39" s="307">
        <f>+S39*('Input Sheet'!J$108-1)</f>
        <v>240.53434233447251</v>
      </c>
      <c r="Z39" s="308">
        <f>+T39*('Input Sheet'!K$108-1)</f>
        <v>253.65476556316764</v>
      </c>
      <c r="AA39" s="327"/>
      <c r="AB39" s="306">
        <f t="shared" si="39"/>
        <v>360.75971510662941</v>
      </c>
      <c r="AC39" s="307">
        <f t="shared" si="40"/>
        <v>391.4925098349554</v>
      </c>
      <c r="AD39" s="307">
        <f t="shared" si="41"/>
        <v>406.72448036307742</v>
      </c>
      <c r="AE39" s="307">
        <f t="shared" si="42"/>
        <v>425.93496656826665</v>
      </c>
      <c r="AF39" s="308">
        <f t="shared" si="43"/>
        <v>445.4399103443501</v>
      </c>
    </row>
    <row r="40" spans="2:33" s="82" customFormat="1" x14ac:dyDescent="0.2">
      <c r="B40" s="239" t="s">
        <v>118</v>
      </c>
      <c r="C40" s="334">
        <f>+'Input Sheet'!G50</f>
        <v>0</v>
      </c>
      <c r="D40" s="335">
        <f>+'Input Sheet'!H50</f>
        <v>3</v>
      </c>
      <c r="E40" s="335">
        <f>+'Input Sheet'!I50</f>
        <v>2</v>
      </c>
      <c r="F40" s="336">
        <f>+'Input Sheet'!K50</f>
        <v>1</v>
      </c>
      <c r="G40" s="281"/>
      <c r="H40" s="334">
        <f t="shared" si="38"/>
        <v>2</v>
      </c>
      <c r="I40" s="335">
        <f t="shared" si="32"/>
        <v>2</v>
      </c>
      <c r="J40" s="335">
        <f t="shared" si="32"/>
        <v>2</v>
      </c>
      <c r="K40" s="335">
        <f t="shared" si="32"/>
        <v>2</v>
      </c>
      <c r="L40" s="336">
        <f t="shared" si="32"/>
        <v>2</v>
      </c>
      <c r="N40" s="105">
        <f>+'Standard Hour Calcs'!Y16</f>
        <v>2</v>
      </c>
      <c r="P40" s="306">
        <f>IF($N15="Hourly",'Input Sheet'!G$98*'Fee Breakdown'!$N40*'Fee Breakdown'!H40,'Input Sheet'!G$98*'Fee Breakdown'!$N15*'Fee Breakdown'!H40)</f>
        <v>331.96928797213945</v>
      </c>
      <c r="Q40" s="307">
        <f>IF($N15="Hourly",'Input Sheet'!H$98*'Fee Breakdown'!$N40*'Fee Breakdown'!I40,'Input Sheet'!H$98*'Fee Breakdown'!$N15*'Fee Breakdown'!I40)</f>
        <v>346.45301502136101</v>
      </c>
      <c r="R40" s="307">
        <f>IF($N15="Hourly",'Input Sheet'!I$98*'Fee Breakdown'!$N40*'Fee Breakdown'!J40,'Input Sheet'!I$98*'Fee Breakdown'!$N15*'Fee Breakdown'!J40)</f>
        <v>358.18311704321621</v>
      </c>
      <c r="S40" s="307">
        <f>IF($N15="Hourly",'Input Sheet'!J$98*'Fee Breakdown'!$N40*'Fee Breakdown'!K40,'Input Sheet'!J$98*'Fee Breakdown'!$N15*'Fee Breakdown'!K40)</f>
        <v>370.80124846758821</v>
      </c>
      <c r="T40" s="308">
        <f>IF($N15="Hourly",'Input Sheet'!K$98*'Fee Breakdown'!$N40*'Fee Breakdown'!L40,'Input Sheet'!K$98*'Fee Breakdown'!$N15*'Fee Breakdown'!L40)</f>
        <v>383.57028956236496</v>
      </c>
      <c r="U40" s="327"/>
      <c r="V40" s="306">
        <f>+P40*('Input Sheet'!G$108-1)</f>
        <v>389.55014224111932</v>
      </c>
      <c r="W40" s="307">
        <f>+Q40*('Input Sheet'!H$108-1)</f>
        <v>436.53200464854979</v>
      </c>
      <c r="X40" s="307">
        <f>+R40*('Input Sheet'!I$108-1)</f>
        <v>455.26584368293862</v>
      </c>
      <c r="Y40" s="307">
        <f>+S40*('Input Sheet'!J$108-1)</f>
        <v>481.06868466894502</v>
      </c>
      <c r="Z40" s="308">
        <f>+T40*('Input Sheet'!K$108-1)</f>
        <v>507.30953112633529</v>
      </c>
      <c r="AA40" s="327"/>
      <c r="AB40" s="306">
        <f t="shared" si="39"/>
        <v>721.51943021325883</v>
      </c>
      <c r="AC40" s="307">
        <f t="shared" si="40"/>
        <v>782.9850196699108</v>
      </c>
      <c r="AD40" s="307">
        <f t="shared" si="41"/>
        <v>813.44896072615484</v>
      </c>
      <c r="AE40" s="307">
        <f t="shared" si="42"/>
        <v>851.86993313653329</v>
      </c>
      <c r="AF40" s="308">
        <f t="shared" si="43"/>
        <v>890.87982068870019</v>
      </c>
    </row>
    <row r="41" spans="2:33" s="82" customFormat="1" x14ac:dyDescent="0.2">
      <c r="B41" s="239" t="s">
        <v>119</v>
      </c>
      <c r="C41" s="334">
        <f>+'Input Sheet'!G51</f>
        <v>45</v>
      </c>
      <c r="D41" s="335">
        <f>+'Input Sheet'!H51</f>
        <v>72</v>
      </c>
      <c r="E41" s="335">
        <f>+'Input Sheet'!I51</f>
        <v>82</v>
      </c>
      <c r="F41" s="336">
        <f>+'Input Sheet'!K51</f>
        <v>91</v>
      </c>
      <c r="G41" s="281"/>
      <c r="H41" s="334">
        <f t="shared" si="38"/>
        <v>73</v>
      </c>
      <c r="I41" s="335">
        <f t="shared" si="32"/>
        <v>73</v>
      </c>
      <c r="J41" s="335">
        <f t="shared" si="32"/>
        <v>73</v>
      </c>
      <c r="K41" s="335">
        <f t="shared" si="32"/>
        <v>73</v>
      </c>
      <c r="L41" s="336">
        <f t="shared" si="32"/>
        <v>73</v>
      </c>
      <c r="N41" s="105">
        <f>+'Standard Hour Calcs'!Y17</f>
        <v>2</v>
      </c>
      <c r="P41" s="306">
        <f>IF($N16="Hourly",'Input Sheet'!G$98*'Fee Breakdown'!$N41*'Fee Breakdown'!H41,'Input Sheet'!G$98*'Fee Breakdown'!$N16*'Fee Breakdown'!H41)</f>
        <v>12116.87901098309</v>
      </c>
      <c r="Q41" s="307">
        <f>IF($N16="Hourly",'Input Sheet'!H$98*'Fee Breakdown'!$N41*'Fee Breakdown'!I41,'Input Sheet'!H$98*'Fee Breakdown'!$N16*'Fee Breakdown'!I41)</f>
        <v>12645.535048279677</v>
      </c>
      <c r="R41" s="307">
        <f>IF($N16="Hourly",'Input Sheet'!I$98*'Fee Breakdown'!$N41*'Fee Breakdown'!J41,'Input Sheet'!I$98*'Fee Breakdown'!$N16*'Fee Breakdown'!J41)</f>
        <v>13073.683772077391</v>
      </c>
      <c r="S41" s="307">
        <f>IF($N16="Hourly",'Input Sheet'!J$98*'Fee Breakdown'!$N41*'Fee Breakdown'!K41,'Input Sheet'!J$98*'Fee Breakdown'!$N16*'Fee Breakdown'!K41)</f>
        <v>13534.24556906697</v>
      </c>
      <c r="T41" s="308">
        <f>IF($N16="Hourly",'Input Sheet'!K$98*'Fee Breakdown'!$N41*'Fee Breakdown'!L41,'Input Sheet'!K$98*'Fee Breakdown'!$N16*'Fee Breakdown'!L41)</f>
        <v>14000.315569026321</v>
      </c>
      <c r="U41" s="327"/>
      <c r="V41" s="306">
        <f>+P41*('Input Sheet'!G$108-1)</f>
        <v>14218.580191800855</v>
      </c>
      <c r="W41" s="307">
        <f>+Q41*('Input Sheet'!H$108-1)</f>
        <v>15933.418169672066</v>
      </c>
      <c r="X41" s="307">
        <f>+R41*('Input Sheet'!I$108-1)</f>
        <v>16617.203294427261</v>
      </c>
      <c r="Y41" s="307">
        <f>+S41*('Input Sheet'!J$108-1)</f>
        <v>17559.006990416496</v>
      </c>
      <c r="Z41" s="308">
        <f>+T41*('Input Sheet'!K$108-1)</f>
        <v>18516.797886111239</v>
      </c>
      <c r="AA41" s="327"/>
      <c r="AB41" s="306">
        <f t="shared" si="39"/>
        <v>26335.459202783946</v>
      </c>
      <c r="AC41" s="307">
        <f t="shared" si="40"/>
        <v>28578.953217951741</v>
      </c>
      <c r="AD41" s="307">
        <f t="shared" si="41"/>
        <v>29690.887066504652</v>
      </c>
      <c r="AE41" s="307">
        <f t="shared" si="42"/>
        <v>31093.252559483466</v>
      </c>
      <c r="AF41" s="308">
        <f t="shared" si="43"/>
        <v>32517.113455137558</v>
      </c>
    </row>
    <row r="42" spans="2:33" s="82" customFormat="1" x14ac:dyDescent="0.2">
      <c r="B42" s="73"/>
      <c r="C42" s="337">
        <f>SUM(C36:C41)</f>
        <v>912</v>
      </c>
      <c r="D42" s="338">
        <f>SUM(D36:D41)</f>
        <v>859</v>
      </c>
      <c r="E42" s="338">
        <f>SUM(E36:E41)</f>
        <v>1033</v>
      </c>
      <c r="F42" s="339">
        <f>SUM(F36:F41)</f>
        <v>1082</v>
      </c>
      <c r="G42" s="281"/>
      <c r="H42" s="337">
        <f>SUM(H36:H41)</f>
        <v>973</v>
      </c>
      <c r="I42" s="338">
        <f>SUM(I36:I41)</f>
        <v>973</v>
      </c>
      <c r="J42" s="338">
        <f>SUM(J36:J41)</f>
        <v>973</v>
      </c>
      <c r="K42" s="338">
        <f>SUM(K36:K41)</f>
        <v>973</v>
      </c>
      <c r="L42" s="339">
        <f>SUM(L36:L41)</f>
        <v>973</v>
      </c>
      <c r="N42" s="105"/>
      <c r="P42" s="328">
        <f>SUM(P36:P41)</f>
        <v>161337.07395445977</v>
      </c>
      <c r="Q42" s="329">
        <f>SUM(Q36:Q41)</f>
        <v>168376.16530038143</v>
      </c>
      <c r="R42" s="329">
        <f>SUM(R36:R41)</f>
        <v>174076.99488300306</v>
      </c>
      <c r="S42" s="329">
        <f>SUM(S36:S41)</f>
        <v>180209.40675524785</v>
      </c>
      <c r="T42" s="330">
        <f>SUM(T36:T41)</f>
        <v>186415.16072730935</v>
      </c>
      <c r="U42" s="327"/>
      <c r="V42" s="328">
        <f>SUM(V36:V41)</f>
        <v>189321.36912918399</v>
      </c>
      <c r="W42" s="329">
        <f>SUM(W36:W41)</f>
        <v>212154.5542591952</v>
      </c>
      <c r="X42" s="329">
        <f>SUM(X36:X41)</f>
        <v>221259.20002990818</v>
      </c>
      <c r="Y42" s="329">
        <f>SUM(Y36:Y41)</f>
        <v>233799.38074910731</v>
      </c>
      <c r="Z42" s="330">
        <f>SUM(Z36:Z41)</f>
        <v>246552.43212739899</v>
      </c>
      <c r="AA42" s="327"/>
      <c r="AB42" s="328">
        <f>SUM(AB36:AB41)</f>
        <v>350658.44308364374</v>
      </c>
      <c r="AC42" s="329">
        <f>SUM(AC36:AC41)</f>
        <v>380530.71955957665</v>
      </c>
      <c r="AD42" s="329">
        <f>SUM(AD36:AD41)</f>
        <v>395336.19491291122</v>
      </c>
      <c r="AE42" s="329">
        <f>SUM(AE36:AE41)</f>
        <v>414008.78750435513</v>
      </c>
      <c r="AF42" s="330">
        <f>SUM(AF36:AF41)</f>
        <v>432967.59285470832</v>
      </c>
    </row>
    <row r="43" spans="2:33" s="82" customFormat="1" x14ac:dyDescent="0.25">
      <c r="B43" s="73"/>
      <c r="C43" s="334"/>
      <c r="D43" s="335"/>
      <c r="E43" s="335"/>
      <c r="F43" s="336"/>
      <c r="G43" s="281"/>
      <c r="H43" s="334"/>
      <c r="I43" s="335"/>
      <c r="J43" s="335"/>
      <c r="K43" s="335"/>
      <c r="L43" s="336"/>
      <c r="N43" s="105"/>
      <c r="P43" s="306"/>
      <c r="Q43" s="307"/>
      <c r="R43" s="307"/>
      <c r="S43" s="307"/>
      <c r="T43" s="308"/>
      <c r="U43" s="327"/>
      <c r="V43" s="306"/>
      <c r="W43" s="307"/>
      <c r="X43" s="307"/>
      <c r="Y43" s="307"/>
      <c r="Z43" s="308"/>
      <c r="AA43" s="327"/>
      <c r="AB43" s="306"/>
      <c r="AC43" s="307"/>
      <c r="AD43" s="307"/>
      <c r="AE43" s="307"/>
      <c r="AF43" s="308"/>
    </row>
    <row r="44" spans="2:33" x14ac:dyDescent="0.2">
      <c r="B44" s="282" t="s">
        <v>113</v>
      </c>
      <c r="C44" s="340"/>
      <c r="D44" s="341"/>
      <c r="E44" s="341"/>
      <c r="F44" s="342"/>
      <c r="G44" s="343"/>
      <c r="H44" s="344"/>
      <c r="I44" s="345"/>
      <c r="J44" s="345"/>
      <c r="K44" s="345"/>
      <c r="L44" s="346"/>
      <c r="M44" s="94"/>
      <c r="N44" s="299"/>
      <c r="O44" s="94"/>
      <c r="P44" s="303"/>
      <c r="Q44" s="304"/>
      <c r="R44" s="304"/>
      <c r="S44" s="304"/>
      <c r="T44" s="305"/>
      <c r="U44" s="324"/>
      <c r="V44" s="325"/>
      <c r="W44" s="325"/>
      <c r="X44" s="325"/>
      <c r="Y44" s="325"/>
      <c r="Z44" s="325"/>
      <c r="AA44" s="326"/>
      <c r="AB44" s="303"/>
      <c r="AC44" s="304"/>
      <c r="AD44" s="304"/>
      <c r="AE44" s="304"/>
      <c r="AF44" s="305"/>
      <c r="AG44" s="157"/>
    </row>
    <row r="45" spans="2:33" s="82" customFormat="1" x14ac:dyDescent="0.2">
      <c r="B45" s="233" t="s">
        <v>120</v>
      </c>
      <c r="C45" s="334">
        <f>+'Input Sheet'!G55</f>
        <v>18</v>
      </c>
      <c r="D45" s="335">
        <f>+'Input Sheet'!H55</f>
        <v>14</v>
      </c>
      <c r="E45" s="335">
        <f>+'Input Sheet'!I55</f>
        <v>11</v>
      </c>
      <c r="F45" s="336">
        <f>+'Input Sheet'!K55</f>
        <v>12</v>
      </c>
      <c r="G45" s="281"/>
      <c r="H45" s="334">
        <f t="shared" ref="H45:L50" si="44">ROUND(AVERAGE($C45:$F45),0)</f>
        <v>14</v>
      </c>
      <c r="I45" s="335">
        <f t="shared" si="44"/>
        <v>14</v>
      </c>
      <c r="J45" s="335">
        <f t="shared" si="44"/>
        <v>14</v>
      </c>
      <c r="K45" s="335">
        <f t="shared" si="44"/>
        <v>14</v>
      </c>
      <c r="L45" s="336">
        <f t="shared" si="44"/>
        <v>14</v>
      </c>
      <c r="N45" s="105"/>
      <c r="P45" s="306">
        <f>IF($N20="Hourly",'Input Sheet'!G$98*'Fee Breakdown'!$N45*'Fee Breakdown'!H45,'Input Sheet'!G$98*'Fee Breakdown'!$N20*'Fee Breakdown'!H45)</f>
        <v>2323.785015804976</v>
      </c>
      <c r="Q45" s="307">
        <f>IF($N20="Hourly",'Input Sheet'!H$98*'Fee Breakdown'!$N45*'Fee Breakdown'!I45,'Input Sheet'!H$98*'Fee Breakdown'!$N20*'Fee Breakdown'!I45)</f>
        <v>2425.1711051495272</v>
      </c>
      <c r="R45" s="307">
        <f>IF($N20="Hourly",'Input Sheet'!I$98*'Fee Breakdown'!$N45*'Fee Breakdown'!J45,'Input Sheet'!I$98*'Fee Breakdown'!$N20*'Fee Breakdown'!J45)</f>
        <v>2507.2818193025137</v>
      </c>
      <c r="S45" s="307">
        <f>IF($N20="Hourly",'Input Sheet'!J$98*'Fee Breakdown'!$N45*'Fee Breakdown'!K45,'Input Sheet'!J$98*'Fee Breakdown'!$N20*'Fee Breakdown'!K45)</f>
        <v>2595.6087392731174</v>
      </c>
      <c r="T45" s="308">
        <f>IF($N20="Hourly",'Input Sheet'!K$98*'Fee Breakdown'!$N45*'Fee Breakdown'!L45,'Input Sheet'!K$98*'Fee Breakdown'!$N20*'Fee Breakdown'!L45)</f>
        <v>2684.9920269365548</v>
      </c>
      <c r="U45" s="327"/>
      <c r="V45" s="306">
        <f>+P45*('Input Sheet'!G$108-1)</f>
        <v>2726.8509956878352</v>
      </c>
      <c r="W45" s="307">
        <f>+Q45*('Input Sheet'!H$108-1)</f>
        <v>3055.7240325398484</v>
      </c>
      <c r="X45" s="307">
        <f>+R45*('Input Sheet'!I$108-1)</f>
        <v>3186.8609057805706</v>
      </c>
      <c r="Y45" s="307">
        <f>+S45*('Input Sheet'!J$108-1)</f>
        <v>3367.4807926826152</v>
      </c>
      <c r="Z45" s="308">
        <f>+T45*('Input Sheet'!K$108-1)</f>
        <v>3551.1667178843472</v>
      </c>
      <c r="AA45" s="327"/>
      <c r="AB45" s="306">
        <f t="shared" ref="AB45:AB47" si="45">+P45+V45</f>
        <v>5050.6360114928111</v>
      </c>
      <c r="AC45" s="307">
        <f t="shared" ref="AC45:AC47" si="46">+Q45+W45</f>
        <v>5480.8951376893756</v>
      </c>
      <c r="AD45" s="307">
        <f t="shared" ref="AD45:AD47" si="47">+R45+X45</f>
        <v>5694.1427250830839</v>
      </c>
      <c r="AE45" s="307">
        <f t="shared" ref="AE45:AE47" si="48">+S45+Y45</f>
        <v>5963.089531955733</v>
      </c>
      <c r="AF45" s="308">
        <f t="shared" ref="AF45:AF47" si="49">+T45+Z45</f>
        <v>6236.158744820902</v>
      </c>
    </row>
    <row r="46" spans="2:33" s="82" customFormat="1" x14ac:dyDescent="0.2">
      <c r="B46" s="233" t="s">
        <v>121</v>
      </c>
      <c r="C46" s="334">
        <f>+'Input Sheet'!G56</f>
        <v>1</v>
      </c>
      <c r="D46" s="335">
        <f>+'Input Sheet'!H56</f>
        <v>2</v>
      </c>
      <c r="E46" s="335">
        <f>+'Input Sheet'!I56</f>
        <v>1</v>
      </c>
      <c r="F46" s="336">
        <f>+'Input Sheet'!K56</f>
        <v>0</v>
      </c>
      <c r="G46" s="281"/>
      <c r="H46" s="334">
        <f t="shared" si="44"/>
        <v>1</v>
      </c>
      <c r="I46" s="335">
        <f t="shared" si="44"/>
        <v>1</v>
      </c>
      <c r="J46" s="335">
        <f t="shared" si="44"/>
        <v>1</v>
      </c>
      <c r="K46" s="335">
        <f t="shared" si="44"/>
        <v>1</v>
      </c>
      <c r="L46" s="336">
        <f t="shared" si="44"/>
        <v>1</v>
      </c>
      <c r="N46" s="105"/>
      <c r="P46" s="306">
        <f>IF($N21="Hourly",'Input Sheet'!G$98*'Fee Breakdown'!$N46*'Fee Breakdown'!H46,'Input Sheet'!G$98*'Fee Breakdown'!$N21*'Fee Breakdown'!H46)</f>
        <v>248.97696597910459</v>
      </c>
      <c r="Q46" s="307">
        <f>IF($N21="Hourly",'Input Sheet'!H$98*'Fee Breakdown'!$N46*'Fee Breakdown'!I46,'Input Sheet'!H$98*'Fee Breakdown'!$N21*'Fee Breakdown'!I46)</f>
        <v>259.83976126602079</v>
      </c>
      <c r="R46" s="307">
        <f>IF($N21="Hourly",'Input Sheet'!I$98*'Fee Breakdown'!$N46*'Fee Breakdown'!J46,'Input Sheet'!I$98*'Fee Breakdown'!$N21*'Fee Breakdown'!J46)</f>
        <v>268.63733778241215</v>
      </c>
      <c r="S46" s="307">
        <f>IF($N21="Hourly",'Input Sheet'!J$98*'Fee Breakdown'!$N46*'Fee Breakdown'!K46,'Input Sheet'!J$98*'Fee Breakdown'!$N21*'Fee Breakdown'!K46)</f>
        <v>278.10093635069114</v>
      </c>
      <c r="T46" s="308">
        <f>IF($N21="Hourly",'Input Sheet'!K$98*'Fee Breakdown'!$N46*'Fee Breakdown'!L46,'Input Sheet'!K$98*'Fee Breakdown'!$N21*'Fee Breakdown'!L46)</f>
        <v>287.67771717177374</v>
      </c>
      <c r="U46" s="327"/>
      <c r="V46" s="306">
        <f>+P46*('Input Sheet'!G$108-1)</f>
        <v>292.16260668083947</v>
      </c>
      <c r="W46" s="307">
        <f>+Q46*('Input Sheet'!H$108-1)</f>
        <v>327.39900348641237</v>
      </c>
      <c r="X46" s="307">
        <f>+R46*('Input Sheet'!I$108-1)</f>
        <v>341.44938276220398</v>
      </c>
      <c r="Y46" s="307">
        <f>+S46*('Input Sheet'!J$108-1)</f>
        <v>360.80151350170877</v>
      </c>
      <c r="Z46" s="308">
        <f>+T46*('Input Sheet'!K$108-1)</f>
        <v>380.48214834475147</v>
      </c>
      <c r="AA46" s="327"/>
      <c r="AB46" s="306">
        <f t="shared" si="45"/>
        <v>541.13957265994406</v>
      </c>
      <c r="AC46" s="307">
        <f t="shared" si="46"/>
        <v>587.2387647524331</v>
      </c>
      <c r="AD46" s="307">
        <f t="shared" si="47"/>
        <v>610.08672054461613</v>
      </c>
      <c r="AE46" s="307">
        <f t="shared" si="48"/>
        <v>638.90244985239997</v>
      </c>
      <c r="AF46" s="308">
        <f t="shared" si="49"/>
        <v>668.1598655165252</v>
      </c>
    </row>
    <row r="47" spans="2:33" s="82" customFormat="1" x14ac:dyDescent="0.2">
      <c r="B47" s="233" t="s">
        <v>122</v>
      </c>
      <c r="C47" s="334">
        <f>+'Input Sheet'!G57</f>
        <v>64</v>
      </c>
      <c r="D47" s="335">
        <f>+'Input Sheet'!H57</f>
        <v>66</v>
      </c>
      <c r="E47" s="335">
        <f>+'Input Sheet'!I57</f>
        <v>60</v>
      </c>
      <c r="F47" s="336">
        <f>+'Input Sheet'!K57</f>
        <v>56</v>
      </c>
      <c r="G47" s="281"/>
      <c r="H47" s="334">
        <f t="shared" si="44"/>
        <v>62</v>
      </c>
      <c r="I47" s="335">
        <f t="shared" si="44"/>
        <v>62</v>
      </c>
      <c r="J47" s="335">
        <f t="shared" si="44"/>
        <v>62</v>
      </c>
      <c r="K47" s="335">
        <f t="shared" si="44"/>
        <v>62</v>
      </c>
      <c r="L47" s="336">
        <f t="shared" si="44"/>
        <v>62</v>
      </c>
      <c r="N47" s="105"/>
      <c r="P47" s="306">
        <f>IF($N22="Hourly",'Input Sheet'!G$98*'Fee Breakdown'!$N47*'Fee Breakdown'!H47,'Input Sheet'!G$98*'Fee Breakdown'!$N22*'Fee Breakdown'!H47)</f>
        <v>10291.047927136324</v>
      </c>
      <c r="Q47" s="307">
        <f>IF($N22="Hourly",'Input Sheet'!H$98*'Fee Breakdown'!$N47*'Fee Breakdown'!I47,'Input Sheet'!H$98*'Fee Breakdown'!$N22*'Fee Breakdown'!I47)</f>
        <v>10740.043465662191</v>
      </c>
      <c r="R47" s="307">
        <f>IF($N22="Hourly",'Input Sheet'!I$98*'Fee Breakdown'!$N47*'Fee Breakdown'!J47,'Input Sheet'!I$98*'Fee Breakdown'!$N22*'Fee Breakdown'!J47)</f>
        <v>11103.676628339703</v>
      </c>
      <c r="S47" s="307">
        <f>IF($N22="Hourly",'Input Sheet'!J$98*'Fee Breakdown'!$N47*'Fee Breakdown'!K47,'Input Sheet'!J$98*'Fee Breakdown'!$N22*'Fee Breakdown'!K47)</f>
        <v>11494.838702495235</v>
      </c>
      <c r="T47" s="308">
        <f>IF($N22="Hourly",'Input Sheet'!K$98*'Fee Breakdown'!$N47*'Fee Breakdown'!L47,'Input Sheet'!K$98*'Fee Breakdown'!$N22*'Fee Breakdown'!L47)</f>
        <v>11890.678976433313</v>
      </c>
      <c r="U47" s="327"/>
      <c r="V47" s="306">
        <f>+P47*('Input Sheet'!G$108-1)</f>
        <v>12076.0544094747</v>
      </c>
      <c r="W47" s="307">
        <f>+Q47*('Input Sheet'!H$108-1)</f>
        <v>13532.492144105043</v>
      </c>
      <c r="X47" s="307">
        <f>+R47*('Input Sheet'!I$108-1)</f>
        <v>14113.241154171099</v>
      </c>
      <c r="Y47" s="307">
        <f>+S47*('Input Sheet'!J$108-1)</f>
        <v>14913.129224737297</v>
      </c>
      <c r="Z47" s="308">
        <f>+T47*('Input Sheet'!K$108-1)</f>
        <v>15726.595464916394</v>
      </c>
      <c r="AA47" s="327"/>
      <c r="AB47" s="306">
        <f t="shared" si="45"/>
        <v>22367.102336611024</v>
      </c>
      <c r="AC47" s="307">
        <f t="shared" si="46"/>
        <v>24272.535609767234</v>
      </c>
      <c r="AD47" s="307">
        <f t="shared" si="47"/>
        <v>25216.917782510802</v>
      </c>
      <c r="AE47" s="307">
        <f t="shared" si="48"/>
        <v>26407.96792723253</v>
      </c>
      <c r="AF47" s="308">
        <f t="shared" si="49"/>
        <v>27617.274441349706</v>
      </c>
    </row>
    <row r="48" spans="2:33" s="82" customFormat="1" x14ac:dyDescent="0.2">
      <c r="B48" s="233" t="s">
        <v>123</v>
      </c>
      <c r="C48" s="334">
        <f>+'Input Sheet'!G58</f>
        <v>0</v>
      </c>
      <c r="D48" s="335">
        <f>+'Input Sheet'!H58</f>
        <v>0</v>
      </c>
      <c r="E48" s="335">
        <f>+'Input Sheet'!I58</f>
        <v>0</v>
      </c>
      <c r="F48" s="336">
        <f>+'Input Sheet'!K58</f>
        <v>0</v>
      </c>
      <c r="G48" s="281"/>
      <c r="H48" s="334">
        <f t="shared" si="44"/>
        <v>0</v>
      </c>
      <c r="I48" s="335">
        <f t="shared" si="44"/>
        <v>0</v>
      </c>
      <c r="J48" s="335">
        <f t="shared" si="44"/>
        <v>0</v>
      </c>
      <c r="K48" s="335">
        <f t="shared" si="44"/>
        <v>0</v>
      </c>
      <c r="L48" s="336">
        <f t="shared" si="44"/>
        <v>0</v>
      </c>
      <c r="N48" s="105">
        <f>+'Standard Hour Calcs'!Y24</f>
        <v>0</v>
      </c>
      <c r="P48" s="306">
        <f>IF($N23="Hourly",'Input Sheet'!G$98*'Fee Breakdown'!$N48*'Fee Breakdown'!H48,'Input Sheet'!G$98*'Fee Breakdown'!$N23*'Fee Breakdown'!H48)</f>
        <v>0</v>
      </c>
      <c r="Q48" s="307">
        <f>IF($N23="Hourly",'Input Sheet'!H$98*'Fee Breakdown'!$N48*'Fee Breakdown'!I48,'Input Sheet'!H$98*'Fee Breakdown'!$N23*'Fee Breakdown'!I48)</f>
        <v>0</v>
      </c>
      <c r="R48" s="307">
        <f>IF($N23="Hourly",'Input Sheet'!I$98*'Fee Breakdown'!$N48*'Fee Breakdown'!J48,'Input Sheet'!I$98*'Fee Breakdown'!$N23*'Fee Breakdown'!J48)</f>
        <v>0</v>
      </c>
      <c r="S48" s="307">
        <f>IF($N23="Hourly",'Input Sheet'!J$98*'Fee Breakdown'!$N48*'Fee Breakdown'!K48,'Input Sheet'!J$98*'Fee Breakdown'!$N23*'Fee Breakdown'!K48)</f>
        <v>0</v>
      </c>
      <c r="T48" s="308">
        <f>IF($N23="Hourly",'Input Sheet'!K$98*'Fee Breakdown'!$N48*'Fee Breakdown'!L48,'Input Sheet'!K$98*'Fee Breakdown'!$N23*'Fee Breakdown'!L48)</f>
        <v>0</v>
      </c>
      <c r="U48" s="327"/>
      <c r="V48" s="306">
        <f>+P48*('Input Sheet'!G$108-1)</f>
        <v>0</v>
      </c>
      <c r="W48" s="307">
        <f>+Q48*('Input Sheet'!H$108-1)</f>
        <v>0</v>
      </c>
      <c r="X48" s="307">
        <f>+R48*('Input Sheet'!I$108-1)</f>
        <v>0</v>
      </c>
      <c r="Y48" s="307">
        <f>+S48*('Input Sheet'!J$108-1)</f>
        <v>0</v>
      </c>
      <c r="Z48" s="308">
        <f>+T48*('Input Sheet'!K$108-1)</f>
        <v>0</v>
      </c>
      <c r="AA48" s="327"/>
      <c r="AB48" s="306">
        <f t="shared" ref="AB48" si="50">+P48+V48</f>
        <v>0</v>
      </c>
      <c r="AC48" s="307">
        <f t="shared" ref="AC48" si="51">+Q48+W48</f>
        <v>0</v>
      </c>
      <c r="AD48" s="307">
        <f t="shared" ref="AD48" si="52">+R48+X48</f>
        <v>0</v>
      </c>
      <c r="AE48" s="307">
        <f t="shared" ref="AE48" si="53">+S48+Y48</f>
        <v>0</v>
      </c>
      <c r="AF48" s="308">
        <f t="shared" ref="AF48" si="54">+T48+Z48</f>
        <v>0</v>
      </c>
    </row>
    <row r="49" spans="2:32" s="82" customFormat="1" x14ac:dyDescent="0.2">
      <c r="B49" s="233" t="s">
        <v>124</v>
      </c>
      <c r="C49" s="334">
        <f>+'Input Sheet'!G59</f>
        <v>0</v>
      </c>
      <c r="D49" s="335">
        <f>+'Input Sheet'!H59</f>
        <v>0</v>
      </c>
      <c r="E49" s="335">
        <f>+'Input Sheet'!I59</f>
        <v>0</v>
      </c>
      <c r="F49" s="336">
        <f>+'Input Sheet'!K59</f>
        <v>0</v>
      </c>
      <c r="G49" s="281"/>
      <c r="H49" s="334">
        <f t="shared" si="44"/>
        <v>0</v>
      </c>
      <c r="I49" s="335">
        <f t="shared" si="44"/>
        <v>0</v>
      </c>
      <c r="J49" s="335">
        <f t="shared" si="44"/>
        <v>0</v>
      </c>
      <c r="K49" s="335">
        <f t="shared" si="44"/>
        <v>0</v>
      </c>
      <c r="L49" s="336">
        <f t="shared" si="44"/>
        <v>0</v>
      </c>
      <c r="N49" s="105">
        <f>+'Standard Hour Calcs'!Y25</f>
        <v>0</v>
      </c>
      <c r="P49" s="306">
        <f>IF($N24="Hourly",'Input Sheet'!G$98*'Fee Breakdown'!$N49*'Fee Breakdown'!H49,'Input Sheet'!G$98*'Fee Breakdown'!$N24*'Fee Breakdown'!H49)</f>
        <v>0</v>
      </c>
      <c r="Q49" s="307">
        <f>IF($N24="Hourly",'Input Sheet'!H$98*'Fee Breakdown'!$N49*'Fee Breakdown'!I49,'Input Sheet'!H$98*'Fee Breakdown'!$N24*'Fee Breakdown'!I49)</f>
        <v>0</v>
      </c>
      <c r="R49" s="307">
        <f>IF($N24="Hourly",'Input Sheet'!I$98*'Fee Breakdown'!$N49*'Fee Breakdown'!J49,'Input Sheet'!I$98*'Fee Breakdown'!$N24*'Fee Breakdown'!J49)</f>
        <v>0</v>
      </c>
      <c r="S49" s="307">
        <f>IF($N24="Hourly",'Input Sheet'!J$98*'Fee Breakdown'!$N49*'Fee Breakdown'!K49,'Input Sheet'!J$98*'Fee Breakdown'!$N24*'Fee Breakdown'!K49)</f>
        <v>0</v>
      </c>
      <c r="T49" s="308">
        <f>IF($N24="Hourly",'Input Sheet'!K$98*'Fee Breakdown'!$N49*'Fee Breakdown'!L49,'Input Sheet'!K$98*'Fee Breakdown'!$N24*'Fee Breakdown'!L49)</f>
        <v>0</v>
      </c>
      <c r="U49" s="327"/>
      <c r="V49" s="306">
        <f>+P49*('Input Sheet'!G$108-1)</f>
        <v>0</v>
      </c>
      <c r="W49" s="307">
        <f>+Q49*('Input Sheet'!H$108-1)</f>
        <v>0</v>
      </c>
      <c r="X49" s="307">
        <f>+R49*('Input Sheet'!I$108-1)</f>
        <v>0</v>
      </c>
      <c r="Y49" s="307">
        <f>+S49*('Input Sheet'!J$108-1)</f>
        <v>0</v>
      </c>
      <c r="Z49" s="308">
        <f>+T49*('Input Sheet'!K$108-1)</f>
        <v>0</v>
      </c>
      <c r="AA49" s="327"/>
      <c r="AB49" s="306">
        <f t="shared" ref="AB49:AB50" si="55">+P49+V49</f>
        <v>0</v>
      </c>
      <c r="AC49" s="307">
        <f t="shared" ref="AC49:AC50" si="56">+Q49+W49</f>
        <v>0</v>
      </c>
      <c r="AD49" s="307">
        <f t="shared" ref="AD49:AD50" si="57">+R49+X49</f>
        <v>0</v>
      </c>
      <c r="AE49" s="307">
        <f t="shared" ref="AE49:AE50" si="58">+S49+Y49</f>
        <v>0</v>
      </c>
      <c r="AF49" s="308">
        <f t="shared" ref="AF49:AF50" si="59">+T49+Z49</f>
        <v>0</v>
      </c>
    </row>
    <row r="50" spans="2:32" s="82" customFormat="1" x14ac:dyDescent="0.2">
      <c r="B50" s="233" t="s">
        <v>125</v>
      </c>
      <c r="C50" s="334">
        <f>+'Input Sheet'!G60</f>
        <v>0</v>
      </c>
      <c r="D50" s="335">
        <f>+'Input Sheet'!H60</f>
        <v>0</v>
      </c>
      <c r="E50" s="335">
        <f>+'Input Sheet'!I60</f>
        <v>0</v>
      </c>
      <c r="F50" s="336">
        <f>+'Input Sheet'!K60</f>
        <v>0</v>
      </c>
      <c r="G50" s="281"/>
      <c r="H50" s="334">
        <f t="shared" si="44"/>
        <v>0</v>
      </c>
      <c r="I50" s="335">
        <f t="shared" si="44"/>
        <v>0</v>
      </c>
      <c r="J50" s="335">
        <f t="shared" si="44"/>
        <v>0</v>
      </c>
      <c r="K50" s="335">
        <f t="shared" si="44"/>
        <v>0</v>
      </c>
      <c r="L50" s="336">
        <f t="shared" si="44"/>
        <v>0</v>
      </c>
      <c r="N50" s="105">
        <f>+'Standard Hour Calcs'!Y26</f>
        <v>0</v>
      </c>
      <c r="P50" s="306">
        <f>IF($N25="Hourly",'Input Sheet'!G$98*'Fee Breakdown'!$N50*'Fee Breakdown'!H50,'Input Sheet'!G$98*'Fee Breakdown'!$N25*'Fee Breakdown'!H50)</f>
        <v>0</v>
      </c>
      <c r="Q50" s="307">
        <f>IF($N25="Hourly",'Input Sheet'!H$98*'Fee Breakdown'!$N50*'Fee Breakdown'!I50,'Input Sheet'!H$98*'Fee Breakdown'!$N25*'Fee Breakdown'!I50)</f>
        <v>0</v>
      </c>
      <c r="R50" s="307">
        <f>IF($N25="Hourly",'Input Sheet'!I$98*'Fee Breakdown'!$N50*'Fee Breakdown'!J50,'Input Sheet'!I$98*'Fee Breakdown'!$N25*'Fee Breakdown'!J50)</f>
        <v>0</v>
      </c>
      <c r="S50" s="307">
        <f>IF($N25="Hourly",'Input Sheet'!J$98*'Fee Breakdown'!$N50*'Fee Breakdown'!K50,'Input Sheet'!J$98*'Fee Breakdown'!$N25*'Fee Breakdown'!K50)</f>
        <v>0</v>
      </c>
      <c r="T50" s="308">
        <f>IF($N25="Hourly",'Input Sheet'!K$98*'Fee Breakdown'!$N50*'Fee Breakdown'!L50,'Input Sheet'!K$98*'Fee Breakdown'!$N25*'Fee Breakdown'!L50)</f>
        <v>0</v>
      </c>
      <c r="U50" s="327"/>
      <c r="V50" s="306">
        <f>+P50*('Input Sheet'!G$108-1)</f>
        <v>0</v>
      </c>
      <c r="W50" s="307">
        <f>+Q50*('Input Sheet'!H$108-1)</f>
        <v>0</v>
      </c>
      <c r="X50" s="307">
        <f>+R50*('Input Sheet'!I$108-1)</f>
        <v>0</v>
      </c>
      <c r="Y50" s="307">
        <f>+S50*('Input Sheet'!J$108-1)</f>
        <v>0</v>
      </c>
      <c r="Z50" s="308">
        <f>+T50*('Input Sheet'!K$108-1)</f>
        <v>0</v>
      </c>
      <c r="AA50" s="327"/>
      <c r="AB50" s="306">
        <f t="shared" si="55"/>
        <v>0</v>
      </c>
      <c r="AC50" s="307">
        <f t="shared" si="56"/>
        <v>0</v>
      </c>
      <c r="AD50" s="307">
        <f t="shared" si="57"/>
        <v>0</v>
      </c>
      <c r="AE50" s="307">
        <f t="shared" si="58"/>
        <v>0</v>
      </c>
      <c r="AF50" s="308">
        <f t="shared" si="59"/>
        <v>0</v>
      </c>
    </row>
    <row r="51" spans="2:32" s="82" customFormat="1" x14ac:dyDescent="0.2">
      <c r="B51" s="239"/>
      <c r="C51" s="337">
        <f>SUM(C45:C50)</f>
        <v>83</v>
      </c>
      <c r="D51" s="338">
        <f>SUM(D45:D50)</f>
        <v>82</v>
      </c>
      <c r="E51" s="338">
        <f>SUM(E45:E50)</f>
        <v>72</v>
      </c>
      <c r="F51" s="339">
        <f>SUM(F45:F50)</f>
        <v>68</v>
      </c>
      <c r="G51" s="281"/>
      <c r="H51" s="337">
        <f>SUM(H45:H50)</f>
        <v>77</v>
      </c>
      <c r="I51" s="338">
        <f>SUM(I45:I50)</f>
        <v>77</v>
      </c>
      <c r="J51" s="338">
        <f>SUM(J45:J50)</f>
        <v>77</v>
      </c>
      <c r="K51" s="338">
        <f>SUM(K45:K50)</f>
        <v>77</v>
      </c>
      <c r="L51" s="339">
        <f>SUM(L45:L50)</f>
        <v>77</v>
      </c>
      <c r="N51" s="105"/>
      <c r="P51" s="331">
        <f>SUM(P45:P50)</f>
        <v>12863.809908920404</v>
      </c>
      <c r="Q51" s="332">
        <f>SUM(Q45:Q50)</f>
        <v>13425.05433207774</v>
      </c>
      <c r="R51" s="332">
        <f>SUM(R45:R50)</f>
        <v>13879.595785424628</v>
      </c>
      <c r="S51" s="332">
        <f>SUM(S45:S50)</f>
        <v>14368.548378119043</v>
      </c>
      <c r="T51" s="333">
        <f>SUM(T45:T50)</f>
        <v>14863.348720541642</v>
      </c>
      <c r="U51" s="327"/>
      <c r="V51" s="331">
        <f>SUM(V45:V50)</f>
        <v>15095.068011843374</v>
      </c>
      <c r="W51" s="332">
        <f>SUM(W45:W50)</f>
        <v>16915.615180131303</v>
      </c>
      <c r="X51" s="332">
        <f>SUM(X45:X50)</f>
        <v>17641.551442713873</v>
      </c>
      <c r="Y51" s="332">
        <f>SUM(Y45:Y50)</f>
        <v>18641.411530921621</v>
      </c>
      <c r="Z51" s="333">
        <f>SUM(Z45:Z50)</f>
        <v>19658.244331145492</v>
      </c>
      <c r="AA51" s="327"/>
      <c r="AB51" s="331">
        <f>SUM(AB45:AB50)</f>
        <v>27958.877920763778</v>
      </c>
      <c r="AC51" s="332">
        <f>SUM(AC45:AC50)</f>
        <v>30340.669512209042</v>
      </c>
      <c r="AD51" s="332">
        <f>SUM(AD45:AD50)</f>
        <v>31521.147228138499</v>
      </c>
      <c r="AE51" s="332">
        <f>SUM(AE45:AE50)</f>
        <v>33009.959909040663</v>
      </c>
      <c r="AF51" s="333">
        <f>SUM(AF45:AF50)</f>
        <v>34521.59305168713</v>
      </c>
    </row>
    <row r="52" spans="2:32" s="82" customFormat="1" x14ac:dyDescent="0.25">
      <c r="B52" s="109"/>
      <c r="C52" s="334"/>
      <c r="D52" s="335"/>
      <c r="E52" s="335"/>
      <c r="F52" s="336"/>
      <c r="G52" s="281"/>
      <c r="H52" s="334"/>
      <c r="I52" s="335"/>
      <c r="J52" s="335"/>
      <c r="K52" s="335"/>
      <c r="L52" s="336"/>
      <c r="N52" s="111"/>
      <c r="P52" s="306"/>
      <c r="Q52" s="307"/>
      <c r="R52" s="307"/>
      <c r="S52" s="307"/>
      <c r="T52" s="308"/>
      <c r="U52" s="327"/>
      <c r="V52" s="306"/>
      <c r="W52" s="307"/>
      <c r="X52" s="307"/>
      <c r="Y52" s="307"/>
      <c r="Z52" s="308"/>
      <c r="AA52" s="327"/>
      <c r="AB52" s="306"/>
      <c r="AC52" s="307"/>
      <c r="AD52" s="307"/>
      <c r="AE52" s="307"/>
      <c r="AF52" s="308"/>
    </row>
    <row r="53" spans="2:32" s="82" customFormat="1" x14ac:dyDescent="0.2">
      <c r="C53" s="347">
        <f>+C51+C42</f>
        <v>995</v>
      </c>
      <c r="D53" s="348">
        <f>+D51+D42</f>
        <v>941</v>
      </c>
      <c r="E53" s="348">
        <f>+E51+E42</f>
        <v>1105</v>
      </c>
      <c r="F53" s="349">
        <f>+F51+F42</f>
        <v>1150</v>
      </c>
      <c r="G53" s="350"/>
      <c r="H53" s="347">
        <f>+H51+H42</f>
        <v>1050</v>
      </c>
      <c r="I53" s="348">
        <f>+I51+I42</f>
        <v>1050</v>
      </c>
      <c r="J53" s="348">
        <f>+J51+J42</f>
        <v>1050</v>
      </c>
      <c r="K53" s="348">
        <f>+K51+K42</f>
        <v>1050</v>
      </c>
      <c r="L53" s="349">
        <f>+L51+L42</f>
        <v>1050</v>
      </c>
      <c r="P53" s="321">
        <f>+P51+P42</f>
        <v>174200.88386338018</v>
      </c>
      <c r="Q53" s="322">
        <f>+Q51+Q42</f>
        <v>181801.21963245916</v>
      </c>
      <c r="R53" s="322">
        <f>+R51+R42</f>
        <v>187956.5906684277</v>
      </c>
      <c r="S53" s="322">
        <f>+S51+S42</f>
        <v>194577.95513336689</v>
      </c>
      <c r="T53" s="323">
        <f>+T51+T42</f>
        <v>201278.50944785099</v>
      </c>
      <c r="U53" s="327"/>
      <c r="V53" s="321">
        <f>+V51+V42</f>
        <v>204416.43714102736</v>
      </c>
      <c r="W53" s="322">
        <f>+W51+W42</f>
        <v>229070.16943932651</v>
      </c>
      <c r="X53" s="322">
        <f>+X51+X42</f>
        <v>238900.75147262207</v>
      </c>
      <c r="Y53" s="322">
        <f>+Y51+Y42</f>
        <v>252440.79228002892</v>
      </c>
      <c r="Z53" s="323">
        <f>+Z51+Z42</f>
        <v>266210.67645854451</v>
      </c>
      <c r="AA53" s="327"/>
      <c r="AB53" s="321">
        <f>+AB51+AB42</f>
        <v>378617.32100440754</v>
      </c>
      <c r="AC53" s="322">
        <f>+AC51+AC42</f>
        <v>410871.38907178567</v>
      </c>
      <c r="AD53" s="322">
        <f>+AD51+AD42</f>
        <v>426857.34214104974</v>
      </c>
      <c r="AE53" s="322">
        <f>+AE51+AE42</f>
        <v>447018.74741339579</v>
      </c>
      <c r="AF53" s="323">
        <f>+AF51+AF42</f>
        <v>467489.18590639543</v>
      </c>
    </row>
    <row r="54" spans="2:32" s="28" customFormat="1" x14ac:dyDescent="0.25"/>
    <row r="55" spans="2:32" s="82" customFormat="1" x14ac:dyDescent="0.25">
      <c r="V55" s="70"/>
      <c r="W55" s="70"/>
      <c r="X55" s="70"/>
      <c r="Y55" s="70"/>
      <c r="Z55" s="70"/>
    </row>
  </sheetData>
  <mergeCells count="10">
    <mergeCell ref="AB32:AF32"/>
    <mergeCell ref="C32:F32"/>
    <mergeCell ref="H32:L32"/>
    <mergeCell ref="C7:F7"/>
    <mergeCell ref="P7:T7"/>
    <mergeCell ref="H7:L7"/>
    <mergeCell ref="V7:Z7"/>
    <mergeCell ref="P32:T32"/>
    <mergeCell ref="V32:Z32"/>
    <mergeCell ref="AB7:AF7"/>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Input Documents --&gt;</vt:lpstr>
      <vt:lpstr>Input Sheet</vt:lpstr>
      <vt:lpstr>Standard Hour Calcs</vt:lpstr>
      <vt:lpstr>Methodology Statements --&gt;</vt:lpstr>
      <vt:lpstr>AER Summary</vt:lpstr>
      <vt:lpstr>Service Description</vt:lpstr>
      <vt:lpstr>Fee Breakdown</vt:lpstr>
      <vt:lpstr>'AER Summary'!Print_Area</vt:lpstr>
      <vt:lpstr>'Fee Breakdown'!Print_Area</vt:lpstr>
      <vt:lpstr>'Standard Hour Calcs'!Print_Titles</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2014-04-28T04:35:52Z</cp:lastPrinted>
  <dcterms:created xsi:type="dcterms:W3CDTF">2013-06-17T01:25:32Z</dcterms:created>
  <dcterms:modified xsi:type="dcterms:W3CDTF">2015-01-05T00:37:20Z</dcterms:modified>
</cp:coreProperties>
</file>