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tabRatio="909" activeTab="4"/>
  </bookViews>
  <sheets>
    <sheet name="Input Documents --&gt;" sheetId="16" r:id="rId1"/>
    <sheet name="Input Sheet" sheetId="13" r:id="rId2"/>
    <sheet name="Standard Hour Calcs" sheetId="12" r:id="rId3"/>
    <sheet name="Methodology Statements --&gt;" sheetId="15" r:id="rId4"/>
    <sheet name="AER Summary" sheetId="8" r:id="rId5"/>
    <sheet name="Service Description" sheetId="9" r:id="rId6"/>
    <sheet name="Fee Breakdown" sheetId="11" r:id="rId7"/>
  </sheets>
  <definedNames>
    <definedName name="_xlnm.Print_Area" localSheetId="4">'AER Summary'!$A:$I</definedName>
    <definedName name="_xlnm.Print_Area" localSheetId="6">'Fee Breakdown'!$A$1:$AG$134</definedName>
    <definedName name="_xlnm.Print_Titles" localSheetId="2">'Standard Hour Calcs'!$9:$9</definedName>
    <definedName name="TM1REBUILDOPTION">1</definedName>
  </definedNames>
  <calcPr calcId="145621" calcMode="manual" concurrentCalc="0"/>
</workbook>
</file>

<file path=xl/calcChain.xml><?xml version="1.0" encoding="utf-8"?>
<calcChain xmlns="http://schemas.openxmlformats.org/spreadsheetml/2006/main">
  <c r="K216" i="13" l="1"/>
  <c r="K196" i="13"/>
  <c r="T116" i="11"/>
  <c r="K206" i="13"/>
  <c r="Z116" i="11"/>
  <c r="AF116" i="11"/>
  <c r="T117" i="11"/>
  <c r="Z117" i="11"/>
  <c r="AF117" i="11"/>
  <c r="T118" i="11"/>
  <c r="Z118" i="11"/>
  <c r="AF118" i="11"/>
  <c r="T120" i="11"/>
  <c r="Z120" i="11"/>
  <c r="AF120" i="11"/>
  <c r="T121" i="11"/>
  <c r="Z121" i="11"/>
  <c r="AF121" i="11"/>
  <c r="T122" i="11"/>
  <c r="Z122" i="11"/>
  <c r="AF122" i="11"/>
  <c r="T124" i="11"/>
  <c r="Z124" i="11"/>
  <c r="AF124" i="11"/>
  <c r="T125" i="11"/>
  <c r="Z125" i="11"/>
  <c r="AF125" i="11"/>
  <c r="T126" i="11"/>
  <c r="Z126" i="11"/>
  <c r="AF126" i="11"/>
  <c r="T127" i="11"/>
  <c r="Z127" i="11"/>
  <c r="AF127" i="11"/>
  <c r="AF129" i="11"/>
  <c r="T75" i="11"/>
  <c r="Z75" i="11"/>
  <c r="AF75" i="11"/>
  <c r="T76" i="11"/>
  <c r="Z76" i="11"/>
  <c r="AF76" i="11"/>
  <c r="T77" i="11"/>
  <c r="Z77" i="11"/>
  <c r="AF77" i="11"/>
  <c r="T78" i="11"/>
  <c r="Z78" i="11"/>
  <c r="AF78" i="11"/>
  <c r="T79" i="11"/>
  <c r="Z79" i="11"/>
  <c r="AF79" i="11"/>
  <c r="T80" i="11"/>
  <c r="Z80" i="11"/>
  <c r="AF80" i="11"/>
  <c r="T81" i="11"/>
  <c r="Z81" i="11"/>
  <c r="AF81" i="11"/>
  <c r="T82" i="11"/>
  <c r="Z82" i="11"/>
  <c r="AF82" i="11"/>
  <c r="T83" i="11"/>
  <c r="Z83" i="11"/>
  <c r="AF83" i="11"/>
  <c r="T84" i="11"/>
  <c r="Z84" i="11"/>
  <c r="AF84" i="11"/>
  <c r="T85" i="11"/>
  <c r="Z85" i="11"/>
  <c r="AF85" i="11"/>
  <c r="T86" i="11"/>
  <c r="Z86" i="11"/>
  <c r="AF86" i="11"/>
  <c r="T87" i="11"/>
  <c r="Z87" i="11"/>
  <c r="AF87" i="11"/>
  <c r="T88" i="11"/>
  <c r="Z88" i="11"/>
  <c r="AF88" i="11"/>
  <c r="T89" i="11"/>
  <c r="Z89" i="11"/>
  <c r="AF89" i="11"/>
  <c r="T90" i="11"/>
  <c r="Z90" i="11"/>
  <c r="AF90" i="11"/>
  <c r="T91" i="11"/>
  <c r="Z91" i="11"/>
  <c r="AF91" i="11"/>
  <c r="T93" i="11"/>
  <c r="Z93" i="11"/>
  <c r="AF93" i="11"/>
  <c r="T94" i="11"/>
  <c r="Z94" i="11"/>
  <c r="AF94" i="11"/>
  <c r="T95" i="11"/>
  <c r="Z95" i="11"/>
  <c r="AF95" i="11"/>
  <c r="T96" i="11"/>
  <c r="Z96" i="11"/>
  <c r="AF96" i="11"/>
  <c r="T97" i="11"/>
  <c r="Z97" i="11"/>
  <c r="AF97" i="11"/>
  <c r="T98" i="11"/>
  <c r="Z98" i="11"/>
  <c r="AF98" i="11"/>
  <c r="T99" i="11"/>
  <c r="Z99" i="11"/>
  <c r="AF99" i="11"/>
  <c r="T100" i="11"/>
  <c r="Z100" i="11"/>
  <c r="AF100" i="11"/>
  <c r="T101" i="11"/>
  <c r="Z101" i="11"/>
  <c r="AF101" i="11"/>
  <c r="T102" i="11"/>
  <c r="Z102" i="11"/>
  <c r="AF102" i="11"/>
  <c r="T103" i="11"/>
  <c r="Z103" i="11"/>
  <c r="AF103" i="11"/>
  <c r="T104" i="11"/>
  <c r="Z104" i="11"/>
  <c r="AF104" i="11"/>
  <c r="T105" i="11"/>
  <c r="Z105" i="11"/>
  <c r="AF105" i="11"/>
  <c r="T106" i="11"/>
  <c r="Z106" i="11"/>
  <c r="AF106" i="11"/>
  <c r="T108" i="11"/>
  <c r="Z108" i="11"/>
  <c r="AF108" i="11"/>
  <c r="T109" i="11"/>
  <c r="Z109" i="11"/>
  <c r="AF109" i="11"/>
  <c r="T110" i="11"/>
  <c r="Z110" i="11"/>
  <c r="AF110" i="11"/>
  <c r="T111" i="11"/>
  <c r="Z111" i="11"/>
  <c r="AF111" i="11"/>
  <c r="AF113" i="11"/>
  <c r="AF131" i="11"/>
  <c r="J216" i="13"/>
  <c r="J196" i="13"/>
  <c r="S116" i="11"/>
  <c r="J206" i="13"/>
  <c r="Y116" i="11"/>
  <c r="AE116" i="11"/>
  <c r="S117" i="11"/>
  <c r="Y117" i="11"/>
  <c r="AE117" i="11"/>
  <c r="S118" i="11"/>
  <c r="Y118" i="11"/>
  <c r="AE118" i="11"/>
  <c r="S120" i="11"/>
  <c r="Y120" i="11"/>
  <c r="AE120" i="11"/>
  <c r="S121" i="11"/>
  <c r="Y121" i="11"/>
  <c r="AE121" i="11"/>
  <c r="S122" i="11"/>
  <c r="Y122" i="11"/>
  <c r="AE122" i="11"/>
  <c r="S124" i="11"/>
  <c r="Y124" i="11"/>
  <c r="AE124" i="11"/>
  <c r="S125" i="11"/>
  <c r="Y125" i="11"/>
  <c r="AE125" i="11"/>
  <c r="S126" i="11"/>
  <c r="Y126" i="11"/>
  <c r="AE126" i="11"/>
  <c r="S127" i="11"/>
  <c r="Y127" i="11"/>
  <c r="AE127" i="11"/>
  <c r="AE129" i="11"/>
  <c r="S75" i="11"/>
  <c r="Y75" i="11"/>
  <c r="AE75" i="11"/>
  <c r="S76" i="11"/>
  <c r="Y76" i="11"/>
  <c r="AE76" i="11"/>
  <c r="S77" i="11"/>
  <c r="Y77" i="11"/>
  <c r="AE77" i="11"/>
  <c r="S78" i="11"/>
  <c r="Y78" i="11"/>
  <c r="AE78" i="11"/>
  <c r="S79" i="11"/>
  <c r="Y79" i="11"/>
  <c r="AE79" i="11"/>
  <c r="S80" i="11"/>
  <c r="Y80" i="11"/>
  <c r="AE80" i="11"/>
  <c r="S81" i="11"/>
  <c r="Y81" i="11"/>
  <c r="AE81" i="11"/>
  <c r="S82" i="11"/>
  <c r="Y82" i="11"/>
  <c r="AE82" i="11"/>
  <c r="S83" i="11"/>
  <c r="Y83" i="11"/>
  <c r="AE83" i="11"/>
  <c r="S84" i="11"/>
  <c r="Y84" i="11"/>
  <c r="AE84" i="11"/>
  <c r="S85" i="11"/>
  <c r="Y85" i="11"/>
  <c r="AE85" i="11"/>
  <c r="S86" i="11"/>
  <c r="Y86" i="11"/>
  <c r="AE86" i="11"/>
  <c r="S87" i="11"/>
  <c r="Y87" i="11"/>
  <c r="AE87" i="11"/>
  <c r="S88" i="11"/>
  <c r="Y88" i="11"/>
  <c r="AE88" i="11"/>
  <c r="S89" i="11"/>
  <c r="Y89" i="11"/>
  <c r="AE89" i="11"/>
  <c r="S90" i="11"/>
  <c r="Y90" i="11"/>
  <c r="AE90" i="11"/>
  <c r="S91" i="11"/>
  <c r="Y91" i="11"/>
  <c r="AE91" i="11"/>
  <c r="S93" i="11"/>
  <c r="Y93" i="11"/>
  <c r="AE93" i="11"/>
  <c r="S94" i="11"/>
  <c r="Y94" i="11"/>
  <c r="AE94" i="11"/>
  <c r="S95" i="11"/>
  <c r="Y95" i="11"/>
  <c r="AE95" i="11"/>
  <c r="S96" i="11"/>
  <c r="Y96" i="11"/>
  <c r="AE96" i="11"/>
  <c r="S97" i="11"/>
  <c r="Y97" i="11"/>
  <c r="AE97" i="11"/>
  <c r="S98" i="11"/>
  <c r="Y98" i="11"/>
  <c r="AE98" i="11"/>
  <c r="S99" i="11"/>
  <c r="Y99" i="11"/>
  <c r="AE99" i="11"/>
  <c r="S100" i="11"/>
  <c r="Y100" i="11"/>
  <c r="AE100" i="11"/>
  <c r="S101" i="11"/>
  <c r="Y101" i="11"/>
  <c r="AE101" i="11"/>
  <c r="S102" i="11"/>
  <c r="Y102" i="11"/>
  <c r="AE102" i="11"/>
  <c r="S103" i="11"/>
  <c r="Y103" i="11"/>
  <c r="AE103" i="11"/>
  <c r="S104" i="11"/>
  <c r="Y104" i="11"/>
  <c r="AE104" i="11"/>
  <c r="S105" i="11"/>
  <c r="Y105" i="11"/>
  <c r="AE105" i="11"/>
  <c r="S106" i="11"/>
  <c r="Y106" i="11"/>
  <c r="AE106" i="11"/>
  <c r="S108" i="11"/>
  <c r="Y108" i="11"/>
  <c r="AE108" i="11"/>
  <c r="S109" i="11"/>
  <c r="Y109" i="11"/>
  <c r="AE109" i="11"/>
  <c r="S110" i="11"/>
  <c r="Y110" i="11"/>
  <c r="AE110" i="11"/>
  <c r="S111" i="11"/>
  <c r="Y111" i="11"/>
  <c r="AE111" i="11"/>
  <c r="AE113" i="11"/>
  <c r="AE131" i="11"/>
  <c r="I216" i="13"/>
  <c r="I196" i="13"/>
  <c r="R116" i="11"/>
  <c r="I206" i="13"/>
  <c r="X116" i="11"/>
  <c r="AD116" i="11"/>
  <c r="R117" i="11"/>
  <c r="X117" i="11"/>
  <c r="AD117" i="11"/>
  <c r="R118" i="11"/>
  <c r="X118" i="11"/>
  <c r="AD118" i="11"/>
  <c r="R120" i="11"/>
  <c r="X120" i="11"/>
  <c r="AD120" i="11"/>
  <c r="R121" i="11"/>
  <c r="X121" i="11"/>
  <c r="AD121" i="11"/>
  <c r="R122" i="11"/>
  <c r="X122" i="11"/>
  <c r="AD122" i="11"/>
  <c r="R124" i="11"/>
  <c r="X124" i="11"/>
  <c r="AD124" i="11"/>
  <c r="R125" i="11"/>
  <c r="X125" i="11"/>
  <c r="AD125" i="11"/>
  <c r="R126" i="11"/>
  <c r="X126" i="11"/>
  <c r="AD126" i="11"/>
  <c r="R127" i="11"/>
  <c r="X127" i="11"/>
  <c r="AD127" i="11"/>
  <c r="AD129" i="11"/>
  <c r="R75" i="11"/>
  <c r="X75" i="11"/>
  <c r="AD75" i="11"/>
  <c r="R76" i="11"/>
  <c r="X76" i="11"/>
  <c r="AD76" i="11"/>
  <c r="R77" i="11"/>
  <c r="X77" i="11"/>
  <c r="AD77" i="11"/>
  <c r="R78" i="11"/>
  <c r="X78" i="11"/>
  <c r="AD78" i="11"/>
  <c r="R79" i="11"/>
  <c r="X79" i="11"/>
  <c r="AD79" i="11"/>
  <c r="R80" i="11"/>
  <c r="X80" i="11"/>
  <c r="AD80" i="11"/>
  <c r="R81" i="11"/>
  <c r="X81" i="11"/>
  <c r="AD81" i="11"/>
  <c r="R82" i="11"/>
  <c r="X82" i="11"/>
  <c r="AD82" i="11"/>
  <c r="R83" i="11"/>
  <c r="X83" i="11"/>
  <c r="AD83" i="11"/>
  <c r="R84" i="11"/>
  <c r="X84" i="11"/>
  <c r="AD84" i="11"/>
  <c r="R85" i="11"/>
  <c r="X85" i="11"/>
  <c r="AD85" i="11"/>
  <c r="R86" i="11"/>
  <c r="X86" i="11"/>
  <c r="AD86" i="11"/>
  <c r="R87" i="11"/>
  <c r="X87" i="11"/>
  <c r="AD87" i="11"/>
  <c r="R88" i="11"/>
  <c r="X88" i="11"/>
  <c r="AD88" i="11"/>
  <c r="R89" i="11"/>
  <c r="X89" i="11"/>
  <c r="AD89" i="11"/>
  <c r="R90" i="11"/>
  <c r="X90" i="11"/>
  <c r="AD90" i="11"/>
  <c r="R91" i="11"/>
  <c r="X91" i="11"/>
  <c r="AD91" i="11"/>
  <c r="R93" i="11"/>
  <c r="X93" i="11"/>
  <c r="AD93" i="11"/>
  <c r="R94" i="11"/>
  <c r="X94" i="11"/>
  <c r="AD94" i="11"/>
  <c r="R95" i="11"/>
  <c r="X95" i="11"/>
  <c r="AD95" i="11"/>
  <c r="R96" i="11"/>
  <c r="X96" i="11"/>
  <c r="AD96" i="11"/>
  <c r="R97" i="11"/>
  <c r="X97" i="11"/>
  <c r="AD97" i="11"/>
  <c r="R98" i="11"/>
  <c r="X98" i="11"/>
  <c r="AD98" i="11"/>
  <c r="R99" i="11"/>
  <c r="X99" i="11"/>
  <c r="AD99" i="11"/>
  <c r="R100" i="11"/>
  <c r="X100" i="11"/>
  <c r="AD100" i="11"/>
  <c r="R101" i="11"/>
  <c r="X101" i="11"/>
  <c r="AD101" i="11"/>
  <c r="R102" i="11"/>
  <c r="X102" i="11"/>
  <c r="AD102" i="11"/>
  <c r="R103" i="11"/>
  <c r="X103" i="11"/>
  <c r="AD103" i="11"/>
  <c r="R104" i="11"/>
  <c r="X104" i="11"/>
  <c r="AD104" i="11"/>
  <c r="R105" i="11"/>
  <c r="X105" i="11"/>
  <c r="AD105" i="11"/>
  <c r="R106" i="11"/>
  <c r="X106" i="11"/>
  <c r="AD106" i="11"/>
  <c r="R108" i="11"/>
  <c r="X108" i="11"/>
  <c r="AD108" i="11"/>
  <c r="R109" i="11"/>
  <c r="X109" i="11"/>
  <c r="AD109" i="11"/>
  <c r="R110" i="11"/>
  <c r="X110" i="11"/>
  <c r="AD110" i="11"/>
  <c r="R111" i="11"/>
  <c r="X111" i="11"/>
  <c r="AD111" i="11"/>
  <c r="AD113" i="11"/>
  <c r="AD131" i="11"/>
  <c r="H216" i="13"/>
  <c r="H196" i="13"/>
  <c r="Q116" i="11"/>
  <c r="H206" i="13"/>
  <c r="W116" i="11"/>
  <c r="AC116" i="11"/>
  <c r="Q117" i="11"/>
  <c r="W117" i="11"/>
  <c r="AC117" i="11"/>
  <c r="Q118" i="11"/>
  <c r="W118" i="11"/>
  <c r="AC118" i="11"/>
  <c r="Q120" i="11"/>
  <c r="W120" i="11"/>
  <c r="AC120" i="11"/>
  <c r="Q121" i="11"/>
  <c r="W121" i="11"/>
  <c r="AC121" i="11"/>
  <c r="Q122" i="11"/>
  <c r="W122" i="11"/>
  <c r="AC122" i="11"/>
  <c r="Q124" i="11"/>
  <c r="W124" i="11"/>
  <c r="AC124" i="11"/>
  <c r="Q125" i="11"/>
  <c r="W125" i="11"/>
  <c r="AC125" i="11"/>
  <c r="Q126" i="11"/>
  <c r="W126" i="11"/>
  <c r="AC126" i="11"/>
  <c r="Q127" i="11"/>
  <c r="W127" i="11"/>
  <c r="AC127" i="11"/>
  <c r="AC129" i="11"/>
  <c r="Q75" i="11"/>
  <c r="W75" i="11"/>
  <c r="AC75" i="11"/>
  <c r="Q76" i="11"/>
  <c r="W76" i="11"/>
  <c r="AC76" i="11"/>
  <c r="Q77" i="11"/>
  <c r="W77" i="11"/>
  <c r="AC77" i="11"/>
  <c r="Q78" i="11"/>
  <c r="W78" i="11"/>
  <c r="AC78" i="11"/>
  <c r="Q79" i="11"/>
  <c r="W79" i="11"/>
  <c r="AC79" i="11"/>
  <c r="Q80" i="11"/>
  <c r="W80" i="11"/>
  <c r="AC80" i="11"/>
  <c r="Q81" i="11"/>
  <c r="W81" i="11"/>
  <c r="AC81" i="11"/>
  <c r="Q82" i="11"/>
  <c r="W82" i="11"/>
  <c r="AC82" i="11"/>
  <c r="Q83" i="11"/>
  <c r="W83" i="11"/>
  <c r="AC83" i="11"/>
  <c r="Q84" i="11"/>
  <c r="W84" i="11"/>
  <c r="AC84" i="11"/>
  <c r="Q85" i="11"/>
  <c r="W85" i="11"/>
  <c r="AC85" i="11"/>
  <c r="Q86" i="11"/>
  <c r="W86" i="11"/>
  <c r="AC86" i="11"/>
  <c r="Q87" i="11"/>
  <c r="W87" i="11"/>
  <c r="AC87" i="11"/>
  <c r="Q88" i="11"/>
  <c r="W88" i="11"/>
  <c r="AC88" i="11"/>
  <c r="Q89" i="11"/>
  <c r="W89" i="11"/>
  <c r="AC89" i="11"/>
  <c r="Q90" i="11"/>
  <c r="W90" i="11"/>
  <c r="AC90" i="11"/>
  <c r="Q91" i="11"/>
  <c r="W91" i="11"/>
  <c r="AC91" i="11"/>
  <c r="Q93" i="11"/>
  <c r="W93" i="11"/>
  <c r="AC93" i="11"/>
  <c r="Q94" i="11"/>
  <c r="W94" i="11"/>
  <c r="AC94" i="11"/>
  <c r="Q95" i="11"/>
  <c r="W95" i="11"/>
  <c r="AC95" i="11"/>
  <c r="Q96" i="11"/>
  <c r="W96" i="11"/>
  <c r="AC96" i="11"/>
  <c r="Q97" i="11"/>
  <c r="W97" i="11"/>
  <c r="AC97" i="11"/>
  <c r="Q98" i="11"/>
  <c r="W98" i="11"/>
  <c r="AC98" i="11"/>
  <c r="Q99" i="11"/>
  <c r="W99" i="11"/>
  <c r="AC99" i="11"/>
  <c r="Q100" i="11"/>
  <c r="W100" i="11"/>
  <c r="AC100" i="11"/>
  <c r="Q101" i="11"/>
  <c r="W101" i="11"/>
  <c r="AC101" i="11"/>
  <c r="Q102" i="11"/>
  <c r="W102" i="11"/>
  <c r="AC102" i="11"/>
  <c r="Q103" i="11"/>
  <c r="W103" i="11"/>
  <c r="AC103" i="11"/>
  <c r="Q104" i="11"/>
  <c r="W104" i="11"/>
  <c r="AC104" i="11"/>
  <c r="Q105" i="11"/>
  <c r="W105" i="11"/>
  <c r="AC105" i="11"/>
  <c r="Q106" i="11"/>
  <c r="W106" i="11"/>
  <c r="AC106" i="11"/>
  <c r="Q108" i="11"/>
  <c r="W108" i="11"/>
  <c r="AC108" i="11"/>
  <c r="Q109" i="11"/>
  <c r="W109" i="11"/>
  <c r="AC109" i="11"/>
  <c r="Q110" i="11"/>
  <c r="W110" i="11"/>
  <c r="AC110" i="11"/>
  <c r="Q111" i="11"/>
  <c r="W111" i="11"/>
  <c r="AC111" i="11"/>
  <c r="AC113" i="11"/>
  <c r="AC131" i="11"/>
  <c r="G216" i="13"/>
  <c r="G196" i="13"/>
  <c r="P116" i="11"/>
  <c r="G206" i="13"/>
  <c r="V116" i="11"/>
  <c r="AB116" i="11"/>
  <c r="P117" i="11"/>
  <c r="V117" i="11"/>
  <c r="AB117" i="11"/>
  <c r="P118" i="11"/>
  <c r="V118" i="11"/>
  <c r="AB118" i="11"/>
  <c r="P120" i="11"/>
  <c r="V120" i="11"/>
  <c r="AB120" i="11"/>
  <c r="P121" i="11"/>
  <c r="V121" i="11"/>
  <c r="AB121" i="11"/>
  <c r="P122" i="11"/>
  <c r="V122" i="11"/>
  <c r="AB122" i="11"/>
  <c r="P124" i="11"/>
  <c r="V124" i="11"/>
  <c r="AB124" i="11"/>
  <c r="P125" i="11"/>
  <c r="V125" i="11"/>
  <c r="AB125" i="11"/>
  <c r="P126" i="11"/>
  <c r="V126" i="11"/>
  <c r="AB126" i="11"/>
  <c r="P127" i="11"/>
  <c r="V127" i="11"/>
  <c r="AB127" i="11"/>
  <c r="AB129" i="11"/>
  <c r="P75" i="11"/>
  <c r="V75" i="11"/>
  <c r="AB75" i="11"/>
  <c r="P76" i="11"/>
  <c r="V76" i="11"/>
  <c r="AB76" i="11"/>
  <c r="P77" i="11"/>
  <c r="V77" i="11"/>
  <c r="AB77" i="11"/>
  <c r="P78" i="11"/>
  <c r="V78" i="11"/>
  <c r="AB78" i="11"/>
  <c r="P79" i="11"/>
  <c r="V79" i="11"/>
  <c r="AB79" i="11"/>
  <c r="P80" i="11"/>
  <c r="V80" i="11"/>
  <c r="AB80" i="11"/>
  <c r="P81" i="11"/>
  <c r="V81" i="11"/>
  <c r="AB81" i="11"/>
  <c r="P82" i="11"/>
  <c r="V82" i="11"/>
  <c r="AB82" i="11"/>
  <c r="P83" i="11"/>
  <c r="V83" i="11"/>
  <c r="AB83" i="11"/>
  <c r="P84" i="11"/>
  <c r="V84" i="11"/>
  <c r="AB84" i="11"/>
  <c r="P85" i="11"/>
  <c r="V85" i="11"/>
  <c r="AB85" i="11"/>
  <c r="P86" i="11"/>
  <c r="V86" i="11"/>
  <c r="AB86" i="11"/>
  <c r="P87" i="11"/>
  <c r="V87" i="11"/>
  <c r="AB87" i="11"/>
  <c r="P88" i="11"/>
  <c r="V88" i="11"/>
  <c r="AB88" i="11"/>
  <c r="P89" i="11"/>
  <c r="V89" i="11"/>
  <c r="AB89" i="11"/>
  <c r="P90" i="11"/>
  <c r="V90" i="11"/>
  <c r="AB90" i="11"/>
  <c r="P91" i="11"/>
  <c r="V91" i="11"/>
  <c r="AB91" i="11"/>
  <c r="P93" i="11"/>
  <c r="V93" i="11"/>
  <c r="AB93" i="11"/>
  <c r="P94" i="11"/>
  <c r="V94" i="11"/>
  <c r="AB94" i="11"/>
  <c r="P95" i="11"/>
  <c r="V95" i="11"/>
  <c r="AB95" i="11"/>
  <c r="P96" i="11"/>
  <c r="V96" i="11"/>
  <c r="AB96" i="11"/>
  <c r="P97" i="11"/>
  <c r="V97" i="11"/>
  <c r="AB97" i="11"/>
  <c r="P98" i="11"/>
  <c r="V98" i="11"/>
  <c r="AB98" i="11"/>
  <c r="P99" i="11"/>
  <c r="V99" i="11"/>
  <c r="AB99" i="11"/>
  <c r="P100" i="11"/>
  <c r="V100" i="11"/>
  <c r="AB100" i="11"/>
  <c r="P101" i="11"/>
  <c r="V101" i="11"/>
  <c r="AB101" i="11"/>
  <c r="P102" i="11"/>
  <c r="V102" i="11"/>
  <c r="AB102" i="11"/>
  <c r="P103" i="11"/>
  <c r="V103" i="11"/>
  <c r="AB103" i="11"/>
  <c r="P104" i="11"/>
  <c r="V104" i="11"/>
  <c r="AB104" i="11"/>
  <c r="P105" i="11"/>
  <c r="V105" i="11"/>
  <c r="AB105" i="11"/>
  <c r="P106" i="11"/>
  <c r="V106" i="11"/>
  <c r="AB106" i="11"/>
  <c r="P108" i="11"/>
  <c r="V108" i="11"/>
  <c r="AB108" i="11"/>
  <c r="P109" i="11"/>
  <c r="V109" i="11"/>
  <c r="AB109" i="11"/>
  <c r="P110" i="11"/>
  <c r="V110" i="11"/>
  <c r="AB110" i="11"/>
  <c r="P111" i="11"/>
  <c r="V111" i="11"/>
  <c r="AB111" i="11"/>
  <c r="AB113" i="11"/>
  <c r="AB131" i="11"/>
  <c r="Z129" i="11"/>
  <c r="Z113" i="11"/>
  <c r="Z131" i="11"/>
  <c r="Y129" i="11"/>
  <c r="Y113" i="11"/>
  <c r="Y131" i="11"/>
  <c r="X129" i="11"/>
  <c r="X113" i="11"/>
  <c r="X131" i="11"/>
  <c r="W129" i="11"/>
  <c r="W113" i="11"/>
  <c r="W131" i="11"/>
  <c r="V129" i="11"/>
  <c r="V113" i="11"/>
  <c r="V131" i="11"/>
  <c r="T129" i="11"/>
  <c r="T113" i="11"/>
  <c r="T131" i="11"/>
  <c r="S129" i="11"/>
  <c r="S113" i="11"/>
  <c r="S131" i="11"/>
  <c r="R129" i="11"/>
  <c r="R113" i="11"/>
  <c r="R131" i="11"/>
  <c r="Q129" i="11"/>
  <c r="Q113" i="11"/>
  <c r="Q131" i="11"/>
  <c r="P129" i="11"/>
  <c r="P113" i="11"/>
  <c r="P131" i="11"/>
  <c r="S12" i="12"/>
  <c r="V12" i="12"/>
  <c r="X12" i="12"/>
  <c r="Y12" i="12"/>
  <c r="Z12" i="12"/>
  <c r="N11" i="11"/>
  <c r="K208" i="13"/>
  <c r="J188" i="13"/>
  <c r="J190" i="13"/>
  <c r="G197" i="13"/>
  <c r="H11" i="11"/>
  <c r="P11" i="11"/>
  <c r="AB11" i="11"/>
  <c r="Z42" i="12"/>
  <c r="F63" i="11"/>
  <c r="E63" i="11"/>
  <c r="D63" i="11"/>
  <c r="C63" i="11"/>
  <c r="F62" i="11"/>
  <c r="E62" i="11"/>
  <c r="D62" i="11"/>
  <c r="C62" i="11"/>
  <c r="F61" i="11"/>
  <c r="E61" i="11"/>
  <c r="D61" i="11"/>
  <c r="C61" i="11"/>
  <c r="F60" i="11"/>
  <c r="E60" i="11"/>
  <c r="D60" i="11"/>
  <c r="C60" i="11"/>
  <c r="F58" i="11"/>
  <c r="E58" i="11"/>
  <c r="D58" i="11"/>
  <c r="C58" i="11"/>
  <c r="F57" i="11"/>
  <c r="E57" i="11"/>
  <c r="D57" i="11"/>
  <c r="C57" i="11"/>
  <c r="F56" i="11"/>
  <c r="E56" i="11"/>
  <c r="D56" i="11"/>
  <c r="C56" i="11"/>
  <c r="F54" i="11"/>
  <c r="E54" i="11"/>
  <c r="D54" i="11"/>
  <c r="C54" i="11"/>
  <c r="F53" i="11"/>
  <c r="E53" i="11"/>
  <c r="D53" i="11"/>
  <c r="C53" i="11"/>
  <c r="F52" i="11"/>
  <c r="E52" i="11"/>
  <c r="D52" i="11"/>
  <c r="C52" i="11"/>
  <c r="F47" i="11"/>
  <c r="E47" i="11"/>
  <c r="D47" i="11"/>
  <c r="C47" i="11"/>
  <c r="F46" i="11"/>
  <c r="E46" i="11"/>
  <c r="D46" i="11"/>
  <c r="C46" i="11"/>
  <c r="F45" i="11"/>
  <c r="E45" i="11"/>
  <c r="D45" i="11"/>
  <c r="C45" i="11"/>
  <c r="F44" i="11"/>
  <c r="E44" i="11"/>
  <c r="D44" i="11"/>
  <c r="C44" i="11"/>
  <c r="F42" i="11"/>
  <c r="E42" i="11"/>
  <c r="D42" i="11"/>
  <c r="C42" i="11"/>
  <c r="F41" i="11"/>
  <c r="E41" i="11"/>
  <c r="D41" i="11"/>
  <c r="C41" i="11"/>
  <c r="F40" i="11"/>
  <c r="E40" i="11"/>
  <c r="D40" i="11"/>
  <c r="C40" i="11"/>
  <c r="F39" i="11"/>
  <c r="E39" i="11"/>
  <c r="D39" i="11"/>
  <c r="C39" i="11"/>
  <c r="F38" i="11"/>
  <c r="E38" i="11"/>
  <c r="D38" i="11"/>
  <c r="C38" i="11"/>
  <c r="F37" i="11"/>
  <c r="E37" i="11"/>
  <c r="D37" i="11"/>
  <c r="C37" i="11"/>
  <c r="F36" i="11"/>
  <c r="E36" i="11"/>
  <c r="D36" i="11"/>
  <c r="C36" i="11"/>
  <c r="F35" i="11"/>
  <c r="E35" i="11"/>
  <c r="D35" i="11"/>
  <c r="C35" i="11"/>
  <c r="F34" i="11"/>
  <c r="E34" i="11"/>
  <c r="D34" i="11"/>
  <c r="C34" i="11"/>
  <c r="F33" i="11"/>
  <c r="E33" i="11"/>
  <c r="D33" i="11"/>
  <c r="C33" i="11"/>
  <c r="F32" i="11"/>
  <c r="E32" i="11"/>
  <c r="D32" i="11"/>
  <c r="C32" i="11"/>
  <c r="F31" i="11"/>
  <c r="E31" i="11"/>
  <c r="D31" i="11"/>
  <c r="C31" i="11"/>
  <c r="F30" i="11"/>
  <c r="E30" i="11"/>
  <c r="D30" i="11"/>
  <c r="C30" i="11"/>
  <c r="F29" i="11"/>
  <c r="E29" i="11"/>
  <c r="D29" i="11"/>
  <c r="C29" i="11"/>
  <c r="F27" i="11"/>
  <c r="E27" i="11"/>
  <c r="D27" i="11"/>
  <c r="C27" i="11"/>
  <c r="F26" i="11"/>
  <c r="E26" i="11"/>
  <c r="D26" i="11"/>
  <c r="C26" i="11"/>
  <c r="F25" i="11"/>
  <c r="E25" i="11"/>
  <c r="D25" i="11"/>
  <c r="C25" i="11"/>
  <c r="F24" i="11"/>
  <c r="E24" i="11"/>
  <c r="D24" i="11"/>
  <c r="C24" i="11"/>
  <c r="F23" i="11"/>
  <c r="E23" i="11"/>
  <c r="D23" i="11"/>
  <c r="C23" i="11"/>
  <c r="F22" i="11"/>
  <c r="E22" i="11"/>
  <c r="D22" i="11"/>
  <c r="C22" i="11"/>
  <c r="F21" i="11"/>
  <c r="E21" i="11"/>
  <c r="D21" i="11"/>
  <c r="C21" i="11"/>
  <c r="F20" i="11"/>
  <c r="E20" i="11"/>
  <c r="D20" i="11"/>
  <c r="C20" i="11"/>
  <c r="F19" i="11"/>
  <c r="E19" i="11"/>
  <c r="D19" i="11"/>
  <c r="C19" i="11"/>
  <c r="F18" i="11"/>
  <c r="E18" i="11"/>
  <c r="D18" i="11"/>
  <c r="C18" i="11"/>
  <c r="F17" i="11"/>
  <c r="E17" i="11"/>
  <c r="D17" i="11"/>
  <c r="C17" i="11"/>
  <c r="F16" i="11"/>
  <c r="E16" i="11"/>
  <c r="D16" i="11"/>
  <c r="C16" i="11"/>
  <c r="F15" i="11"/>
  <c r="E15" i="11"/>
  <c r="D15" i="11"/>
  <c r="C15" i="11"/>
  <c r="F14" i="11"/>
  <c r="E14" i="11"/>
  <c r="D14" i="11"/>
  <c r="C14" i="11"/>
  <c r="F13" i="11"/>
  <c r="E13" i="11"/>
  <c r="D13" i="11"/>
  <c r="C13" i="11"/>
  <c r="F12" i="11"/>
  <c r="E12" i="11"/>
  <c r="D12" i="11"/>
  <c r="C12" i="11"/>
  <c r="F11" i="11"/>
  <c r="E11" i="11"/>
  <c r="D11" i="11"/>
  <c r="C11" i="11"/>
  <c r="P64" i="12"/>
  <c r="O64" i="12"/>
  <c r="N64" i="12"/>
  <c r="P63" i="12"/>
  <c r="O63" i="12"/>
  <c r="N63" i="12"/>
  <c r="P62" i="12"/>
  <c r="O62" i="12"/>
  <c r="N62" i="12"/>
  <c r="P61" i="12"/>
  <c r="O61" i="12"/>
  <c r="N61" i="12"/>
  <c r="P59" i="12"/>
  <c r="O59" i="12"/>
  <c r="N59" i="12"/>
  <c r="P58" i="12"/>
  <c r="O58" i="12"/>
  <c r="N58" i="12"/>
  <c r="P57" i="12"/>
  <c r="O57" i="12"/>
  <c r="N57" i="12"/>
  <c r="P55" i="12"/>
  <c r="O55" i="12"/>
  <c r="N55" i="12"/>
  <c r="P54" i="12"/>
  <c r="O54" i="12"/>
  <c r="N54" i="12"/>
  <c r="P53" i="12"/>
  <c r="O53" i="12"/>
  <c r="N53" i="12"/>
  <c r="P48" i="12"/>
  <c r="O48" i="12"/>
  <c r="N48" i="12"/>
  <c r="P47" i="12"/>
  <c r="O47" i="12"/>
  <c r="N47" i="12"/>
  <c r="P46" i="12"/>
  <c r="O46" i="12"/>
  <c r="N46" i="12"/>
  <c r="P45" i="12"/>
  <c r="O45" i="12"/>
  <c r="N45" i="12"/>
  <c r="P43" i="12"/>
  <c r="O43" i="12"/>
  <c r="N43" i="12"/>
  <c r="P42" i="12"/>
  <c r="O42" i="12"/>
  <c r="N42" i="12"/>
  <c r="P41" i="12"/>
  <c r="O41" i="12"/>
  <c r="N41" i="12"/>
  <c r="P40" i="12"/>
  <c r="O40" i="12"/>
  <c r="N40" i="12"/>
  <c r="P39" i="12"/>
  <c r="O39" i="12"/>
  <c r="N39" i="12"/>
  <c r="P38" i="12"/>
  <c r="O38" i="12"/>
  <c r="N38" i="12"/>
  <c r="P37" i="12"/>
  <c r="O37" i="12"/>
  <c r="N37" i="12"/>
  <c r="P36" i="12"/>
  <c r="O36" i="12"/>
  <c r="N36" i="12"/>
  <c r="P35" i="12"/>
  <c r="O35" i="12"/>
  <c r="N35" i="12"/>
  <c r="P34" i="12"/>
  <c r="O34" i="12"/>
  <c r="N34" i="12"/>
  <c r="P33" i="12"/>
  <c r="O33" i="12"/>
  <c r="N33" i="12"/>
  <c r="P32" i="12"/>
  <c r="O32" i="12"/>
  <c r="N32" i="12"/>
  <c r="P31" i="12"/>
  <c r="O31" i="12"/>
  <c r="N31" i="12"/>
  <c r="P30" i="12"/>
  <c r="O30" i="12"/>
  <c r="N30" i="12"/>
  <c r="P28" i="12"/>
  <c r="O28" i="12"/>
  <c r="N28" i="12"/>
  <c r="P27" i="12"/>
  <c r="O27" i="12"/>
  <c r="N27" i="12"/>
  <c r="P26" i="12"/>
  <c r="O26" i="12"/>
  <c r="N26" i="12"/>
  <c r="P25" i="12"/>
  <c r="O25" i="12"/>
  <c r="N25" i="12"/>
  <c r="P24" i="12"/>
  <c r="O24" i="12"/>
  <c r="N24" i="12"/>
  <c r="P23" i="12"/>
  <c r="O23" i="12"/>
  <c r="N23" i="12"/>
  <c r="P22" i="12"/>
  <c r="O22" i="12"/>
  <c r="N22" i="12"/>
  <c r="P21" i="12"/>
  <c r="O21" i="12"/>
  <c r="N21" i="12"/>
  <c r="P20" i="12"/>
  <c r="O20" i="12"/>
  <c r="N20" i="12"/>
  <c r="P19" i="12"/>
  <c r="O19" i="12"/>
  <c r="N19" i="12"/>
  <c r="P18" i="12"/>
  <c r="O18" i="12"/>
  <c r="N18" i="12"/>
  <c r="P17" i="12"/>
  <c r="O17" i="12"/>
  <c r="N17" i="12"/>
  <c r="P16" i="12"/>
  <c r="O16" i="12"/>
  <c r="N16" i="12"/>
  <c r="P15" i="12"/>
  <c r="O15" i="12"/>
  <c r="N15" i="12"/>
  <c r="P14" i="12"/>
  <c r="O14" i="12"/>
  <c r="N14" i="12"/>
  <c r="P13" i="12"/>
  <c r="O13" i="12"/>
  <c r="N13" i="12"/>
  <c r="P12" i="12"/>
  <c r="O12" i="12"/>
  <c r="N12" i="12"/>
  <c r="G64" i="12"/>
  <c r="F64" i="12"/>
  <c r="E64" i="12"/>
  <c r="D64" i="12"/>
  <c r="C64" i="12"/>
  <c r="G63" i="12"/>
  <c r="F63" i="12"/>
  <c r="E63" i="12"/>
  <c r="D63" i="12"/>
  <c r="C63" i="12"/>
  <c r="G62" i="12"/>
  <c r="F62" i="12"/>
  <c r="E62" i="12"/>
  <c r="D62" i="12"/>
  <c r="C62" i="12"/>
  <c r="G61" i="12"/>
  <c r="F61" i="12"/>
  <c r="E61" i="12"/>
  <c r="D61" i="12"/>
  <c r="C61" i="12"/>
  <c r="G59" i="12"/>
  <c r="F59" i="12"/>
  <c r="E59" i="12"/>
  <c r="D59" i="12"/>
  <c r="C59" i="12"/>
  <c r="G58" i="12"/>
  <c r="F58" i="12"/>
  <c r="E58" i="12"/>
  <c r="D58" i="12"/>
  <c r="C58" i="12"/>
  <c r="G57" i="12"/>
  <c r="F57" i="12"/>
  <c r="E57" i="12"/>
  <c r="D57" i="12"/>
  <c r="C57" i="12"/>
  <c r="G55" i="12"/>
  <c r="F55" i="12"/>
  <c r="E55" i="12"/>
  <c r="D55" i="12"/>
  <c r="C55" i="12"/>
  <c r="G54" i="12"/>
  <c r="F54" i="12"/>
  <c r="E54" i="12"/>
  <c r="D54" i="12"/>
  <c r="C54" i="12"/>
  <c r="G53" i="12"/>
  <c r="F53" i="12"/>
  <c r="E53" i="12"/>
  <c r="D53" i="12"/>
  <c r="C53" i="12"/>
  <c r="K61" i="13"/>
  <c r="G61" i="13"/>
  <c r="K60" i="13"/>
  <c r="G60" i="13"/>
  <c r="K58" i="13"/>
  <c r="G58" i="13"/>
  <c r="K56" i="13"/>
  <c r="G56" i="13"/>
  <c r="K54" i="13"/>
  <c r="G54" i="13"/>
  <c r="K52" i="13"/>
  <c r="G52" i="13"/>
  <c r="K47" i="13"/>
  <c r="G48" i="12"/>
  <c r="F48" i="12"/>
  <c r="E48" i="12"/>
  <c r="D48" i="12"/>
  <c r="G47" i="13"/>
  <c r="C48" i="12"/>
  <c r="K46" i="13"/>
  <c r="G47" i="12"/>
  <c r="F47" i="12"/>
  <c r="E47" i="12"/>
  <c r="D47" i="12"/>
  <c r="G46" i="13"/>
  <c r="C47" i="12"/>
  <c r="K45" i="13"/>
  <c r="G46" i="12"/>
  <c r="F46" i="12"/>
  <c r="E46" i="12"/>
  <c r="D46" i="12"/>
  <c r="G45" i="13"/>
  <c r="C46" i="12"/>
  <c r="K44" i="13"/>
  <c r="G45" i="12"/>
  <c r="F45" i="12"/>
  <c r="E45" i="12"/>
  <c r="D45" i="12"/>
  <c r="G44" i="13"/>
  <c r="C45" i="12"/>
  <c r="K42" i="13"/>
  <c r="G43" i="12"/>
  <c r="F43" i="12"/>
  <c r="G42" i="13"/>
  <c r="H42" i="13"/>
  <c r="D43" i="12"/>
  <c r="C43" i="12"/>
  <c r="K41" i="13"/>
  <c r="G42" i="12"/>
  <c r="F42" i="12"/>
  <c r="G41" i="13"/>
  <c r="H41" i="13"/>
  <c r="D42" i="12"/>
  <c r="C42" i="12"/>
  <c r="K40" i="13"/>
  <c r="G41" i="12"/>
  <c r="F41" i="12"/>
  <c r="G40" i="13"/>
  <c r="H40" i="13"/>
  <c r="D41" i="12"/>
  <c r="C41" i="12"/>
  <c r="K39" i="13"/>
  <c r="G40" i="12"/>
  <c r="F40" i="12"/>
  <c r="G39" i="13"/>
  <c r="H39" i="13"/>
  <c r="D40" i="12"/>
  <c r="C40" i="12"/>
  <c r="K38" i="13"/>
  <c r="G39" i="12"/>
  <c r="F39" i="12"/>
  <c r="E39" i="12"/>
  <c r="D39" i="12"/>
  <c r="G38" i="13"/>
  <c r="C39" i="12"/>
  <c r="K37" i="13"/>
  <c r="G38" i="12"/>
  <c r="F38" i="12"/>
  <c r="E38" i="12"/>
  <c r="D38" i="12"/>
  <c r="G37" i="13"/>
  <c r="C38" i="12"/>
  <c r="K36" i="13"/>
  <c r="G37" i="12"/>
  <c r="F37" i="12"/>
  <c r="E37" i="12"/>
  <c r="D37" i="12"/>
  <c r="G36" i="13"/>
  <c r="C37" i="12"/>
  <c r="K35" i="13"/>
  <c r="G36" i="12"/>
  <c r="F36" i="12"/>
  <c r="E36" i="12"/>
  <c r="D36" i="12"/>
  <c r="G35" i="13"/>
  <c r="C36" i="12"/>
  <c r="K34" i="13"/>
  <c r="G35" i="12"/>
  <c r="F35" i="12"/>
  <c r="E35" i="12"/>
  <c r="D35" i="12"/>
  <c r="G34" i="13"/>
  <c r="C35" i="12"/>
  <c r="K33" i="13"/>
  <c r="G34" i="12"/>
  <c r="F34" i="12"/>
  <c r="E34" i="12"/>
  <c r="D34" i="12"/>
  <c r="G33" i="13"/>
  <c r="C34" i="12"/>
  <c r="K32" i="13"/>
  <c r="G33" i="12"/>
  <c r="F33" i="12"/>
  <c r="E33" i="12"/>
  <c r="D33" i="12"/>
  <c r="G32" i="13"/>
  <c r="C33" i="12"/>
  <c r="K31" i="13"/>
  <c r="G32" i="12"/>
  <c r="F32" i="12"/>
  <c r="E32" i="12"/>
  <c r="D32" i="12"/>
  <c r="G31" i="13"/>
  <c r="C32" i="12"/>
  <c r="K30" i="13"/>
  <c r="G31" i="12"/>
  <c r="F31" i="12"/>
  <c r="E31" i="12"/>
  <c r="D31" i="12"/>
  <c r="G30" i="13"/>
  <c r="C31" i="12"/>
  <c r="K29" i="13"/>
  <c r="G30" i="12"/>
  <c r="F30" i="12"/>
  <c r="E30" i="12"/>
  <c r="D30" i="12"/>
  <c r="G29" i="13"/>
  <c r="C30" i="12"/>
  <c r="K27" i="13"/>
  <c r="G28" i="12"/>
  <c r="F28" i="12"/>
  <c r="G27" i="13"/>
  <c r="H27" i="13"/>
  <c r="D28" i="12"/>
  <c r="C28" i="12"/>
  <c r="K26" i="13"/>
  <c r="G27" i="12"/>
  <c r="F27" i="12"/>
  <c r="G26" i="13"/>
  <c r="H26" i="13"/>
  <c r="D27" i="12"/>
  <c r="C27" i="12"/>
  <c r="K25" i="13"/>
  <c r="G26" i="12"/>
  <c r="F26" i="12"/>
  <c r="G25" i="13"/>
  <c r="H25" i="13"/>
  <c r="D26" i="12"/>
  <c r="C26" i="12"/>
  <c r="K24" i="13"/>
  <c r="G25" i="12"/>
  <c r="F25" i="12"/>
  <c r="G24" i="13"/>
  <c r="H24" i="13"/>
  <c r="D25" i="12"/>
  <c r="C25" i="12"/>
  <c r="K23" i="13"/>
  <c r="G24" i="12"/>
  <c r="F24" i="12"/>
  <c r="G23" i="13"/>
  <c r="H23" i="13"/>
  <c r="D24" i="12"/>
  <c r="C24" i="12"/>
  <c r="K22" i="13"/>
  <c r="G23" i="12"/>
  <c r="F23" i="12"/>
  <c r="G22" i="13"/>
  <c r="H22" i="13"/>
  <c r="D23" i="12"/>
  <c r="C23" i="12"/>
  <c r="K21" i="13"/>
  <c r="G22" i="12"/>
  <c r="F22" i="12"/>
  <c r="G21" i="13"/>
  <c r="H21" i="13"/>
  <c r="D22" i="12"/>
  <c r="C22" i="12"/>
  <c r="K20" i="13"/>
  <c r="G21" i="12"/>
  <c r="F21" i="12"/>
  <c r="G20" i="13"/>
  <c r="H20" i="13"/>
  <c r="D21" i="12"/>
  <c r="C21" i="12"/>
  <c r="K19" i="13"/>
  <c r="G20" i="12"/>
  <c r="F20" i="12"/>
  <c r="G19" i="13"/>
  <c r="H19" i="13"/>
  <c r="D20" i="12"/>
  <c r="C20" i="12"/>
  <c r="K18" i="13"/>
  <c r="G19" i="12"/>
  <c r="F19" i="12"/>
  <c r="G18" i="13"/>
  <c r="H18" i="13"/>
  <c r="D19" i="12"/>
  <c r="C19" i="12"/>
  <c r="K17" i="13"/>
  <c r="G18" i="12"/>
  <c r="F18" i="12"/>
  <c r="G17" i="13"/>
  <c r="H17" i="13"/>
  <c r="D18" i="12"/>
  <c r="C18" i="12"/>
  <c r="K16" i="13"/>
  <c r="G17" i="12"/>
  <c r="F17" i="12"/>
  <c r="G16" i="13"/>
  <c r="H16" i="13"/>
  <c r="D17" i="12"/>
  <c r="C17" i="12"/>
  <c r="K15" i="13"/>
  <c r="G16" i="12"/>
  <c r="F16" i="12"/>
  <c r="G15" i="13"/>
  <c r="H15" i="13"/>
  <c r="D16" i="12"/>
  <c r="C16" i="12"/>
  <c r="K14" i="13"/>
  <c r="G15" i="12"/>
  <c r="F15" i="12"/>
  <c r="G14" i="13"/>
  <c r="H14" i="13"/>
  <c r="D15" i="12"/>
  <c r="C15" i="12"/>
  <c r="K13" i="13"/>
  <c r="G14" i="12"/>
  <c r="F14" i="12"/>
  <c r="G13" i="13"/>
  <c r="H13" i="13"/>
  <c r="D14" i="12"/>
  <c r="C14" i="12"/>
  <c r="K12" i="13"/>
  <c r="G13" i="12"/>
  <c r="F13" i="12"/>
  <c r="G12" i="13"/>
  <c r="H12" i="13"/>
  <c r="D13" i="12"/>
  <c r="C13" i="12"/>
  <c r="K11" i="13"/>
  <c r="G12" i="12"/>
  <c r="F12" i="12"/>
  <c r="G11" i="13"/>
  <c r="H11" i="13"/>
  <c r="D12" i="12"/>
  <c r="C12" i="12"/>
  <c r="K59" i="13"/>
  <c r="G59" i="13"/>
  <c r="K55" i="13"/>
  <c r="G55" i="13"/>
  <c r="K51" i="13"/>
  <c r="G51" i="13"/>
  <c r="K50" i="13"/>
  <c r="G50" i="13"/>
  <c r="I64" i="12"/>
  <c r="I53" i="12"/>
  <c r="I54" i="12"/>
  <c r="I55" i="12"/>
  <c r="I57" i="12"/>
  <c r="I58" i="12"/>
  <c r="I59" i="12"/>
  <c r="I61" i="12"/>
  <c r="I62" i="12"/>
  <c r="I63" i="12"/>
  <c r="N66" i="12"/>
  <c r="I12" i="12"/>
  <c r="I13" i="12"/>
  <c r="I14" i="12"/>
  <c r="I15" i="12"/>
  <c r="I16" i="12"/>
  <c r="I17" i="12"/>
  <c r="I18" i="12"/>
  <c r="I19" i="12"/>
  <c r="I20" i="12"/>
  <c r="I21" i="12"/>
  <c r="I22" i="12"/>
  <c r="I23" i="12"/>
  <c r="I24" i="12"/>
  <c r="I25" i="12"/>
  <c r="I26" i="12"/>
  <c r="I27" i="12"/>
  <c r="I28" i="12"/>
  <c r="I30" i="12"/>
  <c r="I31" i="12"/>
  <c r="I32" i="12"/>
  <c r="I33" i="12"/>
  <c r="I34" i="12"/>
  <c r="I35" i="12"/>
  <c r="I36" i="12"/>
  <c r="I37" i="12"/>
  <c r="I38" i="12"/>
  <c r="I39" i="12"/>
  <c r="I40" i="12"/>
  <c r="I41" i="12"/>
  <c r="I42" i="12"/>
  <c r="I43" i="12"/>
  <c r="I45" i="12"/>
  <c r="I46" i="12"/>
  <c r="I47" i="12"/>
  <c r="I48" i="12"/>
  <c r="N50" i="12"/>
  <c r="N68" i="12"/>
  <c r="E161" i="13"/>
  <c r="H173" i="13"/>
  <c r="E162" i="13"/>
  <c r="H174" i="13"/>
  <c r="H175" i="13"/>
  <c r="S64" i="12"/>
  <c r="J64" i="12"/>
  <c r="J53" i="12"/>
  <c r="J54" i="12"/>
  <c r="J55" i="12"/>
  <c r="J57" i="12"/>
  <c r="J58" i="12"/>
  <c r="J59" i="12"/>
  <c r="J61" i="12"/>
  <c r="J62" i="12"/>
  <c r="J63" i="12"/>
  <c r="O66" i="12"/>
  <c r="J12" i="12"/>
  <c r="J13" i="12"/>
  <c r="J14" i="12"/>
  <c r="J15" i="12"/>
  <c r="J16" i="12"/>
  <c r="J17" i="12"/>
  <c r="J18" i="12"/>
  <c r="J19" i="12"/>
  <c r="J20" i="12"/>
  <c r="J21" i="12"/>
  <c r="J22" i="12"/>
  <c r="J23" i="12"/>
  <c r="J24" i="12"/>
  <c r="J25" i="12"/>
  <c r="J26" i="12"/>
  <c r="J27" i="12"/>
  <c r="J28" i="12"/>
  <c r="J30" i="12"/>
  <c r="J31" i="12"/>
  <c r="J32" i="12"/>
  <c r="J33" i="12"/>
  <c r="J34" i="12"/>
  <c r="J35" i="12"/>
  <c r="J36" i="12"/>
  <c r="J37" i="12"/>
  <c r="J38" i="12"/>
  <c r="J39" i="12"/>
  <c r="J40" i="12"/>
  <c r="J41" i="12"/>
  <c r="J42" i="12"/>
  <c r="J43" i="12"/>
  <c r="J45" i="12"/>
  <c r="J46" i="12"/>
  <c r="J47" i="12"/>
  <c r="J48" i="12"/>
  <c r="O50" i="12"/>
  <c r="O68" i="12"/>
  <c r="I173" i="13"/>
  <c r="I174" i="13"/>
  <c r="I175" i="13"/>
  <c r="T64" i="12"/>
  <c r="K64" i="12"/>
  <c r="K53" i="12"/>
  <c r="K54" i="12"/>
  <c r="K55" i="12"/>
  <c r="K57" i="12"/>
  <c r="K58" i="12"/>
  <c r="K59" i="12"/>
  <c r="K61" i="12"/>
  <c r="K62" i="12"/>
  <c r="K63" i="12"/>
  <c r="P66" i="12"/>
  <c r="K12" i="12"/>
  <c r="K13" i="12"/>
  <c r="K14" i="12"/>
  <c r="K15" i="12"/>
  <c r="K16" i="12"/>
  <c r="K17" i="12"/>
  <c r="K18" i="12"/>
  <c r="K19" i="12"/>
  <c r="K20" i="12"/>
  <c r="K21" i="12"/>
  <c r="K22" i="12"/>
  <c r="K23" i="12"/>
  <c r="K24" i="12"/>
  <c r="K25" i="12"/>
  <c r="K26" i="12"/>
  <c r="K27" i="12"/>
  <c r="K28" i="12"/>
  <c r="K30" i="12"/>
  <c r="K31" i="12"/>
  <c r="K32" i="12"/>
  <c r="K33" i="12"/>
  <c r="K34" i="12"/>
  <c r="K35" i="12"/>
  <c r="K36" i="12"/>
  <c r="K37" i="12"/>
  <c r="K38" i="12"/>
  <c r="K39" i="12"/>
  <c r="K40" i="12"/>
  <c r="K41" i="12"/>
  <c r="K42" i="12"/>
  <c r="K43" i="12"/>
  <c r="K45" i="12"/>
  <c r="K46" i="12"/>
  <c r="K47" i="12"/>
  <c r="K48" i="12"/>
  <c r="P50" i="12"/>
  <c r="P68" i="12"/>
  <c r="J173" i="13"/>
  <c r="J174" i="13"/>
  <c r="J175" i="13"/>
  <c r="U64" i="12"/>
  <c r="V64" i="12"/>
  <c r="L64" i="12"/>
  <c r="X64" i="12"/>
  <c r="Y64" i="12"/>
  <c r="N127" i="11"/>
  <c r="S63" i="12"/>
  <c r="T63" i="12"/>
  <c r="U63" i="12"/>
  <c r="V63" i="12"/>
  <c r="L63" i="12"/>
  <c r="X63" i="12"/>
  <c r="Y63" i="12"/>
  <c r="N126" i="11"/>
  <c r="S62" i="12"/>
  <c r="T62" i="12"/>
  <c r="U62" i="12"/>
  <c r="V62" i="12"/>
  <c r="L62" i="12"/>
  <c r="X62" i="12"/>
  <c r="Y62" i="12"/>
  <c r="N125" i="11"/>
  <c r="S61" i="12"/>
  <c r="T61" i="12"/>
  <c r="U61" i="12"/>
  <c r="V61" i="12"/>
  <c r="L61" i="12"/>
  <c r="X61" i="12"/>
  <c r="Y61" i="12"/>
  <c r="N124" i="11"/>
  <c r="S59" i="12"/>
  <c r="T59" i="12"/>
  <c r="U59" i="12"/>
  <c r="V59" i="12"/>
  <c r="L59" i="12"/>
  <c r="X59" i="12"/>
  <c r="Y59" i="12"/>
  <c r="N122" i="11"/>
  <c r="S58" i="12"/>
  <c r="T58" i="12"/>
  <c r="U58" i="12"/>
  <c r="V58" i="12"/>
  <c r="L58" i="12"/>
  <c r="X58" i="12"/>
  <c r="Y58" i="12"/>
  <c r="N121" i="11"/>
  <c r="S57" i="12"/>
  <c r="T57" i="12"/>
  <c r="U57" i="12"/>
  <c r="V57" i="12"/>
  <c r="L57" i="12"/>
  <c r="X57" i="12"/>
  <c r="Y57" i="12"/>
  <c r="N120" i="11"/>
  <c r="S55" i="12"/>
  <c r="T55" i="12"/>
  <c r="U55" i="12"/>
  <c r="V55" i="12"/>
  <c r="L55" i="12"/>
  <c r="X55" i="12"/>
  <c r="Y55" i="12"/>
  <c r="N118" i="11"/>
  <c r="S54" i="12"/>
  <c r="T54" i="12"/>
  <c r="U54" i="12"/>
  <c r="V54" i="12"/>
  <c r="L54" i="12"/>
  <c r="X54" i="12"/>
  <c r="Y54" i="12"/>
  <c r="N117" i="11"/>
  <c r="S53" i="12"/>
  <c r="T53" i="12"/>
  <c r="U53" i="12"/>
  <c r="V53" i="12"/>
  <c r="L53" i="12"/>
  <c r="X53" i="12"/>
  <c r="Y53" i="12"/>
  <c r="N116" i="11"/>
  <c r="S48" i="12"/>
  <c r="T48" i="12"/>
  <c r="U48" i="12"/>
  <c r="V48" i="12"/>
  <c r="L48" i="12"/>
  <c r="X48" i="12"/>
  <c r="Y48" i="12"/>
  <c r="N111" i="11"/>
  <c r="S47" i="12"/>
  <c r="T47" i="12"/>
  <c r="U47" i="12"/>
  <c r="V47" i="12"/>
  <c r="L47" i="12"/>
  <c r="X47" i="12"/>
  <c r="Y47" i="12"/>
  <c r="N110" i="11"/>
  <c r="S46" i="12"/>
  <c r="T46" i="12"/>
  <c r="U46" i="12"/>
  <c r="V46" i="12"/>
  <c r="L46" i="12"/>
  <c r="X46" i="12"/>
  <c r="Y46" i="12"/>
  <c r="N109" i="11"/>
  <c r="S45" i="12"/>
  <c r="T45" i="12"/>
  <c r="U45" i="12"/>
  <c r="V45" i="12"/>
  <c r="L45" i="12"/>
  <c r="X45" i="12"/>
  <c r="Y45" i="12"/>
  <c r="N108" i="11"/>
  <c r="S31" i="12"/>
  <c r="T31" i="12"/>
  <c r="U31" i="12"/>
  <c r="V31" i="12"/>
  <c r="L31" i="12"/>
  <c r="X31" i="12"/>
  <c r="Y31" i="12"/>
  <c r="N94" i="11"/>
  <c r="S32" i="12"/>
  <c r="T32" i="12"/>
  <c r="U32" i="12"/>
  <c r="V32" i="12"/>
  <c r="L32" i="12"/>
  <c r="X32" i="12"/>
  <c r="Y32" i="12"/>
  <c r="N95" i="11"/>
  <c r="S33" i="12"/>
  <c r="T33" i="12"/>
  <c r="U33" i="12"/>
  <c r="V33" i="12"/>
  <c r="L33" i="12"/>
  <c r="X33" i="12"/>
  <c r="Y33" i="12"/>
  <c r="N96" i="11"/>
  <c r="S34" i="12"/>
  <c r="T34" i="12"/>
  <c r="U34" i="12"/>
  <c r="V34" i="12"/>
  <c r="L34" i="12"/>
  <c r="X34" i="12"/>
  <c r="Y34" i="12"/>
  <c r="N97" i="11"/>
  <c r="S35" i="12"/>
  <c r="T35" i="12"/>
  <c r="U35" i="12"/>
  <c r="V35" i="12"/>
  <c r="L35" i="12"/>
  <c r="X35" i="12"/>
  <c r="Y35" i="12"/>
  <c r="N98" i="11"/>
  <c r="S36" i="12"/>
  <c r="T36" i="12"/>
  <c r="U36" i="12"/>
  <c r="V36" i="12"/>
  <c r="L36" i="12"/>
  <c r="X36" i="12"/>
  <c r="Y36" i="12"/>
  <c r="N99" i="11"/>
  <c r="S37" i="12"/>
  <c r="T37" i="12"/>
  <c r="U37" i="12"/>
  <c r="V37" i="12"/>
  <c r="L37" i="12"/>
  <c r="X37" i="12"/>
  <c r="Y37" i="12"/>
  <c r="N100" i="11"/>
  <c r="S38" i="12"/>
  <c r="T38" i="12"/>
  <c r="U38" i="12"/>
  <c r="V38" i="12"/>
  <c r="L38" i="12"/>
  <c r="X38" i="12"/>
  <c r="Y38" i="12"/>
  <c r="N101" i="11"/>
  <c r="S39" i="12"/>
  <c r="T39" i="12"/>
  <c r="U39" i="12"/>
  <c r="V39" i="12"/>
  <c r="L39" i="12"/>
  <c r="X39" i="12"/>
  <c r="Y39" i="12"/>
  <c r="N102" i="11"/>
  <c r="S30" i="12"/>
  <c r="T30" i="12"/>
  <c r="U30" i="12"/>
  <c r="V30" i="12"/>
  <c r="L30" i="12"/>
  <c r="X30" i="12"/>
  <c r="Y30" i="12"/>
  <c r="N93" i="11"/>
  <c r="Z64" i="12"/>
  <c r="N63" i="11"/>
  <c r="Z63" i="12"/>
  <c r="N62" i="11"/>
  <c r="Z62" i="12"/>
  <c r="N61" i="11"/>
  <c r="Z61" i="12"/>
  <c r="N60" i="11"/>
  <c r="Z59" i="12"/>
  <c r="N58" i="11"/>
  <c r="Z58" i="12"/>
  <c r="N57" i="11"/>
  <c r="Z57" i="12"/>
  <c r="N56" i="11"/>
  <c r="Z55" i="12"/>
  <c r="N54" i="11"/>
  <c r="Z54" i="12"/>
  <c r="N53" i="11"/>
  <c r="Z53" i="12"/>
  <c r="N52" i="11"/>
  <c r="Z48" i="12"/>
  <c r="N47" i="11"/>
  <c r="Z47" i="12"/>
  <c r="N46" i="11"/>
  <c r="Z46" i="12"/>
  <c r="N45" i="11"/>
  <c r="Z45" i="12"/>
  <c r="N44" i="11"/>
  <c r="N42" i="11"/>
  <c r="S42" i="12"/>
  <c r="T42" i="12"/>
  <c r="U42" i="12"/>
  <c r="V42" i="12"/>
  <c r="L42" i="12"/>
  <c r="X42" i="12"/>
  <c r="Y42" i="12"/>
  <c r="N41" i="11"/>
  <c r="S41" i="12"/>
  <c r="T41" i="12"/>
  <c r="U41" i="12"/>
  <c r="V41" i="12"/>
  <c r="L41" i="12"/>
  <c r="X41" i="12"/>
  <c r="Y41" i="12"/>
  <c r="Z41" i="12"/>
  <c r="N40" i="11"/>
  <c r="S40" i="12"/>
  <c r="T40" i="12"/>
  <c r="U40" i="12"/>
  <c r="V40" i="12"/>
  <c r="L40" i="12"/>
  <c r="X40" i="12"/>
  <c r="Y40" i="12"/>
  <c r="Z40" i="12"/>
  <c r="N39" i="11"/>
  <c r="Z39" i="12"/>
  <c r="N38" i="11"/>
  <c r="Z38" i="12"/>
  <c r="N37" i="11"/>
  <c r="Z37" i="12"/>
  <c r="N36" i="11"/>
  <c r="Z36" i="12"/>
  <c r="N35" i="11"/>
  <c r="Z35" i="12"/>
  <c r="N34" i="11"/>
  <c r="Z34" i="12"/>
  <c r="N33" i="11"/>
  <c r="Z33" i="12"/>
  <c r="N32" i="11"/>
  <c r="Z32" i="12"/>
  <c r="N31" i="11"/>
  <c r="Z31" i="12"/>
  <c r="N30" i="11"/>
  <c r="Z30" i="12"/>
  <c r="N29" i="11"/>
  <c r="S13" i="12"/>
  <c r="T13" i="12"/>
  <c r="U13" i="12"/>
  <c r="V13" i="12"/>
  <c r="L13" i="12"/>
  <c r="X13" i="12"/>
  <c r="Y13" i="12"/>
  <c r="Z13" i="12"/>
  <c r="N12" i="11"/>
  <c r="S14" i="12"/>
  <c r="T14" i="12"/>
  <c r="U14" i="12"/>
  <c r="V14" i="12"/>
  <c r="L14" i="12"/>
  <c r="X14" i="12"/>
  <c r="Y14" i="12"/>
  <c r="Z14" i="12"/>
  <c r="N13" i="11"/>
  <c r="S15" i="12"/>
  <c r="T15" i="12"/>
  <c r="U15" i="12"/>
  <c r="V15" i="12"/>
  <c r="L15" i="12"/>
  <c r="X15" i="12"/>
  <c r="Y15" i="12"/>
  <c r="Z15" i="12"/>
  <c r="N14" i="11"/>
  <c r="S16" i="12"/>
  <c r="T16" i="12"/>
  <c r="U16" i="12"/>
  <c r="V16" i="12"/>
  <c r="L16" i="12"/>
  <c r="X16" i="12"/>
  <c r="Y16" i="12"/>
  <c r="Z16" i="12"/>
  <c r="N15" i="11"/>
  <c r="S17" i="12"/>
  <c r="T17" i="12"/>
  <c r="U17" i="12"/>
  <c r="V17" i="12"/>
  <c r="L17" i="12"/>
  <c r="X17" i="12"/>
  <c r="Y17" i="12"/>
  <c r="Z17" i="12"/>
  <c r="N16" i="11"/>
  <c r="S18" i="12"/>
  <c r="T18" i="12"/>
  <c r="U18" i="12"/>
  <c r="V18" i="12"/>
  <c r="L18" i="12"/>
  <c r="X18" i="12"/>
  <c r="Y18" i="12"/>
  <c r="Z18" i="12"/>
  <c r="N17" i="11"/>
  <c r="N18" i="11"/>
  <c r="S20" i="12"/>
  <c r="T20" i="12"/>
  <c r="U20" i="12"/>
  <c r="V20" i="12"/>
  <c r="L20" i="12"/>
  <c r="X20" i="12"/>
  <c r="Y20" i="12"/>
  <c r="Z20" i="12"/>
  <c r="N19" i="11"/>
  <c r="S21" i="12"/>
  <c r="T21" i="12"/>
  <c r="U21" i="12"/>
  <c r="V21" i="12"/>
  <c r="L21" i="12"/>
  <c r="X21" i="12"/>
  <c r="Y21" i="12"/>
  <c r="Z21" i="12"/>
  <c r="N20" i="11"/>
  <c r="S22" i="12"/>
  <c r="T22" i="12"/>
  <c r="U22" i="12"/>
  <c r="V22" i="12"/>
  <c r="L22" i="12"/>
  <c r="X22" i="12"/>
  <c r="Y22" i="12"/>
  <c r="Z22" i="12"/>
  <c r="N21" i="11"/>
  <c r="S23" i="12"/>
  <c r="T23" i="12"/>
  <c r="U23" i="12"/>
  <c r="V23" i="12"/>
  <c r="L23" i="12"/>
  <c r="X23" i="12"/>
  <c r="Y23" i="12"/>
  <c r="Z23" i="12"/>
  <c r="N22" i="11"/>
  <c r="S24" i="12"/>
  <c r="T24" i="12"/>
  <c r="U24" i="12"/>
  <c r="V24" i="12"/>
  <c r="L24" i="12"/>
  <c r="X24" i="12"/>
  <c r="Y24" i="12"/>
  <c r="Z24" i="12"/>
  <c r="N23" i="11"/>
  <c r="N24" i="11"/>
  <c r="S26" i="12"/>
  <c r="T26" i="12"/>
  <c r="U26" i="12"/>
  <c r="V26" i="12"/>
  <c r="L26" i="12"/>
  <c r="X26" i="12"/>
  <c r="Y26" i="12"/>
  <c r="Z26" i="12"/>
  <c r="N25" i="11"/>
  <c r="S27" i="12"/>
  <c r="T27" i="12"/>
  <c r="U27" i="12"/>
  <c r="V27" i="12"/>
  <c r="L27" i="12"/>
  <c r="X27" i="12"/>
  <c r="Y27" i="12"/>
  <c r="Z27" i="12"/>
  <c r="N26" i="11"/>
  <c r="S28" i="12"/>
  <c r="T28" i="12"/>
  <c r="U28" i="12"/>
  <c r="V28" i="12"/>
  <c r="L28" i="12"/>
  <c r="X28" i="12"/>
  <c r="Y28" i="12"/>
  <c r="Z28" i="12"/>
  <c r="N27" i="11"/>
  <c r="T12" i="12"/>
  <c r="U12" i="12"/>
  <c r="L12" i="12"/>
  <c r="C75" i="11"/>
  <c r="D75" i="11"/>
  <c r="E75" i="11"/>
  <c r="F75" i="11"/>
  <c r="H75" i="11"/>
  <c r="J158" i="13"/>
  <c r="I158" i="13"/>
  <c r="H158" i="13"/>
  <c r="H161" i="13"/>
  <c r="H149" i="13"/>
  <c r="J159" i="13"/>
  <c r="I159" i="13"/>
  <c r="H159" i="13"/>
  <c r="H162" i="13"/>
  <c r="H163" i="13"/>
  <c r="H78" i="13"/>
  <c r="H180" i="13"/>
  <c r="H181" i="13"/>
  <c r="H182" i="13"/>
  <c r="H183" i="13"/>
  <c r="I183" i="13"/>
  <c r="H184" i="13"/>
  <c r="I161" i="13"/>
  <c r="I162" i="13"/>
  <c r="I163" i="13"/>
  <c r="I78" i="13"/>
  <c r="I180" i="13"/>
  <c r="I181" i="13"/>
  <c r="I182" i="13"/>
  <c r="I184" i="13"/>
  <c r="J161" i="13"/>
  <c r="J162" i="13"/>
  <c r="J163" i="13"/>
  <c r="J78" i="13"/>
  <c r="J180" i="13"/>
  <c r="J181" i="13"/>
  <c r="J182" i="13"/>
  <c r="J184" i="13"/>
  <c r="J186" i="13"/>
  <c r="H52" i="11"/>
  <c r="P52" i="11"/>
  <c r="C116" i="11"/>
  <c r="D116" i="11"/>
  <c r="E116" i="11"/>
  <c r="F116" i="11"/>
  <c r="H116" i="11"/>
  <c r="AB52" i="11"/>
  <c r="H53" i="11"/>
  <c r="P53" i="11"/>
  <c r="C117" i="11"/>
  <c r="D117" i="11"/>
  <c r="E117" i="11"/>
  <c r="F117" i="11"/>
  <c r="H117" i="11"/>
  <c r="AB53" i="11"/>
  <c r="H54" i="11"/>
  <c r="P54" i="11"/>
  <c r="C118" i="11"/>
  <c r="D118" i="11"/>
  <c r="E118" i="11"/>
  <c r="F118" i="11"/>
  <c r="H118" i="11"/>
  <c r="AB54" i="11"/>
  <c r="H56" i="11"/>
  <c r="P56" i="11"/>
  <c r="C120" i="11"/>
  <c r="D120" i="11"/>
  <c r="E120" i="11"/>
  <c r="F120" i="11"/>
  <c r="H120" i="11"/>
  <c r="AB56" i="11"/>
  <c r="H57" i="11"/>
  <c r="P57" i="11"/>
  <c r="C121" i="11"/>
  <c r="D121" i="11"/>
  <c r="E121" i="11"/>
  <c r="F121" i="11"/>
  <c r="H121" i="11"/>
  <c r="AB57" i="11"/>
  <c r="H58" i="11"/>
  <c r="P58" i="11"/>
  <c r="C122" i="11"/>
  <c r="D122" i="11"/>
  <c r="E122" i="11"/>
  <c r="F122" i="11"/>
  <c r="H122" i="11"/>
  <c r="AB58" i="11"/>
  <c r="H60" i="11"/>
  <c r="P60" i="11"/>
  <c r="C124" i="11"/>
  <c r="D124" i="11"/>
  <c r="E124" i="11"/>
  <c r="F124" i="11"/>
  <c r="H124" i="11"/>
  <c r="AB60" i="11"/>
  <c r="H61" i="11"/>
  <c r="P61" i="11"/>
  <c r="C125" i="11"/>
  <c r="D125" i="11"/>
  <c r="E125" i="11"/>
  <c r="F125" i="11"/>
  <c r="H125" i="11"/>
  <c r="AB61" i="11"/>
  <c r="H62" i="11"/>
  <c r="P62" i="11"/>
  <c r="C126" i="11"/>
  <c r="D126" i="11"/>
  <c r="E126" i="11"/>
  <c r="F126" i="11"/>
  <c r="H126" i="11"/>
  <c r="AB62" i="11"/>
  <c r="H63" i="11"/>
  <c r="P63" i="11"/>
  <c r="C127" i="11"/>
  <c r="D127" i="11"/>
  <c r="E127" i="11"/>
  <c r="F127" i="11"/>
  <c r="H127" i="11"/>
  <c r="AB63" i="11"/>
  <c r="AB65" i="11"/>
  <c r="C76" i="11"/>
  <c r="D76" i="11"/>
  <c r="E76" i="11"/>
  <c r="F76" i="11"/>
  <c r="H76" i="11"/>
  <c r="H12" i="11"/>
  <c r="P12" i="11"/>
  <c r="AB12" i="11"/>
  <c r="C77" i="11"/>
  <c r="D77" i="11"/>
  <c r="E77" i="11"/>
  <c r="F77" i="11"/>
  <c r="H77" i="11"/>
  <c r="H13" i="11"/>
  <c r="P13" i="11"/>
  <c r="AB13" i="11"/>
  <c r="C78" i="11"/>
  <c r="D78" i="11"/>
  <c r="E78" i="11"/>
  <c r="F78" i="11"/>
  <c r="H78" i="11"/>
  <c r="H14" i="11"/>
  <c r="P14" i="11"/>
  <c r="AB14" i="11"/>
  <c r="C79" i="11"/>
  <c r="D79" i="11"/>
  <c r="E79" i="11"/>
  <c r="F79" i="11"/>
  <c r="H79" i="11"/>
  <c r="H15" i="11"/>
  <c r="P15" i="11"/>
  <c r="AB15" i="11"/>
  <c r="C80" i="11"/>
  <c r="D80" i="11"/>
  <c r="E80" i="11"/>
  <c r="F80" i="11"/>
  <c r="H80" i="11"/>
  <c r="H16" i="11"/>
  <c r="P16" i="11"/>
  <c r="AB16" i="11"/>
  <c r="C81" i="11"/>
  <c r="D81" i="11"/>
  <c r="E81" i="11"/>
  <c r="F81" i="11"/>
  <c r="H81" i="11"/>
  <c r="H17" i="11"/>
  <c r="P17" i="11"/>
  <c r="AB17" i="11"/>
  <c r="C82" i="11"/>
  <c r="D82" i="11"/>
  <c r="E82" i="11"/>
  <c r="F82" i="11"/>
  <c r="H82" i="11"/>
  <c r="H18" i="11"/>
  <c r="P18" i="11"/>
  <c r="AB18" i="11"/>
  <c r="C83" i="11"/>
  <c r="D83" i="11"/>
  <c r="E83" i="11"/>
  <c r="F83" i="11"/>
  <c r="H83" i="11"/>
  <c r="H19" i="11"/>
  <c r="P19" i="11"/>
  <c r="AB19" i="11"/>
  <c r="C84" i="11"/>
  <c r="D84" i="11"/>
  <c r="E84" i="11"/>
  <c r="F84" i="11"/>
  <c r="H84" i="11"/>
  <c r="H20" i="11"/>
  <c r="P20" i="11"/>
  <c r="AB20" i="11"/>
  <c r="D85" i="11"/>
  <c r="E85" i="11"/>
  <c r="H85" i="11"/>
  <c r="H21" i="11"/>
  <c r="P21" i="11"/>
  <c r="AB21" i="11"/>
  <c r="C86" i="11"/>
  <c r="D86" i="11"/>
  <c r="E86" i="11"/>
  <c r="F86" i="11"/>
  <c r="H86" i="11"/>
  <c r="H22" i="11"/>
  <c r="P22" i="11"/>
  <c r="AB22" i="11"/>
  <c r="C87" i="11"/>
  <c r="D87" i="11"/>
  <c r="E87" i="11"/>
  <c r="F87" i="11"/>
  <c r="H87" i="11"/>
  <c r="H23" i="11"/>
  <c r="P23" i="11"/>
  <c r="AB23" i="11"/>
  <c r="C88" i="11"/>
  <c r="D88" i="11"/>
  <c r="E88" i="11"/>
  <c r="F88" i="11"/>
  <c r="H88" i="11"/>
  <c r="H24" i="11"/>
  <c r="P24" i="11"/>
  <c r="AB24" i="11"/>
  <c r="C89" i="11"/>
  <c r="D89" i="11"/>
  <c r="E89" i="11"/>
  <c r="F89" i="11"/>
  <c r="H89" i="11"/>
  <c r="H25" i="11"/>
  <c r="P25" i="11"/>
  <c r="AB25" i="11"/>
  <c r="C90" i="11"/>
  <c r="D90" i="11"/>
  <c r="E90" i="11"/>
  <c r="F90" i="11"/>
  <c r="H90" i="11"/>
  <c r="H26" i="11"/>
  <c r="P26" i="11"/>
  <c r="AB26" i="11"/>
  <c r="C91" i="11"/>
  <c r="D91" i="11"/>
  <c r="E91" i="11"/>
  <c r="F91" i="11"/>
  <c r="H91" i="11"/>
  <c r="H27" i="11"/>
  <c r="P27" i="11"/>
  <c r="AB27" i="11"/>
  <c r="H29" i="11"/>
  <c r="P29" i="11"/>
  <c r="C93" i="11"/>
  <c r="D93" i="11"/>
  <c r="E93" i="11"/>
  <c r="F93" i="11"/>
  <c r="H93" i="11"/>
  <c r="AB29" i="11"/>
  <c r="H30" i="11"/>
  <c r="P30" i="11"/>
  <c r="C94" i="11"/>
  <c r="D94" i="11"/>
  <c r="E94" i="11"/>
  <c r="F94" i="11"/>
  <c r="H94" i="11"/>
  <c r="AB30" i="11"/>
  <c r="H31" i="11"/>
  <c r="P31" i="11"/>
  <c r="C95" i="11"/>
  <c r="D95" i="11"/>
  <c r="E95" i="11"/>
  <c r="F95" i="11"/>
  <c r="H95" i="11"/>
  <c r="AB31" i="11"/>
  <c r="H32" i="11"/>
  <c r="P32" i="11"/>
  <c r="C96" i="11"/>
  <c r="D96" i="11"/>
  <c r="E96" i="11"/>
  <c r="F96" i="11"/>
  <c r="H96" i="11"/>
  <c r="AB32" i="11"/>
  <c r="H33" i="11"/>
  <c r="P33" i="11"/>
  <c r="C97" i="11"/>
  <c r="D97" i="11"/>
  <c r="E97" i="11"/>
  <c r="F97" i="11"/>
  <c r="H97" i="11"/>
  <c r="AB33" i="11"/>
  <c r="H34" i="11"/>
  <c r="P34" i="11"/>
  <c r="C98" i="11"/>
  <c r="D98" i="11"/>
  <c r="E98" i="11"/>
  <c r="F98" i="11"/>
  <c r="H98" i="11"/>
  <c r="AB34" i="11"/>
  <c r="H35" i="11"/>
  <c r="P35" i="11"/>
  <c r="C99" i="11"/>
  <c r="D99" i="11"/>
  <c r="E99" i="11"/>
  <c r="F99" i="11"/>
  <c r="H99" i="11"/>
  <c r="AB35" i="11"/>
  <c r="H36" i="11"/>
  <c r="P36" i="11"/>
  <c r="C100" i="11"/>
  <c r="D100" i="11"/>
  <c r="E100" i="11"/>
  <c r="F100" i="11"/>
  <c r="H100" i="11"/>
  <c r="AB36" i="11"/>
  <c r="H37" i="11"/>
  <c r="P37" i="11"/>
  <c r="C101" i="11"/>
  <c r="D101" i="11"/>
  <c r="E101" i="11"/>
  <c r="F101" i="11"/>
  <c r="H101" i="11"/>
  <c r="AB37" i="11"/>
  <c r="H38" i="11"/>
  <c r="P38" i="11"/>
  <c r="C102" i="11"/>
  <c r="D102" i="11"/>
  <c r="E102" i="11"/>
  <c r="F102" i="11"/>
  <c r="H102" i="11"/>
  <c r="AB38" i="11"/>
  <c r="C103" i="11"/>
  <c r="D103" i="11"/>
  <c r="E103" i="11"/>
  <c r="F103" i="11"/>
  <c r="H103" i="11"/>
  <c r="H39" i="11"/>
  <c r="P39" i="11"/>
  <c r="AB39" i="11"/>
  <c r="C104" i="11"/>
  <c r="D104" i="11"/>
  <c r="E104" i="11"/>
  <c r="F104" i="11"/>
  <c r="H104" i="11"/>
  <c r="H40" i="11"/>
  <c r="P40" i="11"/>
  <c r="AB40" i="11"/>
  <c r="C105" i="11"/>
  <c r="D105" i="11"/>
  <c r="E105" i="11"/>
  <c r="F105" i="11"/>
  <c r="H105" i="11"/>
  <c r="H41" i="11"/>
  <c r="P41" i="11"/>
  <c r="AB41" i="11"/>
  <c r="C106" i="11"/>
  <c r="D106" i="11"/>
  <c r="E106" i="11"/>
  <c r="F106" i="11"/>
  <c r="H106" i="11"/>
  <c r="H42" i="11"/>
  <c r="P42" i="11"/>
  <c r="AB42" i="11"/>
  <c r="H44" i="11"/>
  <c r="P44" i="11"/>
  <c r="C108" i="11"/>
  <c r="D108" i="11"/>
  <c r="E108" i="11"/>
  <c r="F108" i="11"/>
  <c r="H108" i="11"/>
  <c r="AB44" i="11"/>
  <c r="H45" i="11"/>
  <c r="P45" i="11"/>
  <c r="C109" i="11"/>
  <c r="D109" i="11"/>
  <c r="E109" i="11"/>
  <c r="F109" i="11"/>
  <c r="H109" i="11"/>
  <c r="AB45" i="11"/>
  <c r="H46" i="11"/>
  <c r="P46" i="11"/>
  <c r="C110" i="11"/>
  <c r="D110" i="11"/>
  <c r="E110" i="11"/>
  <c r="F110" i="11"/>
  <c r="H110" i="11"/>
  <c r="AB46" i="11"/>
  <c r="H47" i="11"/>
  <c r="P47" i="11"/>
  <c r="C111" i="11"/>
  <c r="D111" i="11"/>
  <c r="E111" i="11"/>
  <c r="F111" i="11"/>
  <c r="H111" i="11"/>
  <c r="AB47" i="11"/>
  <c r="AB49" i="11"/>
  <c r="AB67" i="11"/>
  <c r="C35" i="8"/>
  <c r="H197" i="13"/>
  <c r="I52" i="11"/>
  <c r="Q52" i="11"/>
  <c r="I116" i="11"/>
  <c r="AC52" i="11"/>
  <c r="I53" i="11"/>
  <c r="Q53" i="11"/>
  <c r="I117" i="11"/>
  <c r="AC53" i="11"/>
  <c r="I54" i="11"/>
  <c r="Q54" i="11"/>
  <c r="I118" i="11"/>
  <c r="AC54" i="11"/>
  <c r="I56" i="11"/>
  <c r="Q56" i="11"/>
  <c r="I120" i="11"/>
  <c r="AC56" i="11"/>
  <c r="I57" i="11"/>
  <c r="Q57" i="11"/>
  <c r="I121" i="11"/>
  <c r="AC57" i="11"/>
  <c r="I58" i="11"/>
  <c r="Q58" i="11"/>
  <c r="I122" i="11"/>
  <c r="AC58" i="11"/>
  <c r="I60" i="11"/>
  <c r="Q60" i="11"/>
  <c r="I124" i="11"/>
  <c r="AC60" i="11"/>
  <c r="I61" i="11"/>
  <c r="Q61" i="11"/>
  <c r="I125" i="11"/>
  <c r="AC61" i="11"/>
  <c r="I62" i="11"/>
  <c r="Q62" i="11"/>
  <c r="I126" i="11"/>
  <c r="AC62" i="11"/>
  <c r="I63" i="11"/>
  <c r="Q63" i="11"/>
  <c r="I127" i="11"/>
  <c r="AC63" i="11"/>
  <c r="AC65" i="11"/>
  <c r="I75" i="11"/>
  <c r="I11" i="11"/>
  <c r="Q11" i="11"/>
  <c r="AC11" i="11"/>
  <c r="I76" i="11"/>
  <c r="I12" i="11"/>
  <c r="Q12" i="11"/>
  <c r="AC12" i="11"/>
  <c r="I77" i="11"/>
  <c r="I13" i="11"/>
  <c r="Q13" i="11"/>
  <c r="AC13" i="11"/>
  <c r="I78" i="11"/>
  <c r="I14" i="11"/>
  <c r="Q14" i="11"/>
  <c r="AC14" i="11"/>
  <c r="I79" i="11"/>
  <c r="I15" i="11"/>
  <c r="Q15" i="11"/>
  <c r="AC15" i="11"/>
  <c r="I80" i="11"/>
  <c r="I16" i="11"/>
  <c r="Q16" i="11"/>
  <c r="AC16" i="11"/>
  <c r="I81" i="11"/>
  <c r="I17" i="11"/>
  <c r="Q17" i="11"/>
  <c r="AC17" i="11"/>
  <c r="I82" i="11"/>
  <c r="I18" i="11"/>
  <c r="Q18" i="11"/>
  <c r="AC18" i="11"/>
  <c r="I83" i="11"/>
  <c r="I19" i="11"/>
  <c r="Q19" i="11"/>
  <c r="AC19" i="11"/>
  <c r="I84" i="11"/>
  <c r="I20" i="11"/>
  <c r="Q20" i="11"/>
  <c r="AC20" i="11"/>
  <c r="I85" i="11"/>
  <c r="I21" i="11"/>
  <c r="Q21" i="11"/>
  <c r="AC21" i="11"/>
  <c r="I86" i="11"/>
  <c r="I22" i="11"/>
  <c r="Q22" i="11"/>
  <c r="AC22" i="11"/>
  <c r="I87" i="11"/>
  <c r="I23" i="11"/>
  <c r="Q23" i="11"/>
  <c r="AC23" i="11"/>
  <c r="I88" i="11"/>
  <c r="I24" i="11"/>
  <c r="Q24" i="11"/>
  <c r="AC24" i="11"/>
  <c r="I89" i="11"/>
  <c r="I25" i="11"/>
  <c r="Q25" i="11"/>
  <c r="AC25" i="11"/>
  <c r="I90" i="11"/>
  <c r="I26" i="11"/>
  <c r="Q26" i="11"/>
  <c r="AC26" i="11"/>
  <c r="I91" i="11"/>
  <c r="I27" i="11"/>
  <c r="Q27" i="11"/>
  <c r="AC27" i="11"/>
  <c r="I29" i="11"/>
  <c r="Q29" i="11"/>
  <c r="I93" i="11"/>
  <c r="AC29" i="11"/>
  <c r="I30" i="11"/>
  <c r="Q30" i="11"/>
  <c r="I94" i="11"/>
  <c r="AC30" i="11"/>
  <c r="I31" i="11"/>
  <c r="Q31" i="11"/>
  <c r="I95" i="11"/>
  <c r="AC31" i="11"/>
  <c r="I32" i="11"/>
  <c r="Q32" i="11"/>
  <c r="I96" i="11"/>
  <c r="AC32" i="11"/>
  <c r="I33" i="11"/>
  <c r="Q33" i="11"/>
  <c r="I97" i="11"/>
  <c r="AC33" i="11"/>
  <c r="I34" i="11"/>
  <c r="Q34" i="11"/>
  <c r="I98" i="11"/>
  <c r="AC34" i="11"/>
  <c r="I35" i="11"/>
  <c r="Q35" i="11"/>
  <c r="I99" i="11"/>
  <c r="AC35" i="11"/>
  <c r="I36" i="11"/>
  <c r="Q36" i="11"/>
  <c r="I100" i="11"/>
  <c r="AC36" i="11"/>
  <c r="I37" i="11"/>
  <c r="Q37" i="11"/>
  <c r="I101" i="11"/>
  <c r="AC37" i="11"/>
  <c r="I38" i="11"/>
  <c r="Q38" i="11"/>
  <c r="I102" i="11"/>
  <c r="AC38" i="11"/>
  <c r="I103" i="11"/>
  <c r="I39" i="11"/>
  <c r="Q39" i="11"/>
  <c r="AC39" i="11"/>
  <c r="I104" i="11"/>
  <c r="I40" i="11"/>
  <c r="Q40" i="11"/>
  <c r="AC40" i="11"/>
  <c r="I105" i="11"/>
  <c r="I41" i="11"/>
  <c r="Q41" i="11"/>
  <c r="AC41" i="11"/>
  <c r="I106" i="11"/>
  <c r="I42" i="11"/>
  <c r="Q42" i="11"/>
  <c r="AC42" i="11"/>
  <c r="I44" i="11"/>
  <c r="Q44" i="11"/>
  <c r="I108" i="11"/>
  <c r="AC44" i="11"/>
  <c r="I45" i="11"/>
  <c r="Q45" i="11"/>
  <c r="I109" i="11"/>
  <c r="AC45" i="11"/>
  <c r="I46" i="11"/>
  <c r="Q46" i="11"/>
  <c r="I110" i="11"/>
  <c r="AC46" i="11"/>
  <c r="I47" i="11"/>
  <c r="Q47" i="11"/>
  <c r="I111" i="11"/>
  <c r="AC47" i="11"/>
  <c r="AC49" i="11"/>
  <c r="AC67" i="11"/>
  <c r="D35" i="8"/>
  <c r="I197" i="13"/>
  <c r="J52" i="11"/>
  <c r="R52" i="11"/>
  <c r="J116" i="11"/>
  <c r="AD52" i="11"/>
  <c r="J53" i="11"/>
  <c r="R53" i="11"/>
  <c r="J117" i="11"/>
  <c r="AD53" i="11"/>
  <c r="J54" i="11"/>
  <c r="R54" i="11"/>
  <c r="J118" i="11"/>
  <c r="AD54" i="11"/>
  <c r="J56" i="11"/>
  <c r="R56" i="11"/>
  <c r="J120" i="11"/>
  <c r="AD56" i="11"/>
  <c r="J57" i="11"/>
  <c r="R57" i="11"/>
  <c r="J121" i="11"/>
  <c r="AD57" i="11"/>
  <c r="J58" i="11"/>
  <c r="R58" i="11"/>
  <c r="J122" i="11"/>
  <c r="AD58" i="11"/>
  <c r="J60" i="11"/>
  <c r="R60" i="11"/>
  <c r="J124" i="11"/>
  <c r="AD60" i="11"/>
  <c r="J61" i="11"/>
  <c r="R61" i="11"/>
  <c r="J125" i="11"/>
  <c r="AD61" i="11"/>
  <c r="J62" i="11"/>
  <c r="R62" i="11"/>
  <c r="J126" i="11"/>
  <c r="AD62" i="11"/>
  <c r="J63" i="11"/>
  <c r="R63" i="11"/>
  <c r="J127" i="11"/>
  <c r="AD63" i="11"/>
  <c r="AD65" i="11"/>
  <c r="J75" i="11"/>
  <c r="J11" i="11"/>
  <c r="R11" i="11"/>
  <c r="AD11" i="11"/>
  <c r="J76" i="11"/>
  <c r="J12" i="11"/>
  <c r="R12" i="11"/>
  <c r="AD12" i="11"/>
  <c r="J77" i="11"/>
  <c r="J13" i="11"/>
  <c r="R13" i="11"/>
  <c r="AD13" i="11"/>
  <c r="J78" i="11"/>
  <c r="J14" i="11"/>
  <c r="R14" i="11"/>
  <c r="AD14" i="11"/>
  <c r="J79" i="11"/>
  <c r="J15" i="11"/>
  <c r="R15" i="11"/>
  <c r="AD15" i="11"/>
  <c r="J80" i="11"/>
  <c r="J16" i="11"/>
  <c r="R16" i="11"/>
  <c r="AD16" i="11"/>
  <c r="J81" i="11"/>
  <c r="J17" i="11"/>
  <c r="R17" i="11"/>
  <c r="AD17" i="11"/>
  <c r="J82" i="11"/>
  <c r="J18" i="11"/>
  <c r="R18" i="11"/>
  <c r="AD18" i="11"/>
  <c r="J83" i="11"/>
  <c r="J19" i="11"/>
  <c r="R19" i="11"/>
  <c r="AD19" i="11"/>
  <c r="J84" i="11"/>
  <c r="J20" i="11"/>
  <c r="R20" i="11"/>
  <c r="AD20" i="11"/>
  <c r="J85" i="11"/>
  <c r="J21" i="11"/>
  <c r="R21" i="11"/>
  <c r="AD21" i="11"/>
  <c r="J86" i="11"/>
  <c r="J22" i="11"/>
  <c r="R22" i="11"/>
  <c r="AD22" i="11"/>
  <c r="J87" i="11"/>
  <c r="J23" i="11"/>
  <c r="R23" i="11"/>
  <c r="AD23" i="11"/>
  <c r="J88" i="11"/>
  <c r="J24" i="11"/>
  <c r="R24" i="11"/>
  <c r="AD24" i="11"/>
  <c r="J89" i="11"/>
  <c r="J25" i="11"/>
  <c r="R25" i="11"/>
  <c r="AD25" i="11"/>
  <c r="J90" i="11"/>
  <c r="J26" i="11"/>
  <c r="R26" i="11"/>
  <c r="AD26" i="11"/>
  <c r="J91" i="11"/>
  <c r="J27" i="11"/>
  <c r="R27" i="11"/>
  <c r="AD27" i="11"/>
  <c r="J29" i="11"/>
  <c r="R29" i="11"/>
  <c r="J93" i="11"/>
  <c r="AD29" i="11"/>
  <c r="J30" i="11"/>
  <c r="R30" i="11"/>
  <c r="J94" i="11"/>
  <c r="AD30" i="11"/>
  <c r="J31" i="11"/>
  <c r="R31" i="11"/>
  <c r="J95" i="11"/>
  <c r="AD31" i="11"/>
  <c r="J32" i="11"/>
  <c r="R32" i="11"/>
  <c r="J96" i="11"/>
  <c r="AD32" i="11"/>
  <c r="J33" i="11"/>
  <c r="R33" i="11"/>
  <c r="J97" i="11"/>
  <c r="AD33" i="11"/>
  <c r="J34" i="11"/>
  <c r="R34" i="11"/>
  <c r="J98" i="11"/>
  <c r="AD34" i="11"/>
  <c r="J35" i="11"/>
  <c r="R35" i="11"/>
  <c r="J99" i="11"/>
  <c r="AD35" i="11"/>
  <c r="J36" i="11"/>
  <c r="R36" i="11"/>
  <c r="J100" i="11"/>
  <c r="AD36" i="11"/>
  <c r="J37" i="11"/>
  <c r="R37" i="11"/>
  <c r="J101" i="11"/>
  <c r="AD37" i="11"/>
  <c r="J38" i="11"/>
  <c r="R38" i="11"/>
  <c r="J102" i="11"/>
  <c r="AD38" i="11"/>
  <c r="J103" i="11"/>
  <c r="J39" i="11"/>
  <c r="R39" i="11"/>
  <c r="AD39" i="11"/>
  <c r="J104" i="11"/>
  <c r="J40" i="11"/>
  <c r="R40" i="11"/>
  <c r="AD40" i="11"/>
  <c r="J105" i="11"/>
  <c r="J41" i="11"/>
  <c r="R41" i="11"/>
  <c r="AD41" i="11"/>
  <c r="J106" i="11"/>
  <c r="J42" i="11"/>
  <c r="R42" i="11"/>
  <c r="AD42" i="11"/>
  <c r="J44" i="11"/>
  <c r="R44" i="11"/>
  <c r="J108" i="11"/>
  <c r="AD44" i="11"/>
  <c r="J45" i="11"/>
  <c r="R45" i="11"/>
  <c r="J109" i="11"/>
  <c r="AD45" i="11"/>
  <c r="J46" i="11"/>
  <c r="R46" i="11"/>
  <c r="J110" i="11"/>
  <c r="AD46" i="11"/>
  <c r="J47" i="11"/>
  <c r="R47" i="11"/>
  <c r="J111" i="11"/>
  <c r="AD47" i="11"/>
  <c r="AD49" i="11"/>
  <c r="AD67" i="11"/>
  <c r="E35" i="8"/>
  <c r="J197" i="13"/>
  <c r="K52" i="11"/>
  <c r="S52" i="11"/>
  <c r="K116" i="11"/>
  <c r="AE52" i="11"/>
  <c r="K53" i="11"/>
  <c r="S53" i="11"/>
  <c r="K117" i="11"/>
  <c r="AE53" i="11"/>
  <c r="K54" i="11"/>
  <c r="S54" i="11"/>
  <c r="K118" i="11"/>
  <c r="AE54" i="11"/>
  <c r="K56" i="11"/>
  <c r="S56" i="11"/>
  <c r="K120" i="11"/>
  <c r="AE56" i="11"/>
  <c r="K57" i="11"/>
  <c r="S57" i="11"/>
  <c r="K121" i="11"/>
  <c r="AE57" i="11"/>
  <c r="K58" i="11"/>
  <c r="S58" i="11"/>
  <c r="K122" i="11"/>
  <c r="AE58" i="11"/>
  <c r="K60" i="11"/>
  <c r="S60" i="11"/>
  <c r="K124" i="11"/>
  <c r="AE60" i="11"/>
  <c r="K61" i="11"/>
  <c r="S61" i="11"/>
  <c r="K125" i="11"/>
  <c r="AE61" i="11"/>
  <c r="K62" i="11"/>
  <c r="S62" i="11"/>
  <c r="K126" i="11"/>
  <c r="AE62" i="11"/>
  <c r="K63" i="11"/>
  <c r="S63" i="11"/>
  <c r="K127" i="11"/>
  <c r="AE63" i="11"/>
  <c r="AE65" i="11"/>
  <c r="K75" i="11"/>
  <c r="K11" i="11"/>
  <c r="S11" i="11"/>
  <c r="AE11" i="11"/>
  <c r="K76" i="11"/>
  <c r="K12" i="11"/>
  <c r="S12" i="11"/>
  <c r="AE12" i="11"/>
  <c r="K77" i="11"/>
  <c r="K13" i="11"/>
  <c r="S13" i="11"/>
  <c r="AE13" i="11"/>
  <c r="K78" i="11"/>
  <c r="K14" i="11"/>
  <c r="S14" i="11"/>
  <c r="AE14" i="11"/>
  <c r="K79" i="11"/>
  <c r="K15" i="11"/>
  <c r="S15" i="11"/>
  <c r="AE15" i="11"/>
  <c r="K80" i="11"/>
  <c r="K16" i="11"/>
  <c r="S16" i="11"/>
  <c r="AE16" i="11"/>
  <c r="K81" i="11"/>
  <c r="K17" i="11"/>
  <c r="S17" i="11"/>
  <c r="AE17" i="11"/>
  <c r="K82" i="11"/>
  <c r="K18" i="11"/>
  <c r="S18" i="11"/>
  <c r="AE18" i="11"/>
  <c r="K83" i="11"/>
  <c r="K19" i="11"/>
  <c r="S19" i="11"/>
  <c r="AE19" i="11"/>
  <c r="K84" i="11"/>
  <c r="K20" i="11"/>
  <c r="S20" i="11"/>
  <c r="AE20" i="11"/>
  <c r="K85" i="11"/>
  <c r="K21" i="11"/>
  <c r="S21" i="11"/>
  <c r="AE21" i="11"/>
  <c r="K86" i="11"/>
  <c r="K22" i="11"/>
  <c r="S22" i="11"/>
  <c r="AE22" i="11"/>
  <c r="K87" i="11"/>
  <c r="K23" i="11"/>
  <c r="S23" i="11"/>
  <c r="AE23" i="11"/>
  <c r="K88" i="11"/>
  <c r="K24" i="11"/>
  <c r="S24" i="11"/>
  <c r="AE24" i="11"/>
  <c r="K89" i="11"/>
  <c r="K25" i="11"/>
  <c r="S25" i="11"/>
  <c r="AE25" i="11"/>
  <c r="K90" i="11"/>
  <c r="K26" i="11"/>
  <c r="S26" i="11"/>
  <c r="AE26" i="11"/>
  <c r="K91" i="11"/>
  <c r="K27" i="11"/>
  <c r="S27" i="11"/>
  <c r="AE27" i="11"/>
  <c r="K29" i="11"/>
  <c r="S29" i="11"/>
  <c r="K93" i="11"/>
  <c r="AE29" i="11"/>
  <c r="K30" i="11"/>
  <c r="S30" i="11"/>
  <c r="K94" i="11"/>
  <c r="AE30" i="11"/>
  <c r="K31" i="11"/>
  <c r="S31" i="11"/>
  <c r="K95" i="11"/>
  <c r="AE31" i="11"/>
  <c r="K32" i="11"/>
  <c r="S32" i="11"/>
  <c r="K96" i="11"/>
  <c r="AE32" i="11"/>
  <c r="K33" i="11"/>
  <c r="S33" i="11"/>
  <c r="K97" i="11"/>
  <c r="AE33" i="11"/>
  <c r="K34" i="11"/>
  <c r="S34" i="11"/>
  <c r="K98" i="11"/>
  <c r="AE34" i="11"/>
  <c r="K35" i="11"/>
  <c r="S35" i="11"/>
  <c r="K99" i="11"/>
  <c r="AE35" i="11"/>
  <c r="K36" i="11"/>
  <c r="S36" i="11"/>
  <c r="K100" i="11"/>
  <c r="AE36" i="11"/>
  <c r="K37" i="11"/>
  <c r="S37" i="11"/>
  <c r="K101" i="11"/>
  <c r="AE37" i="11"/>
  <c r="K38" i="11"/>
  <c r="S38" i="11"/>
  <c r="K102" i="11"/>
  <c r="AE38" i="11"/>
  <c r="K103" i="11"/>
  <c r="K39" i="11"/>
  <c r="S39" i="11"/>
  <c r="AE39" i="11"/>
  <c r="K104" i="11"/>
  <c r="K40" i="11"/>
  <c r="S40" i="11"/>
  <c r="AE40" i="11"/>
  <c r="K105" i="11"/>
  <c r="K41" i="11"/>
  <c r="S41" i="11"/>
  <c r="AE41" i="11"/>
  <c r="K106" i="11"/>
  <c r="K42" i="11"/>
  <c r="S42" i="11"/>
  <c r="AE42" i="11"/>
  <c r="K44" i="11"/>
  <c r="S44" i="11"/>
  <c r="K108" i="11"/>
  <c r="AE44" i="11"/>
  <c r="K45" i="11"/>
  <c r="S45" i="11"/>
  <c r="K109" i="11"/>
  <c r="AE45" i="11"/>
  <c r="K46" i="11"/>
  <c r="S46" i="11"/>
  <c r="K110" i="11"/>
  <c r="AE46" i="11"/>
  <c r="K47" i="11"/>
  <c r="S47" i="11"/>
  <c r="K111" i="11"/>
  <c r="AE47" i="11"/>
  <c r="AE49" i="11"/>
  <c r="AE67" i="11"/>
  <c r="F35" i="8"/>
  <c r="K197" i="13"/>
  <c r="L52" i="11"/>
  <c r="T52" i="11"/>
  <c r="L116" i="11"/>
  <c r="AF52" i="11"/>
  <c r="L53" i="11"/>
  <c r="T53" i="11"/>
  <c r="L117" i="11"/>
  <c r="AF53" i="11"/>
  <c r="L54" i="11"/>
  <c r="T54" i="11"/>
  <c r="L118" i="11"/>
  <c r="AF54" i="11"/>
  <c r="L56" i="11"/>
  <c r="T56" i="11"/>
  <c r="L120" i="11"/>
  <c r="AF56" i="11"/>
  <c r="L57" i="11"/>
  <c r="T57" i="11"/>
  <c r="L121" i="11"/>
  <c r="AF57" i="11"/>
  <c r="L58" i="11"/>
  <c r="T58" i="11"/>
  <c r="L122" i="11"/>
  <c r="AF58" i="11"/>
  <c r="L60" i="11"/>
  <c r="T60" i="11"/>
  <c r="L124" i="11"/>
  <c r="AF60" i="11"/>
  <c r="L61" i="11"/>
  <c r="T61" i="11"/>
  <c r="L125" i="11"/>
  <c r="AF61" i="11"/>
  <c r="L62" i="11"/>
  <c r="T62" i="11"/>
  <c r="L126" i="11"/>
  <c r="AF62" i="11"/>
  <c r="L63" i="11"/>
  <c r="T63" i="11"/>
  <c r="L127" i="11"/>
  <c r="AF63" i="11"/>
  <c r="AF65" i="11"/>
  <c r="L75" i="11"/>
  <c r="L11" i="11"/>
  <c r="T11" i="11"/>
  <c r="AF11" i="11"/>
  <c r="L76" i="11"/>
  <c r="L12" i="11"/>
  <c r="T12" i="11"/>
  <c r="AF12" i="11"/>
  <c r="L77" i="11"/>
  <c r="L13" i="11"/>
  <c r="T13" i="11"/>
  <c r="AF13" i="11"/>
  <c r="L78" i="11"/>
  <c r="L14" i="11"/>
  <c r="T14" i="11"/>
  <c r="AF14" i="11"/>
  <c r="L79" i="11"/>
  <c r="L15" i="11"/>
  <c r="T15" i="11"/>
  <c r="AF15" i="11"/>
  <c r="L80" i="11"/>
  <c r="L16" i="11"/>
  <c r="T16" i="11"/>
  <c r="AF16" i="11"/>
  <c r="L81" i="11"/>
  <c r="L17" i="11"/>
  <c r="T17" i="11"/>
  <c r="AF17" i="11"/>
  <c r="L82" i="11"/>
  <c r="L18" i="11"/>
  <c r="T18" i="11"/>
  <c r="AF18" i="11"/>
  <c r="L83" i="11"/>
  <c r="L19" i="11"/>
  <c r="T19" i="11"/>
  <c r="AF19" i="11"/>
  <c r="L84" i="11"/>
  <c r="L20" i="11"/>
  <c r="T20" i="11"/>
  <c r="AF20" i="11"/>
  <c r="L85" i="11"/>
  <c r="L21" i="11"/>
  <c r="T21" i="11"/>
  <c r="AF21" i="11"/>
  <c r="L86" i="11"/>
  <c r="L22" i="11"/>
  <c r="T22" i="11"/>
  <c r="AF22" i="11"/>
  <c r="L87" i="11"/>
  <c r="L23" i="11"/>
  <c r="T23" i="11"/>
  <c r="AF23" i="11"/>
  <c r="L88" i="11"/>
  <c r="L24" i="11"/>
  <c r="T24" i="11"/>
  <c r="AF24" i="11"/>
  <c r="L89" i="11"/>
  <c r="L25" i="11"/>
  <c r="T25" i="11"/>
  <c r="AF25" i="11"/>
  <c r="L90" i="11"/>
  <c r="L26" i="11"/>
  <c r="T26" i="11"/>
  <c r="AF26" i="11"/>
  <c r="L91" i="11"/>
  <c r="L27" i="11"/>
  <c r="T27" i="11"/>
  <c r="AF27" i="11"/>
  <c r="L29" i="11"/>
  <c r="T29" i="11"/>
  <c r="L93" i="11"/>
  <c r="AF29" i="11"/>
  <c r="L30" i="11"/>
  <c r="T30" i="11"/>
  <c r="L94" i="11"/>
  <c r="AF30" i="11"/>
  <c r="L31" i="11"/>
  <c r="T31" i="11"/>
  <c r="L95" i="11"/>
  <c r="AF31" i="11"/>
  <c r="L32" i="11"/>
  <c r="T32" i="11"/>
  <c r="L96" i="11"/>
  <c r="AF32" i="11"/>
  <c r="L33" i="11"/>
  <c r="T33" i="11"/>
  <c r="L97" i="11"/>
  <c r="AF33" i="11"/>
  <c r="L34" i="11"/>
  <c r="T34" i="11"/>
  <c r="L98" i="11"/>
  <c r="AF34" i="11"/>
  <c r="L35" i="11"/>
  <c r="T35" i="11"/>
  <c r="L99" i="11"/>
  <c r="AF35" i="11"/>
  <c r="L36" i="11"/>
  <c r="T36" i="11"/>
  <c r="L100" i="11"/>
  <c r="AF36" i="11"/>
  <c r="L37" i="11"/>
  <c r="T37" i="11"/>
  <c r="L101" i="11"/>
  <c r="AF37" i="11"/>
  <c r="L38" i="11"/>
  <c r="T38" i="11"/>
  <c r="L102" i="11"/>
  <c r="AF38" i="11"/>
  <c r="L103" i="11"/>
  <c r="L39" i="11"/>
  <c r="T39" i="11"/>
  <c r="AF39" i="11"/>
  <c r="L104" i="11"/>
  <c r="L40" i="11"/>
  <c r="T40" i="11"/>
  <c r="AF40" i="11"/>
  <c r="L105" i="11"/>
  <c r="L41" i="11"/>
  <c r="T41" i="11"/>
  <c r="AF41" i="11"/>
  <c r="L106" i="11"/>
  <c r="L42" i="11"/>
  <c r="T42" i="11"/>
  <c r="AF42" i="11"/>
  <c r="L44" i="11"/>
  <c r="T44" i="11"/>
  <c r="L108" i="11"/>
  <c r="AF44" i="11"/>
  <c r="L45" i="11"/>
  <c r="T45" i="11"/>
  <c r="L109" i="11"/>
  <c r="AF45" i="11"/>
  <c r="L46" i="11"/>
  <c r="T46" i="11"/>
  <c r="L110" i="11"/>
  <c r="AF46" i="11"/>
  <c r="L47" i="11"/>
  <c r="T47" i="11"/>
  <c r="L111" i="11"/>
  <c r="AF47" i="11"/>
  <c r="AF49" i="11"/>
  <c r="AF67" i="11"/>
  <c r="G35" i="8"/>
  <c r="H35" i="8"/>
  <c r="F196" i="13"/>
  <c r="G28" i="8"/>
  <c r="U19" i="12"/>
  <c r="U25" i="12"/>
  <c r="U43" i="12"/>
  <c r="F28" i="8"/>
  <c r="T19" i="12"/>
  <c r="T25" i="12"/>
  <c r="T43" i="12"/>
  <c r="E28" i="8"/>
  <c r="S19" i="12"/>
  <c r="S25" i="12"/>
  <c r="S43" i="12"/>
  <c r="U66" i="12"/>
  <c r="U50" i="12"/>
  <c r="U68" i="12"/>
  <c r="T66" i="12"/>
  <c r="T50" i="12"/>
  <c r="T68" i="12"/>
  <c r="S66" i="12"/>
  <c r="S50" i="12"/>
  <c r="S68" i="12"/>
  <c r="J137" i="13"/>
  <c r="J122" i="13"/>
  <c r="J139" i="13"/>
  <c r="I137" i="13"/>
  <c r="I122" i="13"/>
  <c r="I139" i="13"/>
  <c r="H137" i="13"/>
  <c r="H122" i="13"/>
  <c r="H139" i="13"/>
  <c r="G137" i="13"/>
  <c r="G122" i="13"/>
  <c r="G139" i="13"/>
  <c r="L129" i="11"/>
  <c r="L113" i="11"/>
  <c r="L131" i="11"/>
  <c r="K129" i="11"/>
  <c r="K113" i="11"/>
  <c r="K131" i="11"/>
  <c r="J129" i="11"/>
  <c r="J113" i="11"/>
  <c r="J131" i="11"/>
  <c r="I129" i="11"/>
  <c r="I113" i="11"/>
  <c r="I131" i="11"/>
  <c r="H129" i="11"/>
  <c r="H113" i="11"/>
  <c r="H131" i="11"/>
  <c r="K218" i="13"/>
  <c r="H8" i="8"/>
  <c r="G8" i="8"/>
  <c r="F8" i="8"/>
  <c r="E8" i="8"/>
  <c r="D8" i="8"/>
  <c r="B5" i="11"/>
  <c r="G27" i="8"/>
  <c r="F27" i="8"/>
  <c r="E27" i="8"/>
  <c r="E29" i="8"/>
  <c r="F113" i="11"/>
  <c r="F129" i="11"/>
  <c r="F131" i="11"/>
  <c r="E129" i="11"/>
  <c r="E113" i="11"/>
  <c r="E131" i="11"/>
  <c r="D129" i="11"/>
  <c r="D113" i="11"/>
  <c r="D131" i="11"/>
  <c r="C113" i="11"/>
  <c r="C129" i="11"/>
  <c r="C131" i="11"/>
  <c r="AA64" i="12"/>
  <c r="AA63" i="12"/>
  <c r="AA62" i="12"/>
  <c r="AA61" i="12"/>
  <c r="AA59" i="12"/>
  <c r="AA58" i="12"/>
  <c r="AA57" i="12"/>
  <c r="AA55" i="12"/>
  <c r="AA54" i="12"/>
  <c r="AA53" i="12"/>
  <c r="AA66" i="12"/>
  <c r="AA12" i="12"/>
  <c r="AA13" i="12"/>
  <c r="AA14" i="12"/>
  <c r="AA15" i="12"/>
  <c r="AA16" i="12"/>
  <c r="AA17" i="12"/>
  <c r="AA18" i="12"/>
  <c r="V19" i="12"/>
  <c r="L19" i="12"/>
  <c r="X19" i="12"/>
  <c r="Y19" i="12"/>
  <c r="AA19" i="12"/>
  <c r="AA20" i="12"/>
  <c r="AA21" i="12"/>
  <c r="AA22" i="12"/>
  <c r="AA23" i="12"/>
  <c r="AA24" i="12"/>
  <c r="V25" i="12"/>
  <c r="L25" i="12"/>
  <c r="X25" i="12"/>
  <c r="Y25" i="12"/>
  <c r="AA25" i="12"/>
  <c r="AA26" i="12"/>
  <c r="AA27" i="12"/>
  <c r="AA28" i="12"/>
  <c r="AA30" i="12"/>
  <c r="AA31" i="12"/>
  <c r="AA32" i="12"/>
  <c r="AA33" i="12"/>
  <c r="AA34" i="12"/>
  <c r="AA35" i="12"/>
  <c r="AA36" i="12"/>
  <c r="AA37" i="12"/>
  <c r="AA38" i="12"/>
  <c r="AA39" i="12"/>
  <c r="AA40" i="12"/>
  <c r="AA41" i="12"/>
  <c r="AA42" i="12"/>
  <c r="V43" i="12"/>
  <c r="L43" i="12"/>
  <c r="X43" i="12"/>
  <c r="Y43" i="12"/>
  <c r="AA43" i="12"/>
  <c r="AA45" i="12"/>
  <c r="AA46" i="12"/>
  <c r="AA47" i="12"/>
  <c r="AA48" i="12"/>
  <c r="AA50" i="12"/>
  <c r="AA68" i="12"/>
  <c r="V66" i="12"/>
  <c r="V50" i="12"/>
  <c r="V68" i="12"/>
  <c r="Q53" i="12"/>
  <c r="Q54" i="12"/>
  <c r="Q55" i="12"/>
  <c r="Q57" i="12"/>
  <c r="Q58" i="12"/>
  <c r="Q59" i="12"/>
  <c r="Q61" i="12"/>
  <c r="Q62" i="12"/>
  <c r="Q63" i="12"/>
  <c r="Q64" i="12"/>
  <c r="Q66" i="12"/>
  <c r="Q12" i="12"/>
  <c r="Q13" i="12"/>
  <c r="Q14" i="12"/>
  <c r="Q15" i="12"/>
  <c r="Q16" i="12"/>
  <c r="Q17" i="12"/>
  <c r="Q18" i="12"/>
  <c r="Q19" i="12"/>
  <c r="Q20" i="12"/>
  <c r="Q21" i="12"/>
  <c r="Q22" i="12"/>
  <c r="Q23" i="12"/>
  <c r="Q24" i="12"/>
  <c r="Q25" i="12"/>
  <c r="Q26" i="12"/>
  <c r="Q27" i="12"/>
  <c r="Q28" i="12"/>
  <c r="Q30" i="12"/>
  <c r="Q31" i="12"/>
  <c r="Q32" i="12"/>
  <c r="Q33" i="12"/>
  <c r="Q34" i="12"/>
  <c r="Q35" i="12"/>
  <c r="Q36" i="12"/>
  <c r="Q37" i="12"/>
  <c r="Q38" i="12"/>
  <c r="Q39" i="12"/>
  <c r="Q40" i="12"/>
  <c r="Q41" i="12"/>
  <c r="Q42" i="12"/>
  <c r="Q43" i="12"/>
  <c r="Q45" i="12"/>
  <c r="Q46" i="12"/>
  <c r="Q47" i="12"/>
  <c r="Q48" i="12"/>
  <c r="Q50" i="12"/>
  <c r="Q68" i="12"/>
  <c r="Z43" i="12"/>
  <c r="Z25" i="12"/>
  <c r="Z19" i="12"/>
  <c r="L66" i="12"/>
  <c r="L50" i="12"/>
  <c r="L68" i="12"/>
  <c r="K66" i="12"/>
  <c r="K50" i="12"/>
  <c r="K68" i="12"/>
  <c r="J66" i="12"/>
  <c r="J50" i="12"/>
  <c r="J68" i="12"/>
  <c r="I66" i="12"/>
  <c r="I50" i="12"/>
  <c r="I68" i="12"/>
  <c r="F162" i="13"/>
  <c r="F161" i="13"/>
  <c r="K137" i="13"/>
  <c r="K122" i="13"/>
  <c r="K139" i="13"/>
  <c r="U69" i="12"/>
  <c r="T69" i="12"/>
  <c r="S69" i="12"/>
  <c r="B3" i="12"/>
  <c r="B3" i="13"/>
  <c r="D41" i="8"/>
  <c r="E41" i="8"/>
  <c r="F41" i="8"/>
  <c r="G41" i="8"/>
  <c r="C41" i="8"/>
  <c r="D38" i="8"/>
  <c r="E38" i="8"/>
  <c r="F38" i="8"/>
  <c r="G38" i="8"/>
  <c r="C38" i="8"/>
  <c r="D37" i="8"/>
  <c r="E37" i="8"/>
  <c r="F37" i="8"/>
  <c r="G37" i="8"/>
  <c r="C37" i="8"/>
  <c r="F29" i="8"/>
  <c r="G29" i="8"/>
  <c r="H27" i="8"/>
  <c r="C3" i="11"/>
  <c r="K199" i="13"/>
  <c r="J199" i="13"/>
  <c r="I199" i="13"/>
  <c r="H199" i="13"/>
  <c r="H37" i="8"/>
  <c r="H38" i="8"/>
  <c r="H39" i="8"/>
  <c r="G39" i="8"/>
  <c r="F39" i="8"/>
  <c r="E39" i="8"/>
  <c r="D39" i="8"/>
  <c r="C39" i="8"/>
  <c r="C47" i="8"/>
  <c r="D47" i="8"/>
  <c r="E47" i="8"/>
  <c r="F47" i="8"/>
  <c r="G47" i="8"/>
  <c r="H47" i="8"/>
  <c r="H29" i="8"/>
  <c r="H28" i="8"/>
  <c r="H41" i="8"/>
  <c r="J183" i="13"/>
  <c r="G175" i="13"/>
  <c r="G78" i="13"/>
  <c r="D3" i="9"/>
</calcChain>
</file>

<file path=xl/comments1.xml><?xml version="1.0" encoding="utf-8"?>
<comments xmlns="http://schemas.openxmlformats.org/spreadsheetml/2006/main">
  <authors>
    <author>Jacob Muscat</author>
  </authors>
  <commentList>
    <comment ref="F72" authorId="0">
      <text>
        <r>
          <rPr>
            <b/>
            <sz val="9"/>
            <color indexed="81"/>
            <rFont val="Tahoma"/>
            <family val="2"/>
          </rPr>
          <t>Jacob Muscat:</t>
        </r>
        <r>
          <rPr>
            <sz val="9"/>
            <color indexed="81"/>
            <rFont val="Tahoma"/>
            <family val="2"/>
          </rPr>
          <t xml:space="preserve">
This represents the YTD May extrapolated figures for 2012/13 as the full 2012/13 year was not available when the forecast was developed.</t>
        </r>
      </text>
    </comment>
  </commentList>
</comments>
</file>

<file path=xl/sharedStrings.xml><?xml version="1.0" encoding="utf-8"?>
<sst xmlns="http://schemas.openxmlformats.org/spreadsheetml/2006/main" count="610" uniqueCount="222">
  <si>
    <t>Service:</t>
  </si>
  <si>
    <t>Total</t>
  </si>
  <si>
    <t>Historical Revenue</t>
  </si>
  <si>
    <t>Description</t>
  </si>
  <si>
    <t>Volumes</t>
  </si>
  <si>
    <t>Source</t>
  </si>
  <si>
    <t>Current Fee</t>
  </si>
  <si>
    <t>AER Framework and Approach paper March 2013</t>
  </si>
  <si>
    <t>Standard Hours</t>
  </si>
  <si>
    <t>Subdivision - URD - Underground - 1-5 lots</t>
  </si>
  <si>
    <t>Subdivision - URD - Underground - 6-10 lots</t>
  </si>
  <si>
    <t>Subdivision - URD - Underground - 11-40 lots</t>
  </si>
  <si>
    <t>Subdivision - Industrial &amp; Commercial - Per Hour</t>
  </si>
  <si>
    <t>Subdivision - URD - Underground - 41+ lots</t>
  </si>
  <si>
    <t>Hourly</t>
  </si>
  <si>
    <t>Fee Type</t>
  </si>
  <si>
    <t>Not available</t>
  </si>
  <si>
    <t>2009/10</t>
  </si>
  <si>
    <t>2010/11</t>
  </si>
  <si>
    <t>2011/12</t>
  </si>
  <si>
    <t>2012/13</t>
  </si>
  <si>
    <t>2013/14</t>
  </si>
  <si>
    <t>2014/15</t>
  </si>
  <si>
    <t>2015/16</t>
  </si>
  <si>
    <t>2016/17</t>
  </si>
  <si>
    <t>2017/18</t>
  </si>
  <si>
    <t>2018/19</t>
  </si>
  <si>
    <t>Average Hours per job</t>
  </si>
  <si>
    <t>Overhead Factor (Nominal)</t>
  </si>
  <si>
    <t>Average Conversion Factor From Real to Nominal</t>
  </si>
  <si>
    <t>Direct Costs (Nominal)</t>
  </si>
  <si>
    <t>Work Order</t>
  </si>
  <si>
    <t>Indirect Costs (Nominal)</t>
  </si>
  <si>
    <t>Type</t>
  </si>
  <si>
    <t>2010/11 Volumes</t>
  </si>
  <si>
    <t>2011/12 Volumes</t>
  </si>
  <si>
    <t>2012/13 Volumes</t>
  </si>
  <si>
    <t>Standard Hours
2010/11</t>
  </si>
  <si>
    <t>Standard Hours
2011/12</t>
  </si>
  <si>
    <t>Standard Hours
2012/13</t>
  </si>
  <si>
    <t>Total Standard Hours</t>
  </si>
  <si>
    <t>Actual Hours 2010/11</t>
  </si>
  <si>
    <t>Actual Hours 2011/12</t>
  </si>
  <si>
    <t>Actual Hours 2012/13</t>
  </si>
  <si>
    <t>Actual Hours per job</t>
  </si>
  <si>
    <t>Revised Standard Hours per job (Rounded)</t>
  </si>
  <si>
    <t>Work Order Description</t>
  </si>
  <si>
    <t>Historical Work Order Costs</t>
  </si>
  <si>
    <t>EMPLOYEE_ID</t>
  </si>
  <si>
    <t>Name</t>
  </si>
  <si>
    <t>POS_TITLE</t>
  </si>
  <si>
    <t>Hourly Rate (Inc On-cost)</t>
  </si>
  <si>
    <t>AVERAGE</t>
  </si>
  <si>
    <t>No. of People</t>
  </si>
  <si>
    <t>Average hourly Rate
12/13$</t>
  </si>
  <si>
    <t>Average Hourly Rate (Nominal)</t>
  </si>
  <si>
    <t>Assumed annual labour growth</t>
  </si>
  <si>
    <t>Total Hours</t>
  </si>
  <si>
    <t>Estimate</t>
  </si>
  <si>
    <t>Historical Volumes</t>
  </si>
  <si>
    <t>Labour Growth</t>
  </si>
  <si>
    <t>Total Operating Expenditure</t>
  </si>
  <si>
    <t>Ancillary Network Services</t>
  </si>
  <si>
    <t>Data Input Work Sheet</t>
  </si>
  <si>
    <t>Hours were extracted from Ellipse work orders.</t>
  </si>
  <si>
    <t>This worksheet left blank intentionally</t>
  </si>
  <si>
    <t>Calculation of Overhead Factor</t>
  </si>
  <si>
    <t>Average Hourly Rate (Real 2012/13$)</t>
  </si>
  <si>
    <t>Overhead Factor</t>
  </si>
  <si>
    <t>Average Hourly Rate (2012/13$) - Incl OH</t>
  </si>
  <si>
    <t>Ancillary Network Services - Service Description</t>
  </si>
  <si>
    <t>Ancillary Network Services - Summary</t>
  </si>
  <si>
    <t>Ancillary Network Services - Fee Breakdown</t>
  </si>
  <si>
    <t>Fee
(Excluding GST)</t>
  </si>
  <si>
    <t>Hourly Rate
(Excluding GST)</t>
  </si>
  <si>
    <t>Historic Volumes</t>
  </si>
  <si>
    <t>Overheads</t>
  </si>
  <si>
    <t>Direct Operating Expenditure</t>
  </si>
  <si>
    <t>Hourly rate (excl overheads)</t>
  </si>
  <si>
    <t>Hourly rate (incl overheads)</t>
  </si>
  <si>
    <t>Framework &amp; Approach Service Description</t>
  </si>
  <si>
    <t>Network &amp; Corporate Overhead Factor</t>
  </si>
  <si>
    <t>Overhead Conversion Factor</t>
  </si>
  <si>
    <t>Average</t>
  </si>
  <si>
    <t>Total Costs</t>
  </si>
  <si>
    <t>Proposed Hourly Rates</t>
  </si>
  <si>
    <t>Fee
(Including GST)</t>
  </si>
  <si>
    <t>2012/13 YTD May Extrapolated</t>
  </si>
  <si>
    <t>Labour Growth Rates</t>
  </si>
  <si>
    <t>Average Hourly Rates - 2012/13 Dollars</t>
  </si>
  <si>
    <t>Average Hourly Rates - Forecast Nominal</t>
  </si>
  <si>
    <t>Growth</t>
  </si>
  <si>
    <t>Current Fees</t>
  </si>
  <si>
    <t>Average per Job (Hourly Only)</t>
  </si>
  <si>
    <t>Estimated Hours Based on Standard Hours</t>
  </si>
  <si>
    <t>Actual Hours Booked to Work Orders - Pro Rata Based on Standard Hours</t>
  </si>
  <si>
    <t>Total Actual Hours for 3 Years</t>
  </si>
  <si>
    <t>Total Volumes</t>
  </si>
  <si>
    <t>Revised Standard Hours</t>
  </si>
  <si>
    <t>Total Hours Based on Revised Standard</t>
  </si>
  <si>
    <t>Proposed Fees (Nominal)</t>
  </si>
  <si>
    <t>Forecast Volumes</t>
  </si>
  <si>
    <t>Forecast Operating Expenditure</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</si>
  <si>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</si>
  <si>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</si>
  <si>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</si>
  <si>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</si>
  <si>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</si>
  <si>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</si>
  <si>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General ledger</t>
  </si>
  <si>
    <t>Work orders &amp; cost estimates</t>
  </si>
  <si>
    <t>CAM projects invoiced</t>
  </si>
  <si>
    <t>6) Historic volumes were extracted from business systems and used in conjunction with current approved standard hours and actual historic hours to calculate revised standard hours for each fee sub category.</t>
  </si>
  <si>
    <t>5) An overhead factor derived from Endeavour Energy's Cost Allocation Model ('CAM') was applied to the direct labour rate to calculate a labour rate inclusive of network and corporate overheads. In addition, a 2012/13 real to nominal conversion factor derived from the CAM was applied to the labour rate to calculate the forecast labour rates in nominal dollars over the 2015-19 regulatory period.</t>
  </si>
  <si>
    <t xml:space="preserve">Existing Service Description (2009-14) </t>
  </si>
  <si>
    <t>Updated Service Description (2015-19)</t>
  </si>
  <si>
    <t>Subdivision - Non Urban - Per Hour</t>
  </si>
  <si>
    <t>Connection of Load - Industrial &amp; Commercial - &lt;= 200A/Phase (LV)</t>
  </si>
  <si>
    <t>Connection of Load - Industrial &amp; Commercial - &lt;= 700A/Phase (LV)</t>
  </si>
  <si>
    <t>Connection of Load - Industrial &amp; Commercial - &gt; 700A/Phase (LV)</t>
  </si>
  <si>
    <t>Connection of Load - Industrial &amp; Commercial - HV Customer</t>
  </si>
  <si>
    <t>Connection of Load - Industrial &amp; Commercial - Transmission</t>
  </si>
  <si>
    <t>Connection of Load - Multi-Dwelling - &lt;= 5 units</t>
  </si>
  <si>
    <t>Connection of Load - Multi-Dwelling - &lt;= 20 units</t>
  </si>
  <si>
    <t>Connection of Load - Multi-Dwelling - &lt;= 40 units</t>
  </si>
  <si>
    <t>Connection of Load - Multi-Dwelling - &gt; 40 units</t>
  </si>
  <si>
    <t>Asset Relocation - Engineer</t>
  </si>
  <si>
    <t>Asset Relocation - Designer</t>
  </si>
  <si>
    <t>Public Lighting - Engineer</t>
  </si>
  <si>
    <t>Public Lighting - Designer</t>
  </si>
  <si>
    <t>Average Hourly Rates (For estimated cost)</t>
  </si>
  <si>
    <t>Payroll data was extracted as at 14/06/13 and provided by the Budgeting &amp; Forecasting Manager.  These hourly labour rates represent 2012/13 labour costs and are used to calculate an average hourly labour rate for those individuals involved in this ancillary network service.</t>
  </si>
  <si>
    <t>Estimated Costs</t>
  </si>
  <si>
    <t>Design Certification &amp; Re-certification</t>
  </si>
  <si>
    <t>Historical Revenue - Design Certification</t>
  </si>
  <si>
    <t>Historical Revenue - Design Re-certification</t>
  </si>
  <si>
    <t>NCN10004</t>
  </si>
  <si>
    <t>DESIGN CERTIFICATION</t>
  </si>
  <si>
    <t>NCI10007</t>
  </si>
  <si>
    <t>DESIGN CERTIFICATION AND RECHECKING</t>
  </si>
  <si>
    <t>NCP10002</t>
  </si>
  <si>
    <t>NCC10002</t>
  </si>
  <si>
    <t>NCP10001</t>
  </si>
  <si>
    <t>ADMINISTRATION OF CONTESTABLE WORKS (33.33%)</t>
  </si>
  <si>
    <t>DESGIN CERTIFICATION</t>
  </si>
  <si>
    <t>Subdivision - Non Urban - Underground - 1-5 lots</t>
  </si>
  <si>
    <t>Subdivision - Non Urban - Underground - 6-10 lots</t>
  </si>
  <si>
    <t>Subdivision - Non Urban - Underground - 11-40 lots</t>
  </si>
  <si>
    <t>Subdivision - Non Urban - Underground - 41+ lots</t>
  </si>
  <si>
    <t>Subdivision - Non Urban - Overhead - 1-5 poles</t>
  </si>
  <si>
    <t>Subdivision - Non Urban - Overhead - 6-10 poles</t>
  </si>
  <si>
    <t>Subdivision - Non Urban - Overhead - 11+ poles</t>
  </si>
  <si>
    <t>Subdivision - Industrial &amp; Commercial - Underground - 1-10 lots</t>
  </si>
  <si>
    <t>Subdivision - Industrial &amp; Commercial - Underground - 11-40 lots</t>
  </si>
  <si>
    <t>Subdivision - Industrial &amp; Commercial - Underground - 41 + lots</t>
  </si>
  <si>
    <t>Subdivision - Industrial &amp; Commercial - Overhead - 1-5 poles</t>
  </si>
  <si>
    <t>Subdivision - Industrial &amp; Commercial - Overhead - 6-10 poles</t>
  </si>
  <si>
    <t>Subdivision - Industrial &amp; Commercial - Overhead - 11+ poles</t>
  </si>
  <si>
    <t>Connection of Load - Non Urban - Underground - Per Hour</t>
  </si>
  <si>
    <t>Connection of Load - Non Urban - Overhead - 1-5 poles</t>
  </si>
  <si>
    <t>Connection of Load - Non Urban - Overhead - 6-10 poles</t>
  </si>
  <si>
    <t>Connection of Load - Non Urban - Overhead - 11+ poles</t>
  </si>
  <si>
    <t>Connection of Load - Indoor Substation - Per Hour</t>
  </si>
  <si>
    <t>DESGIN RE-CERTIFICATION</t>
  </si>
  <si>
    <t>Subdivision - URD - Per Hour</t>
  </si>
  <si>
    <t/>
  </si>
  <si>
    <t>Connection of Load - Industrial &amp; Commercial - Per Hour</t>
  </si>
  <si>
    <t>Connection of Load - Non Urban - Per Hour</t>
  </si>
  <si>
    <t>Connection of Load - URD - Per Hour</t>
  </si>
  <si>
    <t xml:space="preserve">LIGHTING ENGINEERING OFFICER            </t>
  </si>
  <si>
    <t>SENIOR ENGINEERING OFFICER - SUBSTATIONS</t>
  </si>
  <si>
    <t xml:space="preserve">ELECTRICAL ENGINEER - MAINS             </t>
  </si>
  <si>
    <t xml:space="preserve">OVERHEAD &amp; UNDERGROUND MAINS MANAGER    </t>
  </si>
  <si>
    <t>Lighting Engineering Officer (1 FTE)</t>
  </si>
  <si>
    <t>Other Primary System staff involvement (0.8 FTE)</t>
  </si>
  <si>
    <t>Average Hourly Rate (Nominal) - Lighting Engineer Officer</t>
  </si>
  <si>
    <t>Average Hourly Rate (Nominal) - Other Primary Systems Employees</t>
  </si>
  <si>
    <t>These calculations represent the costs related to Design Certification &amp; Recertification Services.  These calculations were based on information provided by the Manager Primary Systems as individual work orders which captured the costs do not exist.
Network Planning branch identified which employee positions carried out this type of work and provided and an estimate for the number of hours required to complete each task.</t>
  </si>
  <si>
    <t>These hours were estimated based on the average time involved in carrying out the task.</t>
  </si>
  <si>
    <r>
      <rPr>
        <b/>
        <u/>
        <sz val="11"/>
        <color theme="1"/>
        <rFont val="Calibri"/>
        <family val="2"/>
        <scheme val="minor"/>
      </rPr>
      <t>DESIGN RE-CERTIFICATION</t>
    </r>
    <r>
      <rPr>
        <sz val="11"/>
        <color theme="1"/>
        <rFont val="Calibri"/>
        <family val="2"/>
        <scheme val="minor"/>
      </rPr>
      <t xml:space="preserve">
The rechecking of a design submitted under section 1.2.2, except where the modifications to a design are of a trivial or minor nature.</t>
    </r>
  </si>
  <si>
    <t>Design Related Services - Provision of design information, design certification and design rechecking services in relation to connection and relocation works provided contestably.</t>
  </si>
  <si>
    <r>
      <rPr>
        <b/>
        <u/>
        <sz val="11"/>
        <color theme="1"/>
        <rFont val="Calibri"/>
        <family val="2"/>
        <scheme val="minor"/>
      </rPr>
      <t>DESIGN RE-CERTIFICATION</t>
    </r>
    <r>
      <rPr>
        <sz val="11"/>
        <color theme="1"/>
        <rFont val="Calibri"/>
        <family val="2"/>
        <scheme val="minor"/>
      </rPr>
      <t xml:space="preserve">
DNSP is required to recheck a design initially found to be not certifiable, except where the modifications to a design are of a trivial or minor nature.</t>
    </r>
  </si>
  <si>
    <t>Proposed Revenue (Nominal)</t>
  </si>
  <si>
    <t>Based on the following average labour rates per hour for the 2015-19 regulatory period - Refer to the Fee Breakdown schedule for specific fees</t>
  </si>
  <si>
    <t>2008/09</t>
  </si>
  <si>
    <r>
      <rPr>
        <b/>
        <u/>
        <sz val="11"/>
        <color theme="1"/>
        <rFont val="Calibri"/>
        <family val="2"/>
        <scheme val="minor"/>
      </rPr>
      <t>DESIGN CERTIFICATION</t>
    </r>
    <r>
      <rPr>
        <sz val="11"/>
        <color theme="1"/>
        <rFont val="Calibri"/>
        <family val="2"/>
        <scheme val="minor"/>
      </rPr>
      <t xml:space="preserve">
A certification by a DNSP that a design (if implemented) will not compromise the safety or operation of the DNSP's distribution network.
This may include without limitation:
• Certifying that the design information / project definition have been incorporated in the design;
• Certifying that easement requirements and earthing details are shown;
• Considering design issues, including check for over-design and mechanisms to permit work on high voltage systems without disruption to customer’s supply (adequate low voltage parallels);
• Certifying that funding details for components in the scope of works are correct;
• Certifying that there are no obvious errors that depart from the DNSP's design standards and specifications;
• Certifying that shared assets are not over-utilised to minimise developer’s connection costs and that all appropriate assets have been included in the design;
• Auditing design calculations such as voltage drop calculations, conductor clearance (stringing) calculations etc;
• Certifying that a bill of materials has been submitted; and
• Certifying that an environmental assessment has been submitted by an accredited person and appropriately checked.</t>
    </r>
  </si>
  <si>
    <r>
      <rPr>
        <b/>
        <u/>
        <sz val="11"/>
        <color theme="1"/>
        <rFont val="Calibri"/>
        <family val="2"/>
        <scheme val="minor"/>
      </rPr>
      <t xml:space="preserve">DESIGN CERTIFICATION
</t>
    </r>
    <r>
      <rPr>
        <sz val="11"/>
        <color theme="1"/>
        <rFont val="Calibri"/>
        <family val="2"/>
        <scheme val="minor"/>
      </rPr>
      <t xml:space="preserve">DNSP is required to certify the design will not compromise the safety or operation of the distribution network.
This may include without limitation:
• Certify that the design information / project definition have been incorporated in the design;
• Certify that easement requirements and earthing details are shown and are in order;
• Considering design issues, including checking for over-design and mechanisms to permit work on high voltage systems without disruption to customer’s supply;
• Certify that funding details for components in the scope of works are correct;
• Certify that there are no obvious errors that depart from design standards and specifications;
• Certify that shared assets are not over-utilised to minimise developer’s connection costs and that all appropriate assets have been included in the design;
• Audit design calculations such as voltage drop calculations, conductor clearance (stringing) calculations etc;
• Certify that a bill of materials has been submitted;
• Check and certify that an environmental assessment has been submitted by an accredited person;
• Check asset valuation documentation; and
• Check design package contents.
</t>
    </r>
  </si>
  <si>
    <t>Per Job or per hour - Refer to the Fee Breakdown schedule for specific fees</t>
  </si>
  <si>
    <t>Based on average rate of $80 &amp; $96 per hour - Refer to the Fee Breakdown schedule for specific fees</t>
  </si>
  <si>
    <t>2) Where available, the work orders used to capture the costs associated with the provision of this service were identified and extracted from the general ledger over a 3 year historic period (2010/11 to 2012/13). Adjustments were made to remove costs that were not relevant to the service.</t>
  </si>
  <si>
    <t>Pricing Mechanism:</t>
  </si>
  <si>
    <t>Current Fee (Excl GST):</t>
  </si>
  <si>
    <t>Proposed Fee (Excl GST):</t>
  </si>
  <si>
    <t>The calculation of individual fees relies on a hourly labour rate.  An hourly labour rate is calculated for the historic period by dividing historic costs by historic labour hours.  This is converted to 2012/13 real dollars and an average of the three years calculated.  This is inflated by the overhead factor derived from the CAM to calculate a fully loaded hourly labour rate for this service.</t>
  </si>
  <si>
    <t>2009-14 Current Fees</t>
  </si>
  <si>
    <t>Current Fees approved by the AER for the 2009-14 regulatory period.</t>
  </si>
  <si>
    <t>Revenue related to this service is billed through Endeavour Energy's Ellipse billing system and is extracted from the general ledger.</t>
  </si>
  <si>
    <t>Work orders relating to this service were identified and were extracted from the general ledger. These work orders capture the costs associated with performing this ancillary network service.</t>
  </si>
  <si>
    <t>All unit rates have been calculated in real 2012/13 dollars for comparison purposes. To estimate labour rates in real 2012/13 dollars for prior years, the actual salary increases for award staff in those years has been used.</t>
  </si>
  <si>
    <t>The average hourly labour rate in 2012/13 real dollars is converted to nominal dollars for each year in the next regulatory period using the nominal conversion factor derived from the CAM.  These rates form the basis of the calculation of the individual service fees.</t>
  </si>
  <si>
    <t>Endeavour Energy's overhead factor is derived from the Cost Allocation Methodology ('CAM') approved by the AER and the final opex budget for the regulatory period. Refer to the CAM model output for the forecast period.</t>
  </si>
  <si>
    <t>Direct Opex ANS (Nominal)</t>
  </si>
  <si>
    <t>Total Opex ANS (Nominal)</t>
  </si>
  <si>
    <t>Direct ANS (Real 2012/13$)</t>
  </si>
  <si>
    <t>Average Overhead Factor for Regulatory Period</t>
  </si>
  <si>
    <t xml:space="preserve">In order to calculate a fee for each service sub-category, revised standard hours are required to be calculated for the 2015-19 regulatory period.  Revised standard hours are calculated by pro-rataing the total actual hours captured within the work orders and/or estimated by relevant stakeholders for the historic period, based on the standard hours approved by the Regulator for the 2009-14 regulatory period.  Total hours for the historic period are then divided by total volumes at the fee sub-category level to calculate revised standard hours for each fee sub-category. </t>
  </si>
  <si>
    <t>3) Where historic work order data was not available, the individuals involved in the provision of the service provided resource requirement (labour hours) and cost estimates for each type of activity conducted in relation to the service. This information was used, in conjunction with average historic labour rates for the individuals involved, to calculate historic labour hours and costs related to the provision of the service.</t>
  </si>
  <si>
    <t xml:space="preserve">4) Historic work order data and estimates provided by internal stakeholders were combined and used to derive an average hourly rate for each year in the historic analysis period. These hourly rates were converted to real 2012/13 dollars using actual award wage increases for the period, and an average 2012/13 hourly rate derived based on the 3 years data.  </t>
  </si>
  <si>
    <t>7) Where the fee is charged on a fixed fee basis, the revised standard hours are multiplied by proposed fee labour rates to calculate a fixed fee for the fee sub category over the 2015-19 regulatory period.  Where the fee is charged on an hourly basis the fee for the 2015-19 regulatory period is equal to the proposed fee labour rates.</t>
  </si>
  <si>
    <t xml:space="preserve">Historic revenue was extracted from Endeavour Energy's general ledger via an account code combination specifically set up to capture the revenue related to this service (as defined in the 2009-14 regulatory period). As outlined above, historic costs were obtained from a mixture of actual costs recorded to specific work orders and resource requirement (labour hours) and cost estimates provided by individuals involved in the provision of this service (where specific work orders were not available). Historic volumes were derived based on the number of invoices that were raised throughout the year for the provision of this service. </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</si>
  <si>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</si>
  <si>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DESIGN RE-CERTIFICATION</t>
  </si>
  <si>
    <t>Volumes were derived based on the number of invoices that were raised throughout the year. CAMS (Endeavour Energy's contestable work system) was used to split the fees within the different categories for this ancillary network service.
2012/13 YTD May extrapolated has been included as this  was used to forecast future volumes. At the time future volumes forecasts were being estimated, the full year for 2012/13 was not available, only YTD May. YTD May results were extrapolated for 2012/13 and used in conjunction with prior years to develop averages for forecast volumes.</t>
  </si>
  <si>
    <t>Hours per year</t>
  </si>
  <si>
    <t>Average Hourly Rate (2012/13$) - Excl OH</t>
  </si>
  <si>
    <t>2015-2019 Pricing Methodology for Service (Summary)</t>
  </si>
  <si>
    <t>Proposed fees (including network and corporate overheads) were multiplied by forecast volumes at the fee sub category level to calculate forecast revenue. Forecast costs associated with the provision of the service were calculated by multiplying direct cost unit rates (per year) by the annual overhead factor and forecast volumes. Forecast revenue differs slightly to forecast costs, as the calculation of the proposed fees uses an average overhead factor for the regulatory period, whereas costs are forecast based on the actual overhead factor for the year in order to balance to CAM outcomes. Volumes were forecasted based on an average of historic data.</t>
  </si>
  <si>
    <t>Calculation of Real to Nominal Conversion Factor</t>
  </si>
  <si>
    <t>Conversion Real to Nominal</t>
  </si>
  <si>
    <t>Direct ANS (Nominal)</t>
  </si>
  <si>
    <t>Conversion Factor (Real 2012/13$ to Nominal)</t>
  </si>
  <si>
    <t>Endeavour initially derived forecast ANS opex in real 2012/13 dollars. In order to convert from real to nominal the CAM provides a nominal conversion factor. Refer to the CAM model output for the forecast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</si>
</sst>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0.0%"/>
    <numFmt numFmtId="172" formatCode="_(* #,##0_);_(* \(#,##0\);_(* &quot;-&quot;??_);_(@_)"/>
    <numFmt numFmtId="173" formatCode="_-* #,##0_-;* \(#,##0\)_-;_-* &quot;-&quot;_-;_-@_-"/>
  </numFmts>
  <fonts count="32"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
      <sz val="10"/>
      <color rgb="FFFF0000"/>
      <name val="Calibri"/>
      <family val="2"/>
      <scheme val="minor"/>
    </font>
    <font>
      <b/>
      <sz val="10"/>
      <color rgb="FFFF0000"/>
      <name val="Calibri"/>
      <family val="2"/>
      <scheme val="minor"/>
    </font>
    <font>
      <b/>
      <u/>
      <sz val="11"/>
      <color theme="1"/>
      <name val="Calibri"/>
      <family val="2"/>
      <scheme val="minor"/>
    </font>
    <font>
      <sz val="9"/>
      <color indexed="81"/>
      <name val="Tahoma"/>
      <family val="2"/>
    </font>
    <font>
      <b/>
      <sz val="9"/>
      <color indexed="81"/>
      <name val="Tahoma"/>
      <family val="2"/>
    </font>
  </fonts>
  <fills count="9">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s>
  <borders count="27">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s>
  <cellStyleXfs count="18">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6" fillId="0" borderId="0"/>
    <xf numFmtId="0" fontId="1" fillId="0" borderId="0"/>
    <xf numFmtId="0" fontId="15" fillId="0" borderId="0"/>
  </cellStyleXfs>
  <cellXfs count="525">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0" fontId="7" fillId="4" borderId="2" xfId="0" applyFont="1" applyFill="1" applyBorder="1" applyAlignment="1">
      <alignment horizontal="left"/>
    </xf>
    <xf numFmtId="0" fontId="14" fillId="4" borderId="2" xfId="0" applyFont="1" applyFill="1" applyBorder="1" applyAlignment="1">
      <alignment horizontal="left"/>
    </xf>
    <xf numFmtId="166" fontId="14" fillId="0" borderId="0" xfId="2" applyNumberFormat="1" applyFont="1"/>
    <xf numFmtId="170" fontId="11" fillId="0" borderId="11" xfId="0" applyNumberFormat="1" applyFont="1" applyBorder="1" applyAlignment="1">
      <alignment horizontal="right" vertical="center"/>
    </xf>
    <xf numFmtId="170" fontId="11" fillId="0" borderId="7" xfId="0" applyNumberFormat="1" applyFont="1" applyBorder="1" applyAlignment="1">
      <alignment horizontal="right" vertical="center"/>
    </xf>
    <xf numFmtId="170" fontId="11" fillId="0" borderId="12" xfId="0" applyNumberFormat="1" applyFont="1" applyBorder="1" applyAlignment="1">
      <alignment horizontal="right" vertical="center"/>
    </xf>
    <xf numFmtId="0" fontId="11" fillId="0" borderId="7" xfId="0" applyFont="1" applyFill="1" applyBorder="1" applyAlignment="1">
      <alignment horizontal="left" vertical="center"/>
    </xf>
    <xf numFmtId="170" fontId="11" fillId="0" borderId="7" xfId="0" applyNumberFormat="1" applyFont="1" applyFill="1" applyBorder="1" applyAlignment="1">
      <alignment horizontal="right" vertical="center"/>
    </xf>
    <xf numFmtId="0" fontId="11" fillId="0" borderId="7" xfId="0" applyFont="1" applyBorder="1" applyAlignment="1">
      <alignment horizontal="center" vertical="center"/>
    </xf>
    <xf numFmtId="170" fontId="11" fillId="0" borderId="8" xfId="0" applyNumberFormat="1" applyFont="1" applyFill="1" applyBorder="1" applyAlignment="1">
      <alignment horizontal="right" vertical="center"/>
    </xf>
    <xf numFmtId="170" fontId="11" fillId="0" borderId="17" xfId="0" applyNumberFormat="1" applyFont="1" applyBorder="1" applyAlignment="1">
      <alignment horizontal="right" vertical="center" wrapText="1"/>
    </xf>
    <xf numFmtId="0" fontId="11" fillId="0" borderId="0" xfId="0" applyFont="1" applyAlignment="1">
      <alignment vertical="center"/>
    </xf>
    <xf numFmtId="0" fontId="19"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7" fillId="0" borderId="0" xfId="0" applyFont="1" applyAlignment="1">
      <alignment vertical="center"/>
    </xf>
    <xf numFmtId="0" fontId="24" fillId="0" borderId="0" xfId="0" applyFont="1" applyAlignment="1">
      <alignment vertical="center"/>
    </xf>
    <xf numFmtId="0" fontId="25" fillId="7" borderId="0" xfId="0" applyFont="1" applyFill="1" applyAlignment="1">
      <alignment vertical="center"/>
    </xf>
    <xf numFmtId="0" fontId="26" fillId="7" borderId="0" xfId="0" applyFont="1" applyFill="1" applyAlignment="1">
      <alignment vertical="center"/>
    </xf>
    <xf numFmtId="170" fontId="26" fillId="7" borderId="0" xfId="0" applyNumberFormat="1" applyFont="1" applyFill="1" applyAlignment="1">
      <alignment vertical="center"/>
    </xf>
    <xf numFmtId="0" fontId="26" fillId="7" borderId="0" xfId="0" applyFont="1" applyFill="1" applyAlignment="1">
      <alignment horizontal="left" vertical="center"/>
    </xf>
    <xf numFmtId="170" fontId="19" fillId="5" borderId="11" xfId="0" quotePrefix="1" applyNumberFormat="1" applyFont="1" applyFill="1" applyBorder="1" applyAlignment="1">
      <alignment horizontal="center" vertical="center"/>
    </xf>
    <xf numFmtId="170" fontId="19" fillId="5" borderId="7" xfId="0" quotePrefix="1" applyNumberFormat="1" applyFont="1" applyFill="1" applyBorder="1" applyAlignment="1">
      <alignment horizontal="center" vertical="center"/>
    </xf>
    <xf numFmtId="170" fontId="19" fillId="5" borderId="12" xfId="0" quotePrefix="1" applyNumberFormat="1" applyFont="1" applyFill="1" applyBorder="1" applyAlignment="1">
      <alignment horizontal="center" vertical="center"/>
    </xf>
    <xf numFmtId="0" fontId="18" fillId="5" borderId="13" xfId="0" quotePrefix="1" applyFont="1" applyFill="1" applyBorder="1" applyAlignment="1">
      <alignment horizontal="center" vertical="center"/>
    </xf>
    <xf numFmtId="0" fontId="19" fillId="8" borderId="7" xfId="0" applyFont="1" applyFill="1" applyBorder="1" applyAlignment="1">
      <alignment horizontal="left" vertical="center"/>
    </xf>
    <xf numFmtId="170" fontId="11" fillId="0" borderId="14" xfId="0" applyNumberFormat="1" applyFont="1" applyBorder="1" applyAlignment="1">
      <alignment vertical="center"/>
    </xf>
    <xf numFmtId="170" fontId="11" fillId="0" borderId="8" xfId="0" applyNumberFormat="1" applyFont="1" applyBorder="1" applyAlignment="1">
      <alignment vertical="center"/>
    </xf>
    <xf numFmtId="170" fontId="11" fillId="0" borderId="15" xfId="0" applyNumberFormat="1" applyFont="1" applyBorder="1" applyAlignment="1">
      <alignment vertical="center"/>
    </xf>
    <xf numFmtId="170" fontId="11" fillId="0" borderId="16" xfId="0" applyNumberFormat="1" applyFont="1" applyBorder="1" applyAlignment="1">
      <alignment vertical="center"/>
    </xf>
    <xf numFmtId="170" fontId="11" fillId="0" borderId="9" xfId="0" applyNumberFormat="1" applyFont="1" applyBorder="1" applyAlignment="1">
      <alignment vertical="center"/>
    </xf>
    <xf numFmtId="170" fontId="11" fillId="0" borderId="0" xfId="0" applyNumberFormat="1" applyFont="1" applyBorder="1" applyAlignment="1">
      <alignment vertical="center"/>
    </xf>
    <xf numFmtId="170" fontId="11" fillId="0" borderId="19" xfId="0" applyNumberFormat="1" applyFont="1" applyBorder="1" applyAlignment="1">
      <alignment vertical="center"/>
    </xf>
    <xf numFmtId="170" fontId="19" fillId="5" borderId="26" xfId="0" applyNumberFormat="1" applyFont="1" applyFill="1" applyBorder="1" applyAlignment="1">
      <alignment vertical="center"/>
    </xf>
    <xf numFmtId="170" fontId="19" fillId="5" borderId="23" xfId="0" applyNumberFormat="1" applyFont="1" applyFill="1" applyBorder="1" applyAlignment="1">
      <alignment vertical="center"/>
    </xf>
    <xf numFmtId="9" fontId="11" fillId="0" borderId="7" xfId="1" applyFont="1" applyBorder="1" applyAlignment="1">
      <alignment horizontal="left" vertical="center" wrapText="1"/>
    </xf>
    <xf numFmtId="170" fontId="18" fillId="5" borderId="7" xfId="0" applyNumberFormat="1" applyFont="1" applyFill="1" applyBorder="1" applyAlignment="1">
      <alignment horizontal="left" vertical="center"/>
    </xf>
    <xf numFmtId="0" fontId="18" fillId="5" borderId="7" xfId="0" quotePrefix="1" applyFont="1" applyFill="1" applyBorder="1" applyAlignment="1">
      <alignment horizontal="center" vertical="center"/>
    </xf>
    <xf numFmtId="0" fontId="11" fillId="0" borderId="0" xfId="0" applyFont="1" applyFill="1" applyBorder="1" applyAlignment="1">
      <alignment horizontal="left" vertical="center"/>
    </xf>
    <xf numFmtId="170" fontId="11" fillId="0" borderId="0" xfId="0" applyNumberFormat="1" applyFont="1" applyAlignment="1">
      <alignment horizontal="left" vertical="center"/>
    </xf>
    <xf numFmtId="170" fontId="18" fillId="5" borderId="7" xfId="0" applyNumberFormat="1" applyFont="1" applyFill="1" applyBorder="1" applyAlignment="1">
      <alignment horizontal="center" vertical="center"/>
    </xf>
    <xf numFmtId="170" fontId="18" fillId="5" borderId="7" xfId="0" applyNumberFormat="1" applyFont="1" applyFill="1" applyBorder="1" applyAlignment="1">
      <alignment horizontal="center" vertical="center" wrapText="1"/>
    </xf>
    <xf numFmtId="167" fontId="11" fillId="0" borderId="7" xfId="0" applyNumberFormat="1" applyFont="1" applyBorder="1" applyAlignment="1">
      <alignment vertical="center"/>
    </xf>
    <xf numFmtId="170" fontId="11" fillId="0" borderId="7" xfId="0" applyNumberFormat="1" applyFont="1" applyBorder="1" applyAlignment="1">
      <alignment vertical="center"/>
    </xf>
    <xf numFmtId="0" fontId="11" fillId="0" borderId="0" xfId="0" applyFont="1" applyAlignment="1">
      <alignment horizontal="center" vertical="center"/>
    </xf>
    <xf numFmtId="170" fontId="19" fillId="5" borderId="23" xfId="0" applyNumberFormat="1" applyFont="1" applyFill="1" applyBorder="1" applyAlignment="1">
      <alignment horizontal="right" vertical="center"/>
    </xf>
    <xf numFmtId="170" fontId="11" fillId="0" borderId="17" xfId="0" applyNumberFormat="1" applyFont="1" applyBorder="1" applyAlignment="1">
      <alignment vertical="center"/>
    </xf>
    <xf numFmtId="167" fontId="11" fillId="0" borderId="11" xfId="0" applyNumberFormat="1" applyFont="1" applyBorder="1" applyAlignment="1">
      <alignment vertical="center"/>
    </xf>
    <xf numFmtId="167" fontId="11" fillId="0" borderId="12" xfId="0" applyNumberFormat="1" applyFont="1" applyBorder="1" applyAlignment="1">
      <alignment vertical="center"/>
    </xf>
    <xf numFmtId="167" fontId="11" fillId="0" borderId="13" xfId="0" applyNumberFormat="1" applyFont="1" applyBorder="1" applyAlignment="1">
      <alignment vertical="center"/>
    </xf>
    <xf numFmtId="9" fontId="11" fillId="0" borderId="16" xfId="1" applyFont="1" applyBorder="1" applyAlignment="1">
      <alignment vertical="center"/>
    </xf>
    <xf numFmtId="9" fontId="11" fillId="0" borderId="0" xfId="1" applyFont="1" applyBorder="1" applyAlignment="1">
      <alignment vertical="center"/>
    </xf>
    <xf numFmtId="9" fontId="11" fillId="0" borderId="17" xfId="1" applyFont="1" applyBorder="1" applyAlignment="1">
      <alignment vertical="center"/>
    </xf>
    <xf numFmtId="167" fontId="19" fillId="0" borderId="11" xfId="0" applyNumberFormat="1" applyFont="1" applyBorder="1" applyAlignment="1">
      <alignment vertical="center"/>
    </xf>
    <xf numFmtId="167" fontId="19" fillId="0" borderId="12" xfId="0" applyNumberFormat="1" applyFont="1" applyBorder="1" applyAlignment="1">
      <alignment vertical="center"/>
    </xf>
    <xf numFmtId="167" fontId="19" fillId="0" borderId="13"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22" fillId="5" borderId="7" xfId="15" applyFont="1" applyFill="1" applyBorder="1" applyAlignment="1">
      <alignment horizontal="left" vertical="center"/>
    </xf>
    <xf numFmtId="0" fontId="22" fillId="5" borderId="11" xfId="15" applyFont="1" applyFill="1" applyBorder="1" applyAlignment="1">
      <alignment horizontal="left" vertical="center"/>
    </xf>
    <xf numFmtId="0" fontId="22" fillId="5" borderId="13" xfId="15" applyFont="1" applyFill="1" applyBorder="1" applyAlignment="1">
      <alignment horizontal="left" vertical="center"/>
    </xf>
    <xf numFmtId="0" fontId="22" fillId="5" borderId="12" xfId="15" applyFont="1" applyFill="1" applyBorder="1" applyAlignment="1">
      <alignment horizontal="left" vertical="center"/>
    </xf>
    <xf numFmtId="170" fontId="11" fillId="5" borderId="12" xfId="0" applyNumberFormat="1" applyFont="1" applyFill="1" applyBorder="1" applyAlignment="1">
      <alignment vertical="center"/>
    </xf>
    <xf numFmtId="169" fontId="19" fillId="5" borderId="7" xfId="0" applyNumberFormat="1" applyFont="1" applyFill="1" applyBorder="1" applyAlignment="1">
      <alignment horizontal="right" vertical="center" wrapText="1"/>
    </xf>
    <xf numFmtId="0" fontId="23" fillId="0" borderId="0" xfId="15" applyFont="1" applyFill="1" applyBorder="1" applyAlignment="1">
      <alignment vertical="center"/>
    </xf>
    <xf numFmtId="0" fontId="11" fillId="0" borderId="0" xfId="0" applyFont="1" applyBorder="1" applyAlignment="1">
      <alignment vertical="center"/>
    </xf>
    <xf numFmtId="167" fontId="11" fillId="0" borderId="9" xfId="0" applyNumberFormat="1" applyFont="1" applyBorder="1" applyAlignment="1">
      <alignment vertical="center"/>
    </xf>
    <xf numFmtId="0" fontId="23" fillId="0" borderId="19" xfId="15" applyFont="1" applyFill="1" applyBorder="1" applyAlignment="1">
      <alignment vertical="center"/>
    </xf>
    <xf numFmtId="0" fontId="11" fillId="0" borderId="19" xfId="0" applyFont="1" applyBorder="1" applyAlignment="1">
      <alignment vertical="center"/>
    </xf>
    <xf numFmtId="167" fontId="11" fillId="0" borderId="10" xfId="0" applyNumberFormat="1" applyFont="1" applyBorder="1" applyAlignment="1">
      <alignment vertical="center"/>
    </xf>
    <xf numFmtId="170" fontId="21" fillId="7" borderId="0" xfId="0" applyNumberFormat="1" applyFont="1" applyFill="1" applyAlignment="1">
      <alignment vertical="center"/>
    </xf>
    <xf numFmtId="167" fontId="19" fillId="5" borderId="25" xfId="0" applyNumberFormat="1" applyFont="1" applyFill="1" applyBorder="1" applyAlignment="1">
      <alignment vertical="center"/>
    </xf>
    <xf numFmtId="169" fontId="19"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0" fontId="11" fillId="0" borderId="16" xfId="0" applyFont="1" applyBorder="1" applyAlignment="1">
      <alignment vertical="center"/>
    </xf>
    <xf numFmtId="9" fontId="11" fillId="2" borderId="13" xfId="1" applyFont="1" applyFill="1" applyBorder="1" applyAlignment="1">
      <alignment horizontal="center" vertical="center"/>
    </xf>
    <xf numFmtId="170" fontId="19" fillId="2" borderId="23" xfId="0" applyNumberFormat="1" applyFont="1" applyFill="1" applyBorder="1" applyAlignment="1">
      <alignment horizontal="right"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8" fillId="0" borderId="0" xfId="0" applyFont="1" applyFill="1" applyBorder="1" applyAlignment="1">
      <alignment horizontal="center" vertical="center"/>
    </xf>
    <xf numFmtId="0" fontId="18" fillId="3" borderId="7" xfId="0" applyFont="1" applyFill="1" applyBorder="1" applyAlignment="1">
      <alignment horizontal="left" vertical="center"/>
    </xf>
    <xf numFmtId="167" fontId="19" fillId="0" borderId="0" xfId="0" applyNumberFormat="1" applyFont="1" applyFill="1" applyBorder="1" applyAlignment="1">
      <alignment horizontal="center" vertical="center" wrapText="1"/>
    </xf>
    <xf numFmtId="170" fontId="19" fillId="4" borderId="14"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center" vertical="center" wrapText="1"/>
    </xf>
    <xf numFmtId="170" fontId="19" fillId="4" borderId="21"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right" vertical="center" wrapText="1"/>
    </xf>
    <xf numFmtId="170" fontId="19" fillId="4" borderId="21" xfId="0" quotePrefix="1" applyNumberFormat="1" applyFont="1" applyFill="1" applyBorder="1" applyAlignment="1">
      <alignment horizontal="right" vertical="center" wrapText="1"/>
    </xf>
    <xf numFmtId="0" fontId="11" fillId="0" borderId="14" xfId="0" applyFont="1" applyBorder="1" applyAlignment="1">
      <alignment vertical="center"/>
    </xf>
    <xf numFmtId="170" fontId="11" fillId="0" borderId="15" xfId="0" applyNumberFormat="1" applyFont="1" applyBorder="1" applyAlignment="1">
      <alignment horizontal="center"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170" fontId="11" fillId="0" borderId="14" xfId="0" applyNumberFormat="1" applyFont="1" applyBorder="1" applyAlignment="1">
      <alignment horizontal="center" vertical="center"/>
    </xf>
    <xf numFmtId="170" fontId="11" fillId="0" borderId="21" xfId="0" applyNumberFormat="1" applyFont="1" applyBorder="1" applyAlignment="1">
      <alignment horizontal="center" vertical="center"/>
    </xf>
    <xf numFmtId="170" fontId="11" fillId="0" borderId="8" xfId="0" applyNumberFormat="1" applyFont="1" applyBorder="1" applyAlignment="1">
      <alignment horizontal="center" vertical="center"/>
    </xf>
    <xf numFmtId="168" fontId="11" fillId="0" borderId="15" xfId="0" applyNumberFormat="1" applyFont="1" applyBorder="1" applyAlignment="1">
      <alignment horizontal="right" vertical="center"/>
    </xf>
    <xf numFmtId="168" fontId="11" fillId="0" borderId="21" xfId="0" applyNumberFormat="1" applyFont="1" applyBorder="1" applyAlignment="1">
      <alignment horizontal="right" vertical="center"/>
    </xf>
    <xf numFmtId="168" fontId="11" fillId="0" borderId="14" xfId="0" applyNumberFormat="1" applyFont="1" applyBorder="1" applyAlignment="1">
      <alignment horizontal="right" vertical="center"/>
    </xf>
    <xf numFmtId="170" fontId="11" fillId="0" borderId="0" xfId="0" applyNumberFormat="1" applyFont="1" applyBorder="1" applyAlignment="1">
      <alignment horizontal="center"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170" fontId="11" fillId="0" borderId="9" xfId="0" applyNumberFormat="1" applyFont="1" applyBorder="1" applyAlignment="1">
      <alignment horizontal="center" vertical="center"/>
    </xf>
    <xf numFmtId="168" fontId="11" fillId="0" borderId="0" xfId="0" applyNumberFormat="1" applyFont="1" applyBorder="1" applyAlignment="1">
      <alignment horizontal="right" vertical="center"/>
    </xf>
    <xf numFmtId="168" fontId="11" fillId="0" borderId="17" xfId="0" applyNumberFormat="1" applyFont="1" applyBorder="1" applyAlignment="1">
      <alignment horizontal="right" vertical="center"/>
    </xf>
    <xf numFmtId="168" fontId="11" fillId="0" borderId="16" xfId="0" applyNumberFormat="1" applyFont="1" applyBorder="1" applyAlignment="1">
      <alignment horizontal="right" vertical="center"/>
    </xf>
    <xf numFmtId="0" fontId="11" fillId="0" borderId="18" xfId="0" applyFont="1" applyBorder="1" applyAlignment="1">
      <alignment vertical="center"/>
    </xf>
    <xf numFmtId="168" fontId="11" fillId="0" borderId="20" xfId="0" applyNumberFormat="1" applyFont="1" applyBorder="1" applyAlignment="1">
      <alignment horizontal="center" vertical="center"/>
    </xf>
    <xf numFmtId="170" fontId="11" fillId="0" borderId="10" xfId="0" applyNumberFormat="1" applyFont="1" applyBorder="1" applyAlignment="1">
      <alignment horizontal="center" vertical="center"/>
    </xf>
    <xf numFmtId="167" fontId="11" fillId="0" borderId="0" xfId="0" applyNumberFormat="1" applyFont="1" applyFill="1" applyAlignment="1">
      <alignment vertical="center"/>
    </xf>
    <xf numFmtId="0" fontId="19" fillId="4" borderId="11" xfId="0" applyFont="1" applyFill="1" applyBorder="1" applyAlignment="1">
      <alignment horizontal="center" vertical="center" wrapText="1"/>
    </xf>
    <xf numFmtId="0" fontId="19" fillId="4" borderId="13" xfId="0" applyFont="1" applyFill="1" applyBorder="1" applyAlignment="1">
      <alignment horizontal="center" vertical="center" wrapText="1"/>
    </xf>
    <xf numFmtId="170" fontId="19" fillId="4" borderId="8" xfId="0" quotePrefix="1" applyNumberFormat="1" applyFont="1" applyFill="1" applyBorder="1" applyAlignment="1">
      <alignment horizontal="center" vertical="center" wrapText="1"/>
    </xf>
    <xf numFmtId="168" fontId="11" fillId="0" borderId="17" xfId="0" applyNumberFormat="1" applyFont="1" applyFill="1" applyBorder="1" applyAlignment="1">
      <alignment horizontal="center" vertical="center"/>
    </xf>
    <xf numFmtId="168" fontId="11" fillId="0" borderId="0" xfId="0" applyNumberFormat="1" applyFont="1" applyBorder="1" applyAlignment="1">
      <alignment horizontal="center" vertical="center"/>
    </xf>
    <xf numFmtId="0" fontId="11" fillId="0" borderId="0" xfId="6" applyFont="1" applyAlignment="1">
      <alignment horizontal="center" vertical="top"/>
    </xf>
    <xf numFmtId="170" fontId="11" fillId="0" borderId="0" xfId="6" applyNumberFormat="1" applyFont="1" applyAlignment="1">
      <alignment horizontal="center" vertical="top"/>
    </xf>
    <xf numFmtId="168" fontId="11" fillId="0" borderId="0" xfId="6" applyNumberFormat="1" applyFont="1" applyFill="1" applyBorder="1" applyAlignment="1">
      <alignment horizontal="center" vertical="top"/>
    </xf>
    <xf numFmtId="169" fontId="11" fillId="0" borderId="0" xfId="6" applyNumberFormat="1" applyFont="1" applyFill="1" applyBorder="1" applyAlignment="1">
      <alignment horizontal="center" vertical="top"/>
    </xf>
    <xf numFmtId="0" fontId="11" fillId="0" borderId="0" xfId="6" applyFont="1" applyBorder="1" applyAlignment="1">
      <alignment horizontal="center" vertical="top"/>
    </xf>
    <xf numFmtId="170" fontId="11" fillId="0" borderId="9" xfId="6" applyNumberFormat="1" applyFont="1" applyFill="1" applyBorder="1" applyAlignment="1">
      <alignment horizontal="center" vertical="top"/>
    </xf>
    <xf numFmtId="170" fontId="11" fillId="0" borderId="0" xfId="6" applyNumberFormat="1" applyFont="1" applyFill="1" applyBorder="1" applyAlignment="1">
      <alignment horizontal="center" vertical="top"/>
    </xf>
    <xf numFmtId="170" fontId="11" fillId="0" borderId="0" xfId="6" applyNumberFormat="1" applyFont="1" applyBorder="1" applyAlignment="1">
      <alignment horizontal="center" vertical="top"/>
    </xf>
    <xf numFmtId="171" fontId="11" fillId="0" borderId="0" xfId="9" applyNumberFormat="1" applyFont="1" applyAlignment="1">
      <alignment horizontal="center" vertical="top"/>
    </xf>
    <xf numFmtId="0" fontId="19" fillId="0" borderId="0" xfId="0" applyFont="1" applyAlignment="1">
      <alignment horizontal="left" vertical="top"/>
    </xf>
    <xf numFmtId="169" fontId="11" fillId="0" borderId="0" xfId="6" applyNumberFormat="1" applyFont="1" applyAlignment="1">
      <alignment horizontal="center" vertical="top"/>
    </xf>
    <xf numFmtId="168" fontId="19" fillId="0" borderId="0" xfId="6" applyNumberFormat="1" applyFont="1" applyAlignment="1">
      <alignment horizontal="center" vertical="top"/>
    </xf>
    <xf numFmtId="0" fontId="19" fillId="0" borderId="0" xfId="6" applyFont="1" applyAlignment="1">
      <alignment horizontal="center" vertical="top"/>
    </xf>
    <xf numFmtId="9" fontId="11" fillId="0" borderId="0" xfId="9" applyFont="1" applyAlignment="1">
      <alignment horizontal="center" vertical="top"/>
    </xf>
    <xf numFmtId="170" fontId="0" fillId="0" borderId="0" xfId="1" applyNumberFormat="1" applyFont="1"/>
    <xf numFmtId="169" fontId="5" fillId="0" borderId="0" xfId="0" applyNumberFormat="1" applyFont="1"/>
    <xf numFmtId="170" fontId="14" fillId="0" borderId="0" xfId="2"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167" fontId="11" fillId="0" borderId="0" xfId="0" applyNumberFormat="1" applyFont="1" applyFill="1" applyBorder="1" applyAlignment="1">
      <alignment vertical="center" wrapText="1"/>
    </xf>
    <xf numFmtId="167" fontId="11" fillId="0" borderId="17" xfId="0" applyNumberFormat="1" applyFont="1" applyFill="1" applyBorder="1" applyAlignment="1">
      <alignment vertical="center" wrapText="1"/>
    </xf>
    <xf numFmtId="167" fontId="11" fillId="0" borderId="19" xfId="0" applyNumberFormat="1" applyFont="1" applyFill="1" applyBorder="1" applyAlignment="1">
      <alignment vertical="center" wrapText="1"/>
    </xf>
    <xf numFmtId="167" fontId="11" fillId="0" borderId="20" xfId="0" applyNumberFormat="1" applyFont="1" applyFill="1" applyBorder="1" applyAlignment="1">
      <alignment vertical="center" wrapText="1"/>
    </xf>
    <xf numFmtId="0" fontId="14" fillId="3" borderId="0" xfId="0" applyFont="1" applyFill="1" applyBorder="1" applyAlignment="1">
      <alignment vertical="top"/>
    </xf>
    <xf numFmtId="0" fontId="19" fillId="4" borderId="7" xfId="0" applyFont="1" applyFill="1" applyBorder="1" applyAlignment="1">
      <alignment horizontal="center" vertical="center" wrapText="1"/>
    </xf>
    <xf numFmtId="167" fontId="11" fillId="0" borderId="16" xfId="0" applyNumberFormat="1" applyFont="1" applyFill="1" applyBorder="1" applyAlignment="1">
      <alignment vertical="center" wrapText="1"/>
    </xf>
    <xf numFmtId="167" fontId="11" fillId="0" borderId="18" xfId="0" applyNumberFormat="1" applyFont="1" applyFill="1" applyBorder="1" applyAlignment="1">
      <alignment vertical="center" wrapText="1"/>
    </xf>
    <xf numFmtId="170" fontId="19" fillId="4" borderId="11" xfId="0" quotePrefix="1" applyNumberFormat="1" applyFont="1" applyFill="1" applyBorder="1" applyAlignment="1">
      <alignment horizontal="center" vertical="center" wrapText="1"/>
    </xf>
    <xf numFmtId="170" fontId="19" fillId="4" borderId="12" xfId="0" quotePrefix="1" applyNumberFormat="1" applyFont="1" applyFill="1" applyBorder="1" applyAlignment="1">
      <alignment horizontal="center" vertical="center" wrapText="1"/>
    </xf>
    <xf numFmtId="170" fontId="19" fillId="4" borderId="13" xfId="0" quotePrefix="1" applyNumberFormat="1" applyFont="1" applyFill="1" applyBorder="1" applyAlignment="1">
      <alignment horizontal="center" vertical="center" wrapText="1"/>
    </xf>
    <xf numFmtId="170" fontId="19" fillId="5" borderId="7"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170" fontId="19" fillId="0" borderId="0" xfId="0" quotePrefix="1" applyNumberFormat="1" applyFont="1" applyFill="1" applyBorder="1" applyAlignment="1">
      <alignment horizontal="center" vertical="center" wrapText="1"/>
    </xf>
    <xf numFmtId="170" fontId="11" fillId="0" borderId="0" xfId="0" applyNumberFormat="1" applyFont="1" applyFill="1" applyBorder="1" applyAlignment="1">
      <alignment horizontal="center" vertical="center"/>
    </xf>
    <xf numFmtId="170" fontId="19" fillId="4" borderId="14" xfId="0" quotePrefix="1" applyNumberFormat="1" applyFont="1" applyFill="1" applyBorder="1" applyAlignment="1">
      <alignment horizontal="right" vertical="center" wrapText="1"/>
    </xf>
    <xf numFmtId="170" fontId="19" fillId="4" borderId="11" xfId="0" quotePrefix="1" applyNumberFormat="1" applyFont="1" applyFill="1" applyBorder="1" applyAlignment="1">
      <alignment horizontal="right" vertical="center" wrapText="1"/>
    </xf>
    <xf numFmtId="170" fontId="19" fillId="4" borderId="12" xfId="0" quotePrefix="1" applyNumberFormat="1" applyFont="1" applyFill="1" applyBorder="1" applyAlignment="1">
      <alignment horizontal="right" vertical="center" wrapText="1"/>
    </xf>
    <xf numFmtId="170" fontId="19" fillId="4" borderId="13" xfId="0" quotePrefix="1" applyNumberFormat="1" applyFont="1" applyFill="1" applyBorder="1" applyAlignment="1">
      <alignment horizontal="right" vertical="center" wrapText="1"/>
    </xf>
    <xf numFmtId="0" fontId="12" fillId="7" borderId="0" xfId="0" applyFont="1" applyFill="1" applyAlignment="1">
      <alignment vertical="center"/>
    </xf>
    <xf numFmtId="0" fontId="21" fillId="7" borderId="0" xfId="0" applyFont="1" applyFill="1" applyAlignment="1">
      <alignment vertical="center"/>
    </xf>
    <xf numFmtId="167" fontId="21" fillId="7" borderId="0" xfId="0" applyNumberFormat="1" applyFont="1" applyFill="1" applyAlignment="1">
      <alignment vertical="center"/>
    </xf>
    <xf numFmtId="0" fontId="11" fillId="2" borderId="8" xfId="0" applyFont="1" applyFill="1" applyBorder="1" applyAlignment="1">
      <alignment vertical="center"/>
    </xf>
    <xf numFmtId="0" fontId="11" fillId="2" borderId="9" xfId="0" applyFont="1" applyFill="1" applyBorder="1" applyAlignment="1">
      <alignment vertical="center"/>
    </xf>
    <xf numFmtId="167" fontId="11" fillId="2" borderId="9" xfId="0" applyNumberFormat="1" applyFont="1" applyFill="1" applyBorder="1" applyAlignment="1">
      <alignment vertical="center"/>
    </xf>
    <xf numFmtId="0" fontId="11" fillId="2" borderId="10" xfId="0" applyFont="1" applyFill="1" applyBorder="1" applyAlignment="1">
      <alignment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9" fillId="0" borderId="12" xfId="0" applyFont="1" applyBorder="1" applyAlignment="1">
      <alignment vertical="center"/>
    </xf>
    <xf numFmtId="10" fontId="19" fillId="0" borderId="12" xfId="1" applyNumberFormat="1" applyFont="1" applyBorder="1" applyAlignment="1">
      <alignment vertical="center"/>
    </xf>
    <xf numFmtId="10" fontId="19" fillId="0" borderId="13" xfId="1" applyNumberFormat="1" applyFont="1" applyBorder="1" applyAlignment="1">
      <alignment vertical="center"/>
    </xf>
    <xf numFmtId="169" fontId="11" fillId="0" borderId="0" xfId="0" applyNumberFormat="1" applyFont="1" applyAlignment="1">
      <alignment horizontal="right" vertical="center"/>
    </xf>
    <xf numFmtId="167" fontId="19" fillId="5" borderId="7" xfId="0" applyNumberFormat="1" applyFont="1" applyFill="1" applyBorder="1" applyAlignment="1">
      <alignment vertical="center"/>
    </xf>
    <xf numFmtId="9" fontId="19" fillId="5" borderId="7" xfId="1" applyFont="1" applyFill="1" applyBorder="1" applyAlignment="1">
      <alignment vertical="center"/>
    </xf>
    <xf numFmtId="170" fontId="11" fillId="0" borderId="9" xfId="6" applyNumberFormat="1" applyFont="1" applyFill="1" applyBorder="1" applyAlignment="1">
      <alignment horizontal="right" vertical="top"/>
    </xf>
    <xf numFmtId="170" fontId="11" fillId="0" borderId="10" xfId="6" applyNumberFormat="1" applyFont="1" applyFill="1" applyBorder="1" applyAlignment="1">
      <alignment horizontal="right" vertical="top"/>
    </xf>
    <xf numFmtId="169" fontId="11" fillId="0" borderId="10" xfId="6" applyNumberFormat="1" applyFont="1" applyBorder="1" applyAlignment="1">
      <alignment horizontal="right" vertical="top"/>
    </xf>
    <xf numFmtId="170" fontId="19" fillId="3" borderId="23" xfId="6" applyNumberFormat="1" applyFont="1" applyFill="1" applyBorder="1" applyAlignment="1">
      <alignment horizontal="right" vertical="top"/>
    </xf>
    <xf numFmtId="170" fontId="11" fillId="0" borderId="10" xfId="6" applyNumberFormat="1" applyFont="1" applyBorder="1" applyAlignment="1">
      <alignment horizontal="right" vertical="top"/>
    </xf>
    <xf numFmtId="0" fontId="19" fillId="0" borderId="10" xfId="6" applyFont="1" applyBorder="1" applyAlignment="1">
      <alignment horizontal="left" vertical="top" wrapText="1"/>
    </xf>
    <xf numFmtId="0" fontId="19" fillId="0" borderId="18" xfId="6" applyFont="1" applyBorder="1" applyAlignment="1">
      <alignment horizontal="left" vertical="top" wrapText="1"/>
    </xf>
    <xf numFmtId="0" fontId="19" fillId="0" borderId="20" xfId="6" applyFont="1" applyBorder="1" applyAlignment="1">
      <alignment horizontal="left" vertical="top" wrapText="1"/>
    </xf>
    <xf numFmtId="0" fontId="17" fillId="0" borderId="0" xfId="0" applyFont="1" applyAlignment="1">
      <alignment vertical="top"/>
    </xf>
    <xf numFmtId="0" fontId="19" fillId="0" borderId="0" xfId="0" applyFont="1" applyAlignment="1">
      <alignment vertical="top"/>
    </xf>
    <xf numFmtId="0" fontId="24" fillId="0" borderId="0" xfId="0" applyFont="1" applyAlignment="1">
      <alignment vertical="top"/>
    </xf>
    <xf numFmtId="0" fontId="11" fillId="0" borderId="0" xfId="0" applyFont="1" applyAlignment="1">
      <alignment vertical="top"/>
    </xf>
    <xf numFmtId="0" fontId="11" fillId="0" borderId="14" xfId="0" applyFont="1" applyBorder="1" applyAlignment="1">
      <alignment vertical="top"/>
    </xf>
    <xf numFmtId="168" fontId="11" fillId="0" borderId="14" xfId="0" applyNumberFormat="1" applyFont="1" applyBorder="1" applyAlignment="1">
      <alignment horizontal="center" vertical="top"/>
    </xf>
    <xf numFmtId="0" fontId="11" fillId="0" borderId="16" xfId="0" applyFont="1" applyBorder="1" applyAlignment="1">
      <alignment vertical="top"/>
    </xf>
    <xf numFmtId="168" fontId="11" fillId="0" borderId="16" xfId="0" applyNumberFormat="1" applyFont="1" applyBorder="1" applyAlignment="1">
      <alignment horizontal="center" vertical="top"/>
    </xf>
    <xf numFmtId="0" fontId="11" fillId="0" borderId="0" xfId="6" applyFont="1" applyAlignment="1">
      <alignment horizontal="center" vertical="center" wrapText="1"/>
    </xf>
    <xf numFmtId="170" fontId="19" fillId="4" borderId="7" xfId="6" quotePrefix="1" applyNumberFormat="1" applyFont="1" applyFill="1" applyBorder="1" applyAlignment="1">
      <alignment horizontal="center" vertical="center" wrapText="1"/>
    </xf>
    <xf numFmtId="170" fontId="11" fillId="0" borderId="8" xfId="0" applyNumberFormat="1" applyFont="1" applyBorder="1" applyAlignment="1">
      <alignment horizontal="center" vertical="top"/>
    </xf>
    <xf numFmtId="170" fontId="11" fillId="0" borderId="9" xfId="0" applyNumberFormat="1" applyFont="1" applyBorder="1" applyAlignment="1">
      <alignment horizontal="center" vertical="top"/>
    </xf>
    <xf numFmtId="0" fontId="11" fillId="0" borderId="9" xfId="0" applyFont="1" applyBorder="1" applyAlignment="1">
      <alignment horizontal="center" vertical="top"/>
    </xf>
    <xf numFmtId="169" fontId="19" fillId="4" borderId="7" xfId="7" applyNumberFormat="1" applyFont="1" applyFill="1" applyBorder="1" applyAlignment="1">
      <alignment horizontal="center" vertical="center" wrapText="1"/>
    </xf>
    <xf numFmtId="170" fontId="19" fillId="4" borderId="7" xfId="7" applyNumberFormat="1" applyFont="1" applyFill="1" applyBorder="1" applyAlignment="1">
      <alignment horizontal="center" vertical="center" wrapText="1"/>
    </xf>
    <xf numFmtId="170" fontId="19" fillId="0" borderId="9" xfId="6" applyNumberFormat="1" applyFont="1" applyFill="1" applyBorder="1" applyAlignment="1">
      <alignment horizontal="right" vertical="top"/>
    </xf>
    <xf numFmtId="170" fontId="19" fillId="4" borderId="10" xfId="6" quotePrefix="1" applyNumberFormat="1" applyFont="1" applyFill="1" applyBorder="1" applyAlignment="1">
      <alignment horizontal="center" vertical="center" wrapText="1"/>
    </xf>
    <xf numFmtId="0" fontId="19" fillId="0" borderId="0" xfId="6" quotePrefix="1" applyFont="1" applyBorder="1" applyAlignment="1">
      <alignment horizontal="center" vertical="top"/>
    </xf>
    <xf numFmtId="9" fontId="11" fillId="0" borderId="0" xfId="8" applyNumberFormat="1" applyFont="1" applyBorder="1" applyAlignment="1">
      <alignment horizontal="center" vertical="top"/>
    </xf>
    <xf numFmtId="169" fontId="11" fillId="0" borderId="9" xfId="6" applyNumberFormat="1" applyFont="1" applyFill="1" applyBorder="1" applyAlignment="1">
      <alignment horizontal="right" vertical="top"/>
    </xf>
    <xf numFmtId="170" fontId="11" fillId="0" borderId="0" xfId="6" applyNumberFormat="1" applyFont="1" applyAlignment="1">
      <alignment horizontal="right" vertical="top"/>
    </xf>
    <xf numFmtId="167" fontId="11" fillId="0" borderId="14" xfId="0" applyNumberFormat="1" applyFont="1" applyBorder="1" applyAlignment="1">
      <alignment horizontal="right" vertical="center"/>
    </xf>
    <xf numFmtId="167" fontId="11" fillId="0" borderId="15" xfId="0" applyNumberFormat="1" applyFont="1" applyBorder="1" applyAlignment="1">
      <alignment horizontal="right" vertical="center"/>
    </xf>
    <xf numFmtId="167" fontId="11" fillId="0" borderId="21" xfId="0" applyNumberFormat="1" applyFont="1" applyBorder="1" applyAlignment="1">
      <alignment horizontal="right" vertical="center"/>
    </xf>
    <xf numFmtId="167" fontId="11" fillId="0" borderId="16" xfId="0" applyNumberFormat="1" applyFont="1" applyBorder="1" applyAlignment="1">
      <alignment horizontal="right" vertical="center"/>
    </xf>
    <xf numFmtId="167" fontId="11" fillId="0" borderId="0" xfId="0" applyNumberFormat="1" applyFont="1" applyBorder="1" applyAlignment="1">
      <alignment horizontal="right" vertical="center"/>
    </xf>
    <xf numFmtId="167" fontId="11" fillId="0" borderId="17" xfId="0" applyNumberFormat="1" applyFont="1" applyBorder="1" applyAlignment="1">
      <alignment horizontal="right" vertical="center"/>
    </xf>
    <xf numFmtId="167" fontId="11" fillId="0" borderId="18" xfId="0" applyNumberFormat="1" applyFont="1" applyBorder="1" applyAlignment="1">
      <alignment horizontal="right" vertical="center"/>
    </xf>
    <xf numFmtId="167" fontId="11" fillId="0" borderId="19" xfId="0" applyNumberFormat="1" applyFont="1" applyBorder="1" applyAlignment="1">
      <alignment horizontal="right" vertical="center"/>
    </xf>
    <xf numFmtId="167" fontId="11" fillId="0" borderId="20" xfId="0" applyNumberFormat="1" applyFont="1" applyBorder="1" applyAlignment="1">
      <alignment horizontal="right" vertical="center"/>
    </xf>
    <xf numFmtId="172" fontId="7" fillId="0" borderId="0" xfId="3" applyNumberFormat="1" applyFont="1"/>
    <xf numFmtId="172" fontId="14" fillId="0" borderId="0" xfId="3" applyNumberFormat="1" applyFont="1"/>
    <xf numFmtId="0" fontId="14" fillId="3" borderId="6" xfId="0" applyFont="1" applyFill="1" applyBorder="1" applyAlignment="1">
      <alignment horizontal="center"/>
    </xf>
    <xf numFmtId="169" fontId="19" fillId="0" borderId="7" xfId="0" applyNumberFormat="1" applyFont="1" applyBorder="1" applyAlignment="1">
      <alignment vertical="center"/>
    </xf>
    <xf numFmtId="169" fontId="19" fillId="4" borderId="7" xfId="0" quotePrefix="1" applyNumberFormat="1" applyFont="1" applyFill="1" applyBorder="1" applyAlignment="1">
      <alignment horizontal="right" vertical="center"/>
    </xf>
    <xf numFmtId="170" fontId="11" fillId="0" borderId="9" xfId="0" applyNumberFormat="1" applyFont="1" applyBorder="1" applyAlignment="1">
      <alignment horizontal="right" vertical="center" wrapText="1"/>
    </xf>
    <xf numFmtId="168" fontId="11" fillId="0" borderId="8" xfId="0" applyNumberFormat="1" applyFont="1" applyBorder="1" applyAlignment="1">
      <alignment horizontal="center" vertical="center"/>
    </xf>
    <xf numFmtId="168" fontId="11" fillId="0" borderId="21" xfId="0" applyNumberFormat="1" applyFont="1" applyFill="1" applyBorder="1" applyAlignment="1">
      <alignment horizontal="center" vertical="center"/>
    </xf>
    <xf numFmtId="168" fontId="11" fillId="0" borderId="9" xfId="0" applyNumberFormat="1" applyFont="1" applyBorder="1" applyAlignment="1">
      <alignment horizontal="center" vertical="center"/>
    </xf>
    <xf numFmtId="0" fontId="19" fillId="4" borderId="8" xfId="0" applyFont="1" applyFill="1" applyBorder="1" applyAlignment="1">
      <alignment horizontal="center" vertical="center" wrapText="1"/>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0" fontId="11" fillId="0" borderId="16" xfId="0" applyFont="1" applyBorder="1" applyAlignment="1">
      <alignment horizontal="left"/>
    </xf>
    <xf numFmtId="0" fontId="11" fillId="0" borderId="0" xfId="0" applyFont="1" applyBorder="1" applyAlignment="1">
      <alignment horizontal="left"/>
    </xf>
    <xf numFmtId="0" fontId="11" fillId="0" borderId="17" xfId="0" applyFont="1" applyBorder="1" applyAlignment="1">
      <alignment horizontal="left"/>
    </xf>
    <xf numFmtId="0" fontId="11" fillId="0" borderId="18" xfId="0" applyFont="1" applyBorder="1" applyAlignment="1">
      <alignment horizontal="left"/>
    </xf>
    <xf numFmtId="0" fontId="11" fillId="0" borderId="19" xfId="0" applyFont="1" applyBorder="1" applyAlignment="1">
      <alignment horizontal="left"/>
    </xf>
    <xf numFmtId="0" fontId="11" fillId="0" borderId="20" xfId="0" applyFont="1" applyBorder="1" applyAlignment="1">
      <alignment horizontal="left"/>
    </xf>
    <xf numFmtId="0" fontId="11" fillId="0" borderId="16" xfId="0" applyFont="1" applyBorder="1"/>
    <xf numFmtId="0" fontId="11" fillId="2" borderId="11" xfId="0" applyFont="1" applyFill="1" applyBorder="1" applyAlignment="1">
      <alignment horizontal="left"/>
    </xf>
    <xf numFmtId="0" fontId="11" fillId="2" borderId="12" xfId="0" applyFont="1" applyFill="1" applyBorder="1" applyAlignment="1">
      <alignment horizontal="left"/>
    </xf>
    <xf numFmtId="0" fontId="11" fillId="2" borderId="13" xfId="0" applyFont="1" applyFill="1" applyBorder="1" applyAlignment="1">
      <alignment horizontal="left"/>
    </xf>
    <xf numFmtId="170" fontId="19" fillId="2" borderId="7" xfId="0" applyNumberFormat="1" applyFont="1" applyFill="1" applyBorder="1" applyAlignment="1">
      <alignment vertical="center"/>
    </xf>
    <xf numFmtId="170" fontId="11" fillId="0" borderId="18" xfId="0" applyNumberFormat="1" applyFont="1" applyBorder="1" applyAlignment="1">
      <alignment vertical="center"/>
    </xf>
    <xf numFmtId="170" fontId="11" fillId="0" borderId="10" xfId="0" applyNumberFormat="1" applyFont="1" applyBorder="1" applyAlignment="1">
      <alignment vertical="center"/>
    </xf>
    <xf numFmtId="0" fontId="23" fillId="0" borderId="15" xfId="15" applyFont="1" applyFill="1" applyBorder="1" applyAlignment="1">
      <alignment vertical="center"/>
    </xf>
    <xf numFmtId="0" fontId="11" fillId="0" borderId="15" xfId="0" applyFont="1" applyBorder="1" applyAlignment="1">
      <alignment vertical="center"/>
    </xf>
    <xf numFmtId="167" fontId="11" fillId="0" borderId="8" xfId="0" applyNumberFormat="1" applyFont="1" applyBorder="1" applyAlignment="1">
      <alignment vertical="center"/>
    </xf>
    <xf numFmtId="170" fontId="11" fillId="0" borderId="7" xfId="0" applyNumberFormat="1" applyFont="1" applyBorder="1" applyAlignment="1">
      <alignment horizontal="center" vertical="center"/>
    </xf>
    <xf numFmtId="170" fontId="19" fillId="0" borderId="9" xfId="6" applyNumberFormat="1" applyFont="1" applyFill="1" applyBorder="1" applyAlignment="1">
      <alignment horizontal="right"/>
    </xf>
    <xf numFmtId="170" fontId="19" fillId="2" borderId="7" xfId="6" applyNumberFormat="1" applyFont="1" applyFill="1" applyBorder="1" applyAlignment="1">
      <alignment horizontal="right"/>
    </xf>
    <xf numFmtId="169" fontId="11" fillId="0" borderId="0" xfId="6" applyNumberFormat="1" applyFont="1" applyAlignment="1">
      <alignment horizontal="right"/>
    </xf>
    <xf numFmtId="170" fontId="11" fillId="0" borderId="0" xfId="0" applyNumberFormat="1" applyFont="1" applyBorder="1" applyAlignment="1">
      <alignment horizontal="center" vertical="top"/>
    </xf>
    <xf numFmtId="0" fontId="11" fillId="0" borderId="0" xfId="0" applyFont="1" applyBorder="1" applyAlignment="1">
      <alignment horizontal="center" vertical="top"/>
    </xf>
    <xf numFmtId="168" fontId="11" fillId="0" borderId="15" xfId="0" applyNumberFormat="1" applyFont="1" applyBorder="1" applyAlignment="1">
      <alignment horizontal="center" vertical="center"/>
    </xf>
    <xf numFmtId="168" fontId="11" fillId="0" borderId="18" xfId="0" applyNumberFormat="1" applyFont="1" applyBorder="1" applyAlignment="1">
      <alignment horizontal="center" vertical="center"/>
    </xf>
    <xf numFmtId="0" fontId="19" fillId="4" borderId="14"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1" xfId="0" applyFont="1" applyFill="1" applyBorder="1" applyAlignment="1">
      <alignment horizontal="center" vertical="center" wrapText="1"/>
    </xf>
    <xf numFmtId="168" fontId="11" fillId="0" borderId="14" xfId="0" applyNumberFormat="1" applyFont="1" applyBorder="1" applyAlignment="1">
      <alignment horizontal="center" vertical="center"/>
    </xf>
    <xf numFmtId="169" fontId="11" fillId="0" borderId="0" xfId="0" applyNumberFormat="1" applyFont="1" applyFill="1" applyBorder="1" applyAlignment="1">
      <alignment horizontal="center" vertical="center"/>
    </xf>
    <xf numFmtId="167" fontId="19" fillId="0" borderId="7" xfId="0" applyNumberFormat="1" applyFont="1" applyBorder="1" applyAlignment="1">
      <alignment horizontal="right" vertical="center"/>
    </xf>
    <xf numFmtId="0" fontId="11" fillId="0" borderId="0" xfId="6" applyFont="1" applyFill="1" applyAlignment="1">
      <alignment horizontal="center" vertical="top"/>
    </xf>
    <xf numFmtId="0" fontId="19" fillId="0" borderId="0" xfId="0" applyFont="1" applyFill="1" applyAlignment="1">
      <alignment vertical="top"/>
    </xf>
    <xf numFmtId="0" fontId="11" fillId="0" borderId="0" xfId="0" applyFont="1" applyFill="1" applyAlignment="1">
      <alignment vertical="top"/>
    </xf>
    <xf numFmtId="0" fontId="11" fillId="0" borderId="0" xfId="6" applyFont="1" applyFill="1" applyAlignment="1">
      <alignment horizontal="center" vertical="center"/>
    </xf>
    <xf numFmtId="0" fontId="20" fillId="0" borderId="0" xfId="6" applyFont="1" applyFill="1" applyAlignment="1">
      <alignment horizontal="center" vertical="top"/>
    </xf>
    <xf numFmtId="0" fontId="11" fillId="0" borderId="0" xfId="6" applyFont="1" applyFill="1" applyAlignment="1">
      <alignment horizontal="center" vertical="center" wrapText="1"/>
    </xf>
    <xf numFmtId="0" fontId="27" fillId="0" borderId="0" xfId="6" applyFont="1" applyFill="1" applyAlignment="1">
      <alignment horizontal="center" vertical="top"/>
    </xf>
    <xf numFmtId="0" fontId="28" fillId="0" borderId="0" xfId="6" applyFont="1" applyFill="1" applyAlignment="1">
      <alignment horizontal="center" vertical="top"/>
    </xf>
    <xf numFmtId="0" fontId="11" fillId="0" borderId="0" xfId="6" applyFont="1" applyFill="1" applyBorder="1" applyAlignment="1">
      <alignment horizontal="center" vertical="top"/>
    </xf>
    <xf numFmtId="0" fontId="11" fillId="0" borderId="0" xfId="6" applyFont="1" applyFill="1" applyBorder="1" applyAlignment="1">
      <alignment horizontal="center" vertical="top" wrapText="1"/>
    </xf>
    <xf numFmtId="170" fontId="11" fillId="0" borderId="0" xfId="6" applyNumberFormat="1" applyFont="1" applyFill="1" applyAlignment="1">
      <alignment horizontal="center" vertical="top"/>
    </xf>
    <xf numFmtId="170" fontId="20" fillId="0" borderId="0" xfId="6" applyNumberFormat="1" applyFont="1" applyFill="1" applyAlignment="1">
      <alignment horizontal="center" vertical="top"/>
    </xf>
    <xf numFmtId="168" fontId="20" fillId="0" borderId="0" xfId="6" applyNumberFormat="1" applyFont="1" applyFill="1" applyBorder="1" applyAlignment="1">
      <alignment horizontal="center" vertical="top"/>
    </xf>
    <xf numFmtId="168" fontId="11" fillId="0" borderId="17" xfId="0" applyNumberFormat="1" applyFont="1" applyBorder="1" applyAlignment="1">
      <alignment horizontal="center" vertical="center"/>
    </xf>
    <xf numFmtId="0" fontId="11" fillId="2" borderId="16" xfId="0" applyFont="1" applyFill="1" applyBorder="1" applyAlignment="1">
      <alignment vertical="top"/>
    </xf>
    <xf numFmtId="168" fontId="11" fillId="2" borderId="16" xfId="0" applyNumberFormat="1" applyFont="1" applyFill="1" applyBorder="1" applyAlignment="1">
      <alignment horizontal="center" vertical="top"/>
    </xf>
    <xf numFmtId="0" fontId="11" fillId="2" borderId="9" xfId="0" applyFont="1" applyFill="1" applyBorder="1" applyAlignment="1">
      <alignment horizontal="center" vertical="top"/>
    </xf>
    <xf numFmtId="170" fontId="11" fillId="2" borderId="9" xfId="0" applyNumberFormat="1" applyFont="1" applyFill="1" applyBorder="1" applyAlignment="1">
      <alignment horizontal="center" vertical="top"/>
    </xf>
    <xf numFmtId="168" fontId="11" fillId="2" borderId="9" xfId="0" applyNumberFormat="1" applyFont="1" applyFill="1" applyBorder="1" applyAlignment="1">
      <alignment horizontal="center" vertical="center"/>
    </xf>
    <xf numFmtId="168" fontId="11" fillId="2" borderId="17" xfId="0" applyNumberFormat="1" applyFont="1" applyFill="1" applyBorder="1" applyAlignment="1">
      <alignment horizontal="center" vertical="center"/>
    </xf>
    <xf numFmtId="0" fontId="21" fillId="7" borderId="16" xfId="0" applyFont="1" applyFill="1" applyBorder="1" applyAlignment="1">
      <alignment horizontal="left"/>
    </xf>
    <xf numFmtId="0" fontId="21" fillId="7" borderId="0" xfId="0" applyFont="1" applyFill="1" applyBorder="1" applyAlignment="1">
      <alignment horizontal="left"/>
    </xf>
    <xf numFmtId="0" fontId="21" fillId="7" borderId="17" xfId="0" applyFont="1" applyFill="1" applyBorder="1" applyAlignment="1">
      <alignment horizontal="left"/>
    </xf>
    <xf numFmtId="167" fontId="11" fillId="7" borderId="16" xfId="0" applyNumberFormat="1" applyFont="1" applyFill="1" applyBorder="1" applyAlignment="1">
      <alignment vertical="center" wrapText="1"/>
    </xf>
    <xf numFmtId="167" fontId="11" fillId="7" borderId="0" xfId="0" applyNumberFormat="1" applyFont="1" applyFill="1" applyBorder="1" applyAlignment="1">
      <alignment vertical="center" wrapText="1"/>
    </xf>
    <xf numFmtId="167" fontId="11" fillId="7" borderId="17" xfId="0" applyNumberFormat="1" applyFont="1" applyFill="1" applyBorder="1" applyAlignment="1">
      <alignment vertical="center" wrapText="1"/>
    </xf>
    <xf numFmtId="170" fontId="11" fillId="7" borderId="9" xfId="0" applyNumberFormat="1" applyFont="1" applyFill="1" applyBorder="1" applyAlignment="1">
      <alignment horizontal="center" vertical="center"/>
    </xf>
    <xf numFmtId="167" fontId="11" fillId="7" borderId="16" xfId="0" applyNumberFormat="1" applyFont="1" applyFill="1" applyBorder="1" applyAlignment="1">
      <alignment horizontal="right" vertical="center"/>
    </xf>
    <xf numFmtId="167" fontId="11" fillId="7" borderId="0" xfId="0" applyNumberFormat="1" applyFont="1" applyFill="1" applyBorder="1" applyAlignment="1">
      <alignment horizontal="right" vertical="center"/>
    </xf>
    <xf numFmtId="167" fontId="11" fillId="7" borderId="17" xfId="0" applyNumberFormat="1" applyFont="1" applyFill="1" applyBorder="1" applyAlignment="1">
      <alignment horizontal="right" vertical="center"/>
    </xf>
    <xf numFmtId="172" fontId="11" fillId="7" borderId="16" xfId="0" applyNumberFormat="1" applyFont="1" applyFill="1" applyBorder="1" applyAlignment="1">
      <alignment horizontal="right" vertical="center"/>
    </xf>
    <xf numFmtId="172" fontId="11" fillId="7" borderId="0" xfId="0" applyNumberFormat="1" applyFont="1" applyFill="1" applyBorder="1" applyAlignment="1">
      <alignment horizontal="right" vertical="center"/>
    </xf>
    <xf numFmtId="172" fontId="11" fillId="7" borderId="17" xfId="0" applyNumberFormat="1" applyFont="1" applyFill="1" applyBorder="1" applyAlignment="1">
      <alignment horizontal="right" vertical="center"/>
    </xf>
    <xf numFmtId="172" fontId="11" fillId="0" borderId="0" xfId="0" applyNumberFormat="1" applyFont="1" applyBorder="1" applyAlignment="1">
      <alignment vertical="center"/>
    </xf>
    <xf numFmtId="172" fontId="11" fillId="0" borderId="0" xfId="0" applyNumberFormat="1" applyFont="1" applyFill="1" applyBorder="1" applyAlignment="1">
      <alignment vertical="center"/>
    </xf>
    <xf numFmtId="172" fontId="11" fillId="0" borderId="16" xfId="0" applyNumberFormat="1" applyFont="1" applyBorder="1" applyAlignment="1">
      <alignment horizontal="right" vertical="center"/>
    </xf>
    <xf numFmtId="172" fontId="11" fillId="0" borderId="0" xfId="0" applyNumberFormat="1" applyFont="1" applyBorder="1" applyAlignment="1">
      <alignment horizontal="right" vertical="center"/>
    </xf>
    <xf numFmtId="172" fontId="11" fillId="0" borderId="17" xfId="0" applyNumberFormat="1" applyFont="1" applyBorder="1" applyAlignment="1">
      <alignment horizontal="right" vertical="center"/>
    </xf>
    <xf numFmtId="172" fontId="11" fillId="0" borderId="0" xfId="0" applyNumberFormat="1" applyFont="1" applyAlignment="1">
      <alignment vertical="center"/>
    </xf>
    <xf numFmtId="172" fontId="19" fillId="2" borderId="11" xfId="0" applyNumberFormat="1" applyFont="1" applyFill="1" applyBorder="1" applyAlignment="1">
      <alignment horizontal="right"/>
    </xf>
    <xf numFmtId="172" fontId="19" fillId="2" borderId="12" xfId="0" applyNumberFormat="1" applyFont="1" applyFill="1" applyBorder="1" applyAlignment="1">
      <alignment horizontal="right"/>
    </xf>
    <xf numFmtId="172" fontId="19" fillId="2" borderId="13" xfId="0" applyNumberFormat="1" applyFont="1" applyFill="1" applyBorder="1" applyAlignment="1">
      <alignment horizontal="right"/>
    </xf>
    <xf numFmtId="172" fontId="19" fillId="2" borderId="11" xfId="0" applyNumberFormat="1" applyFont="1" applyFill="1" applyBorder="1" applyAlignment="1">
      <alignment horizontal="right" vertical="center"/>
    </xf>
    <xf numFmtId="172" fontId="19" fillId="2" borderId="12" xfId="0" applyNumberFormat="1" applyFont="1" applyFill="1" applyBorder="1" applyAlignment="1">
      <alignment horizontal="right" vertical="center"/>
    </xf>
    <xf numFmtId="172" fontId="19" fillId="2" borderId="13" xfId="0" applyNumberFormat="1" applyFont="1" applyFill="1" applyBorder="1" applyAlignment="1">
      <alignment horizontal="right" vertical="center"/>
    </xf>
    <xf numFmtId="172" fontId="11" fillId="0" borderId="0" xfId="0" applyNumberFormat="1" applyFont="1" applyAlignment="1">
      <alignment horizontal="right" vertical="center"/>
    </xf>
    <xf numFmtId="172" fontId="18" fillId="3" borderId="11" xfId="0" applyNumberFormat="1" applyFont="1" applyFill="1" applyBorder="1" applyAlignment="1">
      <alignment horizontal="right"/>
    </xf>
    <xf numFmtId="172" fontId="18" fillId="3" borderId="12" xfId="0" applyNumberFormat="1" applyFont="1" applyFill="1" applyBorder="1" applyAlignment="1">
      <alignment horizontal="right"/>
    </xf>
    <xf numFmtId="172" fontId="18" fillId="3" borderId="13" xfId="0" applyNumberFormat="1" applyFont="1" applyFill="1" applyBorder="1" applyAlignment="1">
      <alignment horizontal="right"/>
    </xf>
    <xf numFmtId="0" fontId="7" fillId="4" borderId="0" xfId="0" applyFont="1" applyFill="1" applyBorder="1" applyAlignment="1">
      <alignment horizontal="left" vertical="top" wrapText="1"/>
    </xf>
    <xf numFmtId="170" fontId="18" fillId="5" borderId="11" xfId="0" applyNumberFormat="1" applyFont="1" applyFill="1" applyBorder="1" applyAlignment="1">
      <alignment horizontal="center" vertical="center"/>
    </xf>
    <xf numFmtId="0" fontId="14" fillId="3" borderId="0" xfId="0" applyFont="1" applyFill="1" applyBorder="1" applyAlignment="1">
      <alignment horizontal="center"/>
    </xf>
    <xf numFmtId="164" fontId="7" fillId="4" borderId="0" xfId="2" applyFont="1" applyFill="1" applyBorder="1" applyAlignment="1">
      <alignment horizontal="left" vertical="top" wrapText="1"/>
    </xf>
    <xf numFmtId="170" fontId="11" fillId="0" borderId="0" xfId="0" applyNumberFormat="1" applyFont="1" applyAlignment="1">
      <alignment horizontal="righ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2" xfId="0" applyFont="1" applyBorder="1" applyAlignment="1">
      <alignment horizontal="left"/>
    </xf>
    <xf numFmtId="170" fontId="18" fillId="5" borderId="11" xfId="0" applyNumberFormat="1" applyFont="1" applyFill="1" applyBorder="1" applyAlignment="1">
      <alignment vertical="center"/>
    </xf>
    <xf numFmtId="170" fontId="18" fillId="5" borderId="12" xfId="0" applyNumberFormat="1" applyFont="1" applyFill="1" applyBorder="1" applyAlignment="1">
      <alignment vertical="center"/>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0" fontId="14" fillId="3" borderId="4" xfId="0" applyFont="1" applyFill="1" applyBorder="1" applyAlignment="1">
      <alignment horizontal="left"/>
    </xf>
    <xf numFmtId="0" fontId="11" fillId="0" borderId="0" xfId="0" applyFont="1" applyBorder="1" applyAlignment="1">
      <alignment horizontal="right" vertical="center"/>
    </xf>
    <xf numFmtId="0" fontId="14" fillId="3" borderId="3" xfId="0" applyFont="1" applyFill="1" applyBorder="1" applyAlignment="1">
      <alignment vertical="top"/>
    </xf>
    <xf numFmtId="170" fontId="19" fillId="5" borderId="11" xfId="0" quotePrefix="1" applyNumberFormat="1" applyFont="1" applyFill="1" applyBorder="1" applyAlignment="1">
      <alignment horizontal="center" vertical="center" wrapText="1"/>
    </xf>
    <xf numFmtId="9" fontId="11" fillId="0" borderId="0" xfId="1" applyFont="1" applyAlignment="1">
      <alignment horizontal="center" vertical="top"/>
    </xf>
    <xf numFmtId="0" fontId="21" fillId="7" borderId="9" xfId="0" applyFont="1" applyFill="1" applyBorder="1" applyAlignment="1">
      <alignment horizontal="left"/>
    </xf>
    <xf numFmtId="170" fontId="26" fillId="7" borderId="9" xfId="6" applyNumberFormat="1" applyFont="1" applyFill="1" applyBorder="1" applyAlignment="1">
      <alignment horizontal="center" vertical="top"/>
    </xf>
    <xf numFmtId="170" fontId="21" fillId="7" borderId="9" xfId="6" applyNumberFormat="1" applyFont="1" applyFill="1" applyBorder="1" applyAlignment="1">
      <alignment horizontal="right" vertical="top"/>
    </xf>
    <xf numFmtId="170" fontId="26" fillId="7" borderId="9" xfId="6" applyNumberFormat="1" applyFont="1" applyFill="1" applyBorder="1" applyAlignment="1">
      <alignment horizontal="right" vertical="top"/>
    </xf>
    <xf numFmtId="169" fontId="26" fillId="7" borderId="9" xfId="6" applyNumberFormat="1" applyFont="1" applyFill="1" applyBorder="1" applyAlignment="1">
      <alignment horizontal="right" vertical="top"/>
    </xf>
    <xf numFmtId="173" fontId="11" fillId="0" borderId="14" xfId="0" applyNumberFormat="1" applyFont="1" applyBorder="1" applyAlignment="1">
      <alignment horizontal="right" vertical="center"/>
    </xf>
    <xf numFmtId="173" fontId="11" fillId="0" borderId="15" xfId="0" applyNumberFormat="1" applyFont="1" applyBorder="1" applyAlignment="1">
      <alignment horizontal="right" vertical="center"/>
    </xf>
    <xf numFmtId="173" fontId="11" fillId="0" borderId="21" xfId="0" applyNumberFormat="1" applyFont="1" applyBorder="1" applyAlignment="1">
      <alignment horizontal="right" vertical="center"/>
    </xf>
    <xf numFmtId="173" fontId="11" fillId="0" borderId="16" xfId="0" applyNumberFormat="1" applyFont="1" applyBorder="1" applyAlignment="1">
      <alignment horizontal="right" vertical="center"/>
    </xf>
    <xf numFmtId="173" fontId="11" fillId="0" borderId="0" xfId="0" applyNumberFormat="1" applyFont="1" applyBorder="1" applyAlignment="1">
      <alignment horizontal="right" vertical="center"/>
    </xf>
    <xf numFmtId="173" fontId="11" fillId="0" borderId="17" xfId="0" applyNumberFormat="1" applyFont="1" applyBorder="1" applyAlignment="1">
      <alignment horizontal="right" vertical="center"/>
    </xf>
    <xf numFmtId="173" fontId="19" fillId="2" borderId="11" xfId="0" applyNumberFormat="1" applyFont="1" applyFill="1" applyBorder="1" applyAlignment="1">
      <alignment horizontal="right"/>
    </xf>
    <xf numFmtId="173" fontId="19" fillId="2" borderId="12" xfId="0" applyNumberFormat="1" applyFont="1" applyFill="1" applyBorder="1" applyAlignment="1">
      <alignment horizontal="right"/>
    </xf>
    <xf numFmtId="173" fontId="19" fillId="2" borderId="13" xfId="0" applyNumberFormat="1" applyFont="1" applyFill="1" applyBorder="1" applyAlignment="1">
      <alignment horizontal="right"/>
    </xf>
    <xf numFmtId="173" fontId="11" fillId="7" borderId="16" xfId="0" applyNumberFormat="1" applyFont="1" applyFill="1" applyBorder="1" applyAlignment="1">
      <alignment horizontal="right" vertical="center"/>
    </xf>
    <xf numFmtId="173" fontId="11" fillId="7" borderId="0" xfId="0" applyNumberFormat="1" applyFont="1" applyFill="1" applyBorder="1" applyAlignment="1">
      <alignment horizontal="right" vertical="center"/>
    </xf>
    <xf numFmtId="173" fontId="11" fillId="7" borderId="17" xfId="0" applyNumberFormat="1" applyFont="1" applyFill="1" applyBorder="1" applyAlignment="1">
      <alignment horizontal="right" vertical="center"/>
    </xf>
    <xf numFmtId="173" fontId="19" fillId="2" borderId="11" xfId="0" applyNumberFormat="1" applyFont="1" applyFill="1" applyBorder="1" applyAlignment="1">
      <alignment horizontal="right" vertical="center"/>
    </xf>
    <xf numFmtId="173" fontId="19" fillId="2" borderId="12" xfId="0" applyNumberFormat="1" applyFont="1" applyFill="1" applyBorder="1" applyAlignment="1">
      <alignment horizontal="right" vertical="center"/>
    </xf>
    <xf numFmtId="173" fontId="19" fillId="2" borderId="13" xfId="0" applyNumberFormat="1" applyFont="1" applyFill="1" applyBorder="1" applyAlignment="1">
      <alignment horizontal="right" vertical="center"/>
    </xf>
    <xf numFmtId="173" fontId="18" fillId="3" borderId="11" xfId="0" applyNumberFormat="1" applyFont="1" applyFill="1" applyBorder="1" applyAlignment="1">
      <alignment horizontal="right"/>
    </xf>
    <xf numFmtId="173" fontId="18" fillId="3" borderId="12" xfId="0" applyNumberFormat="1" applyFont="1" applyFill="1" applyBorder="1" applyAlignment="1">
      <alignment horizontal="right"/>
    </xf>
    <xf numFmtId="173" fontId="18" fillId="3" borderId="13" xfId="0" applyNumberFormat="1" applyFont="1" applyFill="1" applyBorder="1" applyAlignment="1">
      <alignment horizontal="right"/>
    </xf>
    <xf numFmtId="170" fontId="11" fillId="0" borderId="16" xfId="0" applyNumberFormat="1" applyFont="1" applyBorder="1" applyAlignment="1">
      <alignment horizontal="right" vertical="center"/>
    </xf>
    <xf numFmtId="170" fontId="11" fillId="0" borderId="0" xfId="0" applyNumberFormat="1" applyFont="1" applyBorder="1" applyAlignment="1">
      <alignment horizontal="right" vertical="center"/>
    </xf>
    <xf numFmtId="170" fontId="11" fillId="0" borderId="17" xfId="0" applyNumberFormat="1" applyFont="1" applyBorder="1" applyAlignment="1">
      <alignment horizontal="right" vertical="center"/>
    </xf>
    <xf numFmtId="170" fontId="11" fillId="0" borderId="18" xfId="0" applyNumberFormat="1" applyFont="1" applyBorder="1" applyAlignment="1">
      <alignment horizontal="right" vertical="center"/>
    </xf>
    <xf numFmtId="170" fontId="11" fillId="0" borderId="19" xfId="0" applyNumberFormat="1" applyFont="1" applyBorder="1" applyAlignment="1">
      <alignment horizontal="right" vertical="center"/>
    </xf>
    <xf numFmtId="170" fontId="11" fillId="0" borderId="20" xfId="0" applyNumberFormat="1" applyFont="1" applyBorder="1" applyAlignment="1">
      <alignment horizontal="right" vertical="center"/>
    </xf>
    <xf numFmtId="170" fontId="19" fillId="2" borderId="11" xfId="0" applyNumberFormat="1" applyFont="1" applyFill="1" applyBorder="1" applyAlignment="1">
      <alignment horizontal="right" vertical="center"/>
    </xf>
    <xf numFmtId="170" fontId="19" fillId="2" borderId="12" xfId="0" applyNumberFormat="1" applyFont="1" applyFill="1" applyBorder="1" applyAlignment="1">
      <alignment horizontal="right" vertical="center"/>
    </xf>
    <xf numFmtId="170" fontId="19" fillId="2" borderId="13" xfId="0" applyNumberFormat="1" applyFont="1" applyFill="1" applyBorder="1" applyAlignment="1">
      <alignment horizontal="right" vertical="center"/>
    </xf>
    <xf numFmtId="170" fontId="19" fillId="2" borderId="18" xfId="0" applyNumberFormat="1" applyFont="1" applyFill="1" applyBorder="1" applyAlignment="1">
      <alignment horizontal="right" vertical="center"/>
    </xf>
    <xf numFmtId="170" fontId="19" fillId="2" borderId="19" xfId="0" applyNumberFormat="1" applyFont="1" applyFill="1" applyBorder="1" applyAlignment="1">
      <alignment horizontal="right" vertical="center"/>
    </xf>
    <xf numFmtId="170" fontId="19" fillId="2" borderId="20" xfId="0" applyNumberFormat="1" applyFont="1" applyFill="1" applyBorder="1" applyAlignment="1">
      <alignment horizontal="right" vertical="center"/>
    </xf>
    <xf numFmtId="0" fontId="21" fillId="7" borderId="16" xfId="0" applyFont="1" applyFill="1" applyBorder="1" applyAlignment="1">
      <alignment horizontal="right"/>
    </xf>
    <xf numFmtId="0" fontId="21" fillId="7" borderId="0" xfId="0" applyFont="1" applyFill="1" applyBorder="1" applyAlignment="1">
      <alignment horizontal="right"/>
    </xf>
    <xf numFmtId="0" fontId="21" fillId="7" borderId="17" xfId="0" applyFont="1" applyFill="1" applyBorder="1" applyAlignment="1">
      <alignment horizontal="right"/>
    </xf>
    <xf numFmtId="0" fontId="11" fillId="0" borderId="0" xfId="0" quotePrefix="1" applyFont="1" applyBorder="1" applyAlignment="1">
      <alignment horizontal="right" vertical="center"/>
    </xf>
    <xf numFmtId="167" fontId="11" fillId="7" borderId="16" xfId="0" applyNumberFormat="1" applyFont="1" applyFill="1" applyBorder="1" applyAlignment="1">
      <alignment horizontal="right" vertical="center" wrapText="1"/>
    </xf>
    <xf numFmtId="167" fontId="11" fillId="7" borderId="0" xfId="0" applyNumberFormat="1" applyFont="1" applyFill="1" applyBorder="1" applyAlignment="1">
      <alignment horizontal="right" vertical="center" wrapText="1"/>
    </xf>
    <xf numFmtId="167" fontId="11" fillId="7" borderId="17" xfId="0" applyNumberFormat="1" applyFont="1" applyFill="1" applyBorder="1" applyAlignment="1">
      <alignment horizontal="right" vertical="center" wrapText="1"/>
    </xf>
    <xf numFmtId="170" fontId="18" fillId="3" borderId="11" xfId="0" applyNumberFormat="1" applyFont="1" applyFill="1" applyBorder="1" applyAlignment="1">
      <alignment horizontal="right" vertical="center"/>
    </xf>
    <xf numFmtId="170" fontId="18" fillId="3" borderId="12" xfId="0" applyNumberFormat="1" applyFont="1" applyFill="1" applyBorder="1" applyAlignment="1">
      <alignment horizontal="right" vertical="center"/>
    </xf>
    <xf numFmtId="170" fontId="18" fillId="3" borderId="13" xfId="0" applyNumberFormat="1" applyFont="1" applyFill="1" applyBorder="1" applyAlignment="1">
      <alignment horizontal="right" vertical="center"/>
    </xf>
    <xf numFmtId="0" fontId="11" fillId="0" borderId="0" xfId="0" applyFont="1" applyAlignment="1">
      <alignment horizontal="right" vertical="center"/>
    </xf>
    <xf numFmtId="170" fontId="26" fillId="7" borderId="16" xfId="0" applyNumberFormat="1" applyFont="1" applyFill="1" applyBorder="1" applyAlignment="1">
      <alignment vertical="center"/>
    </xf>
    <xf numFmtId="170" fontId="26" fillId="7" borderId="9" xfId="0" applyNumberFormat="1" applyFont="1" applyFill="1" applyBorder="1" applyAlignment="1">
      <alignment vertical="center"/>
    </xf>
    <xf numFmtId="170" fontId="26" fillId="7" borderId="0" xfId="0" applyNumberFormat="1" applyFont="1" applyFill="1" applyBorder="1" applyAlignment="1">
      <alignment vertical="center"/>
    </xf>
    <xf numFmtId="170" fontId="11" fillId="7" borderId="16" xfId="0" applyNumberFormat="1" applyFont="1" applyFill="1" applyBorder="1" applyAlignment="1">
      <alignment vertical="center"/>
    </xf>
    <xf numFmtId="170" fontId="11" fillId="7" borderId="9" xfId="0" applyNumberFormat="1" applyFont="1" applyFill="1" applyBorder="1" applyAlignment="1">
      <alignment vertical="center"/>
    </xf>
    <xf numFmtId="170" fontId="11" fillId="7" borderId="0" xfId="0" applyNumberFormat="1" applyFont="1" applyFill="1" applyBorder="1" applyAlignment="1">
      <alignment vertical="center"/>
    </xf>
    <xf numFmtId="0" fontId="19" fillId="8" borderId="8" xfId="0" applyFont="1" applyFill="1" applyBorder="1" applyAlignment="1">
      <alignment horizontal="left" vertical="center"/>
    </xf>
    <xf numFmtId="0" fontId="11" fillId="0" borderId="0" xfId="0" applyFont="1" applyBorder="1" applyAlignment="1">
      <alignment vertical="top" wrapText="1"/>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170" fontId="11" fillId="2" borderId="8" xfId="0" applyNumberFormat="1" applyFont="1" applyFill="1" applyBorder="1" applyAlignment="1">
      <alignment horizontal="center" vertical="center"/>
    </xf>
    <xf numFmtId="170" fontId="11" fillId="2" borderId="10" xfId="0" applyNumberFormat="1" applyFont="1" applyFill="1" applyBorder="1" applyAlignment="1">
      <alignment horizontal="center" vertical="center"/>
    </xf>
    <xf numFmtId="170" fontId="11" fillId="2" borderId="9" xfId="0" applyNumberFormat="1" applyFont="1" applyFill="1" applyBorder="1" applyAlignment="1">
      <alignment horizontal="center" vertical="center"/>
    </xf>
    <xf numFmtId="0" fontId="11" fillId="2" borderId="8"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170" fontId="18" fillId="5" borderId="11" xfId="0" applyNumberFormat="1" applyFont="1" applyFill="1" applyBorder="1" applyAlignment="1">
      <alignment horizontal="left" vertical="center"/>
    </xf>
    <xf numFmtId="170" fontId="18" fillId="5" borderId="12" xfId="0" applyNumberFormat="1" applyFont="1" applyFill="1" applyBorder="1" applyAlignment="1">
      <alignment horizontal="left" vertical="center"/>
    </xf>
    <xf numFmtId="170" fontId="18" fillId="5" borderId="13" xfId="0" applyNumberFormat="1" applyFont="1" applyFill="1" applyBorder="1" applyAlignment="1">
      <alignment horizontal="left" vertical="center"/>
    </xf>
    <xf numFmtId="0" fontId="11" fillId="0" borderId="14" xfId="0" applyFont="1" applyBorder="1" applyAlignment="1">
      <alignment horizontal="left" vertical="center"/>
    </xf>
    <xf numFmtId="0" fontId="11" fillId="0" borderId="15" xfId="0" applyFont="1" applyBorder="1" applyAlignment="1">
      <alignment horizontal="left" vertical="center"/>
    </xf>
    <xf numFmtId="0" fontId="11" fillId="0" borderId="21" xfId="0" applyFont="1" applyBorder="1" applyAlignment="1">
      <alignment horizontal="left" vertical="center"/>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21" fillId="7" borderId="16" xfId="0" applyFont="1" applyFill="1" applyBorder="1" applyAlignment="1">
      <alignment horizontal="left" vertical="center"/>
    </xf>
    <xf numFmtId="0" fontId="21" fillId="7" borderId="0" xfId="0" applyFont="1" applyFill="1" applyBorder="1" applyAlignment="1">
      <alignment horizontal="left" vertical="center"/>
    </xf>
    <xf numFmtId="0" fontId="21" fillId="7" borderId="17" xfId="0" applyFont="1" applyFill="1" applyBorder="1" applyAlignment="1">
      <alignment horizontal="left" vertical="center"/>
    </xf>
    <xf numFmtId="0" fontId="20" fillId="0" borderId="8" xfId="0" applyFont="1" applyBorder="1" applyAlignment="1">
      <alignment horizontal="left" vertical="center" wrapText="1"/>
    </xf>
    <xf numFmtId="0" fontId="20" fillId="0" borderId="10" xfId="0" applyFont="1" applyBorder="1" applyAlignment="1">
      <alignment horizontal="left" vertical="center" wrapText="1"/>
    </xf>
    <xf numFmtId="0" fontId="11" fillId="0" borderId="11" xfId="0" applyFont="1" applyBorder="1" applyAlignment="1">
      <alignment horizontal="left" vertical="center"/>
    </xf>
    <xf numFmtId="0" fontId="11" fillId="0" borderId="13" xfId="0" applyFont="1" applyBorder="1" applyAlignment="1">
      <alignment horizontal="left" vertical="center"/>
    </xf>
    <xf numFmtId="0" fontId="21" fillId="7" borderId="0" xfId="0" applyFont="1" applyFill="1" applyBorder="1" applyAlignment="1">
      <alignment horizontal="right" vertical="center"/>
    </xf>
    <xf numFmtId="0" fontId="21" fillId="7" borderId="17" xfId="0" applyFont="1" applyFill="1" applyBorder="1" applyAlignment="1">
      <alignment horizontal="right" vertical="center"/>
    </xf>
    <xf numFmtId="0" fontId="21" fillId="7" borderId="19" xfId="0" applyFont="1" applyFill="1" applyBorder="1" applyAlignment="1">
      <alignment horizontal="right" vertical="center"/>
    </xf>
    <xf numFmtId="0" fontId="21" fillId="7" borderId="20" xfId="0" applyFont="1" applyFill="1" applyBorder="1" applyAlignment="1">
      <alignment horizontal="right" vertical="center"/>
    </xf>
    <xf numFmtId="0" fontId="11" fillId="0" borderId="11" xfId="0" applyFont="1" applyBorder="1" applyAlignment="1">
      <alignment horizontal="left" vertical="center" wrapText="1"/>
    </xf>
    <xf numFmtId="0" fontId="11" fillId="0" borderId="13" xfId="0" applyFont="1" applyBorder="1" applyAlignment="1">
      <alignment horizontal="left" vertical="center" wrapText="1"/>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0" fontId="11" fillId="0" borderId="8" xfId="0" applyFont="1" applyBorder="1" applyAlignment="1">
      <alignment horizontal="left" wrapText="1"/>
    </xf>
    <xf numFmtId="0" fontId="11" fillId="0" borderId="10" xfId="0" applyFont="1" applyBorder="1" applyAlignment="1">
      <alignment horizontal="left" wrapText="1"/>
    </xf>
    <xf numFmtId="167" fontId="19" fillId="2" borderId="7" xfId="0" applyNumberFormat="1" applyFont="1" applyFill="1" applyBorder="1" applyAlignment="1">
      <alignment horizontal="left" vertical="center"/>
    </xf>
    <xf numFmtId="170" fontId="18" fillId="5" borderId="11" xfId="0" applyNumberFormat="1" applyFont="1" applyFill="1" applyBorder="1" applyAlignment="1">
      <alignment horizontal="center" vertical="center"/>
    </xf>
    <xf numFmtId="170" fontId="18" fillId="5" borderId="12" xfId="0" applyNumberFormat="1" applyFont="1" applyFill="1" applyBorder="1" applyAlignment="1">
      <alignment horizontal="center" vertical="center"/>
    </xf>
    <xf numFmtId="170" fontId="18" fillId="5" borderId="13" xfId="0" applyNumberFormat="1" applyFont="1" applyFill="1" applyBorder="1" applyAlignment="1">
      <alignment horizontal="center" vertical="center"/>
    </xf>
    <xf numFmtId="0" fontId="11" fillId="0" borderId="18" xfId="0" applyFont="1" applyBorder="1" applyAlignment="1">
      <alignment horizontal="left" vertical="center"/>
    </xf>
    <xf numFmtId="0" fontId="11" fillId="0" borderId="19" xfId="0" applyFont="1" applyBorder="1" applyAlignment="1">
      <alignment horizontal="left" vertical="center"/>
    </xf>
    <xf numFmtId="0" fontId="11" fillId="0" borderId="20" xfId="0" applyFont="1" applyBorder="1" applyAlignment="1">
      <alignment horizontal="left" vertical="center"/>
    </xf>
    <xf numFmtId="0" fontId="11" fillId="0" borderId="12" xfId="0" applyFont="1" applyBorder="1" applyAlignment="1">
      <alignment horizontal="left" vertical="center"/>
    </xf>
    <xf numFmtId="0" fontId="19" fillId="0" borderId="18" xfId="0" applyFont="1" applyBorder="1" applyAlignment="1">
      <alignment horizontal="left" vertical="center"/>
    </xf>
    <xf numFmtId="0" fontId="19" fillId="0" borderId="19" xfId="0" applyFont="1" applyBorder="1" applyAlignment="1">
      <alignment horizontal="left" vertical="center"/>
    </xf>
    <xf numFmtId="0" fontId="19" fillId="0" borderId="20" xfId="0" applyFont="1" applyBorder="1" applyAlignment="1">
      <alignment horizontal="lef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9" fillId="0" borderId="11" xfId="0" applyFont="1" applyBorder="1" applyAlignment="1">
      <alignment horizontal="right" vertical="center"/>
    </xf>
    <xf numFmtId="0" fontId="19" fillId="0" borderId="12" xfId="0" applyFont="1" applyBorder="1" applyAlignment="1">
      <alignment horizontal="right" vertical="center"/>
    </xf>
    <xf numFmtId="0" fontId="19" fillId="0" borderId="13" xfId="0" applyFont="1" applyBorder="1" applyAlignment="1">
      <alignment horizontal="right" vertical="center"/>
    </xf>
    <xf numFmtId="170" fontId="18" fillId="5" borderId="7" xfId="0" applyNumberFormat="1" applyFont="1" applyFill="1" applyBorder="1" applyAlignment="1">
      <alignment horizontal="left" vertical="center"/>
    </xf>
    <xf numFmtId="0" fontId="11" fillId="0" borderId="14" xfId="0" applyFont="1" applyBorder="1" applyAlignment="1">
      <alignment horizontal="right"/>
    </xf>
    <xf numFmtId="0" fontId="11" fillId="0" borderId="15" xfId="0" applyFont="1" applyBorder="1" applyAlignment="1">
      <alignment horizontal="right"/>
    </xf>
    <xf numFmtId="0" fontId="11" fillId="0" borderId="21" xfId="0" applyFont="1" applyBorder="1" applyAlignment="1">
      <alignment horizontal="right"/>
    </xf>
    <xf numFmtId="170" fontId="18" fillId="5" borderId="11" xfId="0" applyNumberFormat="1" applyFont="1" applyFill="1" applyBorder="1" applyAlignment="1">
      <alignment horizontal="right"/>
    </xf>
    <xf numFmtId="170" fontId="18" fillId="5" borderId="12" xfId="0" applyNumberFormat="1" applyFont="1" applyFill="1" applyBorder="1" applyAlignment="1">
      <alignment horizontal="right"/>
    </xf>
    <xf numFmtId="170" fontId="18" fillId="5" borderId="13" xfId="0" applyNumberFormat="1" applyFont="1" applyFill="1" applyBorder="1" applyAlignment="1">
      <alignment horizontal="right"/>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9" fillId="0" borderId="11" xfId="0" applyFont="1" applyBorder="1" applyAlignment="1">
      <alignment horizontal="right"/>
    </xf>
    <xf numFmtId="0" fontId="19" fillId="0" borderId="12" xfId="0" applyFont="1" applyBorder="1" applyAlignment="1">
      <alignment horizontal="right"/>
    </xf>
    <xf numFmtId="0" fontId="19" fillId="0" borderId="13" xfId="0" applyFont="1" applyBorder="1" applyAlignment="1">
      <alignment horizontal="right"/>
    </xf>
    <xf numFmtId="170" fontId="18" fillId="2" borderId="11" xfId="0" applyNumberFormat="1" applyFont="1" applyFill="1" applyBorder="1" applyAlignment="1">
      <alignment horizontal="left" vertical="center"/>
    </xf>
    <xf numFmtId="170" fontId="18" fillId="2" borderId="12" xfId="0" applyNumberFormat="1" applyFont="1" applyFill="1" applyBorder="1" applyAlignment="1">
      <alignment horizontal="left" vertical="center"/>
    </xf>
    <xf numFmtId="170" fontId="18" fillId="2" borderId="13" xfId="0" applyNumberFormat="1" applyFont="1" applyFill="1" applyBorder="1" applyAlignment="1">
      <alignment horizontal="left" vertical="center"/>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170" fontId="18" fillId="5" borderId="11" xfId="0" applyNumberFormat="1" applyFont="1" applyFill="1" applyBorder="1" applyAlignment="1">
      <alignment horizontal="right" vertical="center"/>
    </xf>
    <xf numFmtId="170" fontId="18" fillId="5" borderId="12" xfId="0" applyNumberFormat="1" applyFont="1" applyFill="1" applyBorder="1" applyAlignment="1">
      <alignment horizontal="right" vertical="center"/>
    </xf>
    <xf numFmtId="170" fontId="18" fillId="5" borderId="13" xfId="0" applyNumberFormat="1" applyFont="1" applyFill="1" applyBorder="1" applyAlignment="1">
      <alignment horizontal="right" vertical="center"/>
    </xf>
    <xf numFmtId="0" fontId="11" fillId="0" borderId="14" xfId="0" applyFont="1" applyBorder="1" applyAlignment="1">
      <alignment horizontal="right" vertical="center"/>
    </xf>
    <xf numFmtId="0" fontId="11" fillId="0" borderId="15" xfId="0" applyFont="1" applyBorder="1" applyAlignment="1">
      <alignment horizontal="right" vertical="center"/>
    </xf>
    <xf numFmtId="0" fontId="11" fillId="0" borderId="21" xfId="0" applyFont="1" applyBorder="1" applyAlignment="1">
      <alignment horizontal="right" vertical="center"/>
    </xf>
    <xf numFmtId="0" fontId="11" fillId="0" borderId="11" xfId="6" applyFont="1" applyBorder="1" applyAlignment="1">
      <alignment horizontal="left" vertical="top" wrapText="1"/>
    </xf>
    <xf numFmtId="0" fontId="11" fillId="0" borderId="12" xfId="6" applyFont="1" applyBorder="1" applyAlignment="1">
      <alignment horizontal="left" vertical="top" wrapText="1"/>
    </xf>
    <xf numFmtId="0" fontId="11" fillId="0" borderId="13" xfId="6" applyFont="1" applyBorder="1" applyAlignment="1">
      <alignment horizontal="left" vertical="top" wrapText="1"/>
    </xf>
    <xf numFmtId="0" fontId="19" fillId="3" borderId="11" xfId="6" applyFont="1" applyFill="1" applyBorder="1" applyAlignment="1">
      <alignment horizontal="center" vertical="top"/>
    </xf>
    <xf numFmtId="0" fontId="19" fillId="3" borderId="12" xfId="6" applyFont="1" applyFill="1" applyBorder="1" applyAlignment="1">
      <alignment horizontal="center" vertical="top"/>
    </xf>
    <xf numFmtId="0" fontId="19" fillId="3" borderId="13" xfId="6" applyFont="1" applyFill="1" applyBorder="1" applyAlignment="1">
      <alignment horizontal="center" vertical="top"/>
    </xf>
    <xf numFmtId="170" fontId="19" fillId="3" borderId="11" xfId="6" applyNumberFormat="1" applyFont="1" applyFill="1" applyBorder="1" applyAlignment="1">
      <alignment horizontal="center" vertical="top"/>
    </xf>
    <xf numFmtId="170" fontId="19" fillId="3" borderId="12" xfId="6" applyNumberFormat="1" applyFont="1" applyFill="1" applyBorder="1" applyAlignment="1">
      <alignment horizontal="center" vertical="top"/>
    </xf>
    <xf numFmtId="170" fontId="19" fillId="3" borderId="13" xfId="6" applyNumberFormat="1" applyFont="1" applyFill="1" applyBorder="1" applyAlignment="1">
      <alignment horizontal="center" vertical="top"/>
    </xf>
    <xf numFmtId="168" fontId="19" fillId="3" borderId="11" xfId="6" applyNumberFormat="1" applyFont="1" applyFill="1" applyBorder="1" applyAlignment="1">
      <alignment horizontal="center" vertical="top"/>
    </xf>
    <xf numFmtId="168" fontId="19" fillId="3" borderId="12" xfId="6" applyNumberFormat="1" applyFont="1" applyFill="1" applyBorder="1" applyAlignment="1">
      <alignment horizontal="center" vertical="top"/>
    </xf>
    <xf numFmtId="168" fontId="19" fillId="3" borderId="13" xfId="6" applyNumberFormat="1" applyFont="1" applyFill="1" applyBorder="1" applyAlignment="1">
      <alignment horizontal="center" vertical="top"/>
    </xf>
    <xf numFmtId="170" fontId="18" fillId="3" borderId="11" xfId="6" applyNumberFormat="1" applyFont="1" applyFill="1" applyBorder="1" applyAlignment="1">
      <alignment horizontal="center" vertical="top" wrapText="1"/>
    </xf>
    <xf numFmtId="170" fontId="18" fillId="3" borderId="12" xfId="6" applyNumberFormat="1" applyFont="1" applyFill="1" applyBorder="1" applyAlignment="1">
      <alignment horizontal="center" vertical="top" wrapText="1"/>
    </xf>
    <xf numFmtId="170" fontId="18" fillId="3" borderId="13" xfId="6" applyNumberFormat="1" applyFont="1" applyFill="1" applyBorder="1" applyAlignment="1">
      <alignment horizontal="center" vertical="top" wrapText="1"/>
    </xf>
    <xf numFmtId="170" fontId="18" fillId="3" borderId="11" xfId="6" applyNumberFormat="1" applyFont="1" applyFill="1" applyBorder="1" applyAlignment="1">
      <alignment horizontal="center" vertical="top"/>
    </xf>
    <xf numFmtId="170" fontId="18" fillId="3" borderId="12" xfId="6" applyNumberFormat="1" applyFont="1" applyFill="1" applyBorder="1" applyAlignment="1">
      <alignment horizontal="center" vertical="top"/>
    </xf>
    <xf numFmtId="170" fontId="18" fillId="3" borderId="13" xfId="6" applyNumberFormat="1" applyFont="1" applyFill="1" applyBorder="1" applyAlignment="1">
      <alignment horizontal="center" vertical="top"/>
    </xf>
    <xf numFmtId="0" fontId="7" fillId="4" borderId="1" xfId="0" applyFont="1" applyFill="1" applyBorder="1" applyAlignment="1">
      <alignment horizontal="left" vertical="top" wrapText="1"/>
    </xf>
    <xf numFmtId="0" fontId="7" fillId="4" borderId="0" xfId="0" applyFont="1" applyFill="1" applyBorder="1" applyAlignment="1">
      <alignment horizontal="left" vertical="top" wrapText="1"/>
    </xf>
    <xf numFmtId="0" fontId="7" fillId="0" borderId="0" xfId="0" applyFont="1" applyFill="1" applyBorder="1" applyAlignment="1">
      <alignment horizontal="left" vertical="top" wrapText="1"/>
    </xf>
    <xf numFmtId="0" fontId="0" fillId="4" borderId="1" xfId="0" applyFill="1" applyBorder="1" applyAlignment="1">
      <alignment horizontal="left" vertical="top" wrapText="1"/>
    </xf>
    <xf numFmtId="0" fontId="14" fillId="3" borderId="6" xfId="0" applyFont="1" applyFill="1" applyBorder="1" applyAlignment="1">
      <alignment horizontal="left"/>
    </xf>
    <xf numFmtId="0" fontId="14" fillId="3" borderId="4" xfId="0" applyFont="1" applyFill="1" applyBorder="1" applyAlignment="1">
      <alignment horizontal="left"/>
    </xf>
    <xf numFmtId="0" fontId="7" fillId="0" borderId="0" xfId="2" applyNumberFormat="1" applyFont="1" applyAlignment="1">
      <alignment horizontal="left" vertical="top"/>
    </xf>
    <xf numFmtId="0" fontId="0" fillId="4" borderId="0" xfId="0" applyFill="1" applyBorder="1" applyAlignment="1">
      <alignment horizontal="left" vertical="top" wrapText="1"/>
    </xf>
    <xf numFmtId="0" fontId="5" fillId="4" borderId="6" xfId="0" applyFont="1" applyFill="1" applyBorder="1" applyAlignment="1">
      <alignment horizontal="left"/>
    </xf>
    <xf numFmtId="0" fontId="5" fillId="4" borderId="0" xfId="0" applyFont="1" applyFill="1" applyBorder="1" applyAlignment="1">
      <alignment horizontal="left"/>
    </xf>
    <xf numFmtId="0" fontId="0" fillId="4" borderId="1" xfId="0" applyFill="1" applyBorder="1" applyAlignment="1">
      <alignment horizontal="left" wrapText="1"/>
    </xf>
    <xf numFmtId="170" fontId="18" fillId="3" borderId="11" xfId="0" applyNumberFormat="1" applyFont="1" applyFill="1" applyBorder="1" applyAlignment="1">
      <alignment horizontal="center" vertical="center"/>
    </xf>
    <xf numFmtId="170" fontId="18" fillId="3" borderId="12" xfId="0" applyNumberFormat="1" applyFont="1" applyFill="1" applyBorder="1" applyAlignment="1">
      <alignment horizontal="center" vertical="center"/>
    </xf>
    <xf numFmtId="170" fontId="18" fillId="3" borderId="13" xfId="0" applyNumberFormat="1" applyFont="1" applyFill="1" applyBorder="1" applyAlignment="1">
      <alignment horizontal="center" vertical="center"/>
    </xf>
    <xf numFmtId="170" fontId="18" fillId="3" borderId="14" xfId="0" applyNumberFormat="1" applyFont="1" applyFill="1" applyBorder="1" applyAlignment="1">
      <alignment horizontal="center"/>
    </xf>
    <xf numFmtId="170" fontId="18" fillId="3" borderId="15" xfId="0" applyNumberFormat="1" applyFont="1" applyFill="1" applyBorder="1" applyAlignment="1">
      <alignment horizontal="center"/>
    </xf>
    <xf numFmtId="170" fontId="18" fillId="3" borderId="21" xfId="0" applyNumberFormat="1" applyFont="1" applyFill="1" applyBorder="1" applyAlignment="1">
      <alignment horizontal="center"/>
    </xf>
    <xf numFmtId="0" fontId="18" fillId="3" borderId="14" xfId="0" applyFont="1" applyFill="1" applyBorder="1" applyAlignment="1">
      <alignment horizontal="center" vertical="center"/>
    </xf>
    <xf numFmtId="0" fontId="18" fillId="3" borderId="15" xfId="0" applyFont="1" applyFill="1" applyBorder="1" applyAlignment="1">
      <alignment horizontal="center" vertical="center"/>
    </xf>
    <xf numFmtId="0" fontId="18" fillId="3" borderId="21" xfId="0" applyFont="1" applyFill="1" applyBorder="1" applyAlignment="1">
      <alignment horizontal="center" vertic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3" xfId="0" applyFont="1" applyFill="1" applyBorder="1" applyAlignment="1">
      <alignment horizontal="center" vertical="center"/>
    </xf>
    <xf numFmtId="170" fontId="18" fillId="0" borderId="0" xfId="0" applyNumberFormat="1" applyFont="1" applyFill="1" applyBorder="1" applyAlignment="1">
      <alignment horizontal="center" vertical="center"/>
    </xf>
    <xf numFmtId="170" fontId="18" fillId="3" borderId="14" xfId="0" applyNumberFormat="1" applyFont="1" applyFill="1" applyBorder="1" applyAlignment="1">
      <alignment horizontal="center" vertical="center"/>
    </xf>
    <xf numFmtId="170" fontId="18" fillId="3" borderId="15" xfId="0" applyNumberFormat="1" applyFont="1" applyFill="1" applyBorder="1" applyAlignment="1">
      <alignment horizontal="center" vertical="center"/>
    </xf>
    <xf numFmtId="170" fontId="18" fillId="3" borderId="21" xfId="0" applyNumberFormat="1" applyFont="1" applyFill="1" applyBorder="1" applyAlignment="1">
      <alignment horizontal="center" vertical="center"/>
    </xf>
    <xf numFmtId="0" fontId="23" fillId="2" borderId="8" xfId="15" applyFont="1" applyFill="1" applyBorder="1" applyAlignment="1">
      <alignment vertical="center"/>
    </xf>
    <xf numFmtId="0" fontId="23" fillId="2" borderId="14" xfId="15" applyFont="1" applyFill="1" applyBorder="1" applyAlignment="1">
      <alignment vertical="center"/>
    </xf>
    <xf numFmtId="0" fontId="23" fillId="2" borderId="21" xfId="15" applyFont="1" applyFill="1" applyBorder="1" applyAlignment="1">
      <alignment vertical="center"/>
    </xf>
    <xf numFmtId="0" fontId="23" fillId="2" borderId="10" xfId="15" applyFont="1" applyFill="1" applyBorder="1" applyAlignment="1">
      <alignment vertical="center"/>
    </xf>
    <xf numFmtId="0" fontId="23" fillId="2" borderId="18" xfId="15" applyFont="1" applyFill="1" applyBorder="1" applyAlignment="1">
      <alignment vertical="center"/>
    </xf>
    <xf numFmtId="0" fontId="23" fillId="2" borderId="20" xfId="15" applyFont="1" applyFill="1" applyBorder="1" applyAlignment="1">
      <alignment vertical="center"/>
    </xf>
    <xf numFmtId="0" fontId="23" fillId="2" borderId="9" xfId="15" applyFont="1" applyFill="1" applyBorder="1" applyAlignment="1">
      <alignment vertical="center"/>
    </xf>
    <xf numFmtId="0" fontId="23" fillId="2" borderId="16" xfId="15" applyFont="1" applyFill="1" applyBorder="1" applyAlignment="1">
      <alignment vertical="center"/>
    </xf>
    <xf numFmtId="0" fontId="23" fillId="2" borderId="17" xfId="15" applyFont="1" applyFill="1" applyBorder="1" applyAlignment="1">
      <alignment vertical="center"/>
    </xf>
  </cellXfs>
  <cellStyles count="18">
    <cellStyle name="Comma" xfId="3" builtinId="3"/>
    <cellStyle name="Comma 2" xfId="10"/>
    <cellStyle name="Comma 3" xfId="11"/>
    <cellStyle name="Currency" xfId="2" builtinId="4"/>
    <cellStyle name="Currency 2" xfId="4"/>
    <cellStyle name="Normal" xfId="0" builtinId="0"/>
    <cellStyle name="Normal 15" xfId="17"/>
    <cellStyle name="Normal 2" xfId="5"/>
    <cellStyle name="Normal 2 2" xfId="6"/>
    <cellStyle name="Normal 2 2 2" xfId="12"/>
    <cellStyle name="Normal 3" xfId="7"/>
    <cellStyle name="Normal 4" xfId="13"/>
    <cellStyle name="Normal 5" xfId="16"/>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65</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92"/>
  <sheetViews>
    <sheetView showGridLines="0" zoomScaleNormal="100" workbookViewId="0"/>
  </sheetViews>
  <sheetFormatPr defaultColWidth="9.140625" defaultRowHeight="12.75" zeroHeight="1" x14ac:dyDescent="0.25"/>
  <cols>
    <col min="1" max="1" width="2.85546875" style="27" customWidth="1"/>
    <col min="2" max="2" width="21.140625" style="27" bestFit="1" customWidth="1"/>
    <col min="3" max="3" width="16.85546875" style="27" customWidth="1"/>
    <col min="4" max="4" width="13.42578125" style="27" bestFit="1" customWidth="1"/>
    <col min="5" max="5" width="13.42578125" style="27" customWidth="1"/>
    <col min="6" max="6" width="12.7109375" style="27" customWidth="1"/>
    <col min="7" max="10" width="12.85546875" style="29" customWidth="1"/>
    <col min="11" max="11" width="12.85546875" style="27" customWidth="1"/>
    <col min="12" max="12" width="2.85546875" style="27" customWidth="1"/>
    <col min="13" max="13" width="49.85546875" style="30" customWidth="1"/>
    <col min="14" max="14" width="2.85546875" style="27" customWidth="1"/>
    <col min="15" max="17" width="9.140625" style="27" customWidth="1"/>
    <col min="18" max="16384" width="9.140625" style="27"/>
  </cols>
  <sheetData>
    <row r="1" spans="2:13" x14ac:dyDescent="0.25">
      <c r="B1" s="28"/>
    </row>
    <row r="2" spans="2:13" ht="21" x14ac:dyDescent="0.25">
      <c r="B2" s="31" t="s">
        <v>62</v>
      </c>
    </row>
    <row r="3" spans="2:13" ht="21" x14ac:dyDescent="0.25">
      <c r="B3" s="31" t="str">
        <f>+'AER Summary'!C3</f>
        <v>Design Certification &amp; Re-certification</v>
      </c>
    </row>
    <row r="4" spans="2:13" ht="18.75" x14ac:dyDescent="0.25">
      <c r="B4" s="32" t="s">
        <v>63</v>
      </c>
    </row>
    <row r="5" spans="2:13" x14ac:dyDescent="0.25"/>
    <row r="6" spans="2:13" ht="15.75" x14ac:dyDescent="0.25">
      <c r="B6" s="33" t="s">
        <v>194</v>
      </c>
      <c r="C6" s="34"/>
      <c r="D6" s="34"/>
      <c r="E6" s="34"/>
      <c r="F6" s="34"/>
      <c r="G6" s="35"/>
      <c r="H6" s="35"/>
      <c r="I6" s="35"/>
      <c r="J6" s="35"/>
      <c r="K6" s="34"/>
      <c r="M6" s="36"/>
    </row>
    <row r="7" spans="2:13" x14ac:dyDescent="0.25"/>
    <row r="8" spans="2:13" ht="38.25" x14ac:dyDescent="0.25">
      <c r="B8" s="402" t="s">
        <v>15</v>
      </c>
      <c r="C8" s="403"/>
      <c r="D8" s="403"/>
      <c r="E8" s="403"/>
      <c r="F8" s="404"/>
      <c r="G8" s="337" t="s">
        <v>74</v>
      </c>
      <c r="H8" s="169" t="s">
        <v>8</v>
      </c>
      <c r="I8" s="169" t="s">
        <v>93</v>
      </c>
      <c r="J8" s="169" t="s">
        <v>86</v>
      </c>
      <c r="K8" s="169" t="s">
        <v>73</v>
      </c>
      <c r="M8" s="41" t="s">
        <v>5</v>
      </c>
    </row>
    <row r="9" spans="2:13" ht="12.75" customHeight="1" x14ac:dyDescent="0.25">
      <c r="B9" s="405"/>
      <c r="C9" s="406"/>
      <c r="D9" s="406"/>
      <c r="E9" s="406"/>
      <c r="F9" s="407"/>
      <c r="G9" s="42"/>
      <c r="H9" s="43"/>
      <c r="I9" s="44"/>
      <c r="J9" s="43"/>
      <c r="K9" s="43"/>
      <c r="M9" s="408" t="s">
        <v>195</v>
      </c>
    </row>
    <row r="10" spans="2:13" x14ac:dyDescent="0.25">
      <c r="B10" s="411" t="s">
        <v>137</v>
      </c>
      <c r="C10" s="412"/>
      <c r="D10" s="412"/>
      <c r="E10" s="412"/>
      <c r="F10" s="413"/>
      <c r="G10" s="385"/>
      <c r="H10" s="386"/>
      <c r="I10" s="387"/>
      <c r="J10" s="386"/>
      <c r="K10" s="386"/>
      <c r="M10" s="409"/>
    </row>
    <row r="11" spans="2:13" x14ac:dyDescent="0.2">
      <c r="B11" s="249" t="s">
        <v>9</v>
      </c>
      <c r="C11" s="244"/>
      <c r="D11" s="244"/>
      <c r="E11" s="244"/>
      <c r="F11" s="245"/>
      <c r="G11" s="207">
        <f>88/11*10</f>
        <v>80</v>
      </c>
      <c r="H11" s="211">
        <f>+K11/G11</f>
        <v>1</v>
      </c>
      <c r="I11" s="211"/>
      <c r="J11" s="238">
        <v>88</v>
      </c>
      <c r="K11" s="238">
        <f>+J11/11*10</f>
        <v>80</v>
      </c>
      <c r="M11" s="409"/>
    </row>
    <row r="12" spans="2:13" x14ac:dyDescent="0.2">
      <c r="B12" s="249" t="s">
        <v>10</v>
      </c>
      <c r="C12" s="244"/>
      <c r="D12" s="244"/>
      <c r="E12" s="244"/>
      <c r="F12" s="245"/>
      <c r="G12" s="207">
        <f t="shared" ref="G12:G27" si="0">88/11*10</f>
        <v>80</v>
      </c>
      <c r="H12" s="211">
        <f t="shared" ref="H12:H27" si="1">+K12/G12</f>
        <v>1.9886363636363638</v>
      </c>
      <c r="I12" s="211"/>
      <c r="J12" s="238">
        <v>175</v>
      </c>
      <c r="K12" s="238">
        <f t="shared" ref="K12:K27" si="2">+J12/11*10</f>
        <v>159.09090909090909</v>
      </c>
      <c r="M12" s="409"/>
    </row>
    <row r="13" spans="2:13" x14ac:dyDescent="0.2">
      <c r="B13" s="249" t="s">
        <v>11</v>
      </c>
      <c r="C13" s="244"/>
      <c r="D13" s="244"/>
      <c r="E13" s="244"/>
      <c r="F13" s="245"/>
      <c r="G13" s="207">
        <f t="shared" si="0"/>
        <v>80</v>
      </c>
      <c r="H13" s="211">
        <f t="shared" si="1"/>
        <v>2.9886363636363638</v>
      </c>
      <c r="I13" s="211"/>
      <c r="J13" s="238">
        <v>263</v>
      </c>
      <c r="K13" s="238">
        <f t="shared" si="2"/>
        <v>239.09090909090909</v>
      </c>
      <c r="M13" s="409"/>
    </row>
    <row r="14" spans="2:13" x14ac:dyDescent="0.2">
      <c r="B14" s="249" t="s">
        <v>13</v>
      </c>
      <c r="C14" s="244"/>
      <c r="D14" s="244"/>
      <c r="E14" s="244"/>
      <c r="F14" s="245"/>
      <c r="G14" s="207">
        <f t="shared" si="0"/>
        <v>80</v>
      </c>
      <c r="H14" s="211">
        <f t="shared" si="1"/>
        <v>3.9772727272727275</v>
      </c>
      <c r="I14" s="211"/>
      <c r="J14" s="238">
        <v>350</v>
      </c>
      <c r="K14" s="238">
        <f t="shared" si="2"/>
        <v>318.18181818181819</v>
      </c>
      <c r="M14" s="409"/>
    </row>
    <row r="15" spans="2:13" x14ac:dyDescent="0.2">
      <c r="B15" s="249" t="s">
        <v>145</v>
      </c>
      <c r="C15" s="244"/>
      <c r="D15" s="244"/>
      <c r="E15" s="244"/>
      <c r="F15" s="245"/>
      <c r="G15" s="207">
        <f t="shared" si="0"/>
        <v>80</v>
      </c>
      <c r="H15" s="211">
        <f t="shared" si="1"/>
        <v>1</v>
      </c>
      <c r="I15" s="211"/>
      <c r="J15" s="238">
        <v>88</v>
      </c>
      <c r="K15" s="238">
        <f t="shared" si="2"/>
        <v>80</v>
      </c>
      <c r="M15" s="409"/>
    </row>
    <row r="16" spans="2:13" x14ac:dyDescent="0.2">
      <c r="B16" s="249" t="s">
        <v>146</v>
      </c>
      <c r="C16" s="244"/>
      <c r="D16" s="244"/>
      <c r="E16" s="244"/>
      <c r="F16" s="245"/>
      <c r="G16" s="207">
        <f t="shared" si="0"/>
        <v>80</v>
      </c>
      <c r="H16" s="211">
        <f t="shared" si="1"/>
        <v>1.9886363636363638</v>
      </c>
      <c r="I16" s="211"/>
      <c r="J16" s="238">
        <v>175</v>
      </c>
      <c r="K16" s="238">
        <f t="shared" si="2"/>
        <v>159.09090909090909</v>
      </c>
      <c r="M16" s="409"/>
    </row>
    <row r="17" spans="2:13" x14ac:dyDescent="0.2">
      <c r="B17" s="249" t="s">
        <v>147</v>
      </c>
      <c r="C17" s="244"/>
      <c r="D17" s="244"/>
      <c r="E17" s="244"/>
      <c r="F17" s="245"/>
      <c r="G17" s="207">
        <f t="shared" si="0"/>
        <v>80</v>
      </c>
      <c r="H17" s="211">
        <f t="shared" si="1"/>
        <v>2.9886363636363638</v>
      </c>
      <c r="I17" s="211"/>
      <c r="J17" s="238">
        <v>263</v>
      </c>
      <c r="K17" s="238">
        <f t="shared" si="2"/>
        <v>239.09090909090909</v>
      </c>
      <c r="M17" s="409"/>
    </row>
    <row r="18" spans="2:13" x14ac:dyDescent="0.2">
      <c r="B18" s="249" t="s">
        <v>148</v>
      </c>
      <c r="C18" s="244"/>
      <c r="D18" s="244"/>
      <c r="E18" s="244"/>
      <c r="F18" s="245"/>
      <c r="G18" s="207">
        <f t="shared" si="0"/>
        <v>80</v>
      </c>
      <c r="H18" s="211">
        <f t="shared" si="1"/>
        <v>3.9772727272727275</v>
      </c>
      <c r="I18" s="211"/>
      <c r="J18" s="238">
        <v>350</v>
      </c>
      <c r="K18" s="238">
        <f t="shared" si="2"/>
        <v>318.18181818181819</v>
      </c>
      <c r="M18" s="409"/>
    </row>
    <row r="19" spans="2:13" x14ac:dyDescent="0.2">
      <c r="B19" s="249" t="s">
        <v>149</v>
      </c>
      <c r="C19" s="244"/>
      <c r="D19" s="244"/>
      <c r="E19" s="244"/>
      <c r="F19" s="245"/>
      <c r="G19" s="207">
        <f t="shared" si="0"/>
        <v>80</v>
      </c>
      <c r="H19" s="211">
        <f t="shared" si="1"/>
        <v>1</v>
      </c>
      <c r="I19" s="211"/>
      <c r="J19" s="238">
        <v>88</v>
      </c>
      <c r="K19" s="238">
        <f t="shared" si="2"/>
        <v>80</v>
      </c>
      <c r="M19" s="409"/>
    </row>
    <row r="20" spans="2:13" x14ac:dyDescent="0.2">
      <c r="B20" s="249" t="s">
        <v>150</v>
      </c>
      <c r="C20" s="244"/>
      <c r="D20" s="244"/>
      <c r="E20" s="244"/>
      <c r="F20" s="245"/>
      <c r="G20" s="207">
        <f t="shared" si="0"/>
        <v>80</v>
      </c>
      <c r="H20" s="211">
        <f t="shared" si="1"/>
        <v>1.9886363636363638</v>
      </c>
      <c r="I20" s="211"/>
      <c r="J20" s="238">
        <v>175</v>
      </c>
      <c r="K20" s="238">
        <f t="shared" si="2"/>
        <v>159.09090909090909</v>
      </c>
      <c r="M20" s="409"/>
    </row>
    <row r="21" spans="2:13" x14ac:dyDescent="0.2">
      <c r="B21" s="249" t="s">
        <v>151</v>
      </c>
      <c r="C21" s="244"/>
      <c r="D21" s="244"/>
      <c r="E21" s="244"/>
      <c r="F21" s="245"/>
      <c r="G21" s="207">
        <f t="shared" si="0"/>
        <v>80</v>
      </c>
      <c r="H21" s="211">
        <f t="shared" si="1"/>
        <v>2.9886363636363638</v>
      </c>
      <c r="I21" s="211"/>
      <c r="J21" s="238">
        <v>263</v>
      </c>
      <c r="K21" s="238">
        <f t="shared" si="2"/>
        <v>239.09090909090909</v>
      </c>
      <c r="M21" s="409"/>
    </row>
    <row r="22" spans="2:13" x14ac:dyDescent="0.2">
      <c r="B22" s="249" t="s">
        <v>152</v>
      </c>
      <c r="C22" s="244"/>
      <c r="D22" s="244"/>
      <c r="E22" s="244"/>
      <c r="F22" s="245"/>
      <c r="G22" s="207">
        <f t="shared" si="0"/>
        <v>80</v>
      </c>
      <c r="H22" s="211">
        <f t="shared" si="1"/>
        <v>1.9886363636363638</v>
      </c>
      <c r="I22" s="211"/>
      <c r="J22" s="238">
        <v>175</v>
      </c>
      <c r="K22" s="238">
        <f t="shared" si="2"/>
        <v>159.09090909090909</v>
      </c>
      <c r="M22" s="409"/>
    </row>
    <row r="23" spans="2:13" x14ac:dyDescent="0.2">
      <c r="B23" s="249" t="s">
        <v>153</v>
      </c>
      <c r="C23" s="244"/>
      <c r="D23" s="244"/>
      <c r="E23" s="244"/>
      <c r="F23" s="245"/>
      <c r="G23" s="207">
        <f t="shared" si="0"/>
        <v>80</v>
      </c>
      <c r="H23" s="211">
        <f t="shared" si="1"/>
        <v>2.9886363636363638</v>
      </c>
      <c r="I23" s="211"/>
      <c r="J23" s="238">
        <v>263</v>
      </c>
      <c r="K23" s="238">
        <f t="shared" si="2"/>
        <v>239.09090909090909</v>
      </c>
      <c r="M23" s="409"/>
    </row>
    <row r="24" spans="2:13" x14ac:dyDescent="0.2">
      <c r="B24" s="249" t="s">
        <v>154</v>
      </c>
      <c r="C24" s="244"/>
      <c r="D24" s="244"/>
      <c r="E24" s="244"/>
      <c r="F24" s="245"/>
      <c r="G24" s="207">
        <f t="shared" si="0"/>
        <v>80</v>
      </c>
      <c r="H24" s="211">
        <f t="shared" si="1"/>
        <v>5.9772727272727275</v>
      </c>
      <c r="I24" s="211"/>
      <c r="J24" s="238">
        <v>526</v>
      </c>
      <c r="K24" s="238">
        <f t="shared" si="2"/>
        <v>478.18181818181819</v>
      </c>
      <c r="M24" s="409"/>
    </row>
    <row r="25" spans="2:13" x14ac:dyDescent="0.2">
      <c r="B25" s="249" t="s">
        <v>155</v>
      </c>
      <c r="C25" s="244"/>
      <c r="D25" s="244"/>
      <c r="E25" s="244"/>
      <c r="F25" s="245"/>
      <c r="G25" s="207">
        <f t="shared" si="0"/>
        <v>80</v>
      </c>
      <c r="H25" s="211">
        <f t="shared" si="1"/>
        <v>1</v>
      </c>
      <c r="I25" s="211"/>
      <c r="J25" s="238">
        <v>88</v>
      </c>
      <c r="K25" s="238">
        <f t="shared" si="2"/>
        <v>80</v>
      </c>
      <c r="M25" s="409"/>
    </row>
    <row r="26" spans="2:13" x14ac:dyDescent="0.2">
      <c r="B26" s="249" t="s">
        <v>156</v>
      </c>
      <c r="C26" s="244"/>
      <c r="D26" s="244"/>
      <c r="E26" s="244"/>
      <c r="F26" s="245"/>
      <c r="G26" s="207">
        <f t="shared" si="0"/>
        <v>80</v>
      </c>
      <c r="H26" s="211">
        <f t="shared" si="1"/>
        <v>1.9886363636363638</v>
      </c>
      <c r="I26" s="211"/>
      <c r="J26" s="238">
        <v>175</v>
      </c>
      <c r="K26" s="238">
        <f t="shared" si="2"/>
        <v>159.09090909090909</v>
      </c>
      <c r="M26" s="409"/>
    </row>
    <row r="27" spans="2:13" x14ac:dyDescent="0.2">
      <c r="B27" s="249" t="s">
        <v>157</v>
      </c>
      <c r="C27" s="244"/>
      <c r="D27" s="244"/>
      <c r="E27" s="244"/>
      <c r="F27" s="245"/>
      <c r="G27" s="207">
        <f t="shared" si="0"/>
        <v>80</v>
      </c>
      <c r="H27" s="211">
        <f t="shared" si="1"/>
        <v>2.9886363636363638</v>
      </c>
      <c r="I27" s="211"/>
      <c r="J27" s="238">
        <v>263</v>
      </c>
      <c r="K27" s="238">
        <f t="shared" si="2"/>
        <v>239.09090909090909</v>
      </c>
      <c r="M27" s="409"/>
    </row>
    <row r="28" spans="2:13" x14ac:dyDescent="0.2">
      <c r="B28" s="249"/>
      <c r="C28" s="244"/>
      <c r="D28" s="244"/>
      <c r="E28" s="244"/>
      <c r="F28" s="245"/>
      <c r="G28" s="207"/>
      <c r="H28" s="211"/>
      <c r="I28" s="211"/>
      <c r="J28" s="238"/>
      <c r="K28" s="132"/>
      <c r="M28" s="409"/>
    </row>
    <row r="29" spans="2:13" x14ac:dyDescent="0.2">
      <c r="B29" s="249" t="s">
        <v>117</v>
      </c>
      <c r="C29" s="244"/>
      <c r="D29" s="244"/>
      <c r="E29" s="244"/>
      <c r="F29" s="245"/>
      <c r="G29" s="207">
        <f>106/11*10</f>
        <v>96.363636363636374</v>
      </c>
      <c r="H29" s="211" t="s">
        <v>14</v>
      </c>
      <c r="I29" s="211">
        <v>5</v>
      </c>
      <c r="J29" s="238">
        <v>106</v>
      </c>
      <c r="K29" s="238">
        <f t="shared" ref="K29:K42" si="3">+J29/11*10</f>
        <v>96.363636363636374</v>
      </c>
      <c r="M29" s="409"/>
    </row>
    <row r="30" spans="2:13" x14ac:dyDescent="0.2">
      <c r="B30" s="249" t="s">
        <v>118</v>
      </c>
      <c r="C30" s="244"/>
      <c r="D30" s="244"/>
      <c r="E30" s="244"/>
      <c r="F30" s="245"/>
      <c r="G30" s="207">
        <f t="shared" ref="G30:G38" si="4">106/11*10</f>
        <v>96.363636363636374</v>
      </c>
      <c r="H30" s="211" t="s">
        <v>14</v>
      </c>
      <c r="I30" s="211">
        <v>10</v>
      </c>
      <c r="J30" s="238">
        <v>106</v>
      </c>
      <c r="K30" s="238">
        <f t="shared" si="3"/>
        <v>96.363636363636374</v>
      </c>
      <c r="M30" s="409"/>
    </row>
    <row r="31" spans="2:13" x14ac:dyDescent="0.2">
      <c r="B31" s="249" t="s">
        <v>119</v>
      </c>
      <c r="C31" s="244"/>
      <c r="D31" s="244"/>
      <c r="E31" s="244"/>
      <c r="F31" s="245"/>
      <c r="G31" s="207">
        <f t="shared" si="4"/>
        <v>96.363636363636374</v>
      </c>
      <c r="H31" s="211" t="s">
        <v>14</v>
      </c>
      <c r="I31" s="211">
        <v>15</v>
      </c>
      <c r="J31" s="238">
        <v>106</v>
      </c>
      <c r="K31" s="238">
        <f t="shared" si="3"/>
        <v>96.363636363636374</v>
      </c>
      <c r="M31" s="409"/>
    </row>
    <row r="32" spans="2:13" x14ac:dyDescent="0.2">
      <c r="B32" s="249" t="s">
        <v>120</v>
      </c>
      <c r="C32" s="244"/>
      <c r="D32" s="244"/>
      <c r="E32" s="244"/>
      <c r="F32" s="245"/>
      <c r="G32" s="207">
        <f t="shared" si="4"/>
        <v>96.363636363636374</v>
      </c>
      <c r="H32" s="211" t="s">
        <v>14</v>
      </c>
      <c r="I32" s="211">
        <v>25</v>
      </c>
      <c r="J32" s="238">
        <v>106</v>
      </c>
      <c r="K32" s="238">
        <f t="shared" si="3"/>
        <v>96.363636363636374</v>
      </c>
      <c r="M32" s="409"/>
    </row>
    <row r="33" spans="2:13" x14ac:dyDescent="0.2">
      <c r="B33" s="249" t="s">
        <v>121</v>
      </c>
      <c r="C33" s="244"/>
      <c r="D33" s="244"/>
      <c r="E33" s="244"/>
      <c r="F33" s="245"/>
      <c r="G33" s="207">
        <f t="shared" si="4"/>
        <v>96.363636363636374</v>
      </c>
      <c r="H33" s="211" t="s">
        <v>14</v>
      </c>
      <c r="I33" s="211">
        <v>53</v>
      </c>
      <c r="J33" s="238">
        <v>106</v>
      </c>
      <c r="K33" s="238">
        <f t="shared" si="3"/>
        <v>96.363636363636374</v>
      </c>
      <c r="M33" s="409"/>
    </row>
    <row r="34" spans="2:13" x14ac:dyDescent="0.2">
      <c r="B34" s="249" t="s">
        <v>122</v>
      </c>
      <c r="C34" s="244"/>
      <c r="D34" s="244"/>
      <c r="E34" s="244"/>
      <c r="F34" s="245"/>
      <c r="G34" s="207">
        <f t="shared" si="4"/>
        <v>96.363636363636374</v>
      </c>
      <c r="H34" s="211" t="s">
        <v>14</v>
      </c>
      <c r="I34" s="211">
        <v>3</v>
      </c>
      <c r="J34" s="238">
        <v>106</v>
      </c>
      <c r="K34" s="238">
        <f t="shared" si="3"/>
        <v>96.363636363636374</v>
      </c>
      <c r="M34" s="409"/>
    </row>
    <row r="35" spans="2:13" x14ac:dyDescent="0.2">
      <c r="B35" s="249" t="s">
        <v>123</v>
      </c>
      <c r="C35" s="244"/>
      <c r="D35" s="244"/>
      <c r="E35" s="244"/>
      <c r="F35" s="245"/>
      <c r="G35" s="207">
        <f t="shared" si="4"/>
        <v>96.363636363636374</v>
      </c>
      <c r="H35" s="211" t="s">
        <v>14</v>
      </c>
      <c r="I35" s="211">
        <v>5</v>
      </c>
      <c r="J35" s="238">
        <v>106</v>
      </c>
      <c r="K35" s="238">
        <f t="shared" si="3"/>
        <v>96.363636363636374</v>
      </c>
      <c r="M35" s="409"/>
    </row>
    <row r="36" spans="2:13" x14ac:dyDescent="0.2">
      <c r="B36" s="249" t="s">
        <v>124</v>
      </c>
      <c r="C36" s="244"/>
      <c r="D36" s="244"/>
      <c r="E36" s="244"/>
      <c r="F36" s="245"/>
      <c r="G36" s="207">
        <f t="shared" si="4"/>
        <v>96.363636363636374</v>
      </c>
      <c r="H36" s="211" t="s">
        <v>14</v>
      </c>
      <c r="I36" s="211">
        <v>10</v>
      </c>
      <c r="J36" s="238">
        <v>106</v>
      </c>
      <c r="K36" s="238">
        <f t="shared" si="3"/>
        <v>96.363636363636374</v>
      </c>
      <c r="M36" s="409"/>
    </row>
    <row r="37" spans="2:13" x14ac:dyDescent="0.2">
      <c r="B37" s="249" t="s">
        <v>125</v>
      </c>
      <c r="C37" s="244"/>
      <c r="D37" s="244"/>
      <c r="E37" s="244"/>
      <c r="F37" s="245"/>
      <c r="G37" s="207">
        <f t="shared" si="4"/>
        <v>96.363636363636374</v>
      </c>
      <c r="H37" s="211" t="s">
        <v>14</v>
      </c>
      <c r="I37" s="211">
        <v>15</v>
      </c>
      <c r="J37" s="238">
        <v>106</v>
      </c>
      <c r="K37" s="238">
        <f t="shared" si="3"/>
        <v>96.363636363636374</v>
      </c>
      <c r="M37" s="409"/>
    </row>
    <row r="38" spans="2:13" x14ac:dyDescent="0.2">
      <c r="B38" s="249" t="s">
        <v>158</v>
      </c>
      <c r="C38" s="244"/>
      <c r="D38" s="244"/>
      <c r="E38" s="244"/>
      <c r="F38" s="245"/>
      <c r="G38" s="207">
        <f t="shared" si="4"/>
        <v>96.363636363636374</v>
      </c>
      <c r="H38" s="211" t="s">
        <v>14</v>
      </c>
      <c r="I38" s="211">
        <v>6</v>
      </c>
      <c r="J38" s="238">
        <v>106</v>
      </c>
      <c r="K38" s="238">
        <f t="shared" si="3"/>
        <v>96.363636363636374</v>
      </c>
      <c r="M38" s="409"/>
    </row>
    <row r="39" spans="2:13" x14ac:dyDescent="0.2">
      <c r="B39" s="249" t="s">
        <v>159</v>
      </c>
      <c r="C39" s="244"/>
      <c r="D39" s="244"/>
      <c r="E39" s="244"/>
      <c r="F39" s="245"/>
      <c r="G39" s="207">
        <f>88/11*10</f>
        <v>80</v>
      </c>
      <c r="H39" s="211">
        <f t="shared" ref="H39:H42" si="5">+K39/G39</f>
        <v>1</v>
      </c>
      <c r="I39" s="211"/>
      <c r="J39" s="238">
        <v>88</v>
      </c>
      <c r="K39" s="238">
        <f t="shared" si="3"/>
        <v>80</v>
      </c>
      <c r="M39" s="409"/>
    </row>
    <row r="40" spans="2:13" x14ac:dyDescent="0.2">
      <c r="B40" s="249" t="s">
        <v>160</v>
      </c>
      <c r="C40" s="244"/>
      <c r="D40" s="244"/>
      <c r="E40" s="244"/>
      <c r="F40" s="245"/>
      <c r="G40" s="207">
        <f>88/11*10</f>
        <v>80</v>
      </c>
      <c r="H40" s="211">
        <f t="shared" si="5"/>
        <v>1.9886363636363638</v>
      </c>
      <c r="I40" s="211"/>
      <c r="J40" s="238">
        <v>175</v>
      </c>
      <c r="K40" s="238">
        <f t="shared" si="3"/>
        <v>159.09090909090909</v>
      </c>
      <c r="M40" s="409"/>
    </row>
    <row r="41" spans="2:13" x14ac:dyDescent="0.2">
      <c r="B41" s="249" t="s">
        <v>161</v>
      </c>
      <c r="C41" s="244"/>
      <c r="D41" s="244"/>
      <c r="E41" s="244"/>
      <c r="F41" s="245"/>
      <c r="G41" s="207">
        <f>88/11*10</f>
        <v>80</v>
      </c>
      <c r="H41" s="211">
        <f t="shared" si="5"/>
        <v>2.9886363636363638</v>
      </c>
      <c r="I41" s="211"/>
      <c r="J41" s="238">
        <v>263</v>
      </c>
      <c r="K41" s="238">
        <f t="shared" si="3"/>
        <v>239.09090909090909</v>
      </c>
      <c r="M41" s="409"/>
    </row>
    <row r="42" spans="2:13" x14ac:dyDescent="0.2">
      <c r="B42" s="249" t="s">
        <v>162</v>
      </c>
      <c r="C42" s="244"/>
      <c r="D42" s="244"/>
      <c r="E42" s="244"/>
      <c r="F42" s="245"/>
      <c r="G42" s="207">
        <f>106/11*10</f>
        <v>96.363636363636374</v>
      </c>
      <c r="H42" s="211">
        <f t="shared" si="5"/>
        <v>1</v>
      </c>
      <c r="I42" s="211"/>
      <c r="J42" s="238">
        <v>106</v>
      </c>
      <c r="K42" s="238">
        <f t="shared" si="3"/>
        <v>96.363636363636374</v>
      </c>
      <c r="M42" s="409"/>
    </row>
    <row r="43" spans="2:13" x14ac:dyDescent="0.2">
      <c r="B43" s="249"/>
      <c r="C43" s="244"/>
      <c r="D43" s="244"/>
      <c r="E43" s="244"/>
      <c r="F43" s="245"/>
      <c r="G43" s="207"/>
      <c r="H43" s="211"/>
      <c r="I43" s="211"/>
      <c r="J43" s="238"/>
      <c r="K43" s="132"/>
      <c r="M43" s="409"/>
    </row>
    <row r="44" spans="2:13" x14ac:dyDescent="0.2">
      <c r="B44" s="249" t="s">
        <v>126</v>
      </c>
      <c r="C44" s="244"/>
      <c r="D44" s="244"/>
      <c r="E44" s="244"/>
      <c r="F44" s="245"/>
      <c r="G44" s="207">
        <f>106/11*10</f>
        <v>96.363636363636374</v>
      </c>
      <c r="H44" s="211" t="s">
        <v>14</v>
      </c>
      <c r="I44" s="211">
        <v>6</v>
      </c>
      <c r="J44" s="238">
        <v>106</v>
      </c>
      <c r="K44" s="238">
        <f t="shared" ref="K44:K47" si="6">+J44/11*10</f>
        <v>96.363636363636374</v>
      </c>
      <c r="M44" s="409"/>
    </row>
    <row r="45" spans="2:13" x14ac:dyDescent="0.2">
      <c r="B45" s="249" t="s">
        <v>127</v>
      </c>
      <c r="C45" s="244"/>
      <c r="D45" s="244"/>
      <c r="E45" s="244"/>
      <c r="F45" s="245"/>
      <c r="G45" s="207">
        <f>88/11*10</f>
        <v>80</v>
      </c>
      <c r="H45" s="211" t="s">
        <v>14</v>
      </c>
      <c r="I45" s="211">
        <v>6</v>
      </c>
      <c r="J45" s="238">
        <v>88</v>
      </c>
      <c r="K45" s="238">
        <f t="shared" si="6"/>
        <v>80</v>
      </c>
      <c r="M45" s="409"/>
    </row>
    <row r="46" spans="2:13" x14ac:dyDescent="0.2">
      <c r="B46" s="249" t="s">
        <v>128</v>
      </c>
      <c r="C46" s="244"/>
      <c r="D46" s="244"/>
      <c r="E46" s="244"/>
      <c r="F46" s="245"/>
      <c r="G46" s="207">
        <f>106/11*10</f>
        <v>96.363636363636374</v>
      </c>
      <c r="H46" s="211" t="s">
        <v>14</v>
      </c>
      <c r="I46" s="211">
        <v>4</v>
      </c>
      <c r="J46" s="238">
        <v>106</v>
      </c>
      <c r="K46" s="238">
        <f t="shared" si="6"/>
        <v>96.363636363636374</v>
      </c>
      <c r="M46" s="409"/>
    </row>
    <row r="47" spans="2:13" x14ac:dyDescent="0.2">
      <c r="B47" s="249" t="s">
        <v>129</v>
      </c>
      <c r="C47" s="244"/>
      <c r="D47" s="244"/>
      <c r="E47" s="244"/>
      <c r="F47" s="245"/>
      <c r="G47" s="207">
        <f>88/11*10</f>
        <v>80</v>
      </c>
      <c r="H47" s="211" t="s">
        <v>14</v>
      </c>
      <c r="I47" s="211">
        <v>5</v>
      </c>
      <c r="J47" s="238">
        <v>88</v>
      </c>
      <c r="K47" s="238">
        <f t="shared" si="6"/>
        <v>80</v>
      </c>
      <c r="M47" s="409"/>
    </row>
    <row r="48" spans="2:13" x14ac:dyDescent="0.2">
      <c r="B48" s="243"/>
      <c r="C48" s="244"/>
      <c r="D48" s="244"/>
      <c r="E48" s="244"/>
      <c r="F48" s="245"/>
      <c r="G48" s="45"/>
      <c r="H48" s="46"/>
      <c r="I48" s="47"/>
      <c r="J48" s="46"/>
      <c r="K48" s="46"/>
      <c r="M48" s="409"/>
    </row>
    <row r="49" spans="2:13" x14ac:dyDescent="0.25">
      <c r="B49" s="411" t="s">
        <v>211</v>
      </c>
      <c r="C49" s="412"/>
      <c r="D49" s="412"/>
      <c r="E49" s="412"/>
      <c r="F49" s="413"/>
      <c r="G49" s="388"/>
      <c r="H49" s="389"/>
      <c r="I49" s="390"/>
      <c r="J49" s="389"/>
      <c r="K49" s="389"/>
      <c r="M49" s="409"/>
    </row>
    <row r="50" spans="2:13" x14ac:dyDescent="0.2">
      <c r="B50" s="243" t="s">
        <v>12</v>
      </c>
      <c r="C50" s="244"/>
      <c r="D50" s="244"/>
      <c r="E50" s="244"/>
      <c r="F50" s="245"/>
      <c r="G50" s="207">
        <f t="shared" ref="G50:G52" si="7">88/11*10</f>
        <v>80</v>
      </c>
      <c r="H50" s="212" t="s">
        <v>14</v>
      </c>
      <c r="I50" s="211">
        <v>3</v>
      </c>
      <c r="J50" s="238">
        <v>88</v>
      </c>
      <c r="K50" s="238">
        <f t="shared" ref="K50:K52" si="8">+J50/11*10</f>
        <v>80</v>
      </c>
      <c r="M50" s="409"/>
    </row>
    <row r="51" spans="2:13" x14ac:dyDescent="0.2">
      <c r="B51" s="243" t="s">
        <v>116</v>
      </c>
      <c r="C51" s="244"/>
      <c r="D51" s="244"/>
      <c r="E51" s="244"/>
      <c r="F51" s="245"/>
      <c r="G51" s="207">
        <f t="shared" si="7"/>
        <v>80</v>
      </c>
      <c r="H51" s="212" t="s">
        <v>14</v>
      </c>
      <c r="I51" s="211">
        <v>3</v>
      </c>
      <c r="J51" s="238">
        <v>88</v>
      </c>
      <c r="K51" s="238">
        <f t="shared" si="8"/>
        <v>80</v>
      </c>
      <c r="M51" s="409"/>
    </row>
    <row r="52" spans="2:13" x14ac:dyDescent="0.2">
      <c r="B52" s="243" t="s">
        <v>164</v>
      </c>
      <c r="C52" s="244"/>
      <c r="D52" s="244"/>
      <c r="E52" s="244"/>
      <c r="F52" s="245"/>
      <c r="G52" s="207">
        <f t="shared" si="7"/>
        <v>80</v>
      </c>
      <c r="H52" s="212" t="s">
        <v>14</v>
      </c>
      <c r="I52" s="211">
        <v>3</v>
      </c>
      <c r="J52" s="238">
        <v>88</v>
      </c>
      <c r="K52" s="238">
        <f t="shared" si="8"/>
        <v>80</v>
      </c>
      <c r="M52" s="409"/>
    </row>
    <row r="53" spans="2:13" x14ac:dyDescent="0.2">
      <c r="B53" s="243" t="s">
        <v>165</v>
      </c>
      <c r="C53" s="244"/>
      <c r="D53" s="244"/>
      <c r="E53" s="244"/>
      <c r="F53" s="245"/>
      <c r="G53" s="207"/>
      <c r="H53" s="212"/>
      <c r="I53" s="211"/>
      <c r="J53" s="238"/>
      <c r="K53" s="132"/>
      <c r="M53" s="409"/>
    </row>
    <row r="54" spans="2:13" x14ac:dyDescent="0.2">
      <c r="B54" s="243" t="s">
        <v>166</v>
      </c>
      <c r="C54" s="244"/>
      <c r="D54" s="244"/>
      <c r="E54" s="244"/>
      <c r="F54" s="245"/>
      <c r="G54" s="207">
        <f t="shared" ref="G54:G56" si="9">106/11*10</f>
        <v>96.363636363636374</v>
      </c>
      <c r="H54" s="212" t="s">
        <v>14</v>
      </c>
      <c r="I54" s="211">
        <v>3</v>
      </c>
      <c r="J54" s="238">
        <v>106</v>
      </c>
      <c r="K54" s="238">
        <f t="shared" ref="K54:K56" si="10">+J54/11*10</f>
        <v>96.363636363636374</v>
      </c>
      <c r="M54" s="409"/>
    </row>
    <row r="55" spans="2:13" x14ac:dyDescent="0.2">
      <c r="B55" s="243" t="s">
        <v>167</v>
      </c>
      <c r="C55" s="244"/>
      <c r="D55" s="244"/>
      <c r="E55" s="244"/>
      <c r="F55" s="245"/>
      <c r="G55" s="207">
        <f t="shared" si="9"/>
        <v>96.363636363636374</v>
      </c>
      <c r="H55" s="212" t="s">
        <v>14</v>
      </c>
      <c r="I55" s="211">
        <v>2</v>
      </c>
      <c r="J55" s="238">
        <v>106</v>
      </c>
      <c r="K55" s="238">
        <f t="shared" si="10"/>
        <v>96.363636363636374</v>
      </c>
      <c r="M55" s="409"/>
    </row>
    <row r="56" spans="2:13" x14ac:dyDescent="0.2">
      <c r="B56" s="243" t="s">
        <v>168</v>
      </c>
      <c r="C56" s="244"/>
      <c r="D56" s="244"/>
      <c r="E56" s="244"/>
      <c r="F56" s="245"/>
      <c r="G56" s="207">
        <f t="shared" si="9"/>
        <v>96.363636363636374</v>
      </c>
      <c r="H56" s="212" t="s">
        <v>14</v>
      </c>
      <c r="I56" s="211">
        <v>3</v>
      </c>
      <c r="J56" s="238">
        <v>106</v>
      </c>
      <c r="K56" s="238">
        <f t="shared" si="10"/>
        <v>96.363636363636374</v>
      </c>
      <c r="M56" s="409"/>
    </row>
    <row r="57" spans="2:13" x14ac:dyDescent="0.2">
      <c r="B57" s="243" t="s">
        <v>165</v>
      </c>
      <c r="C57" s="244"/>
      <c r="D57" s="244"/>
      <c r="E57" s="244"/>
      <c r="F57" s="245"/>
      <c r="G57" s="207"/>
      <c r="H57" s="212"/>
      <c r="I57" s="211"/>
      <c r="J57" s="238"/>
      <c r="K57" s="132"/>
      <c r="M57" s="409"/>
    </row>
    <row r="58" spans="2:13" x14ac:dyDescent="0.2">
      <c r="B58" s="243" t="s">
        <v>126</v>
      </c>
      <c r="C58" s="244"/>
      <c r="D58" s="244"/>
      <c r="E58" s="244"/>
      <c r="F58" s="245"/>
      <c r="G58" s="207">
        <f>106/11*10</f>
        <v>96.363636363636374</v>
      </c>
      <c r="H58" s="212" t="s">
        <v>14</v>
      </c>
      <c r="I58" s="211">
        <v>4</v>
      </c>
      <c r="J58" s="238">
        <v>106</v>
      </c>
      <c r="K58" s="238">
        <f t="shared" ref="K58:K61" si="11">+J58/11*10</f>
        <v>96.363636363636374</v>
      </c>
      <c r="M58" s="409"/>
    </row>
    <row r="59" spans="2:13" x14ac:dyDescent="0.2">
      <c r="B59" s="243" t="s">
        <v>127</v>
      </c>
      <c r="C59" s="244"/>
      <c r="D59" s="244"/>
      <c r="E59" s="244"/>
      <c r="F59" s="245"/>
      <c r="G59" s="207">
        <f>88/11*10</f>
        <v>80</v>
      </c>
      <c r="H59" s="212" t="s">
        <v>14</v>
      </c>
      <c r="I59" s="211">
        <v>5</v>
      </c>
      <c r="J59" s="238">
        <v>88</v>
      </c>
      <c r="K59" s="238">
        <f t="shared" si="11"/>
        <v>80</v>
      </c>
      <c r="M59" s="409"/>
    </row>
    <row r="60" spans="2:13" x14ac:dyDescent="0.2">
      <c r="B60" s="243" t="s">
        <v>128</v>
      </c>
      <c r="C60" s="244"/>
      <c r="D60" s="244"/>
      <c r="E60" s="244"/>
      <c r="F60" s="245"/>
      <c r="G60" s="207">
        <f>106/11*10</f>
        <v>96.363636363636374</v>
      </c>
      <c r="H60" s="212" t="s">
        <v>14</v>
      </c>
      <c r="I60" s="211">
        <v>3</v>
      </c>
      <c r="J60" s="238">
        <v>106</v>
      </c>
      <c r="K60" s="238">
        <f t="shared" si="11"/>
        <v>96.363636363636374</v>
      </c>
      <c r="M60" s="409"/>
    </row>
    <row r="61" spans="2:13" x14ac:dyDescent="0.2">
      <c r="B61" s="243" t="s">
        <v>129</v>
      </c>
      <c r="C61" s="244"/>
      <c r="D61" s="244"/>
      <c r="E61" s="244"/>
      <c r="F61" s="245"/>
      <c r="G61" s="207">
        <f>88/11*10</f>
        <v>80</v>
      </c>
      <c r="H61" s="212" t="s">
        <v>14</v>
      </c>
      <c r="I61" s="211">
        <v>4</v>
      </c>
      <c r="J61" s="238">
        <v>88</v>
      </c>
      <c r="K61" s="238">
        <f t="shared" si="11"/>
        <v>80</v>
      </c>
      <c r="M61" s="409"/>
    </row>
    <row r="62" spans="2:13" x14ac:dyDescent="0.2">
      <c r="B62" s="246"/>
      <c r="C62" s="247"/>
      <c r="D62" s="247"/>
      <c r="E62" s="247"/>
      <c r="F62" s="248"/>
      <c r="G62" s="254"/>
      <c r="H62" s="255"/>
      <c r="I62" s="48"/>
      <c r="J62" s="255"/>
      <c r="K62" s="255"/>
      <c r="M62" s="410"/>
    </row>
    <row r="63" spans="2:13" x14ac:dyDescent="0.25"/>
    <row r="64" spans="2:13" ht="15.75" x14ac:dyDescent="0.25">
      <c r="B64" s="33" t="s">
        <v>2</v>
      </c>
      <c r="C64" s="34"/>
      <c r="D64" s="34"/>
      <c r="E64" s="34"/>
      <c r="F64" s="34"/>
      <c r="G64" s="35"/>
      <c r="H64" s="35"/>
      <c r="I64" s="35"/>
      <c r="J64" s="35"/>
      <c r="K64" s="34"/>
      <c r="M64" s="36"/>
    </row>
    <row r="65" spans="2:13" x14ac:dyDescent="0.25"/>
    <row r="66" spans="2:13" x14ac:dyDescent="0.25">
      <c r="B66" s="402"/>
      <c r="C66" s="403"/>
      <c r="D66" s="403"/>
      <c r="E66" s="403"/>
      <c r="F66" s="404"/>
      <c r="G66" s="37" t="s">
        <v>17</v>
      </c>
      <c r="H66" s="38" t="s">
        <v>18</v>
      </c>
      <c r="I66" s="39" t="s">
        <v>19</v>
      </c>
      <c r="J66" s="38" t="s">
        <v>20</v>
      </c>
      <c r="K66" s="40" t="s">
        <v>21</v>
      </c>
      <c r="M66" s="41" t="s">
        <v>5</v>
      </c>
    </row>
    <row r="67" spans="2:13" ht="24.95" customHeight="1" x14ac:dyDescent="0.25">
      <c r="B67" s="416" t="s">
        <v>134</v>
      </c>
      <c r="C67" s="436"/>
      <c r="D67" s="436"/>
      <c r="E67" s="436"/>
      <c r="F67" s="417"/>
      <c r="G67" s="19">
        <v>550829.7200000023</v>
      </c>
      <c r="H67" s="20">
        <v>445373.88000000303</v>
      </c>
      <c r="I67" s="21">
        <v>495353.67000000254</v>
      </c>
      <c r="J67" s="20">
        <v>552209.07000000356</v>
      </c>
      <c r="K67" s="399"/>
      <c r="M67" s="414" t="s">
        <v>196</v>
      </c>
    </row>
    <row r="68" spans="2:13" ht="24.95" customHeight="1" x14ac:dyDescent="0.25">
      <c r="B68" s="416" t="s">
        <v>135</v>
      </c>
      <c r="C68" s="436"/>
      <c r="D68" s="436"/>
      <c r="E68" s="436"/>
      <c r="F68" s="417"/>
      <c r="G68" s="19">
        <v>59420.240000000063</v>
      </c>
      <c r="H68" s="20">
        <v>63087.500000000058</v>
      </c>
      <c r="I68" s="21">
        <v>59730.190000000068</v>
      </c>
      <c r="J68" s="20">
        <v>82004.710000000036</v>
      </c>
      <c r="K68" s="401"/>
      <c r="M68" s="415"/>
    </row>
    <row r="69" spans="2:13" x14ac:dyDescent="0.25"/>
    <row r="70" spans="2:13" ht="15.75" x14ac:dyDescent="0.25">
      <c r="B70" s="33" t="s">
        <v>47</v>
      </c>
      <c r="C70" s="34"/>
      <c r="D70" s="34"/>
      <c r="E70" s="34"/>
      <c r="F70" s="34"/>
      <c r="G70" s="35"/>
      <c r="H70" s="35"/>
      <c r="I70" s="35"/>
      <c r="J70" s="35"/>
      <c r="K70" s="34"/>
      <c r="M70" s="36"/>
    </row>
    <row r="71" spans="2:13" x14ac:dyDescent="0.25"/>
    <row r="72" spans="2:13" x14ac:dyDescent="0.25">
      <c r="B72" s="52" t="s">
        <v>31</v>
      </c>
      <c r="C72" s="446" t="s">
        <v>46</v>
      </c>
      <c r="D72" s="446"/>
      <c r="E72" s="446"/>
      <c r="F72" s="446"/>
      <c r="G72" s="38" t="s">
        <v>17</v>
      </c>
      <c r="H72" s="38" t="s">
        <v>18</v>
      </c>
      <c r="I72" s="38" t="s">
        <v>19</v>
      </c>
      <c r="J72" s="38" t="s">
        <v>20</v>
      </c>
      <c r="K72" s="53" t="s">
        <v>21</v>
      </c>
      <c r="M72" s="41" t="s">
        <v>5</v>
      </c>
    </row>
    <row r="73" spans="2:13" ht="12.75" customHeight="1" x14ac:dyDescent="0.25">
      <c r="B73" s="22" t="s">
        <v>136</v>
      </c>
      <c r="C73" s="424" t="s">
        <v>137</v>
      </c>
      <c r="D73" s="425"/>
      <c r="E73" s="425"/>
      <c r="F73" s="426"/>
      <c r="G73" s="396" t="s">
        <v>16</v>
      </c>
      <c r="H73" s="23">
        <v>275278.51008595707</v>
      </c>
      <c r="I73" s="20">
        <v>378395.0233310131</v>
      </c>
      <c r="J73" s="20">
        <v>316587.48569147312</v>
      </c>
      <c r="K73" s="399"/>
      <c r="M73" s="408" t="s">
        <v>197</v>
      </c>
    </row>
    <row r="74" spans="2:13" x14ac:dyDescent="0.25">
      <c r="B74" s="22" t="s">
        <v>138</v>
      </c>
      <c r="C74" s="240" t="s">
        <v>139</v>
      </c>
      <c r="D74" s="241"/>
      <c r="E74" s="241"/>
      <c r="F74" s="242"/>
      <c r="G74" s="398"/>
      <c r="H74" s="23">
        <v>2716.3990784892667</v>
      </c>
      <c r="I74" s="20">
        <v>57.875211872589901</v>
      </c>
      <c r="J74" s="20">
        <v>0</v>
      </c>
      <c r="K74" s="400"/>
      <c r="M74" s="409"/>
    </row>
    <row r="75" spans="2:13" x14ac:dyDescent="0.25">
      <c r="B75" s="22" t="s">
        <v>140</v>
      </c>
      <c r="C75" s="240" t="s">
        <v>139</v>
      </c>
      <c r="D75" s="241"/>
      <c r="E75" s="241"/>
      <c r="F75" s="242"/>
      <c r="G75" s="398"/>
      <c r="H75" s="23">
        <v>60154.258089097362</v>
      </c>
      <c r="I75" s="20">
        <v>89906.722755950046</v>
      </c>
      <c r="J75" s="20">
        <v>104717.25808293132</v>
      </c>
      <c r="K75" s="400"/>
      <c r="M75" s="409"/>
    </row>
    <row r="76" spans="2:13" x14ac:dyDescent="0.25">
      <c r="B76" s="22" t="s">
        <v>141</v>
      </c>
      <c r="C76" s="240" t="s">
        <v>139</v>
      </c>
      <c r="D76" s="241"/>
      <c r="E76" s="241"/>
      <c r="F76" s="242"/>
      <c r="G76" s="398"/>
      <c r="H76" s="23">
        <v>10908.375813784562</v>
      </c>
      <c r="I76" s="20">
        <v>3528.2290784573051</v>
      </c>
      <c r="J76" s="20">
        <v>4927.9432142874266</v>
      </c>
      <c r="K76" s="400"/>
      <c r="M76" s="409"/>
    </row>
    <row r="77" spans="2:13" x14ac:dyDescent="0.25">
      <c r="B77" s="22" t="s">
        <v>142</v>
      </c>
      <c r="C77" s="240" t="s">
        <v>143</v>
      </c>
      <c r="D77" s="241"/>
      <c r="E77" s="241"/>
      <c r="F77" s="242"/>
      <c r="G77" s="397"/>
      <c r="H77" s="23">
        <v>69680.92532754557</v>
      </c>
      <c r="I77" s="20">
        <v>63548.497430308373</v>
      </c>
      <c r="J77" s="20">
        <v>71900.961568941828</v>
      </c>
      <c r="K77" s="401"/>
      <c r="M77" s="410"/>
    </row>
    <row r="78" spans="2:13" ht="13.5" thickBot="1" x14ac:dyDescent="0.3">
      <c r="B78" s="54"/>
      <c r="C78" s="54"/>
      <c r="D78" s="54"/>
      <c r="E78" s="54"/>
      <c r="F78" s="54"/>
      <c r="G78" s="94">
        <f t="shared" ref="G78" si="12">SUM(G73:G77)</f>
        <v>0</v>
      </c>
      <c r="H78" s="61">
        <f>SUM(H73:H77)</f>
        <v>418738.46839487384</v>
      </c>
      <c r="I78" s="61">
        <f t="shared" ref="I78:J78" si="13">SUM(I73:I77)</f>
        <v>535436.34780760133</v>
      </c>
      <c r="J78" s="61">
        <f t="shared" si="13"/>
        <v>498133.64855763369</v>
      </c>
      <c r="K78" s="94"/>
    </row>
    <row r="79" spans="2:13" x14ac:dyDescent="0.25">
      <c r="B79" s="54"/>
      <c r="C79" s="54"/>
      <c r="D79" s="54"/>
      <c r="E79" s="54"/>
      <c r="F79" s="54"/>
      <c r="G79" s="55"/>
      <c r="H79" s="55"/>
      <c r="I79" s="55"/>
      <c r="J79" s="55"/>
      <c r="K79" s="30"/>
    </row>
    <row r="80" spans="2:13" ht="15.75" x14ac:dyDescent="0.25">
      <c r="B80" s="33" t="s">
        <v>59</v>
      </c>
      <c r="C80" s="34"/>
      <c r="D80" s="34"/>
      <c r="E80" s="34"/>
      <c r="F80" s="34"/>
      <c r="G80" s="35"/>
      <c r="H80" s="35"/>
      <c r="I80" s="35"/>
      <c r="J80" s="35"/>
      <c r="K80" s="34"/>
      <c r="M80" s="36"/>
    </row>
    <row r="81" spans="2:13" x14ac:dyDescent="0.25"/>
    <row r="82" spans="2:13" ht="38.25" x14ac:dyDescent="0.25">
      <c r="B82" s="402" t="s">
        <v>15</v>
      </c>
      <c r="C82" s="403"/>
      <c r="D82" s="403"/>
      <c r="E82" s="403"/>
      <c r="F82" s="404"/>
      <c r="G82" s="37" t="s">
        <v>17</v>
      </c>
      <c r="H82" s="38" t="s">
        <v>18</v>
      </c>
      <c r="I82" s="38" t="s">
        <v>19</v>
      </c>
      <c r="J82" s="38" t="s">
        <v>20</v>
      </c>
      <c r="K82" s="169" t="s">
        <v>87</v>
      </c>
      <c r="M82" s="41" t="s">
        <v>5</v>
      </c>
    </row>
    <row r="83" spans="2:13" ht="12.75" customHeight="1" x14ac:dyDescent="0.25">
      <c r="B83" s="405"/>
      <c r="C83" s="406"/>
      <c r="D83" s="406"/>
      <c r="E83" s="406"/>
      <c r="F83" s="407"/>
      <c r="G83" s="42"/>
      <c r="H83" s="43"/>
      <c r="I83" s="44"/>
      <c r="J83" s="43"/>
      <c r="K83" s="43"/>
      <c r="M83" s="408" t="s">
        <v>212</v>
      </c>
    </row>
    <row r="84" spans="2:13" x14ac:dyDescent="0.25">
      <c r="B84" s="411" t="s">
        <v>137</v>
      </c>
      <c r="C84" s="412"/>
      <c r="D84" s="412"/>
      <c r="E84" s="412"/>
      <c r="F84" s="413"/>
      <c r="G84" s="385"/>
      <c r="H84" s="386"/>
      <c r="I84" s="387"/>
      <c r="J84" s="386"/>
      <c r="K84" s="386"/>
      <c r="M84" s="409"/>
    </row>
    <row r="85" spans="2:13" x14ac:dyDescent="0.2">
      <c r="B85" s="249" t="s">
        <v>9</v>
      </c>
      <c r="C85" s="244"/>
      <c r="D85" s="244"/>
      <c r="E85" s="244"/>
      <c r="F85" s="245"/>
      <c r="G85" s="45">
        <v>57</v>
      </c>
      <c r="H85" s="46">
        <v>49</v>
      </c>
      <c r="I85" s="47">
        <v>47</v>
      </c>
      <c r="J85" s="46">
        <v>63</v>
      </c>
      <c r="K85" s="46">
        <v>63</v>
      </c>
      <c r="M85" s="409"/>
    </row>
    <row r="86" spans="2:13" x14ac:dyDescent="0.2">
      <c r="B86" s="249" t="s">
        <v>10</v>
      </c>
      <c r="C86" s="244"/>
      <c r="D86" s="244"/>
      <c r="E86" s="244"/>
      <c r="F86" s="245"/>
      <c r="G86" s="45">
        <v>48</v>
      </c>
      <c r="H86" s="46">
        <v>25</v>
      </c>
      <c r="I86" s="47">
        <v>53</v>
      </c>
      <c r="J86" s="46">
        <v>43</v>
      </c>
      <c r="K86" s="46">
        <v>43</v>
      </c>
      <c r="M86" s="409"/>
    </row>
    <row r="87" spans="2:13" x14ac:dyDescent="0.2">
      <c r="B87" s="249" t="s">
        <v>11</v>
      </c>
      <c r="C87" s="244"/>
      <c r="D87" s="244"/>
      <c r="E87" s="244"/>
      <c r="F87" s="245"/>
      <c r="G87" s="45">
        <v>82</v>
      </c>
      <c r="H87" s="46">
        <v>86</v>
      </c>
      <c r="I87" s="47">
        <v>101</v>
      </c>
      <c r="J87" s="46">
        <v>97</v>
      </c>
      <c r="K87" s="46">
        <v>93</v>
      </c>
      <c r="M87" s="409"/>
    </row>
    <row r="88" spans="2:13" x14ac:dyDescent="0.2">
      <c r="B88" s="249" t="s">
        <v>13</v>
      </c>
      <c r="C88" s="244"/>
      <c r="D88" s="244"/>
      <c r="E88" s="244"/>
      <c r="F88" s="245"/>
      <c r="G88" s="45">
        <v>34</v>
      </c>
      <c r="H88" s="46">
        <v>72</v>
      </c>
      <c r="I88" s="47">
        <v>100</v>
      </c>
      <c r="J88" s="46">
        <v>75</v>
      </c>
      <c r="K88" s="46">
        <v>70</v>
      </c>
      <c r="M88" s="409"/>
    </row>
    <row r="89" spans="2:13" x14ac:dyDescent="0.2">
      <c r="B89" s="249" t="s">
        <v>145</v>
      </c>
      <c r="C89" s="244"/>
      <c r="D89" s="244"/>
      <c r="E89" s="244"/>
      <c r="F89" s="245"/>
      <c r="G89" s="45">
        <v>4</v>
      </c>
      <c r="H89" s="46">
        <v>0</v>
      </c>
      <c r="I89" s="47">
        <v>0</v>
      </c>
      <c r="J89" s="46">
        <v>20</v>
      </c>
      <c r="K89" s="46">
        <v>20</v>
      </c>
      <c r="M89" s="409"/>
    </row>
    <row r="90" spans="2:13" x14ac:dyDescent="0.2">
      <c r="B90" s="249" t="s">
        <v>146</v>
      </c>
      <c r="C90" s="244"/>
      <c r="D90" s="244"/>
      <c r="E90" s="244"/>
      <c r="F90" s="245"/>
      <c r="G90" s="45">
        <v>1</v>
      </c>
      <c r="H90" s="46">
        <v>0</v>
      </c>
      <c r="I90" s="47">
        <v>0</v>
      </c>
      <c r="J90" s="46">
        <v>6</v>
      </c>
      <c r="K90" s="46">
        <v>7</v>
      </c>
      <c r="M90" s="409"/>
    </row>
    <row r="91" spans="2:13" x14ac:dyDescent="0.2">
      <c r="B91" s="249" t="s">
        <v>147</v>
      </c>
      <c r="C91" s="244"/>
      <c r="D91" s="244"/>
      <c r="E91" s="244"/>
      <c r="F91" s="245"/>
      <c r="G91" s="45">
        <v>4</v>
      </c>
      <c r="H91" s="46">
        <v>0</v>
      </c>
      <c r="I91" s="47">
        <v>0</v>
      </c>
      <c r="J91" s="46">
        <v>1</v>
      </c>
      <c r="K91" s="46">
        <v>1</v>
      </c>
      <c r="M91" s="409"/>
    </row>
    <row r="92" spans="2:13" x14ac:dyDescent="0.2">
      <c r="B92" s="249" t="s">
        <v>148</v>
      </c>
      <c r="C92" s="244"/>
      <c r="D92" s="244"/>
      <c r="E92" s="244"/>
      <c r="F92" s="245"/>
      <c r="G92" s="45"/>
      <c r="H92" s="46">
        <v>0</v>
      </c>
      <c r="I92" s="47">
        <v>0</v>
      </c>
      <c r="J92" s="46">
        <v>0</v>
      </c>
      <c r="K92" s="46">
        <v>0</v>
      </c>
      <c r="M92" s="409"/>
    </row>
    <row r="93" spans="2:13" x14ac:dyDescent="0.2">
      <c r="B93" s="249" t="s">
        <v>149</v>
      </c>
      <c r="C93" s="244"/>
      <c r="D93" s="244"/>
      <c r="E93" s="244"/>
      <c r="F93" s="245"/>
      <c r="G93" s="45">
        <v>11</v>
      </c>
      <c r="H93" s="46">
        <v>14</v>
      </c>
      <c r="I93" s="47">
        <v>18</v>
      </c>
      <c r="J93" s="46">
        <v>3</v>
      </c>
      <c r="K93" s="46">
        <v>3</v>
      </c>
      <c r="M93" s="409"/>
    </row>
    <row r="94" spans="2:13" x14ac:dyDescent="0.2">
      <c r="B94" s="249" t="s">
        <v>150</v>
      </c>
      <c r="C94" s="244"/>
      <c r="D94" s="244"/>
      <c r="E94" s="244"/>
      <c r="F94" s="245"/>
      <c r="G94" s="45">
        <v>3</v>
      </c>
      <c r="H94" s="46">
        <v>5</v>
      </c>
      <c r="I94" s="47">
        <v>8</v>
      </c>
      <c r="J94" s="46">
        <v>2</v>
      </c>
      <c r="K94" s="46">
        <v>2</v>
      </c>
      <c r="M94" s="409"/>
    </row>
    <row r="95" spans="2:13" x14ac:dyDescent="0.2">
      <c r="B95" s="249" t="s">
        <v>151</v>
      </c>
      <c r="C95" s="244"/>
      <c r="D95" s="244"/>
      <c r="E95" s="244"/>
      <c r="F95" s="245"/>
      <c r="G95" s="45"/>
      <c r="H95" s="46">
        <v>7</v>
      </c>
      <c r="I95" s="47">
        <v>14</v>
      </c>
      <c r="J95" s="46"/>
      <c r="K95" s="46">
        <v>0</v>
      </c>
      <c r="M95" s="409"/>
    </row>
    <row r="96" spans="2:13" x14ac:dyDescent="0.2">
      <c r="B96" s="249" t="s">
        <v>152</v>
      </c>
      <c r="C96" s="244"/>
      <c r="D96" s="244"/>
      <c r="E96" s="244"/>
      <c r="F96" s="245"/>
      <c r="G96" s="45">
        <v>17</v>
      </c>
      <c r="H96" s="46">
        <v>0</v>
      </c>
      <c r="I96" s="47">
        <v>0</v>
      </c>
      <c r="J96" s="46">
        <v>14</v>
      </c>
      <c r="K96" s="46">
        <v>15</v>
      </c>
      <c r="M96" s="409"/>
    </row>
    <row r="97" spans="2:13" x14ac:dyDescent="0.2">
      <c r="B97" s="249" t="s">
        <v>153</v>
      </c>
      <c r="C97" s="244"/>
      <c r="D97" s="244"/>
      <c r="E97" s="244"/>
      <c r="F97" s="245"/>
      <c r="G97" s="45">
        <v>1</v>
      </c>
      <c r="H97" s="46">
        <v>0</v>
      </c>
      <c r="I97" s="47">
        <v>0</v>
      </c>
      <c r="J97" s="46">
        <v>4</v>
      </c>
      <c r="K97" s="46">
        <v>4</v>
      </c>
      <c r="M97" s="409"/>
    </row>
    <row r="98" spans="2:13" x14ac:dyDescent="0.2">
      <c r="B98" s="249" t="s">
        <v>154</v>
      </c>
      <c r="C98" s="244"/>
      <c r="D98" s="244"/>
      <c r="E98" s="244"/>
      <c r="F98" s="245"/>
      <c r="G98" s="45">
        <v>0</v>
      </c>
      <c r="H98" s="46">
        <v>0</v>
      </c>
      <c r="I98" s="47">
        <v>0</v>
      </c>
      <c r="J98" s="46"/>
      <c r="K98" s="46">
        <v>0</v>
      </c>
      <c r="M98" s="409"/>
    </row>
    <row r="99" spans="2:13" x14ac:dyDescent="0.2">
      <c r="B99" s="249" t="s">
        <v>155</v>
      </c>
      <c r="C99" s="244"/>
      <c r="D99" s="244"/>
      <c r="E99" s="244"/>
      <c r="F99" s="245"/>
      <c r="G99" s="45">
        <v>1</v>
      </c>
      <c r="H99" s="46">
        <v>12</v>
      </c>
      <c r="I99" s="47">
        <v>4</v>
      </c>
      <c r="J99" s="46">
        <v>9</v>
      </c>
      <c r="K99" s="46">
        <v>9</v>
      </c>
      <c r="M99" s="409"/>
    </row>
    <row r="100" spans="2:13" x14ac:dyDescent="0.2">
      <c r="B100" s="249" t="s">
        <v>156</v>
      </c>
      <c r="C100" s="244"/>
      <c r="D100" s="244"/>
      <c r="E100" s="244"/>
      <c r="F100" s="245"/>
      <c r="G100" s="45"/>
      <c r="H100" s="46">
        <v>0</v>
      </c>
      <c r="I100" s="47">
        <v>3</v>
      </c>
      <c r="J100" s="46"/>
      <c r="K100" s="46">
        <v>0</v>
      </c>
      <c r="M100" s="409"/>
    </row>
    <row r="101" spans="2:13" x14ac:dyDescent="0.2">
      <c r="B101" s="249" t="s">
        <v>157</v>
      </c>
      <c r="C101" s="244"/>
      <c r="D101" s="244"/>
      <c r="E101" s="244"/>
      <c r="F101" s="245"/>
      <c r="G101" s="45"/>
      <c r="H101" s="46">
        <v>0</v>
      </c>
      <c r="I101" s="47">
        <v>4</v>
      </c>
      <c r="J101" s="46"/>
      <c r="K101" s="46">
        <v>0</v>
      </c>
      <c r="M101" s="409"/>
    </row>
    <row r="102" spans="2:13" x14ac:dyDescent="0.2">
      <c r="B102" s="249"/>
      <c r="C102" s="244"/>
      <c r="D102" s="244"/>
      <c r="E102" s="244"/>
      <c r="F102" s="245"/>
      <c r="G102" s="45"/>
      <c r="H102" s="46"/>
      <c r="I102" s="47"/>
      <c r="J102" s="46"/>
      <c r="K102" s="46"/>
      <c r="M102" s="409"/>
    </row>
    <row r="103" spans="2:13" x14ac:dyDescent="0.2">
      <c r="B103" s="249" t="s">
        <v>117</v>
      </c>
      <c r="C103" s="244"/>
      <c r="D103" s="244"/>
      <c r="E103" s="244"/>
      <c r="F103" s="245"/>
      <c r="G103" s="45">
        <v>73</v>
      </c>
      <c r="H103" s="46">
        <v>81</v>
      </c>
      <c r="I103" s="47">
        <v>73</v>
      </c>
      <c r="J103" s="46">
        <v>61</v>
      </c>
      <c r="K103" s="46">
        <v>58</v>
      </c>
      <c r="M103" s="409"/>
    </row>
    <row r="104" spans="2:13" x14ac:dyDescent="0.2">
      <c r="B104" s="249" t="s">
        <v>118</v>
      </c>
      <c r="C104" s="244"/>
      <c r="D104" s="244"/>
      <c r="E104" s="244"/>
      <c r="F104" s="245"/>
      <c r="G104" s="45">
        <v>209</v>
      </c>
      <c r="H104" s="46">
        <v>90</v>
      </c>
      <c r="I104" s="47">
        <v>73</v>
      </c>
      <c r="J104" s="46">
        <v>69</v>
      </c>
      <c r="K104" s="46">
        <v>69</v>
      </c>
      <c r="M104" s="409"/>
    </row>
    <row r="105" spans="2:13" x14ac:dyDescent="0.2">
      <c r="B105" s="249" t="s">
        <v>119</v>
      </c>
      <c r="C105" s="244"/>
      <c r="D105" s="244"/>
      <c r="E105" s="244"/>
      <c r="F105" s="245"/>
      <c r="G105" s="45">
        <v>54</v>
      </c>
      <c r="H105" s="46">
        <v>55</v>
      </c>
      <c r="I105" s="47">
        <v>50</v>
      </c>
      <c r="J105" s="46">
        <v>63</v>
      </c>
      <c r="K105" s="46">
        <v>61</v>
      </c>
      <c r="M105" s="409"/>
    </row>
    <row r="106" spans="2:13" x14ac:dyDescent="0.2">
      <c r="B106" s="249" t="s">
        <v>120</v>
      </c>
      <c r="C106" s="244"/>
      <c r="D106" s="244"/>
      <c r="E106" s="244"/>
      <c r="F106" s="245"/>
      <c r="G106" s="45">
        <v>2</v>
      </c>
      <c r="H106" s="46">
        <v>8</v>
      </c>
      <c r="I106" s="47">
        <v>4</v>
      </c>
      <c r="J106" s="46">
        <v>9</v>
      </c>
      <c r="K106" s="46">
        <v>10</v>
      </c>
      <c r="M106" s="409"/>
    </row>
    <row r="107" spans="2:13" x14ac:dyDescent="0.2">
      <c r="B107" s="249" t="s">
        <v>121</v>
      </c>
      <c r="C107" s="244"/>
      <c r="D107" s="244"/>
      <c r="E107" s="244"/>
      <c r="F107" s="245"/>
      <c r="G107" s="45">
        <v>0</v>
      </c>
      <c r="H107" s="46">
        <v>2</v>
      </c>
      <c r="I107" s="47">
        <v>1</v>
      </c>
      <c r="J107" s="46">
        <v>1</v>
      </c>
      <c r="K107" s="46">
        <v>1</v>
      </c>
      <c r="M107" s="409"/>
    </row>
    <row r="108" spans="2:13" x14ac:dyDescent="0.2">
      <c r="B108" s="249" t="s">
        <v>122</v>
      </c>
      <c r="C108" s="244"/>
      <c r="D108" s="244"/>
      <c r="E108" s="244"/>
      <c r="F108" s="245"/>
      <c r="G108" s="45">
        <v>7</v>
      </c>
      <c r="H108" s="46">
        <v>6</v>
      </c>
      <c r="I108" s="47">
        <v>7</v>
      </c>
      <c r="J108" s="46">
        <v>2</v>
      </c>
      <c r="K108" s="46">
        <v>2</v>
      </c>
      <c r="M108" s="409"/>
    </row>
    <row r="109" spans="2:13" x14ac:dyDescent="0.2">
      <c r="B109" s="249" t="s">
        <v>123</v>
      </c>
      <c r="C109" s="244"/>
      <c r="D109" s="244"/>
      <c r="E109" s="244"/>
      <c r="F109" s="245"/>
      <c r="G109" s="45">
        <v>82</v>
      </c>
      <c r="H109" s="46">
        <v>51</v>
      </c>
      <c r="I109" s="47">
        <v>46</v>
      </c>
      <c r="J109" s="46">
        <v>48</v>
      </c>
      <c r="K109" s="46">
        <v>49</v>
      </c>
      <c r="M109" s="409"/>
    </row>
    <row r="110" spans="2:13" x14ac:dyDescent="0.2">
      <c r="B110" s="249" t="s">
        <v>124</v>
      </c>
      <c r="C110" s="244"/>
      <c r="D110" s="244"/>
      <c r="E110" s="244"/>
      <c r="F110" s="245"/>
      <c r="G110" s="45">
        <v>33</v>
      </c>
      <c r="H110" s="46">
        <v>17</v>
      </c>
      <c r="I110" s="47">
        <v>20</v>
      </c>
      <c r="J110" s="46">
        <v>19</v>
      </c>
      <c r="K110" s="46">
        <v>19</v>
      </c>
      <c r="M110" s="409"/>
    </row>
    <row r="111" spans="2:13" x14ac:dyDescent="0.2">
      <c r="B111" s="249" t="s">
        <v>125</v>
      </c>
      <c r="C111" s="244"/>
      <c r="D111" s="244"/>
      <c r="E111" s="244"/>
      <c r="F111" s="245"/>
      <c r="G111" s="45">
        <v>16</v>
      </c>
      <c r="H111" s="46">
        <v>12</v>
      </c>
      <c r="I111" s="47">
        <v>15</v>
      </c>
      <c r="J111" s="46">
        <v>13</v>
      </c>
      <c r="K111" s="46">
        <v>14</v>
      </c>
      <c r="M111" s="409"/>
    </row>
    <row r="112" spans="2:13" x14ac:dyDescent="0.2">
      <c r="B112" s="249" t="s">
        <v>158</v>
      </c>
      <c r="C112" s="244"/>
      <c r="D112" s="244"/>
      <c r="E112" s="244"/>
      <c r="F112" s="245"/>
      <c r="G112" s="45">
        <v>34</v>
      </c>
      <c r="H112" s="46">
        <v>22</v>
      </c>
      <c r="I112" s="47">
        <v>39</v>
      </c>
      <c r="J112" s="46">
        <v>37</v>
      </c>
      <c r="K112" s="46">
        <v>35</v>
      </c>
      <c r="M112" s="409"/>
    </row>
    <row r="113" spans="2:13" x14ac:dyDescent="0.2">
      <c r="B113" s="249" t="s">
        <v>159</v>
      </c>
      <c r="C113" s="244"/>
      <c r="D113" s="244"/>
      <c r="E113" s="244"/>
      <c r="F113" s="245"/>
      <c r="G113" s="45">
        <v>55</v>
      </c>
      <c r="H113" s="46">
        <v>38</v>
      </c>
      <c r="I113" s="47">
        <v>46</v>
      </c>
      <c r="J113" s="46">
        <v>40</v>
      </c>
      <c r="K113" s="46">
        <v>38</v>
      </c>
      <c r="M113" s="409"/>
    </row>
    <row r="114" spans="2:13" x14ac:dyDescent="0.2">
      <c r="B114" s="249" t="s">
        <v>160</v>
      </c>
      <c r="C114" s="244"/>
      <c r="D114" s="244"/>
      <c r="E114" s="244"/>
      <c r="F114" s="245"/>
      <c r="G114" s="45">
        <v>2</v>
      </c>
      <c r="H114" s="46">
        <v>7</v>
      </c>
      <c r="I114" s="47">
        <v>13</v>
      </c>
      <c r="J114" s="46">
        <v>1</v>
      </c>
      <c r="K114" s="46">
        <v>1</v>
      </c>
      <c r="M114" s="409"/>
    </row>
    <row r="115" spans="2:13" x14ac:dyDescent="0.2">
      <c r="B115" s="249" t="s">
        <v>161</v>
      </c>
      <c r="C115" s="244"/>
      <c r="D115" s="244"/>
      <c r="E115" s="244"/>
      <c r="F115" s="245"/>
      <c r="G115" s="45"/>
      <c r="H115" s="46">
        <v>6</v>
      </c>
      <c r="I115" s="47">
        <v>2</v>
      </c>
      <c r="J115" s="46">
        <v>2</v>
      </c>
      <c r="K115" s="46">
        <v>2</v>
      </c>
      <c r="M115" s="409"/>
    </row>
    <row r="116" spans="2:13" x14ac:dyDescent="0.2">
      <c r="B116" s="249" t="s">
        <v>162</v>
      </c>
      <c r="C116" s="244"/>
      <c r="D116" s="244"/>
      <c r="E116" s="244"/>
      <c r="F116" s="245"/>
      <c r="G116" s="45"/>
      <c r="H116" s="46">
        <v>0</v>
      </c>
      <c r="I116" s="47">
        <v>0</v>
      </c>
      <c r="J116" s="46"/>
      <c r="K116" s="46">
        <v>0</v>
      </c>
      <c r="M116" s="409"/>
    </row>
    <row r="117" spans="2:13" x14ac:dyDescent="0.2">
      <c r="B117" s="249"/>
      <c r="C117" s="244"/>
      <c r="D117" s="244"/>
      <c r="E117" s="244"/>
      <c r="F117" s="245"/>
      <c r="G117" s="45"/>
      <c r="H117" s="46"/>
      <c r="I117" s="47"/>
      <c r="J117" s="46"/>
      <c r="K117" s="46"/>
      <c r="M117" s="409"/>
    </row>
    <row r="118" spans="2:13" x14ac:dyDescent="0.2">
      <c r="B118" s="249" t="s">
        <v>126</v>
      </c>
      <c r="C118" s="244"/>
      <c r="D118" s="244"/>
      <c r="E118" s="244"/>
      <c r="F118" s="245"/>
      <c r="G118" s="45">
        <v>101</v>
      </c>
      <c r="H118" s="46">
        <v>109</v>
      </c>
      <c r="I118" s="47">
        <v>128</v>
      </c>
      <c r="J118" s="46">
        <v>173</v>
      </c>
      <c r="K118" s="46">
        <v>172</v>
      </c>
      <c r="M118" s="409"/>
    </row>
    <row r="119" spans="2:13" x14ac:dyDescent="0.2">
      <c r="B119" s="249" t="s">
        <v>127</v>
      </c>
      <c r="C119" s="244"/>
      <c r="D119" s="244"/>
      <c r="E119" s="244"/>
      <c r="F119" s="245"/>
      <c r="G119" s="45">
        <v>30</v>
      </c>
      <c r="H119" s="46">
        <v>17</v>
      </c>
      <c r="I119" s="47">
        <v>14</v>
      </c>
      <c r="J119" s="46">
        <v>15</v>
      </c>
      <c r="K119" s="46">
        <v>16</v>
      </c>
      <c r="M119" s="409"/>
    </row>
    <row r="120" spans="2:13" x14ac:dyDescent="0.2">
      <c r="B120" s="249" t="s">
        <v>128</v>
      </c>
      <c r="C120" s="244"/>
      <c r="D120" s="244"/>
      <c r="E120" s="244"/>
      <c r="F120" s="245"/>
      <c r="G120" s="45">
        <v>42</v>
      </c>
      <c r="H120" s="46">
        <v>33</v>
      </c>
      <c r="I120" s="47">
        <v>56</v>
      </c>
      <c r="J120" s="46">
        <v>53</v>
      </c>
      <c r="K120" s="46">
        <v>48</v>
      </c>
      <c r="M120" s="409"/>
    </row>
    <row r="121" spans="2:13" x14ac:dyDescent="0.2">
      <c r="B121" s="249" t="s">
        <v>129</v>
      </c>
      <c r="C121" s="244"/>
      <c r="D121" s="244"/>
      <c r="E121" s="244"/>
      <c r="F121" s="245"/>
      <c r="G121" s="45">
        <v>11</v>
      </c>
      <c r="H121" s="46">
        <v>6</v>
      </c>
      <c r="I121" s="47">
        <v>13</v>
      </c>
      <c r="J121" s="46">
        <v>6</v>
      </c>
      <c r="K121" s="46">
        <v>7</v>
      </c>
      <c r="M121" s="409"/>
    </row>
    <row r="122" spans="2:13" x14ac:dyDescent="0.2">
      <c r="B122" s="250"/>
      <c r="C122" s="251"/>
      <c r="D122" s="251"/>
      <c r="E122" s="251"/>
      <c r="F122" s="252"/>
      <c r="G122" s="253">
        <f>SUM(G85:G121)</f>
        <v>1014</v>
      </c>
      <c r="H122" s="253">
        <f t="shared" ref="H122:K122" si="14">SUM(H85:H121)</f>
        <v>830</v>
      </c>
      <c r="I122" s="253">
        <f t="shared" si="14"/>
        <v>952</v>
      </c>
      <c r="J122" s="253">
        <f t="shared" si="14"/>
        <v>949</v>
      </c>
      <c r="K122" s="253">
        <f t="shared" si="14"/>
        <v>932</v>
      </c>
      <c r="M122" s="409"/>
    </row>
    <row r="123" spans="2:13" x14ac:dyDescent="0.2">
      <c r="B123" s="243"/>
      <c r="C123" s="244"/>
      <c r="D123" s="244"/>
      <c r="E123" s="244"/>
      <c r="F123" s="245"/>
      <c r="G123" s="45"/>
      <c r="H123" s="46"/>
      <c r="I123" s="47"/>
      <c r="J123" s="46"/>
      <c r="K123" s="46"/>
      <c r="M123" s="409"/>
    </row>
    <row r="124" spans="2:13" x14ac:dyDescent="0.25">
      <c r="B124" s="411" t="s">
        <v>211</v>
      </c>
      <c r="C124" s="412"/>
      <c r="D124" s="412"/>
      <c r="E124" s="412"/>
      <c r="F124" s="413"/>
      <c r="G124" s="385"/>
      <c r="H124" s="386"/>
      <c r="I124" s="387"/>
      <c r="J124" s="386"/>
      <c r="K124" s="386"/>
      <c r="M124" s="409"/>
    </row>
    <row r="125" spans="2:13" x14ac:dyDescent="0.2">
      <c r="B125" s="243" t="s">
        <v>12</v>
      </c>
      <c r="C125" s="244"/>
      <c r="D125" s="244"/>
      <c r="E125" s="244"/>
      <c r="F125" s="245"/>
      <c r="G125" s="45">
        <v>7</v>
      </c>
      <c r="H125" s="46">
        <v>7</v>
      </c>
      <c r="I125" s="47">
        <v>3</v>
      </c>
      <c r="J125" s="46">
        <v>3</v>
      </c>
      <c r="K125" s="46">
        <v>3</v>
      </c>
      <c r="M125" s="409"/>
    </row>
    <row r="126" spans="2:13" x14ac:dyDescent="0.2">
      <c r="B126" s="243" t="s">
        <v>116</v>
      </c>
      <c r="C126" s="244"/>
      <c r="D126" s="244"/>
      <c r="E126" s="244"/>
      <c r="F126" s="245"/>
      <c r="G126" s="45">
        <v>6</v>
      </c>
      <c r="H126" s="46">
        <v>7</v>
      </c>
      <c r="I126" s="47">
        <v>7</v>
      </c>
      <c r="J126" s="46">
        <v>2</v>
      </c>
      <c r="K126" s="46">
        <v>2</v>
      </c>
      <c r="M126" s="409"/>
    </row>
    <row r="127" spans="2:13" x14ac:dyDescent="0.2">
      <c r="B127" s="243" t="s">
        <v>164</v>
      </c>
      <c r="C127" s="244"/>
      <c r="D127" s="244"/>
      <c r="E127" s="244"/>
      <c r="F127" s="245"/>
      <c r="G127" s="45">
        <v>71</v>
      </c>
      <c r="H127" s="46">
        <v>68</v>
      </c>
      <c r="I127" s="47">
        <v>77</v>
      </c>
      <c r="J127" s="46">
        <v>102</v>
      </c>
      <c r="K127" s="46">
        <v>101</v>
      </c>
      <c r="M127" s="409"/>
    </row>
    <row r="128" spans="2:13" x14ac:dyDescent="0.2">
      <c r="B128" s="243" t="s">
        <v>165</v>
      </c>
      <c r="C128" s="244"/>
      <c r="D128" s="244"/>
      <c r="E128" s="244"/>
      <c r="F128" s="245"/>
      <c r="G128" s="45"/>
      <c r="H128" s="46"/>
      <c r="I128" s="47"/>
      <c r="J128" s="46"/>
      <c r="K128" s="46"/>
      <c r="M128" s="409"/>
    </row>
    <row r="129" spans="2:13" x14ac:dyDescent="0.2">
      <c r="B129" s="243" t="s">
        <v>166</v>
      </c>
      <c r="C129" s="244"/>
      <c r="D129" s="244"/>
      <c r="E129" s="244"/>
      <c r="F129" s="245"/>
      <c r="G129" s="45">
        <v>75</v>
      </c>
      <c r="H129" s="46">
        <v>89</v>
      </c>
      <c r="I129" s="47">
        <v>54</v>
      </c>
      <c r="J129" s="46">
        <v>56</v>
      </c>
      <c r="K129" s="46">
        <v>55</v>
      </c>
      <c r="M129" s="409"/>
    </row>
    <row r="130" spans="2:13" x14ac:dyDescent="0.2">
      <c r="B130" s="243" t="s">
        <v>167</v>
      </c>
      <c r="C130" s="244"/>
      <c r="D130" s="244"/>
      <c r="E130" s="244"/>
      <c r="F130" s="245"/>
      <c r="G130" s="45">
        <v>21</v>
      </c>
      <c r="H130" s="46">
        <v>14</v>
      </c>
      <c r="I130" s="47">
        <v>14</v>
      </c>
      <c r="J130" s="46">
        <v>13</v>
      </c>
      <c r="K130" s="46">
        <v>13</v>
      </c>
      <c r="M130" s="409"/>
    </row>
    <row r="131" spans="2:13" x14ac:dyDescent="0.2">
      <c r="B131" s="243" t="s">
        <v>168</v>
      </c>
      <c r="C131" s="244"/>
      <c r="D131" s="244"/>
      <c r="E131" s="244"/>
      <c r="F131" s="245"/>
      <c r="G131" s="45">
        <v>20</v>
      </c>
      <c r="H131" s="46">
        <v>19</v>
      </c>
      <c r="I131" s="47">
        <v>17</v>
      </c>
      <c r="J131" s="46">
        <v>20</v>
      </c>
      <c r="K131" s="46">
        <v>20</v>
      </c>
      <c r="M131" s="409"/>
    </row>
    <row r="132" spans="2:13" x14ac:dyDescent="0.2">
      <c r="B132" s="243" t="s">
        <v>165</v>
      </c>
      <c r="C132" s="244"/>
      <c r="D132" s="244"/>
      <c r="E132" s="244"/>
      <c r="F132" s="245"/>
      <c r="G132" s="45"/>
      <c r="H132" s="46"/>
      <c r="I132" s="47"/>
      <c r="J132" s="46"/>
      <c r="K132" s="46"/>
      <c r="M132" s="409"/>
    </row>
    <row r="133" spans="2:13" x14ac:dyDescent="0.2">
      <c r="B133" s="243" t="s">
        <v>126</v>
      </c>
      <c r="C133" s="244"/>
      <c r="D133" s="244"/>
      <c r="E133" s="244"/>
      <c r="F133" s="245"/>
      <c r="G133" s="45">
        <v>35</v>
      </c>
      <c r="H133" s="46">
        <v>29</v>
      </c>
      <c r="I133" s="47">
        <v>37</v>
      </c>
      <c r="J133" s="46">
        <v>52</v>
      </c>
      <c r="K133" s="46">
        <v>50</v>
      </c>
      <c r="M133" s="409"/>
    </row>
    <row r="134" spans="2:13" x14ac:dyDescent="0.2">
      <c r="B134" s="243" t="s">
        <v>127</v>
      </c>
      <c r="C134" s="244"/>
      <c r="D134" s="244"/>
      <c r="E134" s="244"/>
      <c r="F134" s="245"/>
      <c r="G134" s="45">
        <v>3</v>
      </c>
      <c r="H134" s="46">
        <v>1</v>
      </c>
      <c r="I134" s="47">
        <v>2</v>
      </c>
      <c r="J134" s="46">
        <v>3</v>
      </c>
      <c r="K134" s="46">
        <v>3</v>
      </c>
      <c r="M134" s="409"/>
    </row>
    <row r="135" spans="2:13" x14ac:dyDescent="0.2">
      <c r="B135" s="243" t="s">
        <v>128</v>
      </c>
      <c r="C135" s="244"/>
      <c r="D135" s="244"/>
      <c r="E135" s="244"/>
      <c r="F135" s="245"/>
      <c r="G135" s="45">
        <v>17</v>
      </c>
      <c r="H135" s="46">
        <v>14</v>
      </c>
      <c r="I135" s="47">
        <v>22</v>
      </c>
      <c r="J135" s="46">
        <v>15</v>
      </c>
      <c r="K135" s="46">
        <v>16</v>
      </c>
      <c r="M135" s="409"/>
    </row>
    <row r="136" spans="2:13" x14ac:dyDescent="0.2">
      <c r="B136" s="243" t="s">
        <v>129</v>
      </c>
      <c r="C136" s="244"/>
      <c r="D136" s="244"/>
      <c r="E136" s="244"/>
      <c r="F136" s="245"/>
      <c r="G136" s="45">
        <v>5</v>
      </c>
      <c r="H136" s="46">
        <v>4</v>
      </c>
      <c r="I136" s="47">
        <v>1</v>
      </c>
      <c r="J136" s="46">
        <v>4</v>
      </c>
      <c r="K136" s="46">
        <v>4</v>
      </c>
      <c r="M136" s="409"/>
    </row>
    <row r="137" spans="2:13" x14ac:dyDescent="0.2">
      <c r="B137" s="250"/>
      <c r="C137" s="251"/>
      <c r="D137" s="251"/>
      <c r="E137" s="251"/>
      <c r="F137" s="252"/>
      <c r="G137" s="253">
        <f>SUM(G125:G136)</f>
        <v>260</v>
      </c>
      <c r="H137" s="253">
        <f t="shared" ref="H137:K137" si="15">SUM(H125:H136)</f>
        <v>252</v>
      </c>
      <c r="I137" s="253">
        <f t="shared" si="15"/>
        <v>234</v>
      </c>
      <c r="J137" s="253">
        <f t="shared" si="15"/>
        <v>270</v>
      </c>
      <c r="K137" s="253">
        <f t="shared" si="15"/>
        <v>267</v>
      </c>
      <c r="M137" s="409"/>
    </row>
    <row r="138" spans="2:13" x14ac:dyDescent="0.2">
      <c r="B138" s="246"/>
      <c r="C138" s="247"/>
      <c r="D138" s="247"/>
      <c r="E138" s="247"/>
      <c r="F138" s="248"/>
      <c r="G138" s="254"/>
      <c r="H138" s="255"/>
      <c r="I138" s="48"/>
      <c r="J138" s="255"/>
      <c r="K138" s="255"/>
      <c r="M138" s="410"/>
    </row>
    <row r="139" spans="2:13" ht="13.5" thickBot="1" x14ac:dyDescent="0.3">
      <c r="G139" s="49">
        <f>+G137+G122</f>
        <v>1274</v>
      </c>
      <c r="H139" s="49">
        <f>+H137+H122</f>
        <v>1082</v>
      </c>
      <c r="I139" s="49">
        <f>+I137+I122</f>
        <v>1186</v>
      </c>
      <c r="J139" s="49">
        <f>+J137+J122</f>
        <v>1219</v>
      </c>
      <c r="K139" s="49">
        <f>+K137+K122</f>
        <v>1199</v>
      </c>
    </row>
    <row r="140" spans="2:13" x14ac:dyDescent="0.25"/>
    <row r="141" spans="2:13" ht="15.75" x14ac:dyDescent="0.25">
      <c r="B141" s="33" t="s">
        <v>130</v>
      </c>
      <c r="C141" s="34"/>
      <c r="D141" s="34"/>
      <c r="E141" s="34"/>
      <c r="F141" s="34"/>
      <c r="G141" s="35"/>
      <c r="H141" s="35"/>
      <c r="I141" s="35"/>
      <c r="J141" s="35"/>
      <c r="K141" s="34"/>
      <c r="M141" s="36"/>
    </row>
    <row r="142" spans="2:13" x14ac:dyDescent="0.25"/>
    <row r="143" spans="2:13" ht="25.5" x14ac:dyDescent="0.25">
      <c r="B143" s="74" t="s">
        <v>48</v>
      </c>
      <c r="C143" s="75" t="s">
        <v>49</v>
      </c>
      <c r="D143" s="76"/>
      <c r="E143" s="77" t="s">
        <v>50</v>
      </c>
      <c r="F143" s="78"/>
      <c r="G143" s="78"/>
      <c r="H143" s="79" t="s">
        <v>51</v>
      </c>
      <c r="J143" s="27"/>
      <c r="M143" s="41" t="s">
        <v>5</v>
      </c>
    </row>
    <row r="144" spans="2:13" x14ac:dyDescent="0.25">
      <c r="B144" s="516"/>
      <c r="C144" s="517"/>
      <c r="D144" s="518"/>
      <c r="E144" s="256" t="s">
        <v>169</v>
      </c>
      <c r="F144" s="257"/>
      <c r="G144" s="44"/>
      <c r="H144" s="258">
        <v>98.103995999999995</v>
      </c>
      <c r="J144" s="27"/>
      <c r="M144" s="408" t="s">
        <v>131</v>
      </c>
    </row>
    <row r="145" spans="2:13" x14ac:dyDescent="0.25">
      <c r="B145" s="519"/>
      <c r="C145" s="520"/>
      <c r="D145" s="521"/>
      <c r="E145" s="83"/>
      <c r="F145" s="84"/>
      <c r="G145" s="48"/>
      <c r="H145" s="85"/>
      <c r="J145" s="27"/>
      <c r="M145" s="409"/>
    </row>
    <row r="146" spans="2:13" x14ac:dyDescent="0.25">
      <c r="B146" s="522"/>
      <c r="C146" s="523"/>
      <c r="D146" s="524"/>
      <c r="E146" s="80" t="s">
        <v>170</v>
      </c>
      <c r="F146" s="81"/>
      <c r="G146" s="47"/>
      <c r="H146" s="82">
        <v>118.60837280000001</v>
      </c>
      <c r="J146" s="27"/>
      <c r="M146" s="409"/>
    </row>
    <row r="147" spans="2:13" x14ac:dyDescent="0.25">
      <c r="B147" s="522"/>
      <c r="C147" s="523"/>
      <c r="D147" s="524"/>
      <c r="E147" s="80" t="s">
        <v>171</v>
      </c>
      <c r="F147" s="81"/>
      <c r="G147" s="47"/>
      <c r="H147" s="82">
        <v>88.443966119999999</v>
      </c>
      <c r="J147" s="27"/>
      <c r="M147" s="409"/>
    </row>
    <row r="148" spans="2:13" x14ac:dyDescent="0.25">
      <c r="B148" s="519"/>
      <c r="C148" s="520"/>
      <c r="D148" s="521"/>
      <c r="E148" s="83" t="s">
        <v>172</v>
      </c>
      <c r="F148" s="84"/>
      <c r="G148" s="48"/>
      <c r="H148" s="85">
        <v>113.48623944000001</v>
      </c>
      <c r="J148" s="27"/>
      <c r="M148" s="409"/>
    </row>
    <row r="149" spans="2:13" ht="13.5" thickBot="1" x14ac:dyDescent="0.3">
      <c r="G149" s="86" t="s">
        <v>52</v>
      </c>
      <c r="H149" s="87">
        <f>AVERAGE(H146:H148)</f>
        <v>106.84619278666668</v>
      </c>
      <c r="I149" s="92"/>
      <c r="J149" s="27"/>
      <c r="M149" s="410"/>
    </row>
    <row r="150" spans="2:13" x14ac:dyDescent="0.25"/>
    <row r="151" spans="2:13" ht="15.75" x14ac:dyDescent="0.25">
      <c r="B151" s="33" t="s">
        <v>60</v>
      </c>
      <c r="C151" s="34"/>
      <c r="D151" s="34"/>
      <c r="E151" s="34"/>
      <c r="F151" s="34"/>
      <c r="G151" s="35"/>
      <c r="H151" s="35"/>
      <c r="I151" s="35"/>
      <c r="J151" s="35"/>
      <c r="K151" s="34"/>
      <c r="M151" s="36"/>
    </row>
    <row r="152" spans="2:13" x14ac:dyDescent="0.25"/>
    <row r="153" spans="2:13" x14ac:dyDescent="0.25">
      <c r="B153" s="330" t="s">
        <v>33</v>
      </c>
      <c r="C153" s="331"/>
      <c r="D153" s="331"/>
      <c r="E153" s="331"/>
      <c r="F153" s="37" t="s">
        <v>184</v>
      </c>
      <c r="G153" s="37" t="s">
        <v>17</v>
      </c>
      <c r="H153" s="38" t="s">
        <v>18</v>
      </c>
      <c r="I153" s="39" t="s">
        <v>19</v>
      </c>
      <c r="J153" s="38" t="s">
        <v>20</v>
      </c>
      <c r="K153" s="40" t="s">
        <v>21</v>
      </c>
      <c r="M153" s="41" t="s">
        <v>5</v>
      </c>
    </row>
    <row r="154" spans="2:13" ht="54" customHeight="1" x14ac:dyDescent="0.2">
      <c r="B154" s="327" t="s">
        <v>56</v>
      </c>
      <c r="C154" s="329"/>
      <c r="D154" s="328"/>
      <c r="E154" s="329"/>
      <c r="F154" s="332">
        <v>3.5000000000000003E-2</v>
      </c>
      <c r="G154" s="332">
        <v>3.5000000000000003E-2</v>
      </c>
      <c r="H154" s="332">
        <v>0.04</v>
      </c>
      <c r="I154" s="333">
        <v>0.04</v>
      </c>
      <c r="J154" s="332">
        <v>0</v>
      </c>
      <c r="K154" s="93"/>
      <c r="M154" s="51" t="s">
        <v>198</v>
      </c>
    </row>
    <row r="155" spans="2:13" x14ac:dyDescent="0.25"/>
    <row r="156" spans="2:13" ht="15.75" x14ac:dyDescent="0.25">
      <c r="B156" s="33" t="s">
        <v>132</v>
      </c>
      <c r="C156" s="34"/>
      <c r="D156" s="34"/>
      <c r="E156" s="34"/>
      <c r="F156" s="34"/>
      <c r="G156" s="35"/>
      <c r="H156" s="35"/>
      <c r="I156" s="35"/>
      <c r="J156" s="35"/>
      <c r="K156" s="34"/>
      <c r="M156" s="36"/>
    </row>
    <row r="157" spans="2:13" x14ac:dyDescent="0.25"/>
    <row r="158" spans="2:13" ht="15" customHeight="1" x14ac:dyDescent="0.25">
      <c r="D158" s="418" t="s">
        <v>175</v>
      </c>
      <c r="E158" s="418"/>
      <c r="F158" s="418"/>
      <c r="G158" s="419"/>
      <c r="H158" s="272">
        <f>+I158/(1+H154)</f>
        <v>90.70265902366863</v>
      </c>
      <c r="I158" s="272">
        <f>+J158/(1+I154)</f>
        <v>94.330765384615376</v>
      </c>
      <c r="J158" s="272">
        <f>+H144</f>
        <v>98.103995999999995</v>
      </c>
    </row>
    <row r="159" spans="2:13" ht="15" customHeight="1" x14ac:dyDescent="0.25">
      <c r="D159" s="420" t="s">
        <v>176</v>
      </c>
      <c r="E159" s="420"/>
      <c r="F159" s="420"/>
      <c r="G159" s="421"/>
      <c r="H159" s="272">
        <f>+I159/(1+H154)</f>
        <v>98.785311378205137</v>
      </c>
      <c r="I159" s="272">
        <f>+J159/(1+I154)</f>
        <v>102.73672383333334</v>
      </c>
      <c r="J159" s="272">
        <f>+H149</f>
        <v>106.84619278666668</v>
      </c>
    </row>
    <row r="160" spans="2:13" ht="38.25" x14ac:dyDescent="0.25">
      <c r="B160" s="402" t="s">
        <v>3</v>
      </c>
      <c r="C160" s="404"/>
      <c r="D160" s="56" t="s">
        <v>53</v>
      </c>
      <c r="E160" s="56" t="s">
        <v>213</v>
      </c>
      <c r="F160" s="57" t="s">
        <v>54</v>
      </c>
      <c r="G160" s="37" t="s">
        <v>17</v>
      </c>
      <c r="H160" s="38" t="s">
        <v>18</v>
      </c>
      <c r="I160" s="38" t="s">
        <v>19</v>
      </c>
      <c r="J160" s="38" t="s">
        <v>20</v>
      </c>
      <c r="K160" s="53" t="s">
        <v>21</v>
      </c>
      <c r="M160" s="41" t="s">
        <v>5</v>
      </c>
    </row>
    <row r="161" spans="2:17" ht="32.25" customHeight="1" x14ac:dyDescent="0.25">
      <c r="B161" s="416" t="s">
        <v>173</v>
      </c>
      <c r="C161" s="417"/>
      <c r="D161" s="24">
        <v>1</v>
      </c>
      <c r="E161" s="259">
        <f>40*52.17*0.84</f>
        <v>1752.912</v>
      </c>
      <c r="F161" s="58">
        <f>+J158</f>
        <v>98.103995999999995</v>
      </c>
      <c r="G161" s="396"/>
      <c r="H161" s="59">
        <f t="shared" ref="H161:J162" si="16">+H158*$E161*$D161</f>
        <v>158993.77943449703</v>
      </c>
      <c r="I161" s="59">
        <f t="shared" si="16"/>
        <v>165353.53061187692</v>
      </c>
      <c r="J161" s="59">
        <f>+J158*$E161*$D161</f>
        <v>171967.671836352</v>
      </c>
      <c r="K161" s="396"/>
      <c r="M161" s="408" t="s">
        <v>177</v>
      </c>
    </row>
    <row r="162" spans="2:17" ht="32.25" customHeight="1" x14ac:dyDescent="0.25">
      <c r="B162" s="422" t="s">
        <v>174</v>
      </c>
      <c r="C162" s="423"/>
      <c r="D162" s="24">
        <v>0.8</v>
      </c>
      <c r="E162" s="259">
        <f>40*52.17*0.84</f>
        <v>1752.912</v>
      </c>
      <c r="F162" s="58">
        <f>+J159</f>
        <v>106.84619278666668</v>
      </c>
      <c r="G162" s="397"/>
      <c r="H162" s="59">
        <f t="shared" si="16"/>
        <v>138529.56619087385</v>
      </c>
      <c r="I162" s="59">
        <f t="shared" si="16"/>
        <v>144070.74883850882</v>
      </c>
      <c r="J162" s="59">
        <f t="shared" si="16"/>
        <v>149833.57879204917</v>
      </c>
      <c r="K162" s="397"/>
      <c r="M162" s="410"/>
      <c r="O162" s="29"/>
    </row>
    <row r="163" spans="2:17" ht="13.5" thickBot="1" x14ac:dyDescent="0.3">
      <c r="E163" s="60"/>
      <c r="H163" s="50">
        <f>SUM(H161:H162)</f>
        <v>297523.34562537086</v>
      </c>
      <c r="I163" s="50">
        <f>SUM(I161:I162)</f>
        <v>309424.27945038571</v>
      </c>
      <c r="J163" s="50">
        <f>SUM(J161:J162)</f>
        <v>321801.25062840118</v>
      </c>
      <c r="O163" s="28"/>
      <c r="P163" s="28"/>
      <c r="Q163" s="28"/>
    </row>
    <row r="164" spans="2:17" x14ac:dyDescent="0.25">
      <c r="E164" s="60"/>
    </row>
    <row r="165" spans="2:17" ht="15.75" x14ac:dyDescent="0.25">
      <c r="B165" s="33" t="s">
        <v>57</v>
      </c>
      <c r="C165" s="34"/>
      <c r="D165" s="34"/>
      <c r="E165" s="34"/>
      <c r="F165" s="34"/>
      <c r="G165" s="35"/>
      <c r="H165" s="35"/>
      <c r="I165" s="35"/>
      <c r="J165" s="35"/>
      <c r="K165" s="34"/>
      <c r="M165" s="36"/>
    </row>
    <row r="166" spans="2:17" x14ac:dyDescent="0.25"/>
    <row r="167" spans="2:17" x14ac:dyDescent="0.25">
      <c r="B167" s="52" t="s">
        <v>31</v>
      </c>
      <c r="C167" s="402" t="s">
        <v>3</v>
      </c>
      <c r="D167" s="403"/>
      <c r="E167" s="404"/>
      <c r="F167" s="52" t="s">
        <v>5</v>
      </c>
      <c r="G167" s="38" t="s">
        <v>17</v>
      </c>
      <c r="H167" s="38" t="s">
        <v>18</v>
      </c>
      <c r="I167" s="38" t="s">
        <v>19</v>
      </c>
      <c r="J167" s="38" t="s">
        <v>20</v>
      </c>
      <c r="K167" s="53" t="s">
        <v>21</v>
      </c>
      <c r="M167" s="41" t="s">
        <v>5</v>
      </c>
    </row>
    <row r="168" spans="2:17" x14ac:dyDescent="0.25">
      <c r="B168" s="22" t="s">
        <v>136</v>
      </c>
      <c r="C168" s="424" t="s">
        <v>137</v>
      </c>
      <c r="D168" s="425"/>
      <c r="E168" s="426"/>
      <c r="F168" s="22" t="s">
        <v>31</v>
      </c>
      <c r="G168" s="396" t="s">
        <v>16</v>
      </c>
      <c r="H168" s="23">
        <v>3616.93517109409</v>
      </c>
      <c r="I168" s="23">
        <v>4712.8214064196845</v>
      </c>
      <c r="J168" s="23">
        <v>3740.7061008544024</v>
      </c>
      <c r="K168" s="399"/>
      <c r="M168" s="462" t="s">
        <v>64</v>
      </c>
    </row>
    <row r="169" spans="2:17" x14ac:dyDescent="0.25">
      <c r="B169" s="22" t="s">
        <v>138</v>
      </c>
      <c r="C169" s="424" t="s">
        <v>139</v>
      </c>
      <c r="D169" s="425"/>
      <c r="E169" s="426"/>
      <c r="F169" s="22" t="s">
        <v>31</v>
      </c>
      <c r="G169" s="398"/>
      <c r="H169" s="23">
        <v>36.168325606770132</v>
      </c>
      <c r="I169" s="23">
        <v>0.768187043703078</v>
      </c>
      <c r="J169" s="23">
        <v>0</v>
      </c>
      <c r="K169" s="400"/>
      <c r="M169" s="463"/>
    </row>
    <row r="170" spans="2:17" x14ac:dyDescent="0.25">
      <c r="B170" s="22" t="s">
        <v>140</v>
      </c>
      <c r="C170" s="424" t="s">
        <v>139</v>
      </c>
      <c r="D170" s="425"/>
      <c r="E170" s="426"/>
      <c r="F170" s="22" t="s">
        <v>31</v>
      </c>
      <c r="G170" s="398"/>
      <c r="H170" s="23">
        <v>708.96627515216278</v>
      </c>
      <c r="I170" s="23">
        <v>1069.4424335319502</v>
      </c>
      <c r="J170" s="23">
        <v>1190.3596309999048</v>
      </c>
      <c r="K170" s="400"/>
      <c r="M170" s="463"/>
    </row>
    <row r="171" spans="2:17" x14ac:dyDescent="0.25">
      <c r="B171" s="22" t="s">
        <v>141</v>
      </c>
      <c r="C171" s="424" t="s">
        <v>139</v>
      </c>
      <c r="D171" s="425"/>
      <c r="E171" s="426"/>
      <c r="F171" s="22" t="s">
        <v>31</v>
      </c>
      <c r="G171" s="398"/>
      <c r="H171" s="23">
        <v>138.52326614803951</v>
      </c>
      <c r="I171" s="23">
        <v>42.726738243840472</v>
      </c>
      <c r="J171" s="23">
        <v>51.612554195007675</v>
      </c>
      <c r="K171" s="400"/>
      <c r="M171" s="463"/>
    </row>
    <row r="172" spans="2:17" x14ac:dyDescent="0.25">
      <c r="B172" s="22" t="s">
        <v>142</v>
      </c>
      <c r="C172" s="416" t="s">
        <v>143</v>
      </c>
      <c r="D172" s="436"/>
      <c r="E172" s="417"/>
      <c r="F172" s="22" t="s">
        <v>31</v>
      </c>
      <c r="G172" s="398"/>
      <c r="H172" s="23">
        <v>974.29997691632445</v>
      </c>
      <c r="I172" s="23">
        <v>842.59607219889688</v>
      </c>
      <c r="J172" s="23">
        <v>816.54265548405033</v>
      </c>
      <c r="K172" s="400"/>
      <c r="M172" s="464"/>
    </row>
    <row r="173" spans="2:17" ht="12.75" customHeight="1" x14ac:dyDescent="0.25">
      <c r="B173" s="22"/>
      <c r="C173" s="416" t="s">
        <v>173</v>
      </c>
      <c r="D173" s="436"/>
      <c r="E173" s="417"/>
      <c r="F173" s="22" t="s">
        <v>58</v>
      </c>
      <c r="G173" s="398"/>
      <c r="H173" s="23">
        <f>$D$161*$E$161</f>
        <v>1752.912</v>
      </c>
      <c r="I173" s="23">
        <f>$D$161*$E$161</f>
        <v>1752.912</v>
      </c>
      <c r="J173" s="23">
        <f>$D$161*$E$161</f>
        <v>1752.912</v>
      </c>
      <c r="K173" s="400"/>
      <c r="M173" s="427" t="s">
        <v>178</v>
      </c>
    </row>
    <row r="174" spans="2:17" x14ac:dyDescent="0.25">
      <c r="B174" s="22"/>
      <c r="C174" s="416" t="s">
        <v>174</v>
      </c>
      <c r="D174" s="436"/>
      <c r="E174" s="417"/>
      <c r="F174" s="22" t="s">
        <v>58</v>
      </c>
      <c r="G174" s="397"/>
      <c r="H174" s="25">
        <f>$D$162*$E$162</f>
        <v>1402.3296</v>
      </c>
      <c r="I174" s="25">
        <f>$D$162*$E$162</f>
        <v>1402.3296</v>
      </c>
      <c r="J174" s="25">
        <f>$D$162*$E$162</f>
        <v>1402.3296</v>
      </c>
      <c r="K174" s="401"/>
      <c r="M174" s="428"/>
    </row>
    <row r="175" spans="2:17" ht="13.5" thickBot="1" x14ac:dyDescent="0.3">
      <c r="B175" s="54"/>
      <c r="C175" s="54"/>
      <c r="D175" s="54"/>
      <c r="E175" s="54"/>
      <c r="F175" s="54"/>
      <c r="G175" s="94">
        <f>SUM(G168:G169)</f>
        <v>0</v>
      </c>
      <c r="H175" s="61">
        <f>SUM(H168:H174)</f>
        <v>8630.1346149173878</v>
      </c>
      <c r="I175" s="61">
        <f>SUM(I168:I174)</f>
        <v>9823.5964374380746</v>
      </c>
      <c r="J175" s="61">
        <f>SUM(J168:J174)</f>
        <v>8954.4625415333649</v>
      </c>
      <c r="K175" s="94"/>
    </row>
    <row r="176" spans="2:17" x14ac:dyDescent="0.25">
      <c r="E176" s="60"/>
    </row>
    <row r="177" spans="2:14" ht="15.75" x14ac:dyDescent="0.25">
      <c r="B177" s="33" t="s">
        <v>89</v>
      </c>
      <c r="C177" s="34"/>
      <c r="D177" s="34"/>
      <c r="E177" s="34"/>
      <c r="F177" s="34"/>
      <c r="G177" s="35"/>
      <c r="H177" s="35"/>
      <c r="I177" s="35"/>
      <c r="J177" s="35"/>
      <c r="K177" s="34"/>
      <c r="M177" s="36"/>
    </row>
    <row r="178" spans="2:14" x14ac:dyDescent="0.25">
      <c r="E178" s="60"/>
    </row>
    <row r="179" spans="2:14" x14ac:dyDescent="0.25">
      <c r="B179" s="430"/>
      <c r="C179" s="431"/>
      <c r="D179" s="431"/>
      <c r="E179" s="431"/>
      <c r="F179" s="431"/>
      <c r="G179" s="432"/>
      <c r="H179" s="38" t="s">
        <v>18</v>
      </c>
      <c r="I179" s="38" t="s">
        <v>19</v>
      </c>
      <c r="J179" s="38" t="s">
        <v>20</v>
      </c>
      <c r="K179" s="53" t="s">
        <v>21</v>
      </c>
      <c r="M179" s="41" t="s">
        <v>5</v>
      </c>
    </row>
    <row r="180" spans="2:14" x14ac:dyDescent="0.25">
      <c r="B180" s="405" t="s">
        <v>61</v>
      </c>
      <c r="C180" s="406"/>
      <c r="D180" s="406"/>
      <c r="E180" s="406"/>
      <c r="F180" s="406"/>
      <c r="G180" s="407"/>
      <c r="H180" s="45">
        <f>+H163+H78</f>
        <v>716261.81402024464</v>
      </c>
      <c r="I180" s="47">
        <f>+I163+I78</f>
        <v>844860.62725798704</v>
      </c>
      <c r="J180" s="62">
        <f>+J163+J78</f>
        <v>819934.89918603492</v>
      </c>
      <c r="K180" s="180"/>
      <c r="M180" s="408" t="s">
        <v>193</v>
      </c>
    </row>
    <row r="181" spans="2:14" x14ac:dyDescent="0.25">
      <c r="B181" s="433" t="s">
        <v>57</v>
      </c>
      <c r="C181" s="434"/>
      <c r="D181" s="434"/>
      <c r="E181" s="434"/>
      <c r="F181" s="434"/>
      <c r="G181" s="435"/>
      <c r="H181" s="45">
        <f>+H175</f>
        <v>8630.1346149173878</v>
      </c>
      <c r="I181" s="47">
        <f>+I175</f>
        <v>9823.5964374380746</v>
      </c>
      <c r="J181" s="62">
        <f>+J175</f>
        <v>8954.4625415333649</v>
      </c>
      <c r="K181" s="181"/>
      <c r="M181" s="409"/>
    </row>
    <row r="182" spans="2:14" x14ac:dyDescent="0.25">
      <c r="B182" s="416" t="s">
        <v>55</v>
      </c>
      <c r="C182" s="436"/>
      <c r="D182" s="436"/>
      <c r="E182" s="436"/>
      <c r="F182" s="436"/>
      <c r="G182" s="417"/>
      <c r="H182" s="63">
        <f>+H180/H181</f>
        <v>82.995439350641121</v>
      </c>
      <c r="I182" s="64">
        <f>+I180/I181</f>
        <v>86.003189630041518</v>
      </c>
      <c r="J182" s="65">
        <f>+J180/J181</f>
        <v>91.567181769195159</v>
      </c>
      <c r="K182" s="182"/>
      <c r="M182" s="409"/>
      <c r="N182" s="72"/>
    </row>
    <row r="183" spans="2:14" x14ac:dyDescent="0.25">
      <c r="B183" s="405" t="s">
        <v>88</v>
      </c>
      <c r="C183" s="406"/>
      <c r="D183" s="406"/>
      <c r="E183" s="406"/>
      <c r="F183" s="406"/>
      <c r="G183" s="407"/>
      <c r="H183" s="66">
        <f>+H154</f>
        <v>0.04</v>
      </c>
      <c r="I183" s="67">
        <f>+I154</f>
        <v>0.04</v>
      </c>
      <c r="J183" s="68">
        <f>+J154</f>
        <v>0</v>
      </c>
      <c r="K183" s="181"/>
      <c r="M183" s="409"/>
    </row>
    <row r="184" spans="2:14" x14ac:dyDescent="0.25">
      <c r="B184" s="437" t="s">
        <v>67</v>
      </c>
      <c r="C184" s="438"/>
      <c r="D184" s="438"/>
      <c r="E184" s="438"/>
      <c r="F184" s="438"/>
      <c r="G184" s="439"/>
      <c r="H184" s="69">
        <f>+H182*(1+H183)*(1+I183)</f>
        <v>89.767867201653445</v>
      </c>
      <c r="I184" s="70">
        <f>+I182*(1+I183)</f>
        <v>89.443317215243184</v>
      </c>
      <c r="J184" s="71">
        <f>+J182</f>
        <v>91.567181769195159</v>
      </c>
      <c r="K184" s="183"/>
      <c r="M184" s="409"/>
    </row>
    <row r="185" spans="2:14" x14ac:dyDescent="0.25">
      <c r="E185" s="60"/>
      <c r="H185" s="72"/>
      <c r="I185" s="72"/>
      <c r="J185" s="72"/>
      <c r="M185" s="409"/>
    </row>
    <row r="186" spans="2:14" x14ac:dyDescent="0.25">
      <c r="E186" s="60"/>
      <c r="G186" s="429" t="s">
        <v>214</v>
      </c>
      <c r="H186" s="429"/>
      <c r="I186" s="429"/>
      <c r="J186" s="190">
        <f>AVERAGE(H184:J184)</f>
        <v>90.259455395363929</v>
      </c>
      <c r="K186" s="97"/>
      <c r="M186" s="409"/>
    </row>
    <row r="187" spans="2:14" x14ac:dyDescent="0.25">
      <c r="E187" s="60"/>
      <c r="H187" s="72"/>
      <c r="I187" s="72"/>
      <c r="J187" s="72"/>
      <c r="K187" s="97"/>
      <c r="M187" s="409"/>
    </row>
    <row r="188" spans="2:14" x14ac:dyDescent="0.25">
      <c r="E188" s="60"/>
      <c r="G188" s="429" t="s">
        <v>68</v>
      </c>
      <c r="H188" s="429"/>
      <c r="I188" s="429"/>
      <c r="J188" s="191">
        <f>+K208-1</f>
        <v>1.2648945446885498</v>
      </c>
      <c r="K188" s="97"/>
      <c r="M188" s="409"/>
    </row>
    <row r="189" spans="2:14" x14ac:dyDescent="0.25">
      <c r="E189" s="60"/>
      <c r="H189" s="72"/>
      <c r="I189" s="72"/>
      <c r="J189" s="72"/>
      <c r="K189" s="97"/>
      <c r="M189" s="409"/>
    </row>
    <row r="190" spans="2:14" x14ac:dyDescent="0.25">
      <c r="E190" s="60"/>
      <c r="G190" s="429" t="s">
        <v>69</v>
      </c>
      <c r="H190" s="429"/>
      <c r="I190" s="429"/>
      <c r="J190" s="190">
        <f>+J186+(J188*J186)</f>
        <v>204.42814813151927</v>
      </c>
      <c r="K190" s="97"/>
      <c r="M190" s="410"/>
    </row>
    <row r="191" spans="2:14" x14ac:dyDescent="0.25">
      <c r="E191" s="60"/>
      <c r="H191" s="72"/>
      <c r="I191" s="72"/>
      <c r="J191" s="72"/>
    </row>
    <row r="192" spans="2:14" ht="15.75" x14ac:dyDescent="0.25">
      <c r="B192" s="33" t="s">
        <v>90</v>
      </c>
      <c r="C192" s="34"/>
      <c r="D192" s="34"/>
      <c r="E192" s="34"/>
      <c r="F192" s="34"/>
      <c r="G192" s="35"/>
      <c r="H192" s="35"/>
      <c r="I192" s="35"/>
      <c r="J192" s="35"/>
      <c r="K192" s="34"/>
      <c r="M192" s="36"/>
    </row>
    <row r="193" spans="2:13" x14ac:dyDescent="0.25">
      <c r="E193" s="60"/>
    </row>
    <row r="194" spans="2:13" x14ac:dyDescent="0.25">
      <c r="B194" s="184"/>
      <c r="C194" s="185"/>
      <c r="D194" s="185"/>
      <c r="E194" s="185"/>
      <c r="F194" s="38" t="s">
        <v>21</v>
      </c>
      <c r="G194" s="38" t="s">
        <v>22</v>
      </c>
      <c r="H194" s="38" t="s">
        <v>23</v>
      </c>
      <c r="I194" s="38" t="s">
        <v>24</v>
      </c>
      <c r="J194" s="38" t="s">
        <v>25</v>
      </c>
      <c r="K194" s="38" t="s">
        <v>26</v>
      </c>
      <c r="M194" s="41" t="s">
        <v>5</v>
      </c>
    </row>
    <row r="195" spans="2:13" x14ac:dyDescent="0.25">
      <c r="H195" s="72"/>
      <c r="I195" s="72"/>
      <c r="J195" s="72"/>
      <c r="M195" s="393" t="s">
        <v>199</v>
      </c>
    </row>
    <row r="196" spans="2:13" x14ac:dyDescent="0.25">
      <c r="B196" s="27" t="s">
        <v>78</v>
      </c>
      <c r="F196" s="73">
        <f>+G196/1.025</f>
        <v>94.153871096609109</v>
      </c>
      <c r="G196" s="73">
        <f>$J186*G216</f>
        <v>96.507717874024323</v>
      </c>
      <c r="H196" s="73">
        <f>$J186*H216</f>
        <v>100.71832257293838</v>
      </c>
      <c r="I196" s="73">
        <f>$J186*I216</f>
        <v>104.12841325775418</v>
      </c>
      <c r="J196" s="73">
        <f>$J186*J216</f>
        <v>107.79666544770632</v>
      </c>
      <c r="K196" s="73">
        <f>$J186*K216</f>
        <v>111.50878900896768</v>
      </c>
      <c r="M196" s="394"/>
    </row>
    <row r="197" spans="2:13" x14ac:dyDescent="0.25">
      <c r="B197" s="27" t="s">
        <v>79</v>
      </c>
      <c r="G197" s="73">
        <f>$J190*G216</f>
        <v>218.57980373321934</v>
      </c>
      <c r="H197" s="73">
        <f>$J190*H216</f>
        <v>228.11637934562978</v>
      </c>
      <c r="I197" s="73">
        <f>$J190*I216</f>
        <v>235.83987513456231</v>
      </c>
      <c r="J197" s="73">
        <f>$J190*J216</f>
        <v>244.14807950812676</v>
      </c>
      <c r="K197" s="73">
        <f>$J190*K216</f>
        <v>252.55564791123743</v>
      </c>
      <c r="M197" s="394"/>
    </row>
    <row r="198" spans="2:13" x14ac:dyDescent="0.25">
      <c r="G198" s="73"/>
      <c r="H198" s="73"/>
      <c r="I198" s="73"/>
      <c r="J198" s="73"/>
      <c r="K198" s="73"/>
      <c r="M198" s="394"/>
    </row>
    <row r="199" spans="2:13" x14ac:dyDescent="0.25">
      <c r="B199" s="186" t="s">
        <v>91</v>
      </c>
      <c r="C199" s="186"/>
      <c r="D199" s="186"/>
      <c r="E199" s="186"/>
      <c r="F199" s="186"/>
      <c r="G199" s="187"/>
      <c r="H199" s="187">
        <f t="shared" ref="H199:K199" si="17">(H197-G197)/G197</f>
        <v>4.3629719898778986E-2</v>
      </c>
      <c r="I199" s="187">
        <f t="shared" si="17"/>
        <v>3.3857699351041756E-2</v>
      </c>
      <c r="J199" s="187">
        <f t="shared" si="17"/>
        <v>3.522815795600328E-2</v>
      </c>
      <c r="K199" s="188">
        <f t="shared" si="17"/>
        <v>3.4436348711196059E-2</v>
      </c>
      <c r="M199" s="395"/>
    </row>
    <row r="200" spans="2:13" x14ac:dyDescent="0.25">
      <c r="E200" s="60"/>
      <c r="H200" s="72"/>
      <c r="I200" s="72"/>
      <c r="J200" s="72"/>
    </row>
    <row r="201" spans="2:13" ht="15.75" x14ac:dyDescent="0.25">
      <c r="B201" s="33" t="s">
        <v>66</v>
      </c>
      <c r="C201" s="34"/>
      <c r="D201" s="34"/>
      <c r="E201" s="34"/>
      <c r="F201" s="34"/>
      <c r="G201" s="35"/>
      <c r="H201" s="35"/>
      <c r="I201" s="35"/>
      <c r="J201" s="35"/>
      <c r="K201" s="34"/>
      <c r="M201" s="36"/>
    </row>
    <row r="202" spans="2:13" x14ac:dyDescent="0.25"/>
    <row r="203" spans="2:13" x14ac:dyDescent="0.25">
      <c r="B203" s="465" t="s">
        <v>28</v>
      </c>
      <c r="C203" s="466"/>
      <c r="D203" s="466"/>
      <c r="E203" s="467"/>
      <c r="F203" s="323" t="s">
        <v>21</v>
      </c>
      <c r="G203" s="323" t="s">
        <v>22</v>
      </c>
      <c r="H203" s="323" t="s">
        <v>23</v>
      </c>
      <c r="I203" s="323" t="s">
        <v>24</v>
      </c>
      <c r="J203" s="323" t="s">
        <v>25</v>
      </c>
      <c r="K203" s="56" t="s">
        <v>26</v>
      </c>
      <c r="M203" s="41" t="s">
        <v>5</v>
      </c>
    </row>
    <row r="204" spans="2:13" ht="12.75" customHeight="1" x14ac:dyDescent="0.25">
      <c r="B204" s="468" t="s">
        <v>201</v>
      </c>
      <c r="C204" s="469"/>
      <c r="D204" s="469"/>
      <c r="E204" s="470"/>
      <c r="F204" s="46"/>
      <c r="G204" s="62">
        <v>18449161.14072692</v>
      </c>
      <c r="H204" s="62">
        <v>19652616.51053571</v>
      </c>
      <c r="I204" s="62">
        <v>20750302.453561164</v>
      </c>
      <c r="J204" s="62">
        <v>21950966.582370307</v>
      </c>
      <c r="K204" s="46">
        <v>23217206.584968176</v>
      </c>
      <c r="M204" s="408" t="s">
        <v>200</v>
      </c>
    </row>
    <row r="205" spans="2:13" x14ac:dyDescent="0.25">
      <c r="B205" s="440" t="s">
        <v>202</v>
      </c>
      <c r="C205" s="441"/>
      <c r="D205" s="441"/>
      <c r="E205" s="442"/>
      <c r="F205" s="46"/>
      <c r="G205" s="62">
        <v>40098372.700329572</v>
      </c>
      <c r="H205" s="62">
        <v>44414981.708611391</v>
      </c>
      <c r="I205" s="62">
        <v>47124811.758132517</v>
      </c>
      <c r="J205" s="62">
        <v>50429626.415997855</v>
      </c>
      <c r="K205" s="46">
        <v>53924251.70079805</v>
      </c>
      <c r="M205" s="409"/>
    </row>
    <row r="206" spans="2:13" x14ac:dyDescent="0.25">
      <c r="B206" s="443" t="s">
        <v>28</v>
      </c>
      <c r="C206" s="444"/>
      <c r="D206" s="444"/>
      <c r="E206" s="445"/>
      <c r="F206" s="88"/>
      <c r="G206" s="88">
        <f t="shared" ref="G206:K206" si="18">+G205/G204</f>
        <v>2.1734523534412387</v>
      </c>
      <c r="H206" s="88">
        <f t="shared" si="18"/>
        <v>2.2600034801880273</v>
      </c>
      <c r="I206" s="88">
        <f t="shared" si="18"/>
        <v>2.2710421625707418</v>
      </c>
      <c r="J206" s="88">
        <f t="shared" si="18"/>
        <v>2.2973761190315822</v>
      </c>
      <c r="K206" s="233">
        <f t="shared" si="18"/>
        <v>2.3225986082111594</v>
      </c>
      <c r="M206" s="409"/>
    </row>
    <row r="207" spans="2:13" x14ac:dyDescent="0.25">
      <c r="F207" s="29"/>
      <c r="K207" s="29"/>
      <c r="M207" s="409"/>
    </row>
    <row r="208" spans="2:13" x14ac:dyDescent="0.25">
      <c r="F208" s="459" t="s">
        <v>204</v>
      </c>
      <c r="G208" s="460"/>
      <c r="H208" s="460"/>
      <c r="I208" s="460"/>
      <c r="J208" s="461"/>
      <c r="K208" s="234">
        <f>AVERAGE(G206:K206)</f>
        <v>2.2648945446885498</v>
      </c>
      <c r="M208" s="410"/>
    </row>
    <row r="209" spans="2:13" x14ac:dyDescent="0.25">
      <c r="G209" s="27"/>
      <c r="H209" s="27"/>
      <c r="I209" s="27"/>
      <c r="J209" s="27"/>
      <c r="K209" s="326"/>
    </row>
    <row r="210" spans="2:13" x14ac:dyDescent="0.25">
      <c r="G210" s="27"/>
      <c r="H210" s="27"/>
      <c r="I210" s="27"/>
      <c r="J210" s="27"/>
    </row>
    <row r="211" spans="2:13" ht="15.75" x14ac:dyDescent="0.25">
      <c r="B211" s="33" t="s">
        <v>217</v>
      </c>
      <c r="C211" s="34"/>
      <c r="D211" s="34"/>
      <c r="E211" s="34"/>
      <c r="F211" s="34"/>
      <c r="G211" s="35"/>
      <c r="H211" s="35"/>
      <c r="I211" s="35"/>
      <c r="J211" s="35"/>
      <c r="K211" s="34"/>
      <c r="M211" s="36"/>
    </row>
    <row r="212" spans="2:13" x14ac:dyDescent="0.25"/>
    <row r="213" spans="2:13" x14ac:dyDescent="0.2">
      <c r="B213" s="450" t="s">
        <v>218</v>
      </c>
      <c r="C213" s="451"/>
      <c r="D213" s="451"/>
      <c r="E213" s="452"/>
      <c r="F213" s="323" t="s">
        <v>21</v>
      </c>
      <c r="G213" s="323" t="s">
        <v>22</v>
      </c>
      <c r="H213" s="323" t="s">
        <v>23</v>
      </c>
      <c r="I213" s="323" t="s">
        <v>24</v>
      </c>
      <c r="J213" s="323" t="s">
        <v>25</v>
      </c>
      <c r="K213" s="56" t="s">
        <v>26</v>
      </c>
      <c r="M213" s="391" t="s">
        <v>5</v>
      </c>
    </row>
    <row r="214" spans="2:13" ht="12.75" customHeight="1" x14ac:dyDescent="0.2">
      <c r="B214" s="447" t="s">
        <v>203</v>
      </c>
      <c r="C214" s="448"/>
      <c r="D214" s="448"/>
      <c r="E214" s="449"/>
      <c r="F214" s="26"/>
      <c r="G214" s="26">
        <v>17254695.000010207</v>
      </c>
      <c r="H214" s="26">
        <v>17611834.848126188</v>
      </c>
      <c r="I214" s="26">
        <v>17986550.838063825</v>
      </c>
      <c r="J214" s="26">
        <v>18379810.552560411</v>
      </c>
      <c r="K214" s="235">
        <v>18792890.146016706</v>
      </c>
      <c r="M214" s="393" t="s">
        <v>221</v>
      </c>
    </row>
    <row r="215" spans="2:13" x14ac:dyDescent="0.2">
      <c r="B215" s="453" t="s">
        <v>219</v>
      </c>
      <c r="C215" s="454"/>
      <c r="D215" s="454"/>
      <c r="E215" s="455"/>
      <c r="F215" s="26"/>
      <c r="G215" s="26">
        <v>18449161.14072692</v>
      </c>
      <c r="H215" s="26">
        <v>19652616.51053571</v>
      </c>
      <c r="I215" s="26">
        <v>20750302.453561164</v>
      </c>
      <c r="J215" s="26">
        <v>21950966.582370307</v>
      </c>
      <c r="K215" s="235">
        <v>23217206.584968176</v>
      </c>
      <c r="M215" s="394"/>
    </row>
    <row r="216" spans="2:13" x14ac:dyDescent="0.2">
      <c r="B216" s="456" t="s">
        <v>220</v>
      </c>
      <c r="C216" s="457"/>
      <c r="D216" s="457"/>
      <c r="E216" s="458"/>
      <c r="F216" s="88"/>
      <c r="G216" s="88">
        <f t="shared" ref="G216:K216" si="19">+G215/G214</f>
        <v>1.0692255725595849</v>
      </c>
      <c r="H216" s="88">
        <f t="shared" si="19"/>
        <v>1.1158755847989712</v>
      </c>
      <c r="I216" s="88">
        <f t="shared" si="19"/>
        <v>1.1536565648622628</v>
      </c>
      <c r="J216" s="88">
        <f t="shared" si="19"/>
        <v>1.1942977605562106</v>
      </c>
      <c r="K216" s="233">
        <f t="shared" si="19"/>
        <v>1.2354250147037249</v>
      </c>
      <c r="M216" s="394"/>
    </row>
    <row r="217" spans="2:13" x14ac:dyDescent="0.25">
      <c r="F217" s="29"/>
      <c r="K217" s="29"/>
      <c r="M217" s="394"/>
    </row>
    <row r="218" spans="2:13" x14ac:dyDescent="0.25">
      <c r="F218" s="459" t="s">
        <v>29</v>
      </c>
      <c r="G218" s="460"/>
      <c r="H218" s="460"/>
      <c r="I218" s="460"/>
      <c r="J218" s="461"/>
      <c r="K218" s="234">
        <f>AVERAGE(G216:K216)</f>
        <v>1.1536960994961507</v>
      </c>
      <c r="M218" s="395"/>
    </row>
    <row r="219" spans="2:13" x14ac:dyDescent="0.25">
      <c r="K219" s="189"/>
      <c r="M219" s="392"/>
    </row>
    <row r="220" spans="2:13" x14ac:dyDescent="0.25">
      <c r="M220" s="90"/>
    </row>
    <row r="221" spans="2:13" x14ac:dyDescent="0.25">
      <c r="M221" s="91"/>
    </row>
    <row r="222" spans="2:13" x14ac:dyDescent="0.25">
      <c r="M222" s="91"/>
    </row>
    <row r="223" spans="2:13" x14ac:dyDescent="0.25">
      <c r="M223" s="91"/>
    </row>
    <row r="224" spans="2:13"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sheetData>
  <mergeCells count="64">
    <mergeCell ref="B215:E215"/>
    <mergeCell ref="B216:E216"/>
    <mergeCell ref="F208:J208"/>
    <mergeCell ref="F218:J218"/>
    <mergeCell ref="M180:M190"/>
    <mergeCell ref="M195:M199"/>
    <mergeCell ref="B203:E203"/>
    <mergeCell ref="B204:E204"/>
    <mergeCell ref="M204:M208"/>
    <mergeCell ref="B214:E214"/>
    <mergeCell ref="C167:E167"/>
    <mergeCell ref="C170:E170"/>
    <mergeCell ref="C171:E171"/>
    <mergeCell ref="B213:E213"/>
    <mergeCell ref="M168:M172"/>
    <mergeCell ref="B205:E205"/>
    <mergeCell ref="B206:E206"/>
    <mergeCell ref="C174:E174"/>
    <mergeCell ref="B66:F66"/>
    <mergeCell ref="B68:F68"/>
    <mergeCell ref="B82:F82"/>
    <mergeCell ref="B83:F83"/>
    <mergeCell ref="B84:F84"/>
    <mergeCell ref="C72:F72"/>
    <mergeCell ref="B67:F67"/>
    <mergeCell ref="C168:E168"/>
    <mergeCell ref="C169:E169"/>
    <mergeCell ref="C173:E173"/>
    <mergeCell ref="C172:E172"/>
    <mergeCell ref="M173:M174"/>
    <mergeCell ref="G186:I186"/>
    <mergeCell ref="G190:I190"/>
    <mergeCell ref="B179:G179"/>
    <mergeCell ref="B180:G180"/>
    <mergeCell ref="B181:G181"/>
    <mergeCell ref="B182:G182"/>
    <mergeCell ref="B183:G183"/>
    <mergeCell ref="B184:G184"/>
    <mergeCell ref="G188:I188"/>
    <mergeCell ref="M161:M162"/>
    <mergeCell ref="M73:M77"/>
    <mergeCell ref="B162:C162"/>
    <mergeCell ref="B160:C160"/>
    <mergeCell ref="C73:F73"/>
    <mergeCell ref="M144:M149"/>
    <mergeCell ref="M83:M138"/>
    <mergeCell ref="B124:F124"/>
    <mergeCell ref="G73:G77"/>
    <mergeCell ref="M214:M218"/>
    <mergeCell ref="K161:K162"/>
    <mergeCell ref="G168:G174"/>
    <mergeCell ref="K168:K174"/>
    <mergeCell ref="B8:F8"/>
    <mergeCell ref="B9:F9"/>
    <mergeCell ref="K67:K68"/>
    <mergeCell ref="K73:K77"/>
    <mergeCell ref="G161:G162"/>
    <mergeCell ref="M9:M62"/>
    <mergeCell ref="B10:F10"/>
    <mergeCell ref="B49:F49"/>
    <mergeCell ref="M67:M68"/>
    <mergeCell ref="B161:C161"/>
    <mergeCell ref="D158:G158"/>
    <mergeCell ref="D159:G159"/>
  </mergeCells>
  <pageMargins left="0.70866141732283472" right="0.70866141732283472" top="0.74803149606299213" bottom="0.74803149606299213" header="0.31496062992125984" footer="0.31496062992125984"/>
  <pageSetup paperSize="8" scale="59" fitToHeight="2" orientation="portrait" r:id="rId1"/>
  <headerFooter>
    <oddFooter>&amp;C&amp;F&amp;R&amp;A</oddFooter>
  </headerFooter>
  <rowBreaks count="1" manualBreakCount="1">
    <brk id="13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C133"/>
  <sheetViews>
    <sheetView showGridLines="0" zoomScaleNormal="100" workbookViewId="0"/>
  </sheetViews>
  <sheetFormatPr defaultColWidth="9.140625" defaultRowHeight="12.75" zeroHeight="1" x14ac:dyDescent="0.25"/>
  <cols>
    <col min="1" max="1" width="2.85546875" style="134" customWidth="1"/>
    <col min="2" max="2" width="55.140625" style="134" customWidth="1"/>
    <col min="3" max="7" width="10.28515625" style="134" customWidth="1"/>
    <col min="8" max="8" width="2.85546875" style="273" customWidth="1"/>
    <col min="9" max="12" width="11.5703125" style="135" customWidth="1"/>
    <col min="13" max="13" width="2.85546875" style="273" customWidth="1"/>
    <col min="14" max="17" width="11.5703125" style="134" customWidth="1"/>
    <col min="18" max="18" width="2.85546875" style="273" customWidth="1"/>
    <col min="19" max="19" width="11.5703125" style="144" customWidth="1"/>
    <col min="20" max="22" width="11.5703125" style="134" customWidth="1"/>
    <col min="23" max="23" width="2.85546875" style="273" customWidth="1"/>
    <col min="24" max="27" width="11.5703125" style="134" customWidth="1"/>
    <col min="28" max="28" width="2.85546875" style="134" customWidth="1"/>
    <col min="29" max="56" width="9.140625" style="134" customWidth="1"/>
    <col min="57" max="16384" width="9.140625" style="134"/>
  </cols>
  <sheetData>
    <row r="1" spans="2:29" ht="14.25" customHeight="1" x14ac:dyDescent="0.25"/>
    <row r="2" spans="2:29" ht="21" x14ac:dyDescent="0.25">
      <c r="B2" s="200" t="s">
        <v>62</v>
      </c>
      <c r="C2" s="201"/>
      <c r="D2" s="201"/>
      <c r="E2" s="201"/>
      <c r="F2" s="201"/>
      <c r="G2" s="201"/>
      <c r="H2" s="274"/>
    </row>
    <row r="3" spans="2:29" ht="21" x14ac:dyDescent="0.25">
      <c r="B3" s="200" t="str">
        <f>+'AER Summary'!C3</f>
        <v>Design Certification &amp; Re-certification</v>
      </c>
      <c r="C3" s="201"/>
      <c r="D3" s="201"/>
      <c r="E3" s="201"/>
      <c r="F3" s="201"/>
      <c r="G3" s="201"/>
      <c r="H3" s="274"/>
    </row>
    <row r="4" spans="2:29" ht="18.75" x14ac:dyDescent="0.25">
      <c r="B4" s="202" t="s">
        <v>98</v>
      </c>
      <c r="C4" s="203"/>
      <c r="D4" s="203"/>
      <c r="E4" s="203"/>
      <c r="F4" s="203"/>
      <c r="G4" s="203"/>
      <c r="H4" s="275"/>
    </row>
    <row r="5" spans="2:29" ht="14.25" customHeight="1" x14ac:dyDescent="0.25"/>
    <row r="6" spans="2:29" ht="41.25" customHeight="1" x14ac:dyDescent="0.25">
      <c r="B6" s="471" t="s">
        <v>205</v>
      </c>
      <c r="C6" s="472"/>
      <c r="D6" s="472"/>
      <c r="E6" s="472"/>
      <c r="F6" s="472"/>
      <c r="G6" s="472"/>
      <c r="H6" s="472"/>
      <c r="I6" s="472"/>
      <c r="J6" s="472"/>
      <c r="K6" s="472"/>
      <c r="L6" s="472"/>
      <c r="M6" s="472"/>
      <c r="N6" s="472"/>
      <c r="O6" s="472"/>
      <c r="P6" s="472"/>
      <c r="Q6" s="473"/>
    </row>
    <row r="7" spans="2:29" ht="14.25" customHeight="1" x14ac:dyDescent="0.25">
      <c r="B7" s="143"/>
      <c r="C7" s="143"/>
      <c r="D7" s="143"/>
      <c r="E7" s="143"/>
      <c r="F7" s="143"/>
      <c r="G7" s="143"/>
      <c r="S7" s="137"/>
      <c r="T7" s="136"/>
      <c r="U7" s="136"/>
      <c r="V7" s="136"/>
      <c r="X7" s="136"/>
      <c r="Y7" s="136"/>
      <c r="Z7" s="136"/>
      <c r="AA7" s="136"/>
    </row>
    <row r="8" spans="2:29" ht="29.25" customHeight="1" x14ac:dyDescent="0.25">
      <c r="C8" s="474" t="s">
        <v>92</v>
      </c>
      <c r="D8" s="475"/>
      <c r="E8" s="475"/>
      <c r="F8" s="475"/>
      <c r="G8" s="476"/>
      <c r="I8" s="477" t="s">
        <v>75</v>
      </c>
      <c r="J8" s="478"/>
      <c r="K8" s="478"/>
      <c r="L8" s="479"/>
      <c r="N8" s="486" t="s">
        <v>94</v>
      </c>
      <c r="O8" s="487"/>
      <c r="P8" s="487"/>
      <c r="Q8" s="488"/>
      <c r="S8" s="483" t="s">
        <v>95</v>
      </c>
      <c r="T8" s="484"/>
      <c r="U8" s="484"/>
      <c r="V8" s="485"/>
      <c r="X8" s="480" t="s">
        <v>98</v>
      </c>
      <c r="Y8" s="481"/>
      <c r="Z8" s="481"/>
      <c r="AA8" s="482"/>
    </row>
    <row r="9" spans="2:29" s="208" customFormat="1" ht="51" x14ac:dyDescent="0.25">
      <c r="B9" s="100" t="s">
        <v>15</v>
      </c>
      <c r="C9" s="129" t="s">
        <v>74</v>
      </c>
      <c r="D9" s="163" t="s">
        <v>8</v>
      </c>
      <c r="E9" s="163" t="s">
        <v>93</v>
      </c>
      <c r="F9" s="163" t="s">
        <v>86</v>
      </c>
      <c r="G9" s="130" t="s">
        <v>73</v>
      </c>
      <c r="H9" s="276"/>
      <c r="I9" s="216" t="s">
        <v>34</v>
      </c>
      <c r="J9" s="216" t="s">
        <v>35</v>
      </c>
      <c r="K9" s="216" t="s">
        <v>36</v>
      </c>
      <c r="L9" s="209" t="s">
        <v>97</v>
      </c>
      <c r="M9" s="278"/>
      <c r="N9" s="209" t="s">
        <v>37</v>
      </c>
      <c r="O9" s="209" t="s">
        <v>38</v>
      </c>
      <c r="P9" s="209" t="s">
        <v>39</v>
      </c>
      <c r="Q9" s="209" t="s">
        <v>40</v>
      </c>
      <c r="R9" s="278"/>
      <c r="S9" s="213" t="s">
        <v>41</v>
      </c>
      <c r="T9" s="214" t="s">
        <v>42</v>
      </c>
      <c r="U9" s="214" t="s">
        <v>43</v>
      </c>
      <c r="V9" s="214" t="s">
        <v>96</v>
      </c>
      <c r="W9" s="276"/>
      <c r="X9" s="214" t="s">
        <v>44</v>
      </c>
      <c r="Y9" s="214" t="s">
        <v>45</v>
      </c>
      <c r="Z9" s="214" t="s">
        <v>98</v>
      </c>
      <c r="AA9" s="214" t="s">
        <v>99</v>
      </c>
    </row>
    <row r="10" spans="2:29" ht="14.25" customHeight="1" x14ac:dyDescent="0.25">
      <c r="B10" s="204"/>
      <c r="C10" s="205"/>
      <c r="D10" s="210"/>
      <c r="E10" s="210"/>
      <c r="F10" s="236"/>
      <c r="G10" s="237"/>
      <c r="I10" s="139"/>
      <c r="J10" s="139"/>
      <c r="K10" s="139"/>
      <c r="L10" s="215"/>
      <c r="N10" s="192"/>
      <c r="O10" s="192"/>
      <c r="P10" s="192"/>
      <c r="Q10" s="215"/>
      <c r="R10" s="283"/>
      <c r="S10" s="192"/>
      <c r="T10" s="192"/>
      <c r="U10" s="192"/>
      <c r="V10" s="215"/>
      <c r="X10" s="219"/>
      <c r="Y10" s="139"/>
      <c r="Z10" s="139"/>
      <c r="AA10" s="192"/>
      <c r="AB10" s="144"/>
      <c r="AC10" s="135"/>
    </row>
    <row r="11" spans="2:29" ht="14.25" customHeight="1" x14ac:dyDescent="0.2">
      <c r="B11" s="293" t="s">
        <v>144</v>
      </c>
      <c r="C11" s="339"/>
      <c r="D11" s="339"/>
      <c r="E11" s="294"/>
      <c r="F11" s="339"/>
      <c r="G11" s="295"/>
      <c r="H11" s="277"/>
      <c r="I11" s="340"/>
      <c r="J11" s="340"/>
      <c r="K11" s="340"/>
      <c r="L11" s="341"/>
      <c r="M11" s="277"/>
      <c r="N11" s="342"/>
      <c r="O11" s="342"/>
      <c r="P11" s="342"/>
      <c r="Q11" s="341"/>
      <c r="R11" s="284"/>
      <c r="S11" s="342"/>
      <c r="T11" s="342"/>
      <c r="U11" s="342"/>
      <c r="V11" s="341"/>
      <c r="W11" s="285"/>
      <c r="X11" s="343"/>
      <c r="Y11" s="340"/>
      <c r="Z11" s="340"/>
      <c r="AA11" s="342"/>
      <c r="AB11" s="144"/>
      <c r="AC11" s="135"/>
    </row>
    <row r="12" spans="2:29" ht="14.25" customHeight="1" x14ac:dyDescent="0.2">
      <c r="B12" s="249" t="s">
        <v>9</v>
      </c>
      <c r="C12" s="207">
        <f>'Input Sheet'!G11</f>
        <v>80</v>
      </c>
      <c r="D12" s="211">
        <f>'Input Sheet'!H11</f>
        <v>1</v>
      </c>
      <c r="E12" s="211"/>
      <c r="F12" s="238">
        <f>'Input Sheet'!J11</f>
        <v>88</v>
      </c>
      <c r="G12" s="238">
        <f>'Input Sheet'!K11</f>
        <v>80</v>
      </c>
      <c r="I12" s="192">
        <f>+'Input Sheet'!H85</f>
        <v>49</v>
      </c>
      <c r="J12" s="192">
        <f>+'Input Sheet'!I85</f>
        <v>47</v>
      </c>
      <c r="K12" s="192">
        <f>+'Input Sheet'!J85</f>
        <v>63</v>
      </c>
      <c r="L12" s="260">
        <f t="shared" ref="L12" si="0">SUM(I12:K12)</f>
        <v>159</v>
      </c>
      <c r="M12" s="279"/>
      <c r="N12" s="192">
        <f>IF($D12="Hourly",$E12*I12,$D12*I12)</f>
        <v>49</v>
      </c>
      <c r="O12" s="192">
        <f t="shared" ref="O12:O28" si="1">IF($D12="Hourly",$E12*J12,$D12*J12)</f>
        <v>47</v>
      </c>
      <c r="P12" s="192">
        <f t="shared" ref="P12:P28" si="2">IF($D12="Hourly",$E12*K12,$D12*K12)</f>
        <v>63</v>
      </c>
      <c r="Q12" s="215">
        <f t="shared" ref="Q12:Q15" si="3">SUM(N12:P12)</f>
        <v>159</v>
      </c>
      <c r="R12" s="283"/>
      <c r="S12" s="192">
        <f>+N12/N$68*'Input Sheet'!H$175</f>
        <v>74.781643287951908</v>
      </c>
      <c r="T12" s="192">
        <f>+O12/O$68*'Input Sheet'!I$175</f>
        <v>79.516204210117778</v>
      </c>
      <c r="U12" s="192">
        <f>+P12/P$68*'Input Sheet'!J$175</f>
        <v>91.351890080563848</v>
      </c>
      <c r="V12" s="215">
        <f t="shared" ref="V12:V15" si="4">SUM(S12:U12)</f>
        <v>245.64973757863356</v>
      </c>
      <c r="W12" s="136"/>
      <c r="X12" s="219">
        <f t="shared" ref="X12:X15" si="5">IF(ISERROR(V12/L12),0,V12/L12)</f>
        <v>1.544966903010274</v>
      </c>
      <c r="Y12" s="139">
        <f t="shared" ref="Y12:Y15" si="6">ROUND(X12,0)</f>
        <v>2</v>
      </c>
      <c r="Z12" s="139">
        <f t="shared" ref="Z12:Z15" si="7">IF(D12="Hourly","Hourly",Y12)</f>
        <v>2</v>
      </c>
      <c r="AA12" s="192">
        <f t="shared" ref="AA12:AA15" si="8">+Y12*L12</f>
        <v>318</v>
      </c>
      <c r="AB12" s="144"/>
      <c r="AC12" s="135"/>
    </row>
    <row r="13" spans="2:29" ht="14.25" customHeight="1" x14ac:dyDescent="0.2">
      <c r="B13" s="249" t="s">
        <v>10</v>
      </c>
      <c r="C13" s="207">
        <f>'Input Sheet'!G12</f>
        <v>80</v>
      </c>
      <c r="D13" s="211">
        <f>'Input Sheet'!H12</f>
        <v>1.9886363636363638</v>
      </c>
      <c r="E13" s="211"/>
      <c r="F13" s="238">
        <f>'Input Sheet'!J12</f>
        <v>175</v>
      </c>
      <c r="G13" s="238">
        <f>'Input Sheet'!K12</f>
        <v>159.09090909090909</v>
      </c>
      <c r="I13" s="192">
        <f>+'Input Sheet'!H86</f>
        <v>25</v>
      </c>
      <c r="J13" s="192">
        <f>+'Input Sheet'!I86</f>
        <v>53</v>
      </c>
      <c r="K13" s="192">
        <f>+'Input Sheet'!J86</f>
        <v>43</v>
      </c>
      <c r="L13" s="260">
        <f t="shared" ref="L13:L28" si="9">SUM(I13:K13)</f>
        <v>121</v>
      </c>
      <c r="N13" s="192">
        <f t="shared" ref="N13:N28" si="10">IF($D13="Hourly",$E13*I13,$D13*I13)</f>
        <v>49.715909090909093</v>
      </c>
      <c r="O13" s="192">
        <f t="shared" si="1"/>
        <v>105.39772727272728</v>
      </c>
      <c r="P13" s="192">
        <f t="shared" si="2"/>
        <v>85.51136363636364</v>
      </c>
      <c r="Q13" s="215">
        <f t="shared" si="3"/>
        <v>240.625</v>
      </c>
      <c r="R13" s="283"/>
      <c r="S13" s="192">
        <f>+N13/N$68*'Input Sheet'!H$175</f>
        <v>75.874232232094059</v>
      </c>
      <c r="T13" s="192">
        <f>+O13/O$68*'Input Sheet'!I$175</f>
        <v>178.31547244894642</v>
      </c>
      <c r="U13" s="192">
        <f>+P13/P$68*'Input Sheet'!J$175</f>
        <v>123.99404272298756</v>
      </c>
      <c r="V13" s="215">
        <f t="shared" si="4"/>
        <v>378.18374740402805</v>
      </c>
      <c r="W13" s="136"/>
      <c r="X13" s="219">
        <f t="shared" si="5"/>
        <v>3.125485515735769</v>
      </c>
      <c r="Y13" s="139">
        <f t="shared" si="6"/>
        <v>3</v>
      </c>
      <c r="Z13" s="139">
        <f t="shared" si="7"/>
        <v>3</v>
      </c>
      <c r="AA13" s="192">
        <f t="shared" si="8"/>
        <v>363</v>
      </c>
      <c r="AB13" s="144"/>
      <c r="AC13" s="135"/>
    </row>
    <row r="14" spans="2:29" ht="14.25" customHeight="1" x14ac:dyDescent="0.2">
      <c r="B14" s="249" t="s">
        <v>11</v>
      </c>
      <c r="C14" s="207">
        <f>'Input Sheet'!G13</f>
        <v>80</v>
      </c>
      <c r="D14" s="211">
        <f>'Input Sheet'!H13</f>
        <v>2.9886363636363638</v>
      </c>
      <c r="E14" s="211"/>
      <c r="F14" s="238">
        <f>'Input Sheet'!J13</f>
        <v>263</v>
      </c>
      <c r="G14" s="238">
        <f>'Input Sheet'!K13</f>
        <v>239.09090909090909</v>
      </c>
      <c r="I14" s="192">
        <f>+'Input Sheet'!H87</f>
        <v>86</v>
      </c>
      <c r="J14" s="192">
        <f>+'Input Sheet'!I87</f>
        <v>101</v>
      </c>
      <c r="K14" s="192">
        <f>+'Input Sheet'!J87</f>
        <v>97</v>
      </c>
      <c r="L14" s="260">
        <f t="shared" si="9"/>
        <v>284</v>
      </c>
      <c r="N14" s="192">
        <f t="shared" si="10"/>
        <v>257.02272727272731</v>
      </c>
      <c r="O14" s="192">
        <f t="shared" si="1"/>
        <v>301.85227272727275</v>
      </c>
      <c r="P14" s="192">
        <f t="shared" si="2"/>
        <v>289.89772727272731</v>
      </c>
      <c r="Q14" s="215">
        <f t="shared" si="3"/>
        <v>848.77272727272725</v>
      </c>
      <c r="R14" s="283"/>
      <c r="S14" s="192">
        <f>+N14/N$68*'Input Sheet'!H$175</f>
        <v>392.25677362868652</v>
      </c>
      <c r="T14" s="192">
        <f>+O14/O$68*'Input Sheet'!I$175</f>
        <v>510.68397786106351</v>
      </c>
      <c r="U14" s="192">
        <f>+P14/P$68*'Input Sheet'!J$175</f>
        <v>420.36040184799145</v>
      </c>
      <c r="V14" s="215">
        <f t="shared" si="4"/>
        <v>1323.3011533377414</v>
      </c>
      <c r="W14" s="136"/>
      <c r="X14" s="219">
        <f t="shared" si="5"/>
        <v>4.6595111033019068</v>
      </c>
      <c r="Y14" s="139">
        <f t="shared" si="6"/>
        <v>5</v>
      </c>
      <c r="Z14" s="139">
        <f t="shared" si="7"/>
        <v>5</v>
      </c>
      <c r="AA14" s="192">
        <f t="shared" si="8"/>
        <v>1420</v>
      </c>
      <c r="AB14" s="144"/>
      <c r="AC14" s="135"/>
    </row>
    <row r="15" spans="2:29" ht="14.25" customHeight="1" x14ac:dyDescent="0.2">
      <c r="B15" s="249" t="s">
        <v>13</v>
      </c>
      <c r="C15" s="207">
        <f>'Input Sheet'!G14</f>
        <v>80</v>
      </c>
      <c r="D15" s="211">
        <f>'Input Sheet'!H14</f>
        <v>3.9772727272727275</v>
      </c>
      <c r="E15" s="211"/>
      <c r="F15" s="238">
        <f>'Input Sheet'!J14</f>
        <v>350</v>
      </c>
      <c r="G15" s="238">
        <f>'Input Sheet'!K14</f>
        <v>318.18181818181819</v>
      </c>
      <c r="I15" s="192">
        <f>+'Input Sheet'!H88</f>
        <v>72</v>
      </c>
      <c r="J15" s="192">
        <f>+'Input Sheet'!I88</f>
        <v>100</v>
      </c>
      <c r="K15" s="192">
        <f>+'Input Sheet'!J88</f>
        <v>75</v>
      </c>
      <c r="L15" s="260">
        <f t="shared" si="9"/>
        <v>247</v>
      </c>
      <c r="N15" s="192">
        <f t="shared" si="10"/>
        <v>286.36363636363637</v>
      </c>
      <c r="O15" s="192">
        <f t="shared" si="1"/>
        <v>397.72727272727275</v>
      </c>
      <c r="P15" s="192">
        <f t="shared" si="2"/>
        <v>298.29545454545456</v>
      </c>
      <c r="Q15" s="215">
        <f t="shared" si="3"/>
        <v>982.38636363636374</v>
      </c>
      <c r="R15" s="283"/>
      <c r="S15" s="192">
        <f>+N15/N$68*'Input Sheet'!H$175</f>
        <v>437.03557765686173</v>
      </c>
      <c r="T15" s="192">
        <f>+O15/O$68*'Input Sheet'!I$175</f>
        <v>672.88857527904315</v>
      </c>
      <c r="U15" s="192">
        <f>+P15/P$68*'Input Sheet'!J$175</f>
        <v>432.53735833600314</v>
      </c>
      <c r="V15" s="215">
        <f t="shared" si="4"/>
        <v>1542.461511271908</v>
      </c>
      <c r="W15" s="136"/>
      <c r="X15" s="219">
        <f t="shared" si="5"/>
        <v>6.2447834464449716</v>
      </c>
      <c r="Y15" s="139">
        <f t="shared" si="6"/>
        <v>6</v>
      </c>
      <c r="Z15" s="139">
        <f t="shared" si="7"/>
        <v>6</v>
      </c>
      <c r="AA15" s="192">
        <f t="shared" si="8"/>
        <v>1482</v>
      </c>
      <c r="AB15" s="144"/>
      <c r="AC15" s="135"/>
    </row>
    <row r="16" spans="2:29" ht="14.25" customHeight="1" x14ac:dyDescent="0.2">
      <c r="B16" s="249" t="s">
        <v>145</v>
      </c>
      <c r="C16" s="207">
        <f>'Input Sheet'!G15</f>
        <v>80</v>
      </c>
      <c r="D16" s="211">
        <f>'Input Sheet'!H15</f>
        <v>1</v>
      </c>
      <c r="E16" s="211"/>
      <c r="F16" s="238">
        <f>'Input Sheet'!J15</f>
        <v>88</v>
      </c>
      <c r="G16" s="238">
        <f>'Input Sheet'!K15</f>
        <v>80</v>
      </c>
      <c r="I16" s="192">
        <f>+'Input Sheet'!H89</f>
        <v>0</v>
      </c>
      <c r="J16" s="192">
        <f>+'Input Sheet'!I89</f>
        <v>0</v>
      </c>
      <c r="K16" s="192">
        <f>+'Input Sheet'!J89</f>
        <v>20</v>
      </c>
      <c r="L16" s="260">
        <f t="shared" si="9"/>
        <v>20</v>
      </c>
      <c r="N16" s="192">
        <f t="shared" si="10"/>
        <v>0</v>
      </c>
      <c r="O16" s="192">
        <f t="shared" si="1"/>
        <v>0</v>
      </c>
      <c r="P16" s="192">
        <f t="shared" si="2"/>
        <v>20</v>
      </c>
      <c r="Q16" s="215">
        <f t="shared" ref="Q16:Q28" si="11">SUM(N16:P16)</f>
        <v>20</v>
      </c>
      <c r="R16" s="283"/>
      <c r="S16" s="192">
        <f>+N16/N$68*'Input Sheet'!H$175</f>
        <v>0</v>
      </c>
      <c r="T16" s="192">
        <f>+O16/O$68*'Input Sheet'!I$175</f>
        <v>0</v>
      </c>
      <c r="U16" s="192">
        <f>+P16/P$68*'Input Sheet'!J$175</f>
        <v>29.000600025575828</v>
      </c>
      <c r="V16" s="215">
        <f t="shared" ref="V16:V28" si="12">SUM(S16:U16)</f>
        <v>29.000600025575828</v>
      </c>
      <c r="W16" s="136"/>
      <c r="X16" s="219">
        <f t="shared" ref="X16:X28" si="13">IF(ISERROR(V16/L16),0,V16/L16)</f>
        <v>1.4500300012787914</v>
      </c>
      <c r="Y16" s="139">
        <f t="shared" ref="Y16:Y28" si="14">ROUND(X16,0)</f>
        <v>1</v>
      </c>
      <c r="Z16" s="139">
        <f t="shared" ref="Z16:Z28" si="15">IF(D16="Hourly","Hourly",Y16)</f>
        <v>1</v>
      </c>
      <c r="AA16" s="192">
        <f t="shared" ref="AA16:AA28" si="16">+Y16*L16</f>
        <v>20</v>
      </c>
      <c r="AB16" s="144"/>
      <c r="AC16" s="135"/>
    </row>
    <row r="17" spans="2:29" ht="14.25" customHeight="1" x14ac:dyDescent="0.2">
      <c r="B17" s="249" t="s">
        <v>146</v>
      </c>
      <c r="C17" s="207">
        <f>'Input Sheet'!G16</f>
        <v>80</v>
      </c>
      <c r="D17" s="211">
        <f>'Input Sheet'!H16</f>
        <v>1.9886363636363638</v>
      </c>
      <c r="E17" s="211"/>
      <c r="F17" s="238">
        <f>'Input Sheet'!J16</f>
        <v>175</v>
      </c>
      <c r="G17" s="238">
        <f>'Input Sheet'!K16</f>
        <v>159.09090909090909</v>
      </c>
      <c r="I17" s="192">
        <f>+'Input Sheet'!H90</f>
        <v>0</v>
      </c>
      <c r="J17" s="192">
        <f>+'Input Sheet'!I90</f>
        <v>0</v>
      </c>
      <c r="K17" s="192">
        <f>+'Input Sheet'!J90</f>
        <v>6</v>
      </c>
      <c r="L17" s="260">
        <f t="shared" si="9"/>
        <v>6</v>
      </c>
      <c r="N17" s="192">
        <f t="shared" si="10"/>
        <v>0</v>
      </c>
      <c r="O17" s="192">
        <f t="shared" si="1"/>
        <v>0</v>
      </c>
      <c r="P17" s="192">
        <f t="shared" si="2"/>
        <v>11.931818181818183</v>
      </c>
      <c r="Q17" s="215">
        <f t="shared" si="11"/>
        <v>11.931818181818183</v>
      </c>
      <c r="R17" s="283"/>
      <c r="S17" s="192">
        <f>+N17/N$68*'Input Sheet'!H$175</f>
        <v>0</v>
      </c>
      <c r="T17" s="192">
        <f>+O17/O$68*'Input Sheet'!I$175</f>
        <v>0</v>
      </c>
      <c r="U17" s="192">
        <f>+P17/P$68*'Input Sheet'!J$175</f>
        <v>17.301494333440129</v>
      </c>
      <c r="V17" s="215">
        <f t="shared" si="12"/>
        <v>17.301494333440129</v>
      </c>
      <c r="W17" s="136"/>
      <c r="X17" s="219">
        <f t="shared" si="13"/>
        <v>2.8835823889066883</v>
      </c>
      <c r="Y17" s="139">
        <f t="shared" si="14"/>
        <v>3</v>
      </c>
      <c r="Z17" s="139">
        <f t="shared" si="15"/>
        <v>3</v>
      </c>
      <c r="AA17" s="192">
        <f t="shared" si="16"/>
        <v>18</v>
      </c>
      <c r="AB17" s="144"/>
      <c r="AC17" s="135"/>
    </row>
    <row r="18" spans="2:29" ht="14.25" customHeight="1" x14ac:dyDescent="0.2">
      <c r="B18" s="249" t="s">
        <v>147</v>
      </c>
      <c r="C18" s="207">
        <f>'Input Sheet'!G17</f>
        <v>80</v>
      </c>
      <c r="D18" s="211">
        <f>'Input Sheet'!H17</f>
        <v>2.9886363636363638</v>
      </c>
      <c r="E18" s="211"/>
      <c r="F18" s="238">
        <f>'Input Sheet'!J17</f>
        <v>263</v>
      </c>
      <c r="G18" s="238">
        <f>'Input Sheet'!K17</f>
        <v>239.09090909090909</v>
      </c>
      <c r="I18" s="192">
        <f>+'Input Sheet'!H91</f>
        <v>0</v>
      </c>
      <c r="J18" s="192">
        <f>+'Input Sheet'!I91</f>
        <v>0</v>
      </c>
      <c r="K18" s="192">
        <f>+'Input Sheet'!J91</f>
        <v>1</v>
      </c>
      <c r="L18" s="260">
        <f t="shared" si="9"/>
        <v>1</v>
      </c>
      <c r="N18" s="192">
        <f t="shared" si="10"/>
        <v>0</v>
      </c>
      <c r="O18" s="192">
        <f t="shared" si="1"/>
        <v>0</v>
      </c>
      <c r="P18" s="192">
        <f t="shared" si="2"/>
        <v>2.9886363636363638</v>
      </c>
      <c r="Q18" s="215">
        <f t="shared" si="11"/>
        <v>2.9886363636363638</v>
      </c>
      <c r="R18" s="283"/>
      <c r="S18" s="192">
        <f>+N18/N$68*'Input Sheet'!H$175</f>
        <v>0</v>
      </c>
      <c r="T18" s="192">
        <f>+O18/O$68*'Input Sheet'!I$175</f>
        <v>0</v>
      </c>
      <c r="U18" s="192">
        <f>+P18/P$68*'Input Sheet'!J$175</f>
        <v>4.3336123901854791</v>
      </c>
      <c r="V18" s="215">
        <f t="shared" si="12"/>
        <v>4.3336123901854791</v>
      </c>
      <c r="W18" s="136"/>
      <c r="X18" s="219">
        <f t="shared" si="13"/>
        <v>4.3336123901854791</v>
      </c>
      <c r="Y18" s="139">
        <f t="shared" si="14"/>
        <v>4</v>
      </c>
      <c r="Z18" s="139">
        <f t="shared" si="15"/>
        <v>4</v>
      </c>
      <c r="AA18" s="192">
        <f t="shared" si="16"/>
        <v>4</v>
      </c>
      <c r="AB18" s="144"/>
      <c r="AC18" s="135"/>
    </row>
    <row r="19" spans="2:29" ht="14.25" customHeight="1" x14ac:dyDescent="0.2">
      <c r="B19" s="249" t="s">
        <v>148</v>
      </c>
      <c r="C19" s="207">
        <f>'Input Sheet'!G18</f>
        <v>80</v>
      </c>
      <c r="D19" s="211">
        <f>'Input Sheet'!H18</f>
        <v>3.9772727272727275</v>
      </c>
      <c r="E19" s="211"/>
      <c r="F19" s="238">
        <f>'Input Sheet'!J18</f>
        <v>350</v>
      </c>
      <c r="G19" s="238">
        <f>'Input Sheet'!K18</f>
        <v>318.18181818181819</v>
      </c>
      <c r="I19" s="192">
        <f>+'Input Sheet'!H92</f>
        <v>0</v>
      </c>
      <c r="J19" s="192">
        <f>+'Input Sheet'!I92</f>
        <v>0</v>
      </c>
      <c r="K19" s="192">
        <f>+'Input Sheet'!J92</f>
        <v>0</v>
      </c>
      <c r="L19" s="260">
        <f t="shared" si="9"/>
        <v>0</v>
      </c>
      <c r="N19" s="192">
        <f t="shared" si="10"/>
        <v>0</v>
      </c>
      <c r="O19" s="192">
        <f t="shared" si="1"/>
        <v>0</v>
      </c>
      <c r="P19" s="192">
        <f t="shared" si="2"/>
        <v>0</v>
      </c>
      <c r="Q19" s="215">
        <f t="shared" si="11"/>
        <v>0</v>
      </c>
      <c r="R19" s="283"/>
      <c r="S19" s="192">
        <f>+N19/N$68*'Input Sheet'!H$175</f>
        <v>0</v>
      </c>
      <c r="T19" s="192">
        <f>+O19/O$68*'Input Sheet'!I$175</f>
        <v>0</v>
      </c>
      <c r="U19" s="192">
        <f>+P19/P$68*'Input Sheet'!J$175</f>
        <v>0</v>
      </c>
      <c r="V19" s="215">
        <f t="shared" si="12"/>
        <v>0</v>
      </c>
      <c r="W19" s="136"/>
      <c r="X19" s="219">
        <f t="shared" si="13"/>
        <v>0</v>
      </c>
      <c r="Y19" s="139">
        <f t="shared" si="14"/>
        <v>0</v>
      </c>
      <c r="Z19" s="139">
        <f t="shared" si="15"/>
        <v>0</v>
      </c>
      <c r="AA19" s="192">
        <f t="shared" si="16"/>
        <v>0</v>
      </c>
      <c r="AB19" s="144"/>
      <c r="AC19" s="135"/>
    </row>
    <row r="20" spans="2:29" ht="14.25" customHeight="1" x14ac:dyDescent="0.2">
      <c r="B20" s="249" t="s">
        <v>149</v>
      </c>
      <c r="C20" s="207">
        <f>'Input Sheet'!G19</f>
        <v>80</v>
      </c>
      <c r="D20" s="211">
        <f>'Input Sheet'!H19</f>
        <v>1</v>
      </c>
      <c r="E20" s="211"/>
      <c r="F20" s="238">
        <f>'Input Sheet'!J19</f>
        <v>88</v>
      </c>
      <c r="G20" s="238">
        <f>'Input Sheet'!K19</f>
        <v>80</v>
      </c>
      <c r="I20" s="192">
        <f>+'Input Sheet'!H93</f>
        <v>14</v>
      </c>
      <c r="J20" s="192">
        <f>+'Input Sheet'!I93</f>
        <v>18</v>
      </c>
      <c r="K20" s="192">
        <f>+'Input Sheet'!J93</f>
        <v>3</v>
      </c>
      <c r="L20" s="260">
        <f t="shared" si="9"/>
        <v>35</v>
      </c>
      <c r="N20" s="192">
        <f t="shared" si="10"/>
        <v>14</v>
      </c>
      <c r="O20" s="192">
        <f t="shared" si="1"/>
        <v>18</v>
      </c>
      <c r="P20" s="192">
        <f t="shared" si="2"/>
        <v>3</v>
      </c>
      <c r="Q20" s="215">
        <f t="shared" si="11"/>
        <v>35</v>
      </c>
      <c r="R20" s="283"/>
      <c r="S20" s="192">
        <f>+N20/N$68*'Input Sheet'!H$175</f>
        <v>21.366183796557685</v>
      </c>
      <c r="T20" s="192">
        <f>+O20/O$68*'Input Sheet'!I$175</f>
        <v>30.453014378342981</v>
      </c>
      <c r="U20" s="192">
        <f>+P20/P$68*'Input Sheet'!J$175</f>
        <v>4.3500900038363737</v>
      </c>
      <c r="V20" s="215">
        <f t="shared" si="12"/>
        <v>56.169288178737034</v>
      </c>
      <c r="W20" s="136"/>
      <c r="X20" s="219">
        <f t="shared" si="13"/>
        <v>1.6048368051067723</v>
      </c>
      <c r="Y20" s="139">
        <f t="shared" si="14"/>
        <v>2</v>
      </c>
      <c r="Z20" s="139">
        <f t="shared" si="15"/>
        <v>2</v>
      </c>
      <c r="AA20" s="192">
        <f t="shared" si="16"/>
        <v>70</v>
      </c>
      <c r="AB20" s="144"/>
      <c r="AC20" s="135"/>
    </row>
    <row r="21" spans="2:29" ht="14.25" customHeight="1" x14ac:dyDescent="0.2">
      <c r="B21" s="249" t="s">
        <v>150</v>
      </c>
      <c r="C21" s="207">
        <f>'Input Sheet'!G20</f>
        <v>80</v>
      </c>
      <c r="D21" s="211">
        <f>'Input Sheet'!H20</f>
        <v>1.9886363636363638</v>
      </c>
      <c r="E21" s="211"/>
      <c r="F21" s="238">
        <f>'Input Sheet'!J20</f>
        <v>175</v>
      </c>
      <c r="G21" s="238">
        <f>'Input Sheet'!K20</f>
        <v>159.09090909090909</v>
      </c>
      <c r="I21" s="192">
        <f>+'Input Sheet'!H94</f>
        <v>5</v>
      </c>
      <c r="J21" s="192">
        <f>+'Input Sheet'!I94</f>
        <v>8</v>
      </c>
      <c r="K21" s="192">
        <f>+'Input Sheet'!J94</f>
        <v>2</v>
      </c>
      <c r="L21" s="260">
        <f t="shared" si="9"/>
        <v>15</v>
      </c>
      <c r="N21" s="192">
        <f t="shared" si="10"/>
        <v>9.9431818181818183</v>
      </c>
      <c r="O21" s="192">
        <f t="shared" si="1"/>
        <v>15.90909090909091</v>
      </c>
      <c r="P21" s="192">
        <f t="shared" si="2"/>
        <v>3.9772727272727275</v>
      </c>
      <c r="Q21" s="215">
        <f t="shared" si="11"/>
        <v>29.829545454545453</v>
      </c>
      <c r="R21" s="283"/>
      <c r="S21" s="192">
        <f>+N21/N$68*'Input Sheet'!H$175</f>
        <v>15.17484644641881</v>
      </c>
      <c r="T21" s="192">
        <f>+O21/O$68*'Input Sheet'!I$175</f>
        <v>26.915543011161727</v>
      </c>
      <c r="U21" s="192">
        <f>+P21/P$68*'Input Sheet'!J$175</f>
        <v>5.7671647778133757</v>
      </c>
      <c r="V21" s="215">
        <f t="shared" si="12"/>
        <v>47.857554235393913</v>
      </c>
      <c r="W21" s="136"/>
      <c r="X21" s="219">
        <f t="shared" si="13"/>
        <v>3.1905036156929274</v>
      </c>
      <c r="Y21" s="139">
        <f t="shared" si="14"/>
        <v>3</v>
      </c>
      <c r="Z21" s="139">
        <f t="shared" si="15"/>
        <v>3</v>
      </c>
      <c r="AA21" s="192">
        <f t="shared" si="16"/>
        <v>45</v>
      </c>
      <c r="AB21" s="144"/>
      <c r="AC21" s="135"/>
    </row>
    <row r="22" spans="2:29" ht="14.25" customHeight="1" x14ac:dyDescent="0.2">
      <c r="B22" s="249" t="s">
        <v>151</v>
      </c>
      <c r="C22" s="207">
        <f>'Input Sheet'!G21</f>
        <v>80</v>
      </c>
      <c r="D22" s="211">
        <f>'Input Sheet'!H21</f>
        <v>2.9886363636363638</v>
      </c>
      <c r="E22" s="211"/>
      <c r="F22" s="238">
        <f>'Input Sheet'!J21</f>
        <v>263</v>
      </c>
      <c r="G22" s="238">
        <f>'Input Sheet'!K21</f>
        <v>239.09090909090909</v>
      </c>
      <c r="I22" s="192">
        <f>+'Input Sheet'!H95</f>
        <v>7</v>
      </c>
      <c r="J22" s="192">
        <f>+'Input Sheet'!I95</f>
        <v>14</v>
      </c>
      <c r="K22" s="192">
        <f>+'Input Sheet'!J95</f>
        <v>0</v>
      </c>
      <c r="L22" s="260">
        <f t="shared" si="9"/>
        <v>21</v>
      </c>
      <c r="N22" s="192">
        <f t="shared" si="10"/>
        <v>20.920454545454547</v>
      </c>
      <c r="O22" s="192">
        <f t="shared" si="1"/>
        <v>41.840909090909093</v>
      </c>
      <c r="P22" s="192">
        <f t="shared" si="2"/>
        <v>0</v>
      </c>
      <c r="Q22" s="215">
        <f t="shared" si="11"/>
        <v>62.76136363636364</v>
      </c>
      <c r="R22" s="283"/>
      <c r="S22" s="192">
        <f>+N22/N$68*'Input Sheet'!H$175</f>
        <v>31.927876923265181</v>
      </c>
      <c r="T22" s="192">
        <f>+O22/O$68*'Input Sheet'!I$175</f>
        <v>70.787878119355341</v>
      </c>
      <c r="U22" s="192">
        <f>+P22/P$68*'Input Sheet'!J$175</f>
        <v>0</v>
      </c>
      <c r="V22" s="215">
        <f t="shared" si="12"/>
        <v>102.71575504262051</v>
      </c>
      <c r="W22" s="136"/>
      <c r="X22" s="219">
        <f t="shared" si="13"/>
        <v>4.8912264306009767</v>
      </c>
      <c r="Y22" s="139">
        <f t="shared" si="14"/>
        <v>5</v>
      </c>
      <c r="Z22" s="139">
        <f t="shared" si="15"/>
        <v>5</v>
      </c>
      <c r="AA22" s="192">
        <f t="shared" si="16"/>
        <v>105</v>
      </c>
      <c r="AB22" s="144"/>
      <c r="AC22" s="135"/>
    </row>
    <row r="23" spans="2:29" ht="14.25" customHeight="1" x14ac:dyDescent="0.2">
      <c r="B23" s="249" t="s">
        <v>152</v>
      </c>
      <c r="C23" s="207">
        <f>'Input Sheet'!G22</f>
        <v>80</v>
      </c>
      <c r="D23" s="211">
        <f>'Input Sheet'!H22</f>
        <v>1.9886363636363638</v>
      </c>
      <c r="E23" s="211"/>
      <c r="F23" s="238">
        <f>'Input Sheet'!J22</f>
        <v>175</v>
      </c>
      <c r="G23" s="238">
        <f>'Input Sheet'!K22</f>
        <v>159.09090909090909</v>
      </c>
      <c r="I23" s="192">
        <f>+'Input Sheet'!H96</f>
        <v>0</v>
      </c>
      <c r="J23" s="192">
        <f>+'Input Sheet'!I96</f>
        <v>0</v>
      </c>
      <c r="K23" s="192">
        <f>+'Input Sheet'!J96</f>
        <v>14</v>
      </c>
      <c r="L23" s="260">
        <f t="shared" si="9"/>
        <v>14</v>
      </c>
      <c r="N23" s="192">
        <f t="shared" si="10"/>
        <v>0</v>
      </c>
      <c r="O23" s="192">
        <f t="shared" si="1"/>
        <v>0</v>
      </c>
      <c r="P23" s="192">
        <f t="shared" si="2"/>
        <v>27.840909090909093</v>
      </c>
      <c r="Q23" s="215">
        <f t="shared" si="11"/>
        <v>27.840909090909093</v>
      </c>
      <c r="R23" s="283"/>
      <c r="S23" s="192">
        <f>+N23/N$68*'Input Sheet'!H$175</f>
        <v>0</v>
      </c>
      <c r="T23" s="192">
        <f>+O23/O$68*'Input Sheet'!I$175</f>
        <v>0</v>
      </c>
      <c r="U23" s="192">
        <f>+P23/P$68*'Input Sheet'!J$175</f>
        <v>40.370153444693621</v>
      </c>
      <c r="V23" s="215">
        <f t="shared" si="12"/>
        <v>40.370153444693621</v>
      </c>
      <c r="W23" s="136"/>
      <c r="X23" s="219">
        <f t="shared" si="13"/>
        <v>2.8835823889066874</v>
      </c>
      <c r="Y23" s="139">
        <f t="shared" si="14"/>
        <v>3</v>
      </c>
      <c r="Z23" s="139">
        <f t="shared" si="15"/>
        <v>3</v>
      </c>
      <c r="AA23" s="192">
        <f t="shared" si="16"/>
        <v>42</v>
      </c>
      <c r="AB23" s="144"/>
      <c r="AC23" s="135"/>
    </row>
    <row r="24" spans="2:29" ht="14.25" customHeight="1" x14ac:dyDescent="0.2">
      <c r="B24" s="249" t="s">
        <v>153</v>
      </c>
      <c r="C24" s="207">
        <f>'Input Sheet'!G23</f>
        <v>80</v>
      </c>
      <c r="D24" s="211">
        <f>'Input Sheet'!H23</f>
        <v>2.9886363636363638</v>
      </c>
      <c r="E24" s="211"/>
      <c r="F24" s="238">
        <f>'Input Sheet'!J23</f>
        <v>263</v>
      </c>
      <c r="G24" s="238">
        <f>'Input Sheet'!K23</f>
        <v>239.09090909090909</v>
      </c>
      <c r="I24" s="192">
        <f>+'Input Sheet'!H97</f>
        <v>0</v>
      </c>
      <c r="J24" s="192">
        <f>+'Input Sheet'!I97</f>
        <v>0</v>
      </c>
      <c r="K24" s="192">
        <f>+'Input Sheet'!J97</f>
        <v>4</v>
      </c>
      <c r="L24" s="260">
        <f t="shared" si="9"/>
        <v>4</v>
      </c>
      <c r="N24" s="192">
        <f t="shared" si="10"/>
        <v>0</v>
      </c>
      <c r="O24" s="192">
        <f t="shared" si="1"/>
        <v>0</v>
      </c>
      <c r="P24" s="192">
        <f t="shared" si="2"/>
        <v>11.954545454545455</v>
      </c>
      <c r="Q24" s="215">
        <f t="shared" si="11"/>
        <v>11.954545454545455</v>
      </c>
      <c r="R24" s="283"/>
      <c r="S24" s="192">
        <f>+N24/N$68*'Input Sheet'!H$175</f>
        <v>0</v>
      </c>
      <c r="T24" s="192">
        <f>+O24/O$68*'Input Sheet'!I$175</f>
        <v>0</v>
      </c>
      <c r="U24" s="192">
        <f>+P24/P$68*'Input Sheet'!J$175</f>
        <v>17.334449560741916</v>
      </c>
      <c r="V24" s="215">
        <f t="shared" si="12"/>
        <v>17.334449560741916</v>
      </c>
      <c r="W24" s="136"/>
      <c r="X24" s="219">
        <f t="shared" si="13"/>
        <v>4.3336123901854791</v>
      </c>
      <c r="Y24" s="139">
        <f t="shared" si="14"/>
        <v>4</v>
      </c>
      <c r="Z24" s="139">
        <f t="shared" si="15"/>
        <v>4</v>
      </c>
      <c r="AA24" s="192">
        <f t="shared" si="16"/>
        <v>16</v>
      </c>
      <c r="AB24" s="144"/>
      <c r="AC24" s="135"/>
    </row>
    <row r="25" spans="2:29" ht="14.25" customHeight="1" x14ac:dyDescent="0.2">
      <c r="B25" s="249" t="s">
        <v>154</v>
      </c>
      <c r="C25" s="207">
        <f>'Input Sheet'!G24</f>
        <v>80</v>
      </c>
      <c r="D25" s="211">
        <f>'Input Sheet'!H24</f>
        <v>5.9772727272727275</v>
      </c>
      <c r="E25" s="211"/>
      <c r="F25" s="238">
        <f>'Input Sheet'!J24</f>
        <v>526</v>
      </c>
      <c r="G25" s="238">
        <f>'Input Sheet'!K24</f>
        <v>478.18181818181819</v>
      </c>
      <c r="I25" s="192">
        <f>+'Input Sheet'!H98</f>
        <v>0</v>
      </c>
      <c r="J25" s="192">
        <f>+'Input Sheet'!I98</f>
        <v>0</v>
      </c>
      <c r="K25" s="192">
        <f>+'Input Sheet'!J98</f>
        <v>0</v>
      </c>
      <c r="L25" s="260">
        <f t="shared" si="9"/>
        <v>0</v>
      </c>
      <c r="N25" s="192">
        <f t="shared" si="10"/>
        <v>0</v>
      </c>
      <c r="O25" s="192">
        <f t="shared" si="1"/>
        <v>0</v>
      </c>
      <c r="P25" s="192">
        <f t="shared" si="2"/>
        <v>0</v>
      </c>
      <c r="Q25" s="215">
        <f t="shared" si="11"/>
        <v>0</v>
      </c>
      <c r="R25" s="283"/>
      <c r="S25" s="192">
        <f>+N25/N$68*'Input Sheet'!H$175</f>
        <v>0</v>
      </c>
      <c r="T25" s="192">
        <f>+O25/O$68*'Input Sheet'!I$175</f>
        <v>0</v>
      </c>
      <c r="U25" s="192">
        <f>+P25/P$68*'Input Sheet'!J$175</f>
        <v>0</v>
      </c>
      <c r="V25" s="215">
        <f t="shared" si="12"/>
        <v>0</v>
      </c>
      <c r="W25" s="136"/>
      <c r="X25" s="219">
        <f t="shared" si="13"/>
        <v>0</v>
      </c>
      <c r="Y25" s="139">
        <f t="shared" si="14"/>
        <v>0</v>
      </c>
      <c r="Z25" s="139">
        <f t="shared" si="15"/>
        <v>0</v>
      </c>
      <c r="AA25" s="192">
        <f t="shared" si="16"/>
        <v>0</v>
      </c>
      <c r="AB25" s="144"/>
      <c r="AC25" s="135"/>
    </row>
    <row r="26" spans="2:29" ht="14.25" customHeight="1" x14ac:dyDescent="0.2">
      <c r="B26" s="249" t="s">
        <v>155</v>
      </c>
      <c r="C26" s="207">
        <f>'Input Sheet'!G25</f>
        <v>80</v>
      </c>
      <c r="D26" s="211">
        <f>'Input Sheet'!H25</f>
        <v>1</v>
      </c>
      <c r="E26" s="211"/>
      <c r="F26" s="238">
        <f>'Input Sheet'!J25</f>
        <v>88</v>
      </c>
      <c r="G26" s="238">
        <f>'Input Sheet'!K25</f>
        <v>80</v>
      </c>
      <c r="I26" s="192">
        <f>+'Input Sheet'!H99</f>
        <v>12</v>
      </c>
      <c r="J26" s="192">
        <f>+'Input Sheet'!I99</f>
        <v>4</v>
      </c>
      <c r="K26" s="192">
        <f>+'Input Sheet'!J99</f>
        <v>9</v>
      </c>
      <c r="L26" s="260">
        <f t="shared" si="9"/>
        <v>25</v>
      </c>
      <c r="N26" s="192">
        <f t="shared" si="10"/>
        <v>12</v>
      </c>
      <c r="O26" s="192">
        <f t="shared" si="1"/>
        <v>4</v>
      </c>
      <c r="P26" s="192">
        <f t="shared" si="2"/>
        <v>9</v>
      </c>
      <c r="Q26" s="215">
        <f t="shared" si="11"/>
        <v>25</v>
      </c>
      <c r="R26" s="283"/>
      <c r="S26" s="192">
        <f>+N26/N$68*'Input Sheet'!H$175</f>
        <v>18.313871825620875</v>
      </c>
      <c r="T26" s="192">
        <f>+O26/O$68*'Input Sheet'!I$175</f>
        <v>6.7673365285206613</v>
      </c>
      <c r="U26" s="192">
        <f>+P26/P$68*'Input Sheet'!J$175</f>
        <v>13.050270011509122</v>
      </c>
      <c r="V26" s="215">
        <f t="shared" si="12"/>
        <v>38.131478365650658</v>
      </c>
      <c r="W26" s="136"/>
      <c r="X26" s="219">
        <f t="shared" si="13"/>
        <v>1.5252591346260262</v>
      </c>
      <c r="Y26" s="139">
        <f t="shared" si="14"/>
        <v>2</v>
      </c>
      <c r="Z26" s="139">
        <f t="shared" si="15"/>
        <v>2</v>
      </c>
      <c r="AA26" s="192">
        <f t="shared" si="16"/>
        <v>50</v>
      </c>
      <c r="AB26" s="144"/>
      <c r="AC26" s="135"/>
    </row>
    <row r="27" spans="2:29" ht="14.25" customHeight="1" x14ac:dyDescent="0.2">
      <c r="B27" s="249" t="s">
        <v>156</v>
      </c>
      <c r="C27" s="207">
        <f>'Input Sheet'!G26</f>
        <v>80</v>
      </c>
      <c r="D27" s="211">
        <f>'Input Sheet'!H26</f>
        <v>1.9886363636363638</v>
      </c>
      <c r="E27" s="211"/>
      <c r="F27" s="238">
        <f>'Input Sheet'!J26</f>
        <v>175</v>
      </c>
      <c r="G27" s="238">
        <f>'Input Sheet'!K26</f>
        <v>159.09090909090909</v>
      </c>
      <c r="I27" s="192">
        <f>+'Input Sheet'!H100</f>
        <v>0</v>
      </c>
      <c r="J27" s="192">
        <f>+'Input Sheet'!I100</f>
        <v>3</v>
      </c>
      <c r="K27" s="192">
        <f>+'Input Sheet'!J100</f>
        <v>0</v>
      </c>
      <c r="L27" s="260">
        <f t="shared" si="9"/>
        <v>3</v>
      </c>
      <c r="N27" s="192">
        <f t="shared" si="10"/>
        <v>0</v>
      </c>
      <c r="O27" s="192">
        <f t="shared" si="1"/>
        <v>5.9659090909090917</v>
      </c>
      <c r="P27" s="192">
        <f t="shared" si="2"/>
        <v>0</v>
      </c>
      <c r="Q27" s="215">
        <f t="shared" si="11"/>
        <v>5.9659090909090917</v>
      </c>
      <c r="R27" s="283"/>
      <c r="S27" s="192">
        <f>+N27/N$68*'Input Sheet'!H$175</f>
        <v>0</v>
      </c>
      <c r="T27" s="192">
        <f>+O27/O$68*'Input Sheet'!I$175</f>
        <v>10.093328629185647</v>
      </c>
      <c r="U27" s="192">
        <f>+P27/P$68*'Input Sheet'!J$175</f>
        <v>0</v>
      </c>
      <c r="V27" s="215">
        <f t="shared" si="12"/>
        <v>10.093328629185647</v>
      </c>
      <c r="W27" s="136"/>
      <c r="X27" s="219">
        <f t="shared" si="13"/>
        <v>3.3644428763952159</v>
      </c>
      <c r="Y27" s="139">
        <f t="shared" si="14"/>
        <v>3</v>
      </c>
      <c r="Z27" s="139">
        <f t="shared" si="15"/>
        <v>3</v>
      </c>
      <c r="AA27" s="192">
        <f t="shared" si="16"/>
        <v>9</v>
      </c>
      <c r="AB27" s="144"/>
      <c r="AC27" s="135"/>
    </row>
    <row r="28" spans="2:29" ht="14.25" customHeight="1" x14ac:dyDescent="0.2">
      <c r="B28" s="249" t="s">
        <v>157</v>
      </c>
      <c r="C28" s="207">
        <f>'Input Sheet'!G27</f>
        <v>80</v>
      </c>
      <c r="D28" s="211">
        <f>'Input Sheet'!H27</f>
        <v>2.9886363636363638</v>
      </c>
      <c r="E28" s="211"/>
      <c r="F28" s="238">
        <f>'Input Sheet'!J27</f>
        <v>263</v>
      </c>
      <c r="G28" s="238">
        <f>'Input Sheet'!K27</f>
        <v>239.09090909090909</v>
      </c>
      <c r="I28" s="192">
        <f>+'Input Sheet'!H101</f>
        <v>0</v>
      </c>
      <c r="J28" s="192">
        <f>+'Input Sheet'!I101</f>
        <v>4</v>
      </c>
      <c r="K28" s="192">
        <f>+'Input Sheet'!J101</f>
        <v>0</v>
      </c>
      <c r="L28" s="260">
        <f t="shared" si="9"/>
        <v>4</v>
      </c>
      <c r="N28" s="192">
        <f t="shared" si="10"/>
        <v>0</v>
      </c>
      <c r="O28" s="192">
        <f t="shared" si="1"/>
        <v>11.954545454545455</v>
      </c>
      <c r="P28" s="192">
        <f t="shared" si="2"/>
        <v>0</v>
      </c>
      <c r="Q28" s="215">
        <f t="shared" si="11"/>
        <v>11.954545454545455</v>
      </c>
      <c r="R28" s="283"/>
      <c r="S28" s="192">
        <f>+N28/N$68*'Input Sheet'!H$175</f>
        <v>0</v>
      </c>
      <c r="T28" s="192">
        <f>+O28/O$68*'Input Sheet'!I$175</f>
        <v>20.225108034101524</v>
      </c>
      <c r="U28" s="192">
        <f>+P28/P$68*'Input Sheet'!J$175</f>
        <v>0</v>
      </c>
      <c r="V28" s="215">
        <f t="shared" si="12"/>
        <v>20.225108034101524</v>
      </c>
      <c r="W28" s="136"/>
      <c r="X28" s="219">
        <f t="shared" si="13"/>
        <v>5.056277008525381</v>
      </c>
      <c r="Y28" s="139">
        <f t="shared" si="14"/>
        <v>5</v>
      </c>
      <c r="Z28" s="139">
        <f t="shared" si="15"/>
        <v>5</v>
      </c>
      <c r="AA28" s="192">
        <f t="shared" si="16"/>
        <v>20</v>
      </c>
      <c r="AB28" s="144"/>
      <c r="AC28" s="135"/>
    </row>
    <row r="29" spans="2:29" ht="14.25" customHeight="1" x14ac:dyDescent="0.2">
      <c r="B29" s="249"/>
      <c r="C29" s="207"/>
      <c r="D29" s="211"/>
      <c r="E29" s="211"/>
      <c r="F29" s="238"/>
      <c r="G29" s="132"/>
      <c r="I29" s="192"/>
      <c r="J29" s="192"/>
      <c r="K29" s="192"/>
      <c r="L29" s="260"/>
      <c r="N29" s="192"/>
      <c r="O29" s="192"/>
      <c r="P29" s="192"/>
      <c r="Q29" s="215"/>
      <c r="R29" s="283"/>
      <c r="S29" s="192"/>
      <c r="T29" s="192"/>
      <c r="U29" s="192"/>
      <c r="V29" s="215"/>
      <c r="W29" s="136"/>
      <c r="X29" s="219"/>
      <c r="Y29" s="139"/>
      <c r="Z29" s="139"/>
      <c r="AA29" s="192"/>
      <c r="AB29" s="144"/>
      <c r="AC29" s="135"/>
    </row>
    <row r="30" spans="2:29" ht="14.25" customHeight="1" x14ac:dyDescent="0.2">
      <c r="B30" s="249" t="s">
        <v>117</v>
      </c>
      <c r="C30" s="207">
        <f>'Input Sheet'!G29</f>
        <v>96.363636363636374</v>
      </c>
      <c r="D30" s="211" t="str">
        <f>'Input Sheet'!H29</f>
        <v>Hourly</v>
      </c>
      <c r="E30" s="211">
        <f>'Input Sheet'!I29</f>
        <v>5</v>
      </c>
      <c r="F30" s="238">
        <f>'Input Sheet'!J29</f>
        <v>106</v>
      </c>
      <c r="G30" s="238">
        <f>'Input Sheet'!K29</f>
        <v>96.363636363636374</v>
      </c>
      <c r="I30" s="192">
        <f>+'Input Sheet'!H103</f>
        <v>81</v>
      </c>
      <c r="J30" s="192">
        <f>+'Input Sheet'!I103</f>
        <v>73</v>
      </c>
      <c r="K30" s="192">
        <f>+'Input Sheet'!J103</f>
        <v>61</v>
      </c>
      <c r="L30" s="260">
        <f t="shared" ref="L30:L43" si="17">SUM(I30:K30)</f>
        <v>215</v>
      </c>
      <c r="N30" s="192">
        <f t="shared" ref="N30:N43" si="18">IF($D30="Hourly",$E30*I30,$D30*I30)</f>
        <v>405</v>
      </c>
      <c r="O30" s="192">
        <f t="shared" ref="O30:O43" si="19">IF($D30="Hourly",$E30*J30,$D30*J30)</f>
        <v>365</v>
      </c>
      <c r="P30" s="192">
        <f t="shared" ref="P30:P43" si="20">IF($D30="Hourly",$E30*K30,$D30*K30)</f>
        <v>305</v>
      </c>
      <c r="Q30" s="215">
        <f t="shared" ref="Q30:Q43" si="21">SUM(N30:P30)</f>
        <v>1075</v>
      </c>
      <c r="R30" s="283"/>
      <c r="S30" s="192">
        <f>+N30/N$68*'Input Sheet'!H$175</f>
        <v>618.09317411470442</v>
      </c>
      <c r="T30" s="192">
        <f>+O30/O$68*'Input Sheet'!I$175</f>
        <v>617.51945822751043</v>
      </c>
      <c r="U30" s="192">
        <f>+P30/P$68*'Input Sheet'!J$175</f>
        <v>442.25915039003132</v>
      </c>
      <c r="V30" s="215">
        <f t="shared" ref="V30:V43" si="22">SUM(S30:U30)</f>
        <v>1677.8717827322462</v>
      </c>
      <c r="W30" s="136"/>
      <c r="X30" s="219">
        <f t="shared" ref="X30:X43" si="23">IF(ISERROR(V30/L30),0,V30/L30)</f>
        <v>7.8040548034057959</v>
      </c>
      <c r="Y30" s="139">
        <f t="shared" ref="Y30:Y43" si="24">ROUND(X30,0)</f>
        <v>8</v>
      </c>
      <c r="Z30" s="139" t="str">
        <f t="shared" ref="Z30:Z43" si="25">IF(D30="Hourly","Hourly",Y30)</f>
        <v>Hourly</v>
      </c>
      <c r="AA30" s="192">
        <f t="shared" ref="AA30:AA43" si="26">+Y30*L30</f>
        <v>1720</v>
      </c>
      <c r="AB30" s="144"/>
      <c r="AC30" s="135"/>
    </row>
    <row r="31" spans="2:29" ht="14.25" customHeight="1" x14ac:dyDescent="0.2">
      <c r="B31" s="249" t="s">
        <v>118</v>
      </c>
      <c r="C31" s="207">
        <f>'Input Sheet'!G30</f>
        <v>96.363636363636374</v>
      </c>
      <c r="D31" s="211" t="str">
        <f>'Input Sheet'!H30</f>
        <v>Hourly</v>
      </c>
      <c r="E31" s="211">
        <f>'Input Sheet'!I30</f>
        <v>10</v>
      </c>
      <c r="F31" s="238">
        <f>'Input Sheet'!J30</f>
        <v>106</v>
      </c>
      <c r="G31" s="238">
        <f>'Input Sheet'!K30</f>
        <v>96.363636363636374</v>
      </c>
      <c r="I31" s="192">
        <f>+'Input Sheet'!H104</f>
        <v>90</v>
      </c>
      <c r="J31" s="192">
        <f>+'Input Sheet'!I104</f>
        <v>73</v>
      </c>
      <c r="K31" s="192">
        <f>+'Input Sheet'!J104</f>
        <v>69</v>
      </c>
      <c r="L31" s="260">
        <f t="shared" si="17"/>
        <v>232</v>
      </c>
      <c r="N31" s="192">
        <f t="shared" si="18"/>
        <v>900</v>
      </c>
      <c r="O31" s="192">
        <f t="shared" si="19"/>
        <v>730</v>
      </c>
      <c r="P31" s="192">
        <f t="shared" si="20"/>
        <v>690</v>
      </c>
      <c r="Q31" s="215">
        <f t="shared" si="21"/>
        <v>2320</v>
      </c>
      <c r="R31" s="283"/>
      <c r="S31" s="192">
        <f>+N31/N$68*'Input Sheet'!H$175</f>
        <v>1373.5403869215654</v>
      </c>
      <c r="T31" s="192">
        <f>+O31/O$68*'Input Sheet'!I$175</f>
        <v>1235.0389164550209</v>
      </c>
      <c r="U31" s="192">
        <f>+P31/P$68*'Input Sheet'!J$175</f>
        <v>1000.520700882366</v>
      </c>
      <c r="V31" s="215">
        <f t="shared" si="22"/>
        <v>3609.1000042589521</v>
      </c>
      <c r="W31" s="136"/>
      <c r="X31" s="219">
        <f t="shared" si="23"/>
        <v>15.556465535598932</v>
      </c>
      <c r="Y31" s="139">
        <f t="shared" si="24"/>
        <v>16</v>
      </c>
      <c r="Z31" s="139" t="str">
        <f t="shared" si="25"/>
        <v>Hourly</v>
      </c>
      <c r="AA31" s="192">
        <f t="shared" si="26"/>
        <v>3712</v>
      </c>
      <c r="AB31" s="144"/>
      <c r="AC31" s="135"/>
    </row>
    <row r="32" spans="2:29" ht="14.25" customHeight="1" x14ac:dyDescent="0.2">
      <c r="B32" s="249" t="s">
        <v>119</v>
      </c>
      <c r="C32" s="207">
        <f>'Input Sheet'!G31</f>
        <v>96.363636363636374</v>
      </c>
      <c r="D32" s="211" t="str">
        <f>'Input Sheet'!H31</f>
        <v>Hourly</v>
      </c>
      <c r="E32" s="211">
        <f>'Input Sheet'!I31</f>
        <v>15</v>
      </c>
      <c r="F32" s="238">
        <f>'Input Sheet'!J31</f>
        <v>106</v>
      </c>
      <c r="G32" s="238">
        <f>'Input Sheet'!K31</f>
        <v>96.363636363636374</v>
      </c>
      <c r="I32" s="192">
        <f>+'Input Sheet'!H105</f>
        <v>55</v>
      </c>
      <c r="J32" s="192">
        <f>+'Input Sheet'!I105</f>
        <v>50</v>
      </c>
      <c r="K32" s="192">
        <f>+'Input Sheet'!J105</f>
        <v>63</v>
      </c>
      <c r="L32" s="260">
        <f t="shared" si="17"/>
        <v>168</v>
      </c>
      <c r="N32" s="192">
        <f t="shared" si="18"/>
        <v>825</v>
      </c>
      <c r="O32" s="192">
        <f t="shared" si="19"/>
        <v>750</v>
      </c>
      <c r="P32" s="192">
        <f t="shared" si="20"/>
        <v>945</v>
      </c>
      <c r="Q32" s="215">
        <f t="shared" si="21"/>
        <v>2520</v>
      </c>
      <c r="R32" s="283"/>
      <c r="S32" s="192">
        <f>+N32/N$68*'Input Sheet'!H$175</f>
        <v>1259.0786880114349</v>
      </c>
      <c r="T32" s="192">
        <f>+O32/O$68*'Input Sheet'!I$175</f>
        <v>1268.8755990976242</v>
      </c>
      <c r="U32" s="192">
        <f>+P32/P$68*'Input Sheet'!J$175</f>
        <v>1370.2783512084577</v>
      </c>
      <c r="V32" s="215">
        <f t="shared" si="22"/>
        <v>3898.2326383175168</v>
      </c>
      <c r="W32" s="136"/>
      <c r="X32" s="219">
        <f t="shared" si="23"/>
        <v>23.203765704270932</v>
      </c>
      <c r="Y32" s="139">
        <f t="shared" si="24"/>
        <v>23</v>
      </c>
      <c r="Z32" s="139" t="str">
        <f t="shared" si="25"/>
        <v>Hourly</v>
      </c>
      <c r="AA32" s="192">
        <f t="shared" si="26"/>
        <v>3864</v>
      </c>
      <c r="AB32" s="144"/>
      <c r="AC32" s="135"/>
    </row>
    <row r="33" spans="2:29" ht="14.25" customHeight="1" x14ac:dyDescent="0.2">
      <c r="B33" s="249" t="s">
        <v>120</v>
      </c>
      <c r="C33" s="207">
        <f>'Input Sheet'!G32</f>
        <v>96.363636363636374</v>
      </c>
      <c r="D33" s="211" t="str">
        <f>'Input Sheet'!H32</f>
        <v>Hourly</v>
      </c>
      <c r="E33" s="211">
        <f>'Input Sheet'!I32</f>
        <v>25</v>
      </c>
      <c r="F33" s="238">
        <f>'Input Sheet'!J32</f>
        <v>106</v>
      </c>
      <c r="G33" s="238">
        <f>'Input Sheet'!K32</f>
        <v>96.363636363636374</v>
      </c>
      <c r="I33" s="192">
        <f>+'Input Sheet'!H106</f>
        <v>8</v>
      </c>
      <c r="J33" s="192">
        <f>+'Input Sheet'!I106</f>
        <v>4</v>
      </c>
      <c r="K33" s="192">
        <f>+'Input Sheet'!J106</f>
        <v>9</v>
      </c>
      <c r="L33" s="260">
        <f t="shared" si="17"/>
        <v>21</v>
      </c>
      <c r="N33" s="192">
        <f t="shared" si="18"/>
        <v>200</v>
      </c>
      <c r="O33" s="192">
        <f t="shared" si="19"/>
        <v>100</v>
      </c>
      <c r="P33" s="192">
        <f t="shared" si="20"/>
        <v>225</v>
      </c>
      <c r="Q33" s="215">
        <f t="shared" si="21"/>
        <v>525</v>
      </c>
      <c r="R33" s="283"/>
      <c r="S33" s="192">
        <f>+N33/N$68*'Input Sheet'!H$175</f>
        <v>305.2311970936812</v>
      </c>
      <c r="T33" s="192">
        <f>+O33/O$68*'Input Sheet'!I$175</f>
        <v>169.18341321301654</v>
      </c>
      <c r="U33" s="192">
        <f>+P33/P$68*'Input Sheet'!J$175</f>
        <v>326.25675028772804</v>
      </c>
      <c r="V33" s="215">
        <f t="shared" si="22"/>
        <v>800.67136059442578</v>
      </c>
      <c r="W33" s="136"/>
      <c r="X33" s="219">
        <f t="shared" si="23"/>
        <v>38.127207647353607</v>
      </c>
      <c r="Y33" s="139">
        <f t="shared" si="24"/>
        <v>38</v>
      </c>
      <c r="Z33" s="139" t="str">
        <f t="shared" si="25"/>
        <v>Hourly</v>
      </c>
      <c r="AA33" s="192">
        <f t="shared" si="26"/>
        <v>798</v>
      </c>
      <c r="AB33" s="144"/>
      <c r="AC33" s="135"/>
    </row>
    <row r="34" spans="2:29" ht="14.25" customHeight="1" x14ac:dyDescent="0.2">
      <c r="B34" s="249" t="s">
        <v>121</v>
      </c>
      <c r="C34" s="207">
        <f>'Input Sheet'!G33</f>
        <v>96.363636363636374</v>
      </c>
      <c r="D34" s="211" t="str">
        <f>'Input Sheet'!H33</f>
        <v>Hourly</v>
      </c>
      <c r="E34" s="211">
        <f>'Input Sheet'!I33</f>
        <v>53</v>
      </c>
      <c r="F34" s="238">
        <f>'Input Sheet'!J33</f>
        <v>106</v>
      </c>
      <c r="G34" s="238">
        <f>'Input Sheet'!K33</f>
        <v>96.363636363636374</v>
      </c>
      <c r="I34" s="192">
        <f>+'Input Sheet'!H107</f>
        <v>2</v>
      </c>
      <c r="J34" s="192">
        <f>+'Input Sheet'!I107</f>
        <v>1</v>
      </c>
      <c r="K34" s="192">
        <f>+'Input Sheet'!J107</f>
        <v>1</v>
      </c>
      <c r="L34" s="260">
        <f t="shared" si="17"/>
        <v>4</v>
      </c>
      <c r="N34" s="192">
        <f t="shared" si="18"/>
        <v>106</v>
      </c>
      <c r="O34" s="192">
        <f t="shared" si="19"/>
        <v>53</v>
      </c>
      <c r="P34" s="192">
        <f t="shared" si="20"/>
        <v>53</v>
      </c>
      <c r="Q34" s="215">
        <f t="shared" si="21"/>
        <v>212</v>
      </c>
      <c r="R34" s="283"/>
      <c r="S34" s="192">
        <f>+N34/N$68*'Input Sheet'!H$175</f>
        <v>161.77253445965104</v>
      </c>
      <c r="T34" s="192">
        <f>+O34/O$68*'Input Sheet'!I$175</f>
        <v>89.667209002898772</v>
      </c>
      <c r="U34" s="192">
        <f>+P34/P$68*'Input Sheet'!J$175</f>
        <v>76.851590067775945</v>
      </c>
      <c r="V34" s="215">
        <f t="shared" si="22"/>
        <v>328.29133353032574</v>
      </c>
      <c r="W34" s="136"/>
      <c r="X34" s="219">
        <f t="shared" si="23"/>
        <v>82.072833382581436</v>
      </c>
      <c r="Y34" s="139">
        <f t="shared" si="24"/>
        <v>82</v>
      </c>
      <c r="Z34" s="139" t="str">
        <f t="shared" si="25"/>
        <v>Hourly</v>
      </c>
      <c r="AA34" s="192">
        <f t="shared" si="26"/>
        <v>328</v>
      </c>
      <c r="AB34" s="144"/>
      <c r="AC34" s="135"/>
    </row>
    <row r="35" spans="2:29" ht="14.25" customHeight="1" x14ac:dyDescent="0.2">
      <c r="B35" s="249" t="s">
        <v>122</v>
      </c>
      <c r="C35" s="207">
        <f>'Input Sheet'!G34</f>
        <v>96.363636363636374</v>
      </c>
      <c r="D35" s="211" t="str">
        <f>'Input Sheet'!H34</f>
        <v>Hourly</v>
      </c>
      <c r="E35" s="211">
        <f>'Input Sheet'!I34</f>
        <v>3</v>
      </c>
      <c r="F35" s="238">
        <f>'Input Sheet'!J34</f>
        <v>106</v>
      </c>
      <c r="G35" s="238">
        <f>'Input Sheet'!K34</f>
        <v>96.363636363636374</v>
      </c>
      <c r="I35" s="192">
        <f>+'Input Sheet'!H108</f>
        <v>6</v>
      </c>
      <c r="J35" s="192">
        <f>+'Input Sheet'!I108</f>
        <v>7</v>
      </c>
      <c r="K35" s="192">
        <f>+'Input Sheet'!J108</f>
        <v>2</v>
      </c>
      <c r="L35" s="260">
        <f t="shared" si="17"/>
        <v>15</v>
      </c>
      <c r="N35" s="192">
        <f t="shared" si="18"/>
        <v>18</v>
      </c>
      <c r="O35" s="192">
        <f t="shared" si="19"/>
        <v>21</v>
      </c>
      <c r="P35" s="192">
        <f t="shared" si="20"/>
        <v>6</v>
      </c>
      <c r="Q35" s="215">
        <f t="shared" si="21"/>
        <v>45</v>
      </c>
      <c r="R35" s="283"/>
      <c r="S35" s="192">
        <f>+N35/N$68*'Input Sheet'!H$175</f>
        <v>27.470807738431308</v>
      </c>
      <c r="T35" s="192">
        <f>+O35/O$68*'Input Sheet'!I$175</f>
        <v>35.528516774733475</v>
      </c>
      <c r="U35" s="192">
        <f>+P35/P$68*'Input Sheet'!J$175</f>
        <v>8.7001800076727474</v>
      </c>
      <c r="V35" s="215">
        <f t="shared" si="22"/>
        <v>71.699504520837522</v>
      </c>
      <c r="W35" s="136"/>
      <c r="X35" s="219">
        <f t="shared" si="23"/>
        <v>4.7799669680558345</v>
      </c>
      <c r="Y35" s="139">
        <f t="shared" si="24"/>
        <v>5</v>
      </c>
      <c r="Z35" s="139" t="str">
        <f t="shared" si="25"/>
        <v>Hourly</v>
      </c>
      <c r="AA35" s="192">
        <f t="shared" si="26"/>
        <v>75</v>
      </c>
      <c r="AB35" s="144"/>
      <c r="AC35" s="135"/>
    </row>
    <row r="36" spans="2:29" ht="14.25" customHeight="1" x14ac:dyDescent="0.2">
      <c r="B36" s="249" t="s">
        <v>123</v>
      </c>
      <c r="C36" s="207">
        <f>'Input Sheet'!G35</f>
        <v>96.363636363636374</v>
      </c>
      <c r="D36" s="211" t="str">
        <f>'Input Sheet'!H35</f>
        <v>Hourly</v>
      </c>
      <c r="E36" s="211">
        <f>'Input Sheet'!I35</f>
        <v>5</v>
      </c>
      <c r="F36" s="238">
        <f>'Input Sheet'!J35</f>
        <v>106</v>
      </c>
      <c r="G36" s="238">
        <f>'Input Sheet'!K35</f>
        <v>96.363636363636374</v>
      </c>
      <c r="I36" s="192">
        <f>+'Input Sheet'!H109</f>
        <v>51</v>
      </c>
      <c r="J36" s="192">
        <f>+'Input Sheet'!I109</f>
        <v>46</v>
      </c>
      <c r="K36" s="192">
        <f>+'Input Sheet'!J109</f>
        <v>48</v>
      </c>
      <c r="L36" s="260">
        <f t="shared" si="17"/>
        <v>145</v>
      </c>
      <c r="N36" s="192">
        <f t="shared" si="18"/>
        <v>255</v>
      </c>
      <c r="O36" s="192">
        <f t="shared" si="19"/>
        <v>230</v>
      </c>
      <c r="P36" s="192">
        <f t="shared" si="20"/>
        <v>240</v>
      </c>
      <c r="Q36" s="215">
        <f t="shared" si="21"/>
        <v>725</v>
      </c>
      <c r="R36" s="283"/>
      <c r="S36" s="192">
        <f>+N36/N$68*'Input Sheet'!H$175</f>
        <v>389.16977629444352</v>
      </c>
      <c r="T36" s="192">
        <f>+O36/O$68*'Input Sheet'!I$175</f>
        <v>389.12185038993806</v>
      </c>
      <c r="U36" s="192">
        <f>+P36/P$68*'Input Sheet'!J$175</f>
        <v>348.00720030690997</v>
      </c>
      <c r="V36" s="215">
        <f t="shared" si="22"/>
        <v>1126.2988269912914</v>
      </c>
      <c r="W36" s="136"/>
      <c r="X36" s="219">
        <f t="shared" si="23"/>
        <v>7.7675781171813201</v>
      </c>
      <c r="Y36" s="139">
        <f t="shared" si="24"/>
        <v>8</v>
      </c>
      <c r="Z36" s="139" t="str">
        <f t="shared" si="25"/>
        <v>Hourly</v>
      </c>
      <c r="AA36" s="192">
        <f t="shared" si="26"/>
        <v>1160</v>
      </c>
      <c r="AB36" s="144"/>
      <c r="AC36" s="135"/>
    </row>
    <row r="37" spans="2:29" ht="14.25" customHeight="1" x14ac:dyDescent="0.2">
      <c r="B37" s="249" t="s">
        <v>124</v>
      </c>
      <c r="C37" s="207">
        <f>'Input Sheet'!G36</f>
        <v>96.363636363636374</v>
      </c>
      <c r="D37" s="211" t="str">
        <f>'Input Sheet'!H36</f>
        <v>Hourly</v>
      </c>
      <c r="E37" s="211">
        <f>'Input Sheet'!I36</f>
        <v>10</v>
      </c>
      <c r="F37" s="238">
        <f>'Input Sheet'!J36</f>
        <v>106</v>
      </c>
      <c r="G37" s="238">
        <f>'Input Sheet'!K36</f>
        <v>96.363636363636374</v>
      </c>
      <c r="I37" s="192">
        <f>+'Input Sheet'!H110</f>
        <v>17</v>
      </c>
      <c r="J37" s="192">
        <f>+'Input Sheet'!I110</f>
        <v>20</v>
      </c>
      <c r="K37" s="192">
        <f>+'Input Sheet'!J110</f>
        <v>19</v>
      </c>
      <c r="L37" s="260">
        <f t="shared" si="17"/>
        <v>56</v>
      </c>
      <c r="N37" s="192">
        <f t="shared" si="18"/>
        <v>170</v>
      </c>
      <c r="O37" s="192">
        <f t="shared" si="19"/>
        <v>200</v>
      </c>
      <c r="P37" s="192">
        <f t="shared" si="20"/>
        <v>190</v>
      </c>
      <c r="Q37" s="215">
        <f t="shared" si="21"/>
        <v>560</v>
      </c>
      <c r="R37" s="283"/>
      <c r="S37" s="192">
        <f>+N37/N$68*'Input Sheet'!H$175</f>
        <v>259.44651752962903</v>
      </c>
      <c r="T37" s="192">
        <f>+O37/O$68*'Input Sheet'!I$175</f>
        <v>338.36682642603307</v>
      </c>
      <c r="U37" s="192">
        <f>+P37/P$68*'Input Sheet'!J$175</f>
        <v>275.50570024297036</v>
      </c>
      <c r="V37" s="215">
        <f t="shared" si="22"/>
        <v>873.31904419863235</v>
      </c>
      <c r="W37" s="136"/>
      <c r="X37" s="219">
        <f t="shared" si="23"/>
        <v>15.594982932118436</v>
      </c>
      <c r="Y37" s="139">
        <f t="shared" si="24"/>
        <v>16</v>
      </c>
      <c r="Z37" s="139" t="str">
        <f t="shared" si="25"/>
        <v>Hourly</v>
      </c>
      <c r="AA37" s="192">
        <f t="shared" si="26"/>
        <v>896</v>
      </c>
      <c r="AB37" s="144"/>
      <c r="AC37" s="135"/>
    </row>
    <row r="38" spans="2:29" ht="14.25" customHeight="1" x14ac:dyDescent="0.2">
      <c r="B38" s="249" t="s">
        <v>125</v>
      </c>
      <c r="C38" s="207">
        <f>'Input Sheet'!G37</f>
        <v>96.363636363636374</v>
      </c>
      <c r="D38" s="211" t="str">
        <f>'Input Sheet'!H37</f>
        <v>Hourly</v>
      </c>
      <c r="E38" s="211">
        <f>'Input Sheet'!I37</f>
        <v>15</v>
      </c>
      <c r="F38" s="238">
        <f>'Input Sheet'!J37</f>
        <v>106</v>
      </c>
      <c r="G38" s="238">
        <f>'Input Sheet'!K37</f>
        <v>96.363636363636374</v>
      </c>
      <c r="I38" s="192">
        <f>+'Input Sheet'!H111</f>
        <v>12</v>
      </c>
      <c r="J38" s="192">
        <f>+'Input Sheet'!I111</f>
        <v>15</v>
      </c>
      <c r="K38" s="192">
        <f>+'Input Sheet'!J111</f>
        <v>13</v>
      </c>
      <c r="L38" s="260">
        <f t="shared" si="17"/>
        <v>40</v>
      </c>
      <c r="N38" s="192">
        <f t="shared" si="18"/>
        <v>180</v>
      </c>
      <c r="O38" s="192">
        <f t="shared" si="19"/>
        <v>225</v>
      </c>
      <c r="P38" s="192">
        <f t="shared" si="20"/>
        <v>195</v>
      </c>
      <c r="Q38" s="215">
        <f t="shared" si="21"/>
        <v>600</v>
      </c>
      <c r="R38" s="283"/>
      <c r="S38" s="192">
        <f>+N38/N$68*'Input Sheet'!H$175</f>
        <v>274.70807738431307</v>
      </c>
      <c r="T38" s="192">
        <f>+O38/O$68*'Input Sheet'!I$175</f>
        <v>380.66267972928728</v>
      </c>
      <c r="U38" s="192">
        <f>+P38/P$68*'Input Sheet'!J$175</f>
        <v>282.7558502493643</v>
      </c>
      <c r="V38" s="215">
        <f t="shared" si="22"/>
        <v>938.12660736296471</v>
      </c>
      <c r="W38" s="136"/>
      <c r="X38" s="219">
        <f t="shared" si="23"/>
        <v>23.453165184074116</v>
      </c>
      <c r="Y38" s="139">
        <f t="shared" si="24"/>
        <v>23</v>
      </c>
      <c r="Z38" s="139" t="str">
        <f t="shared" si="25"/>
        <v>Hourly</v>
      </c>
      <c r="AA38" s="192">
        <f t="shared" si="26"/>
        <v>920</v>
      </c>
      <c r="AB38" s="144"/>
      <c r="AC38" s="135"/>
    </row>
    <row r="39" spans="2:29" ht="14.25" customHeight="1" x14ac:dyDescent="0.2">
      <c r="B39" s="249" t="s">
        <v>158</v>
      </c>
      <c r="C39" s="207">
        <f>'Input Sheet'!G38</f>
        <v>96.363636363636374</v>
      </c>
      <c r="D39" s="211" t="str">
        <f>'Input Sheet'!H38</f>
        <v>Hourly</v>
      </c>
      <c r="E39" s="211">
        <f>'Input Sheet'!I38</f>
        <v>6</v>
      </c>
      <c r="F39" s="238">
        <f>'Input Sheet'!J38</f>
        <v>106</v>
      </c>
      <c r="G39" s="238">
        <f>'Input Sheet'!K38</f>
        <v>96.363636363636374</v>
      </c>
      <c r="I39" s="192">
        <f>+'Input Sheet'!H112</f>
        <v>22</v>
      </c>
      <c r="J39" s="192">
        <f>+'Input Sheet'!I112</f>
        <v>39</v>
      </c>
      <c r="K39" s="192">
        <f>+'Input Sheet'!J112</f>
        <v>37</v>
      </c>
      <c r="L39" s="260">
        <f t="shared" si="17"/>
        <v>98</v>
      </c>
      <c r="N39" s="192">
        <f t="shared" si="18"/>
        <v>132</v>
      </c>
      <c r="O39" s="192">
        <f t="shared" si="19"/>
        <v>234</v>
      </c>
      <c r="P39" s="192">
        <f t="shared" si="20"/>
        <v>222</v>
      </c>
      <c r="Q39" s="215">
        <f t="shared" si="21"/>
        <v>588</v>
      </c>
      <c r="R39" s="283"/>
      <c r="S39" s="192">
        <f>+N39/N$68*'Input Sheet'!H$175</f>
        <v>201.45259008182958</v>
      </c>
      <c r="T39" s="192">
        <f>+O39/O$68*'Input Sheet'!I$175</f>
        <v>395.88918691845873</v>
      </c>
      <c r="U39" s="192">
        <f>+P39/P$68*'Input Sheet'!J$175</f>
        <v>321.90666028389171</v>
      </c>
      <c r="V39" s="215">
        <f t="shared" si="22"/>
        <v>919.24843728418</v>
      </c>
      <c r="W39" s="136"/>
      <c r="X39" s="219">
        <f t="shared" si="23"/>
        <v>9.3800860947365301</v>
      </c>
      <c r="Y39" s="139">
        <f t="shared" si="24"/>
        <v>9</v>
      </c>
      <c r="Z39" s="139" t="str">
        <f t="shared" si="25"/>
        <v>Hourly</v>
      </c>
      <c r="AA39" s="192">
        <f t="shared" si="26"/>
        <v>882</v>
      </c>
      <c r="AB39" s="144"/>
      <c r="AC39" s="135"/>
    </row>
    <row r="40" spans="2:29" ht="14.25" customHeight="1" x14ac:dyDescent="0.2">
      <c r="B40" s="249" t="s">
        <v>159</v>
      </c>
      <c r="C40" s="207">
        <f>'Input Sheet'!G39</f>
        <v>80</v>
      </c>
      <c r="D40" s="211">
        <f>'Input Sheet'!H39</f>
        <v>1</v>
      </c>
      <c r="E40" s="211"/>
      <c r="F40" s="238">
        <f>'Input Sheet'!J39</f>
        <v>88</v>
      </c>
      <c r="G40" s="238">
        <f>'Input Sheet'!K39</f>
        <v>80</v>
      </c>
      <c r="I40" s="192">
        <f>+'Input Sheet'!H113</f>
        <v>38</v>
      </c>
      <c r="J40" s="192">
        <f>+'Input Sheet'!I113</f>
        <v>46</v>
      </c>
      <c r="K40" s="192">
        <f>+'Input Sheet'!J113</f>
        <v>40</v>
      </c>
      <c r="L40" s="260">
        <f t="shared" si="17"/>
        <v>124</v>
      </c>
      <c r="N40" s="192">
        <f t="shared" si="18"/>
        <v>38</v>
      </c>
      <c r="O40" s="192">
        <f t="shared" si="19"/>
        <v>46</v>
      </c>
      <c r="P40" s="192">
        <f t="shared" si="20"/>
        <v>40</v>
      </c>
      <c r="Q40" s="215">
        <f t="shared" si="21"/>
        <v>124</v>
      </c>
      <c r="R40" s="283"/>
      <c r="S40" s="192">
        <f>+N40/N$68*'Input Sheet'!H$175</f>
        <v>57.993927447799429</v>
      </c>
      <c r="T40" s="192">
        <f>+O40/O$68*'Input Sheet'!I$175</f>
        <v>77.824370077987609</v>
      </c>
      <c r="U40" s="192">
        <f>+P40/P$68*'Input Sheet'!J$175</f>
        <v>58.001200051151656</v>
      </c>
      <c r="V40" s="215">
        <f t="shared" si="22"/>
        <v>193.81949757693872</v>
      </c>
      <c r="W40" s="136"/>
      <c r="X40" s="219">
        <f t="shared" si="23"/>
        <v>1.5630604643301509</v>
      </c>
      <c r="Y40" s="139">
        <f t="shared" si="24"/>
        <v>2</v>
      </c>
      <c r="Z40" s="139">
        <f t="shared" si="25"/>
        <v>2</v>
      </c>
      <c r="AA40" s="192">
        <f t="shared" si="26"/>
        <v>248</v>
      </c>
      <c r="AB40" s="144"/>
      <c r="AC40" s="135"/>
    </row>
    <row r="41" spans="2:29" ht="14.25" customHeight="1" x14ac:dyDescent="0.2">
      <c r="B41" s="249" t="s">
        <v>160</v>
      </c>
      <c r="C41" s="207">
        <f>'Input Sheet'!G40</f>
        <v>80</v>
      </c>
      <c r="D41" s="211">
        <f>'Input Sheet'!H40</f>
        <v>1.9886363636363638</v>
      </c>
      <c r="E41" s="211"/>
      <c r="F41" s="238">
        <f>'Input Sheet'!J40</f>
        <v>175</v>
      </c>
      <c r="G41" s="238">
        <f>'Input Sheet'!K40</f>
        <v>159.09090909090909</v>
      </c>
      <c r="I41" s="192">
        <f>+'Input Sheet'!H114</f>
        <v>7</v>
      </c>
      <c r="J41" s="192">
        <f>+'Input Sheet'!I114</f>
        <v>13</v>
      </c>
      <c r="K41" s="192">
        <f>+'Input Sheet'!J114</f>
        <v>1</v>
      </c>
      <c r="L41" s="260">
        <f t="shared" si="17"/>
        <v>21</v>
      </c>
      <c r="N41" s="192">
        <f t="shared" si="18"/>
        <v>13.920454545454547</v>
      </c>
      <c r="O41" s="192">
        <f t="shared" si="19"/>
        <v>25.85227272727273</v>
      </c>
      <c r="P41" s="192">
        <f t="shared" si="20"/>
        <v>1.9886363636363638</v>
      </c>
      <c r="Q41" s="215">
        <f t="shared" si="21"/>
        <v>41.761363636363647</v>
      </c>
      <c r="R41" s="283"/>
      <c r="S41" s="192">
        <f>+N41/N$68*'Input Sheet'!H$175</f>
        <v>21.244785024986335</v>
      </c>
      <c r="T41" s="192">
        <f>+O41/O$68*'Input Sheet'!I$175</f>
        <v>43.737757393137805</v>
      </c>
      <c r="U41" s="192">
        <f>+P41/P$68*'Input Sheet'!J$175</f>
        <v>2.8835823889066878</v>
      </c>
      <c r="V41" s="215">
        <f t="shared" si="22"/>
        <v>67.866124807030829</v>
      </c>
      <c r="W41" s="136"/>
      <c r="X41" s="219">
        <f t="shared" si="23"/>
        <v>3.2317202289062301</v>
      </c>
      <c r="Y41" s="139">
        <f t="shared" si="24"/>
        <v>3</v>
      </c>
      <c r="Z41" s="139">
        <f t="shared" si="25"/>
        <v>3</v>
      </c>
      <c r="AA41" s="192">
        <f t="shared" si="26"/>
        <v>63</v>
      </c>
      <c r="AB41" s="144"/>
      <c r="AC41" s="135"/>
    </row>
    <row r="42" spans="2:29" ht="14.25" customHeight="1" x14ac:dyDescent="0.2">
      <c r="B42" s="249" t="s">
        <v>161</v>
      </c>
      <c r="C42" s="207">
        <f>'Input Sheet'!G41</f>
        <v>80</v>
      </c>
      <c r="D42" s="211">
        <f>'Input Sheet'!H41</f>
        <v>2.9886363636363638</v>
      </c>
      <c r="E42" s="211"/>
      <c r="F42" s="238">
        <f>'Input Sheet'!J41</f>
        <v>263</v>
      </c>
      <c r="G42" s="238">
        <f>'Input Sheet'!K41</f>
        <v>239.09090909090909</v>
      </c>
      <c r="I42" s="192">
        <f>+'Input Sheet'!H115</f>
        <v>6</v>
      </c>
      <c r="J42" s="192">
        <f>+'Input Sheet'!I115</f>
        <v>2</v>
      </c>
      <c r="K42" s="192">
        <f>+'Input Sheet'!J115</f>
        <v>2</v>
      </c>
      <c r="L42" s="260">
        <f t="shared" si="17"/>
        <v>10</v>
      </c>
      <c r="N42" s="192">
        <f t="shared" si="18"/>
        <v>17.931818181818183</v>
      </c>
      <c r="O42" s="192">
        <f t="shared" si="19"/>
        <v>5.9772727272727275</v>
      </c>
      <c r="P42" s="192">
        <f t="shared" si="20"/>
        <v>5.9772727272727275</v>
      </c>
      <c r="Q42" s="215">
        <f t="shared" si="21"/>
        <v>29.886363636363637</v>
      </c>
      <c r="R42" s="283"/>
      <c r="S42" s="192">
        <f>+N42/N$68*'Input Sheet'!H$175</f>
        <v>27.366751648513013</v>
      </c>
      <c r="T42" s="192">
        <f>+O42/O$68*'Input Sheet'!I$175</f>
        <v>10.112554017050762</v>
      </c>
      <c r="U42" s="192">
        <f>+P42/P$68*'Input Sheet'!J$175</f>
        <v>8.6672247803709581</v>
      </c>
      <c r="V42" s="215">
        <f t="shared" si="22"/>
        <v>46.146530445934729</v>
      </c>
      <c r="W42" s="136"/>
      <c r="X42" s="219">
        <f t="shared" si="23"/>
        <v>4.6146530445934726</v>
      </c>
      <c r="Y42" s="139">
        <f t="shared" si="24"/>
        <v>5</v>
      </c>
      <c r="Z42" s="139">
        <f>IF(D42="Hourly","Hourly",Y42)</f>
        <v>5</v>
      </c>
      <c r="AA42" s="192">
        <f t="shared" si="26"/>
        <v>50</v>
      </c>
      <c r="AB42" s="144"/>
      <c r="AC42" s="135"/>
    </row>
    <row r="43" spans="2:29" ht="14.25" customHeight="1" x14ac:dyDescent="0.2">
      <c r="B43" s="249" t="s">
        <v>162</v>
      </c>
      <c r="C43" s="207">
        <f>'Input Sheet'!G42</f>
        <v>96.363636363636374</v>
      </c>
      <c r="D43" s="211">
        <f>'Input Sheet'!H42</f>
        <v>1</v>
      </c>
      <c r="E43" s="211"/>
      <c r="F43" s="238">
        <f>'Input Sheet'!J42</f>
        <v>106</v>
      </c>
      <c r="G43" s="238">
        <f>'Input Sheet'!K42</f>
        <v>96.363636363636374</v>
      </c>
      <c r="I43" s="192">
        <f>+'Input Sheet'!H116</f>
        <v>0</v>
      </c>
      <c r="J43" s="192">
        <f>+'Input Sheet'!I116</f>
        <v>0</v>
      </c>
      <c r="K43" s="192">
        <f>+'Input Sheet'!J116</f>
        <v>0</v>
      </c>
      <c r="L43" s="260">
        <f t="shared" si="17"/>
        <v>0</v>
      </c>
      <c r="N43" s="192">
        <f t="shared" si="18"/>
        <v>0</v>
      </c>
      <c r="O43" s="192">
        <f t="shared" si="19"/>
        <v>0</v>
      </c>
      <c r="P43" s="192">
        <f t="shared" si="20"/>
        <v>0</v>
      </c>
      <c r="Q43" s="215">
        <f t="shared" si="21"/>
        <v>0</v>
      </c>
      <c r="R43" s="283"/>
      <c r="S43" s="192">
        <f>+N43/N$68*'Input Sheet'!H$175</f>
        <v>0</v>
      </c>
      <c r="T43" s="192">
        <f>+O43/O$68*'Input Sheet'!I$175</f>
        <v>0</v>
      </c>
      <c r="U43" s="192">
        <f>+P43/P$68*'Input Sheet'!J$175</f>
        <v>0</v>
      </c>
      <c r="V43" s="215">
        <f t="shared" si="22"/>
        <v>0</v>
      </c>
      <c r="W43" s="136"/>
      <c r="X43" s="219">
        <f t="shared" si="23"/>
        <v>0</v>
      </c>
      <c r="Y43" s="139">
        <f t="shared" si="24"/>
        <v>0</v>
      </c>
      <c r="Z43" s="139">
        <f t="shared" si="25"/>
        <v>0</v>
      </c>
      <c r="AA43" s="192">
        <f t="shared" si="26"/>
        <v>0</v>
      </c>
      <c r="AB43" s="144"/>
      <c r="AC43" s="135"/>
    </row>
    <row r="44" spans="2:29" ht="14.25" customHeight="1" x14ac:dyDescent="0.2">
      <c r="B44" s="249"/>
      <c r="C44" s="207"/>
      <c r="D44" s="211"/>
      <c r="E44" s="211"/>
      <c r="F44" s="238"/>
      <c r="G44" s="132"/>
      <c r="I44" s="192"/>
      <c r="J44" s="192"/>
      <c r="K44" s="192"/>
      <c r="L44" s="260"/>
      <c r="N44" s="192"/>
      <c r="O44" s="192"/>
      <c r="P44" s="192"/>
      <c r="Q44" s="215"/>
      <c r="R44" s="283"/>
      <c r="S44" s="192"/>
      <c r="T44" s="192"/>
      <c r="U44" s="192"/>
      <c r="V44" s="215"/>
      <c r="W44" s="136"/>
      <c r="X44" s="219"/>
      <c r="Y44" s="139"/>
      <c r="Z44" s="139"/>
      <c r="AA44" s="192"/>
      <c r="AB44" s="144"/>
      <c r="AC44" s="135"/>
    </row>
    <row r="45" spans="2:29" ht="14.25" customHeight="1" x14ac:dyDescent="0.2">
      <c r="B45" s="249" t="s">
        <v>126</v>
      </c>
      <c r="C45" s="207">
        <f>'Input Sheet'!G44</f>
        <v>96.363636363636374</v>
      </c>
      <c r="D45" s="211" t="str">
        <f>'Input Sheet'!H44</f>
        <v>Hourly</v>
      </c>
      <c r="E45" s="211">
        <f>'Input Sheet'!I44</f>
        <v>6</v>
      </c>
      <c r="F45" s="238">
        <f>'Input Sheet'!J44</f>
        <v>106</v>
      </c>
      <c r="G45" s="238">
        <f>'Input Sheet'!K44</f>
        <v>96.363636363636374</v>
      </c>
      <c r="I45" s="192">
        <f>+'Input Sheet'!H118</f>
        <v>109</v>
      </c>
      <c r="J45" s="192">
        <f>+'Input Sheet'!I118</f>
        <v>128</v>
      </c>
      <c r="K45" s="192">
        <f>+'Input Sheet'!J118</f>
        <v>173</v>
      </c>
      <c r="L45" s="260">
        <f t="shared" ref="L45:L48" si="27">SUM(I45:K45)</f>
        <v>410</v>
      </c>
      <c r="N45" s="192">
        <f t="shared" ref="N45:N48" si="28">IF($D45="Hourly",$E45*I45,$D45*I45)</f>
        <v>654</v>
      </c>
      <c r="O45" s="192">
        <f t="shared" ref="O45:O48" si="29">IF($D45="Hourly",$E45*J45,$D45*J45)</f>
        <v>768</v>
      </c>
      <c r="P45" s="192">
        <f t="shared" ref="P45:P48" si="30">IF($D45="Hourly",$E45*K45,$D45*K45)</f>
        <v>1038</v>
      </c>
      <c r="Q45" s="215">
        <f t="shared" ref="Q45:Q48" si="31">SUM(N45:P45)</f>
        <v>2460</v>
      </c>
      <c r="R45" s="283"/>
      <c r="S45" s="192">
        <f>+N45/N$68*'Input Sheet'!H$175</f>
        <v>998.10601449633759</v>
      </c>
      <c r="T45" s="192">
        <f>+O45/O$68*'Input Sheet'!I$175</f>
        <v>1299.3286134759669</v>
      </c>
      <c r="U45" s="192">
        <f>+P45/P$68*'Input Sheet'!J$175</f>
        <v>1505.1311413273854</v>
      </c>
      <c r="V45" s="215">
        <f t="shared" ref="V45:V48" si="32">SUM(S45:U45)</f>
        <v>3802.5657692996901</v>
      </c>
      <c r="W45" s="136"/>
      <c r="X45" s="219">
        <f t="shared" ref="X45:X48" si="33">IF(ISERROR(V45/L45),0,V45/L45)</f>
        <v>9.274550656828513</v>
      </c>
      <c r="Y45" s="139">
        <f t="shared" ref="Y45:Y48" si="34">ROUND(X45,0)</f>
        <v>9</v>
      </c>
      <c r="Z45" s="139" t="str">
        <f t="shared" ref="Z45:Z48" si="35">IF(D45="Hourly","Hourly",Y45)</f>
        <v>Hourly</v>
      </c>
      <c r="AA45" s="192">
        <f t="shared" ref="AA45:AA48" si="36">+Y45*L45</f>
        <v>3690</v>
      </c>
      <c r="AB45" s="144"/>
      <c r="AC45" s="135"/>
    </row>
    <row r="46" spans="2:29" ht="14.25" customHeight="1" x14ac:dyDescent="0.2">
      <c r="B46" s="249" t="s">
        <v>127</v>
      </c>
      <c r="C46" s="207">
        <f>'Input Sheet'!G45</f>
        <v>80</v>
      </c>
      <c r="D46" s="211" t="str">
        <f>'Input Sheet'!H45</f>
        <v>Hourly</v>
      </c>
      <c r="E46" s="211">
        <f>'Input Sheet'!I45</f>
        <v>6</v>
      </c>
      <c r="F46" s="238">
        <f>'Input Sheet'!J45</f>
        <v>88</v>
      </c>
      <c r="G46" s="238">
        <f>'Input Sheet'!K45</f>
        <v>80</v>
      </c>
      <c r="I46" s="192">
        <f>+'Input Sheet'!H119</f>
        <v>17</v>
      </c>
      <c r="J46" s="192">
        <f>+'Input Sheet'!I119</f>
        <v>14</v>
      </c>
      <c r="K46" s="192">
        <f>+'Input Sheet'!J119</f>
        <v>15</v>
      </c>
      <c r="L46" s="260">
        <f t="shared" si="27"/>
        <v>46</v>
      </c>
      <c r="N46" s="192">
        <f t="shared" si="28"/>
        <v>102</v>
      </c>
      <c r="O46" s="192">
        <f t="shared" si="29"/>
        <v>84</v>
      </c>
      <c r="P46" s="192">
        <f t="shared" si="30"/>
        <v>90</v>
      </c>
      <c r="Q46" s="215">
        <f t="shared" si="31"/>
        <v>276</v>
      </c>
      <c r="R46" s="283"/>
      <c r="S46" s="192">
        <f>+N46/N$68*'Input Sheet'!H$175</f>
        <v>155.66791051777741</v>
      </c>
      <c r="T46" s="192">
        <f>+O46/O$68*'Input Sheet'!I$175</f>
        <v>142.1140670989339</v>
      </c>
      <c r="U46" s="192">
        <f>+P46/P$68*'Input Sheet'!J$175</f>
        <v>130.50270011509124</v>
      </c>
      <c r="V46" s="215">
        <f t="shared" si="32"/>
        <v>428.2846777318025</v>
      </c>
      <c r="W46" s="136"/>
      <c r="X46" s="219">
        <f t="shared" si="33"/>
        <v>9.3105364724304884</v>
      </c>
      <c r="Y46" s="139">
        <f t="shared" si="34"/>
        <v>9</v>
      </c>
      <c r="Z46" s="139" t="str">
        <f t="shared" si="35"/>
        <v>Hourly</v>
      </c>
      <c r="AA46" s="192">
        <f t="shared" si="36"/>
        <v>414</v>
      </c>
      <c r="AB46" s="144"/>
      <c r="AC46" s="135"/>
    </row>
    <row r="47" spans="2:29" ht="14.25" customHeight="1" x14ac:dyDescent="0.2">
      <c r="B47" s="249" t="s">
        <v>128</v>
      </c>
      <c r="C47" s="207">
        <f>'Input Sheet'!G46</f>
        <v>96.363636363636374</v>
      </c>
      <c r="D47" s="211" t="str">
        <f>'Input Sheet'!H46</f>
        <v>Hourly</v>
      </c>
      <c r="E47" s="211">
        <f>'Input Sheet'!I46</f>
        <v>4</v>
      </c>
      <c r="F47" s="238">
        <f>'Input Sheet'!J46</f>
        <v>106</v>
      </c>
      <c r="G47" s="238">
        <f>'Input Sheet'!K46</f>
        <v>96.363636363636374</v>
      </c>
      <c r="I47" s="192">
        <f>+'Input Sheet'!H120</f>
        <v>33</v>
      </c>
      <c r="J47" s="192">
        <f>+'Input Sheet'!I120</f>
        <v>56</v>
      </c>
      <c r="K47" s="192">
        <f>+'Input Sheet'!J120</f>
        <v>53</v>
      </c>
      <c r="L47" s="260">
        <f t="shared" si="27"/>
        <v>142</v>
      </c>
      <c r="N47" s="192">
        <f t="shared" si="28"/>
        <v>132</v>
      </c>
      <c r="O47" s="192">
        <f t="shared" si="29"/>
        <v>224</v>
      </c>
      <c r="P47" s="192">
        <f t="shared" si="30"/>
        <v>212</v>
      </c>
      <c r="Q47" s="215">
        <f t="shared" si="31"/>
        <v>568</v>
      </c>
      <c r="R47" s="283"/>
      <c r="S47" s="192">
        <f>+N47/N$68*'Input Sheet'!H$175</f>
        <v>201.45259008182958</v>
      </c>
      <c r="T47" s="192">
        <f>+O47/O$68*'Input Sheet'!I$175</f>
        <v>378.97084559715705</v>
      </c>
      <c r="U47" s="192">
        <f>+P47/P$68*'Input Sheet'!J$175</f>
        <v>307.40636027110378</v>
      </c>
      <c r="V47" s="215">
        <f t="shared" si="32"/>
        <v>887.82979595009033</v>
      </c>
      <c r="W47" s="136"/>
      <c r="X47" s="219">
        <f t="shared" si="33"/>
        <v>6.2523225066907768</v>
      </c>
      <c r="Y47" s="139">
        <f t="shared" si="34"/>
        <v>6</v>
      </c>
      <c r="Z47" s="139" t="str">
        <f t="shared" si="35"/>
        <v>Hourly</v>
      </c>
      <c r="AA47" s="192">
        <f t="shared" si="36"/>
        <v>852</v>
      </c>
      <c r="AB47" s="144"/>
      <c r="AC47" s="135"/>
    </row>
    <row r="48" spans="2:29" ht="14.25" customHeight="1" x14ac:dyDescent="0.2">
      <c r="B48" s="249" t="s">
        <v>129</v>
      </c>
      <c r="C48" s="207">
        <f>'Input Sheet'!G47</f>
        <v>80</v>
      </c>
      <c r="D48" s="211" t="str">
        <f>'Input Sheet'!H47</f>
        <v>Hourly</v>
      </c>
      <c r="E48" s="211">
        <f>'Input Sheet'!I47</f>
        <v>5</v>
      </c>
      <c r="F48" s="238">
        <f>'Input Sheet'!J47</f>
        <v>88</v>
      </c>
      <c r="G48" s="238">
        <f>'Input Sheet'!K47</f>
        <v>80</v>
      </c>
      <c r="I48" s="192">
        <f>+'Input Sheet'!H121</f>
        <v>6</v>
      </c>
      <c r="J48" s="192">
        <f>+'Input Sheet'!I121</f>
        <v>13</v>
      </c>
      <c r="K48" s="192">
        <f>+'Input Sheet'!J121</f>
        <v>6</v>
      </c>
      <c r="L48" s="260">
        <f t="shared" si="27"/>
        <v>25</v>
      </c>
      <c r="N48" s="192">
        <f t="shared" si="28"/>
        <v>30</v>
      </c>
      <c r="O48" s="192">
        <f t="shared" si="29"/>
        <v>65</v>
      </c>
      <c r="P48" s="192">
        <f t="shared" si="30"/>
        <v>30</v>
      </c>
      <c r="Q48" s="215">
        <f t="shared" si="31"/>
        <v>125</v>
      </c>
      <c r="R48" s="283"/>
      <c r="S48" s="192">
        <f>+N48/N$68*'Input Sheet'!H$175</f>
        <v>45.784679564052176</v>
      </c>
      <c r="T48" s="192">
        <f>+O48/O$68*'Input Sheet'!I$175</f>
        <v>109.96921858846076</v>
      </c>
      <c r="U48" s="192">
        <f>+P48/P$68*'Input Sheet'!J$175</f>
        <v>43.500900038363746</v>
      </c>
      <c r="V48" s="215">
        <f t="shared" si="32"/>
        <v>199.25479819087667</v>
      </c>
      <c r="W48" s="136"/>
      <c r="X48" s="219">
        <f t="shared" si="33"/>
        <v>7.9701919276350672</v>
      </c>
      <c r="Y48" s="139">
        <f t="shared" si="34"/>
        <v>8</v>
      </c>
      <c r="Z48" s="139" t="str">
        <f t="shared" si="35"/>
        <v>Hourly</v>
      </c>
      <c r="AA48" s="192">
        <f t="shared" si="36"/>
        <v>200</v>
      </c>
      <c r="AB48" s="144"/>
      <c r="AC48" s="135"/>
    </row>
    <row r="49" spans="2:29" ht="14.25" customHeight="1" x14ac:dyDescent="0.2">
      <c r="B49" s="249"/>
      <c r="C49" s="207"/>
      <c r="D49" s="211"/>
      <c r="E49" s="211"/>
      <c r="F49" s="238"/>
      <c r="G49" s="286"/>
      <c r="I49" s="192"/>
      <c r="J49" s="192"/>
      <c r="K49" s="192"/>
      <c r="L49" s="260"/>
      <c r="N49" s="192"/>
      <c r="O49" s="192"/>
      <c r="P49" s="192"/>
      <c r="Q49" s="215"/>
      <c r="R49" s="283"/>
      <c r="S49" s="192"/>
      <c r="T49" s="192"/>
      <c r="U49" s="192"/>
      <c r="V49" s="215"/>
      <c r="W49" s="136"/>
      <c r="X49" s="219"/>
      <c r="Y49" s="139"/>
      <c r="Z49" s="139"/>
      <c r="AA49" s="192"/>
      <c r="AB49" s="144"/>
      <c r="AC49" s="135"/>
    </row>
    <row r="50" spans="2:29" ht="14.25" customHeight="1" x14ac:dyDescent="0.2">
      <c r="B50" s="287"/>
      <c r="C50" s="288"/>
      <c r="D50" s="289"/>
      <c r="E50" s="290"/>
      <c r="F50" s="291"/>
      <c r="G50" s="292"/>
      <c r="I50" s="261">
        <f>SUM(I12:I48)</f>
        <v>830</v>
      </c>
      <c r="J50" s="261">
        <f>SUM(J12:J48)</f>
        <v>952</v>
      </c>
      <c r="K50" s="261">
        <f>SUM(K12:K48)</f>
        <v>949</v>
      </c>
      <c r="L50" s="261">
        <f>SUM(L12:L48)</f>
        <v>2731</v>
      </c>
      <c r="N50" s="261">
        <f t="shared" ref="N50:Q50" si="37">SUM(N12:N48)</f>
        <v>4877.818181818182</v>
      </c>
      <c r="O50" s="261">
        <f t="shared" si="37"/>
        <v>5076.4772727272721</v>
      </c>
      <c r="P50" s="261">
        <f t="shared" si="37"/>
        <v>5316.363636363636</v>
      </c>
      <c r="Q50" s="261">
        <f t="shared" si="37"/>
        <v>15270.659090909092</v>
      </c>
      <c r="R50" s="283"/>
      <c r="S50" s="261">
        <f t="shared" ref="S50:V50" si="38">SUM(S12:S48)</f>
        <v>7444.311414208436</v>
      </c>
      <c r="T50" s="261">
        <f t="shared" si="38"/>
        <v>8588.5575209830567</v>
      </c>
      <c r="U50" s="261">
        <f t="shared" si="38"/>
        <v>7708.8867704348813</v>
      </c>
      <c r="V50" s="261">
        <f t="shared" si="38"/>
        <v>23741.755705626369</v>
      </c>
      <c r="W50" s="136"/>
      <c r="X50" s="219"/>
      <c r="Y50" s="139"/>
      <c r="Z50" s="139"/>
      <c r="AA50" s="261">
        <f t="shared" ref="AA50" si="39">SUM(AA12:AA48)</f>
        <v>23854</v>
      </c>
      <c r="AB50" s="144"/>
      <c r="AC50" s="135"/>
    </row>
    <row r="51" spans="2:29" ht="14.25" customHeight="1" x14ac:dyDescent="0.25">
      <c r="B51" s="206"/>
      <c r="C51" s="207"/>
      <c r="D51" s="212"/>
      <c r="E51" s="211"/>
      <c r="F51" s="238"/>
      <c r="G51" s="132"/>
      <c r="I51" s="192"/>
      <c r="J51" s="192"/>
      <c r="K51" s="192"/>
      <c r="L51" s="215"/>
      <c r="N51" s="192"/>
      <c r="O51" s="192"/>
      <c r="P51" s="192"/>
      <c r="Q51" s="215"/>
      <c r="R51" s="283"/>
      <c r="S51" s="192"/>
      <c r="T51" s="192"/>
      <c r="U51" s="192"/>
      <c r="V51" s="215"/>
      <c r="W51" s="136"/>
      <c r="X51" s="219"/>
      <c r="Y51" s="139"/>
      <c r="Z51" s="139"/>
      <c r="AA51" s="192"/>
      <c r="AB51" s="144"/>
      <c r="AC51" s="135"/>
    </row>
    <row r="52" spans="2:29" ht="14.25" customHeight="1" x14ac:dyDescent="0.2">
      <c r="B52" s="293" t="s">
        <v>163</v>
      </c>
      <c r="C52" s="339"/>
      <c r="D52" s="339"/>
      <c r="E52" s="294"/>
      <c r="F52" s="339"/>
      <c r="G52" s="295"/>
      <c r="H52" s="277"/>
      <c r="I52" s="340"/>
      <c r="J52" s="340"/>
      <c r="K52" s="340"/>
      <c r="L52" s="341"/>
      <c r="M52" s="277"/>
      <c r="N52" s="342"/>
      <c r="O52" s="342"/>
      <c r="P52" s="342"/>
      <c r="Q52" s="341"/>
      <c r="R52" s="284"/>
      <c r="S52" s="342"/>
      <c r="T52" s="342"/>
      <c r="U52" s="342"/>
      <c r="V52" s="341"/>
      <c r="W52" s="285"/>
      <c r="X52" s="343"/>
      <c r="Y52" s="340"/>
      <c r="Z52" s="340"/>
      <c r="AA52" s="342"/>
      <c r="AB52" s="144"/>
      <c r="AC52" s="135"/>
    </row>
    <row r="53" spans="2:29" ht="14.25" customHeight="1" x14ac:dyDescent="0.2">
      <c r="B53" s="249" t="s">
        <v>12</v>
      </c>
      <c r="C53" s="207">
        <f>'Input Sheet'!G50</f>
        <v>80</v>
      </c>
      <c r="D53" s="212" t="str">
        <f>'Input Sheet'!H50</f>
        <v>Hourly</v>
      </c>
      <c r="E53" s="211">
        <f>'Input Sheet'!I50</f>
        <v>3</v>
      </c>
      <c r="F53" s="238">
        <f>'Input Sheet'!J50</f>
        <v>88</v>
      </c>
      <c r="G53" s="238">
        <f>'Input Sheet'!K50</f>
        <v>80</v>
      </c>
      <c r="I53" s="192">
        <f>+'Input Sheet'!H125</f>
        <v>7</v>
      </c>
      <c r="J53" s="192">
        <f>+'Input Sheet'!I125</f>
        <v>3</v>
      </c>
      <c r="K53" s="192">
        <f>+'Input Sheet'!J125</f>
        <v>3</v>
      </c>
      <c r="L53" s="260">
        <f t="shared" ref="L53:L55" si="40">SUM(I53:K53)</f>
        <v>13</v>
      </c>
      <c r="N53" s="192">
        <f t="shared" ref="N53:N55" si="41">IF($D53="Hourly",$E53*I53,$D53*I53)</f>
        <v>21</v>
      </c>
      <c r="O53" s="192">
        <f t="shared" ref="O53:O55" si="42">IF($D53="Hourly",$E53*J53,$D53*J53)</f>
        <v>9</v>
      </c>
      <c r="P53" s="192">
        <f t="shared" ref="P53:P55" si="43">IF($D53="Hourly",$E53*K53,$D53*K53)</f>
        <v>9</v>
      </c>
      <c r="Q53" s="215">
        <f t="shared" ref="Q53:Q64" si="44">SUM(N53:P53)</f>
        <v>39</v>
      </c>
      <c r="R53" s="283"/>
      <c r="S53" s="192">
        <f>+N53/N$68*'Input Sheet'!H$175</f>
        <v>32.049275694836531</v>
      </c>
      <c r="T53" s="192">
        <f>+O53/O$68*'Input Sheet'!I$175</f>
        <v>15.226507189171491</v>
      </c>
      <c r="U53" s="192">
        <f>+P53/P$68*'Input Sheet'!J$175</f>
        <v>13.050270011509122</v>
      </c>
      <c r="V53" s="215">
        <f t="shared" ref="V53:V64" si="45">SUM(S53:U53)</f>
        <v>60.326052895517144</v>
      </c>
      <c r="W53" s="136"/>
      <c r="X53" s="219">
        <f t="shared" ref="X53:X55" si="46">IF(ISERROR(V53/L53),0,V53/L53)</f>
        <v>4.6404656073474726</v>
      </c>
      <c r="Y53" s="139">
        <f t="shared" ref="Y53:Y55" si="47">ROUND(X53,0)</f>
        <v>5</v>
      </c>
      <c r="Z53" s="139" t="str">
        <f t="shared" ref="Z53:Z55" si="48">IF(D53="Hourly","Hourly",Y53)</f>
        <v>Hourly</v>
      </c>
      <c r="AA53" s="192">
        <f t="shared" ref="AA53:AA64" si="49">+Y53*L53</f>
        <v>65</v>
      </c>
      <c r="AB53" s="144"/>
      <c r="AC53" s="135"/>
    </row>
    <row r="54" spans="2:29" ht="14.25" customHeight="1" x14ac:dyDescent="0.2">
      <c r="B54" s="249" t="s">
        <v>116</v>
      </c>
      <c r="C54" s="207">
        <f>'Input Sheet'!G51</f>
        <v>80</v>
      </c>
      <c r="D54" s="212" t="str">
        <f>'Input Sheet'!H51</f>
        <v>Hourly</v>
      </c>
      <c r="E54" s="211">
        <f>'Input Sheet'!I51</f>
        <v>3</v>
      </c>
      <c r="F54" s="238">
        <f>'Input Sheet'!J51</f>
        <v>88</v>
      </c>
      <c r="G54" s="238">
        <f>'Input Sheet'!K51</f>
        <v>80</v>
      </c>
      <c r="I54" s="192">
        <f>+'Input Sheet'!H126</f>
        <v>7</v>
      </c>
      <c r="J54" s="192">
        <f>+'Input Sheet'!I126</f>
        <v>7</v>
      </c>
      <c r="K54" s="192">
        <f>+'Input Sheet'!J126</f>
        <v>2</v>
      </c>
      <c r="L54" s="260">
        <f t="shared" si="40"/>
        <v>16</v>
      </c>
      <c r="N54" s="192">
        <f t="shared" si="41"/>
        <v>21</v>
      </c>
      <c r="O54" s="192">
        <f t="shared" si="42"/>
        <v>21</v>
      </c>
      <c r="P54" s="192">
        <f t="shared" si="43"/>
        <v>6</v>
      </c>
      <c r="Q54" s="215">
        <f t="shared" si="44"/>
        <v>48</v>
      </c>
      <c r="R54" s="283"/>
      <c r="S54" s="192">
        <f>+N54/N$68*'Input Sheet'!H$175</f>
        <v>32.049275694836531</v>
      </c>
      <c r="T54" s="192">
        <f>+O54/O$68*'Input Sheet'!I$175</f>
        <v>35.528516774733475</v>
      </c>
      <c r="U54" s="192">
        <f>+P54/P$68*'Input Sheet'!J$175</f>
        <v>8.7001800076727474</v>
      </c>
      <c r="V54" s="215">
        <f t="shared" si="45"/>
        <v>76.277972477242741</v>
      </c>
      <c r="W54" s="136"/>
      <c r="X54" s="219">
        <f t="shared" si="46"/>
        <v>4.7673732798276713</v>
      </c>
      <c r="Y54" s="139">
        <f t="shared" si="47"/>
        <v>5</v>
      </c>
      <c r="Z54" s="139" t="str">
        <f t="shared" si="48"/>
        <v>Hourly</v>
      </c>
      <c r="AA54" s="192">
        <f t="shared" si="49"/>
        <v>80</v>
      </c>
      <c r="AB54" s="144"/>
      <c r="AC54" s="135"/>
    </row>
    <row r="55" spans="2:29" ht="14.25" customHeight="1" x14ac:dyDescent="0.2">
      <c r="B55" s="249" t="s">
        <v>164</v>
      </c>
      <c r="C55" s="207">
        <f>'Input Sheet'!G52</f>
        <v>80</v>
      </c>
      <c r="D55" s="212" t="str">
        <f>'Input Sheet'!H52</f>
        <v>Hourly</v>
      </c>
      <c r="E55" s="211">
        <f>'Input Sheet'!I52</f>
        <v>3</v>
      </c>
      <c r="F55" s="238">
        <f>'Input Sheet'!J52</f>
        <v>88</v>
      </c>
      <c r="G55" s="238">
        <f>'Input Sheet'!K52</f>
        <v>80</v>
      </c>
      <c r="I55" s="192">
        <f>+'Input Sheet'!H127</f>
        <v>68</v>
      </c>
      <c r="J55" s="192">
        <f>+'Input Sheet'!I127</f>
        <v>77</v>
      </c>
      <c r="K55" s="192">
        <f>+'Input Sheet'!J127</f>
        <v>102</v>
      </c>
      <c r="L55" s="260">
        <f t="shared" si="40"/>
        <v>247</v>
      </c>
      <c r="N55" s="192">
        <f t="shared" si="41"/>
        <v>204</v>
      </c>
      <c r="O55" s="192">
        <f t="shared" si="42"/>
        <v>231</v>
      </c>
      <c r="P55" s="192">
        <f t="shared" si="43"/>
        <v>306</v>
      </c>
      <c r="Q55" s="215">
        <f t="shared" si="44"/>
        <v>741</v>
      </c>
      <c r="R55" s="283"/>
      <c r="S55" s="192">
        <f>+N55/N$68*'Input Sheet'!H$175</f>
        <v>311.33582103555483</v>
      </c>
      <c r="T55" s="192">
        <f>+O55/O$68*'Input Sheet'!I$175</f>
        <v>390.81368452206823</v>
      </c>
      <c r="U55" s="192">
        <f>+P55/P$68*'Input Sheet'!J$175</f>
        <v>443.70918039131016</v>
      </c>
      <c r="V55" s="215">
        <f t="shared" si="45"/>
        <v>1145.8586859489333</v>
      </c>
      <c r="W55" s="136"/>
      <c r="X55" s="219">
        <f t="shared" si="46"/>
        <v>4.6391039916960866</v>
      </c>
      <c r="Y55" s="139">
        <f t="shared" si="47"/>
        <v>5</v>
      </c>
      <c r="Z55" s="139" t="str">
        <f t="shared" si="48"/>
        <v>Hourly</v>
      </c>
      <c r="AA55" s="192">
        <f t="shared" si="49"/>
        <v>1235</v>
      </c>
      <c r="AB55" s="144"/>
      <c r="AC55" s="135"/>
    </row>
    <row r="56" spans="2:29" ht="14.25" customHeight="1" x14ac:dyDescent="0.2">
      <c r="B56" s="249" t="s">
        <v>165</v>
      </c>
      <c r="C56" s="207"/>
      <c r="D56" s="212"/>
      <c r="E56" s="211"/>
      <c r="F56" s="238"/>
      <c r="G56" s="132"/>
      <c r="I56" s="192"/>
      <c r="J56" s="192"/>
      <c r="K56" s="192"/>
      <c r="L56" s="260"/>
      <c r="N56" s="192"/>
      <c r="O56" s="192"/>
      <c r="P56" s="192"/>
      <c r="Q56" s="215"/>
      <c r="R56" s="283"/>
      <c r="S56" s="192"/>
      <c r="T56" s="192"/>
      <c r="U56" s="192"/>
      <c r="V56" s="215"/>
      <c r="W56" s="136"/>
      <c r="X56" s="219"/>
      <c r="Y56" s="139"/>
      <c r="Z56" s="139"/>
      <c r="AA56" s="192"/>
      <c r="AB56" s="144"/>
      <c r="AC56" s="135"/>
    </row>
    <row r="57" spans="2:29" ht="14.25" customHeight="1" x14ac:dyDescent="0.2">
      <c r="B57" s="249" t="s">
        <v>166</v>
      </c>
      <c r="C57" s="207">
        <f>'Input Sheet'!G54</f>
        <v>96.363636363636374</v>
      </c>
      <c r="D57" s="212" t="str">
        <f>'Input Sheet'!H54</f>
        <v>Hourly</v>
      </c>
      <c r="E57" s="211">
        <f>'Input Sheet'!I54</f>
        <v>3</v>
      </c>
      <c r="F57" s="238">
        <f>'Input Sheet'!J54</f>
        <v>106</v>
      </c>
      <c r="G57" s="238">
        <f>'Input Sheet'!K54</f>
        <v>96.363636363636374</v>
      </c>
      <c r="I57" s="192">
        <f>+'Input Sheet'!H129</f>
        <v>89</v>
      </c>
      <c r="J57" s="192">
        <f>+'Input Sheet'!I129</f>
        <v>54</v>
      </c>
      <c r="K57" s="192">
        <f>+'Input Sheet'!J129</f>
        <v>56</v>
      </c>
      <c r="L57" s="260">
        <f t="shared" ref="L57:L59" si="50">SUM(I57:K57)</f>
        <v>199</v>
      </c>
      <c r="N57" s="192">
        <f t="shared" ref="N57:N59" si="51">IF($D57="Hourly",$E57*I57,$D57*I57)</f>
        <v>267</v>
      </c>
      <c r="O57" s="192">
        <f t="shared" ref="O57:O59" si="52">IF($D57="Hourly",$E57*J57,$D57*J57)</f>
        <v>162</v>
      </c>
      <c r="P57" s="192">
        <f t="shared" ref="P57:P59" si="53">IF($D57="Hourly",$E57*K57,$D57*K57)</f>
        <v>168</v>
      </c>
      <c r="Q57" s="215">
        <f t="shared" si="44"/>
        <v>597</v>
      </c>
      <c r="R57" s="283"/>
      <c r="S57" s="192">
        <f>+N57/N$68*'Input Sheet'!H$175</f>
        <v>407.4836481200644</v>
      </c>
      <c r="T57" s="192">
        <f>+O57/O$68*'Input Sheet'!I$175</f>
        <v>274.07712940508679</v>
      </c>
      <c r="U57" s="192">
        <f>+P57/P$68*'Input Sheet'!J$175</f>
        <v>243.60504021483695</v>
      </c>
      <c r="V57" s="215">
        <f t="shared" si="45"/>
        <v>925.16581773998814</v>
      </c>
      <c r="W57" s="136"/>
      <c r="X57" s="219">
        <f t="shared" ref="X57:X59" si="54">IF(ISERROR(V57/L57),0,V57/L57)</f>
        <v>4.6490744610049655</v>
      </c>
      <c r="Y57" s="139">
        <f t="shared" ref="Y57:Y59" si="55">ROUND(X57,0)</f>
        <v>5</v>
      </c>
      <c r="Z57" s="139" t="str">
        <f t="shared" ref="Z57:Z59" si="56">IF(D57="Hourly","Hourly",Y57)</f>
        <v>Hourly</v>
      </c>
      <c r="AA57" s="192">
        <f t="shared" si="49"/>
        <v>995</v>
      </c>
      <c r="AB57" s="144"/>
      <c r="AC57" s="135"/>
    </row>
    <row r="58" spans="2:29" ht="14.25" customHeight="1" x14ac:dyDescent="0.2">
      <c r="B58" s="249" t="s">
        <v>167</v>
      </c>
      <c r="C58" s="207">
        <f>'Input Sheet'!G55</f>
        <v>96.363636363636374</v>
      </c>
      <c r="D58" s="212" t="str">
        <f>'Input Sheet'!H55</f>
        <v>Hourly</v>
      </c>
      <c r="E58" s="211">
        <f>'Input Sheet'!I55</f>
        <v>2</v>
      </c>
      <c r="F58" s="238">
        <f>'Input Sheet'!J55</f>
        <v>106</v>
      </c>
      <c r="G58" s="238">
        <f>'Input Sheet'!K55</f>
        <v>96.363636363636374</v>
      </c>
      <c r="I58" s="192">
        <f>+'Input Sheet'!H130</f>
        <v>14</v>
      </c>
      <c r="J58" s="192">
        <f>+'Input Sheet'!I130</f>
        <v>14</v>
      </c>
      <c r="K58" s="192">
        <f>+'Input Sheet'!J130</f>
        <v>13</v>
      </c>
      <c r="L58" s="260">
        <f t="shared" si="50"/>
        <v>41</v>
      </c>
      <c r="N58" s="192">
        <f t="shared" si="51"/>
        <v>28</v>
      </c>
      <c r="O58" s="192">
        <f t="shared" si="52"/>
        <v>28</v>
      </c>
      <c r="P58" s="192">
        <f t="shared" si="53"/>
        <v>26</v>
      </c>
      <c r="Q58" s="215">
        <f t="shared" si="44"/>
        <v>82</v>
      </c>
      <c r="R58" s="283"/>
      <c r="S58" s="192">
        <f>+N58/N$68*'Input Sheet'!H$175</f>
        <v>42.73236759311537</v>
      </c>
      <c r="T58" s="192">
        <f>+O58/O$68*'Input Sheet'!I$175</f>
        <v>47.371355699644631</v>
      </c>
      <c r="U58" s="192">
        <f>+P58/P$68*'Input Sheet'!J$175</f>
        <v>37.70078003324857</v>
      </c>
      <c r="V58" s="215">
        <f t="shared" si="45"/>
        <v>127.80450332600859</v>
      </c>
      <c r="W58" s="136"/>
      <c r="X58" s="219">
        <f t="shared" si="54"/>
        <v>3.1171830079514291</v>
      </c>
      <c r="Y58" s="139">
        <f t="shared" si="55"/>
        <v>3</v>
      </c>
      <c r="Z58" s="139" t="str">
        <f t="shared" si="56"/>
        <v>Hourly</v>
      </c>
      <c r="AA58" s="192">
        <f t="shared" si="49"/>
        <v>123</v>
      </c>
      <c r="AB58" s="144"/>
      <c r="AC58" s="135"/>
    </row>
    <row r="59" spans="2:29" ht="14.25" customHeight="1" x14ac:dyDescent="0.2">
      <c r="B59" s="249" t="s">
        <v>168</v>
      </c>
      <c r="C59" s="207">
        <f>'Input Sheet'!G56</f>
        <v>96.363636363636374</v>
      </c>
      <c r="D59" s="212" t="str">
        <f>'Input Sheet'!H56</f>
        <v>Hourly</v>
      </c>
      <c r="E59" s="211">
        <f>'Input Sheet'!I56</f>
        <v>3</v>
      </c>
      <c r="F59" s="238">
        <f>'Input Sheet'!J56</f>
        <v>106</v>
      </c>
      <c r="G59" s="238">
        <f>'Input Sheet'!K56</f>
        <v>96.363636363636374</v>
      </c>
      <c r="I59" s="192">
        <f>+'Input Sheet'!H131</f>
        <v>19</v>
      </c>
      <c r="J59" s="192">
        <f>+'Input Sheet'!I131</f>
        <v>17</v>
      </c>
      <c r="K59" s="192">
        <f>+'Input Sheet'!J131</f>
        <v>20</v>
      </c>
      <c r="L59" s="260">
        <f t="shared" si="50"/>
        <v>56</v>
      </c>
      <c r="N59" s="192">
        <f t="shared" si="51"/>
        <v>57</v>
      </c>
      <c r="O59" s="192">
        <f t="shared" si="52"/>
        <v>51</v>
      </c>
      <c r="P59" s="192">
        <f t="shared" si="53"/>
        <v>60</v>
      </c>
      <c r="Q59" s="215">
        <f t="shared" si="44"/>
        <v>168</v>
      </c>
      <c r="R59" s="283"/>
      <c r="S59" s="192">
        <f>+N59/N$68*'Input Sheet'!H$175</f>
        <v>86.990891171699147</v>
      </c>
      <c r="T59" s="192">
        <f>+O59/O$68*'Input Sheet'!I$175</f>
        <v>86.283540738638436</v>
      </c>
      <c r="U59" s="192">
        <f>+P59/P$68*'Input Sheet'!J$175</f>
        <v>87.001800076727491</v>
      </c>
      <c r="V59" s="215">
        <f t="shared" si="45"/>
        <v>260.27623198706505</v>
      </c>
      <c r="W59" s="136"/>
      <c r="X59" s="219">
        <f t="shared" si="54"/>
        <v>4.6477898569118761</v>
      </c>
      <c r="Y59" s="139">
        <f t="shared" si="55"/>
        <v>5</v>
      </c>
      <c r="Z59" s="139" t="str">
        <f t="shared" si="56"/>
        <v>Hourly</v>
      </c>
      <c r="AA59" s="192">
        <f t="shared" si="49"/>
        <v>280</v>
      </c>
      <c r="AB59" s="144"/>
      <c r="AC59" s="135"/>
    </row>
    <row r="60" spans="2:29" ht="14.25" customHeight="1" x14ac:dyDescent="0.2">
      <c r="B60" s="249" t="s">
        <v>165</v>
      </c>
      <c r="C60" s="207"/>
      <c r="D60" s="212"/>
      <c r="E60" s="211"/>
      <c r="F60" s="238"/>
      <c r="G60" s="132"/>
      <c r="I60" s="192"/>
      <c r="J60" s="192"/>
      <c r="K60" s="192"/>
      <c r="L60" s="260"/>
      <c r="N60" s="192"/>
      <c r="O60" s="192"/>
      <c r="P60" s="192"/>
      <c r="Q60" s="215"/>
      <c r="R60" s="283"/>
      <c r="S60" s="192"/>
      <c r="T60" s="192"/>
      <c r="U60" s="192"/>
      <c r="V60" s="215"/>
      <c r="W60" s="136"/>
      <c r="X60" s="219"/>
      <c r="Y60" s="139"/>
      <c r="Z60" s="139"/>
      <c r="AA60" s="192"/>
      <c r="AB60" s="144"/>
      <c r="AC60" s="135"/>
    </row>
    <row r="61" spans="2:29" ht="14.25" customHeight="1" x14ac:dyDescent="0.2">
      <c r="B61" s="249" t="s">
        <v>126</v>
      </c>
      <c r="C61" s="207">
        <f>'Input Sheet'!G58</f>
        <v>96.363636363636374</v>
      </c>
      <c r="D61" s="212" t="str">
        <f>'Input Sheet'!H58</f>
        <v>Hourly</v>
      </c>
      <c r="E61" s="211">
        <f>'Input Sheet'!I58</f>
        <v>4</v>
      </c>
      <c r="F61" s="238">
        <f>'Input Sheet'!J58</f>
        <v>106</v>
      </c>
      <c r="G61" s="238">
        <f>'Input Sheet'!K58</f>
        <v>96.363636363636374</v>
      </c>
      <c r="I61" s="192">
        <f>+'Input Sheet'!H133</f>
        <v>29</v>
      </c>
      <c r="J61" s="192">
        <f>+'Input Sheet'!I133</f>
        <v>37</v>
      </c>
      <c r="K61" s="192">
        <f>+'Input Sheet'!J133</f>
        <v>52</v>
      </c>
      <c r="L61" s="260">
        <f t="shared" ref="L61:L64" si="57">SUM(I61:K61)</f>
        <v>118</v>
      </c>
      <c r="N61" s="192">
        <f t="shared" ref="N61:N64" si="58">IF($D61="Hourly",$E61*I61,$D61*I61)</f>
        <v>116</v>
      </c>
      <c r="O61" s="192">
        <f t="shared" ref="O61:O64" si="59">IF($D61="Hourly",$E61*J61,$D61*J61)</f>
        <v>148</v>
      </c>
      <c r="P61" s="192">
        <f t="shared" ref="P61:P64" si="60">IF($D61="Hourly",$E61*K61,$D61*K61)</f>
        <v>208</v>
      </c>
      <c r="Q61" s="215">
        <f t="shared" si="44"/>
        <v>472</v>
      </c>
      <c r="R61" s="283"/>
      <c r="S61" s="192">
        <f>+N61/N$68*'Input Sheet'!H$175</f>
        <v>177.03409431433511</v>
      </c>
      <c r="T61" s="192">
        <f>+O61/O$68*'Input Sheet'!I$175</f>
        <v>250.3914515552645</v>
      </c>
      <c r="U61" s="192">
        <f>+P61/P$68*'Input Sheet'!J$175</f>
        <v>301.60624026598856</v>
      </c>
      <c r="V61" s="215">
        <f t="shared" si="45"/>
        <v>729.03178613558816</v>
      </c>
      <c r="W61" s="136"/>
      <c r="X61" s="219">
        <f t="shared" ref="X61:X64" si="61">IF(ISERROR(V61/L61),0,V61/L61)</f>
        <v>6.1782354757253231</v>
      </c>
      <c r="Y61" s="139">
        <f t="shared" ref="Y61:Y64" si="62">ROUND(X61,0)</f>
        <v>6</v>
      </c>
      <c r="Z61" s="139" t="str">
        <f t="shared" ref="Z61:Z64" si="63">IF(D61="Hourly","Hourly",Y61)</f>
        <v>Hourly</v>
      </c>
      <c r="AA61" s="192">
        <f t="shared" si="49"/>
        <v>708</v>
      </c>
      <c r="AB61" s="144"/>
      <c r="AC61" s="135"/>
    </row>
    <row r="62" spans="2:29" ht="14.25" customHeight="1" x14ac:dyDescent="0.2">
      <c r="B62" s="249" t="s">
        <v>127</v>
      </c>
      <c r="C62" s="207">
        <f>'Input Sheet'!G59</f>
        <v>80</v>
      </c>
      <c r="D62" s="212" t="str">
        <f>'Input Sheet'!H59</f>
        <v>Hourly</v>
      </c>
      <c r="E62" s="211">
        <f>'Input Sheet'!I59</f>
        <v>5</v>
      </c>
      <c r="F62" s="238">
        <f>'Input Sheet'!J59</f>
        <v>88</v>
      </c>
      <c r="G62" s="238">
        <f>'Input Sheet'!K59</f>
        <v>80</v>
      </c>
      <c r="I62" s="192">
        <f>+'Input Sheet'!H134</f>
        <v>1</v>
      </c>
      <c r="J62" s="192">
        <f>+'Input Sheet'!I134</f>
        <v>2</v>
      </c>
      <c r="K62" s="192">
        <f>+'Input Sheet'!J134</f>
        <v>3</v>
      </c>
      <c r="L62" s="260">
        <f t="shared" si="57"/>
        <v>6</v>
      </c>
      <c r="N62" s="192">
        <f t="shared" si="58"/>
        <v>5</v>
      </c>
      <c r="O62" s="192">
        <f t="shared" si="59"/>
        <v>10</v>
      </c>
      <c r="P62" s="192">
        <f t="shared" si="60"/>
        <v>15</v>
      </c>
      <c r="Q62" s="215">
        <f t="shared" si="44"/>
        <v>30</v>
      </c>
      <c r="R62" s="283"/>
      <c r="S62" s="192">
        <f>+N62/N$68*'Input Sheet'!H$175</f>
        <v>7.6307799273420311</v>
      </c>
      <c r="T62" s="192">
        <f>+O62/O$68*'Input Sheet'!I$175</f>
        <v>16.918341321301654</v>
      </c>
      <c r="U62" s="192">
        <f>+P62/P$68*'Input Sheet'!J$175</f>
        <v>21.750450019181873</v>
      </c>
      <c r="V62" s="215">
        <f t="shared" si="45"/>
        <v>46.299571267825556</v>
      </c>
      <c r="W62" s="136"/>
      <c r="X62" s="219">
        <f t="shared" si="61"/>
        <v>7.7165952113042593</v>
      </c>
      <c r="Y62" s="139">
        <f t="shared" si="62"/>
        <v>8</v>
      </c>
      <c r="Z62" s="139" t="str">
        <f t="shared" si="63"/>
        <v>Hourly</v>
      </c>
      <c r="AA62" s="192">
        <f t="shared" si="49"/>
        <v>48</v>
      </c>
      <c r="AB62" s="144"/>
      <c r="AC62" s="135"/>
    </row>
    <row r="63" spans="2:29" ht="14.25" customHeight="1" x14ac:dyDescent="0.2">
      <c r="B63" s="249" t="s">
        <v>128</v>
      </c>
      <c r="C63" s="207">
        <f>'Input Sheet'!G60</f>
        <v>96.363636363636374</v>
      </c>
      <c r="D63" s="212" t="str">
        <f>'Input Sheet'!H60</f>
        <v>Hourly</v>
      </c>
      <c r="E63" s="211">
        <f>'Input Sheet'!I60</f>
        <v>3</v>
      </c>
      <c r="F63" s="238">
        <f>'Input Sheet'!J60</f>
        <v>106</v>
      </c>
      <c r="G63" s="238">
        <f>'Input Sheet'!K60</f>
        <v>96.363636363636374</v>
      </c>
      <c r="I63" s="192">
        <f>+'Input Sheet'!H135</f>
        <v>14</v>
      </c>
      <c r="J63" s="192">
        <f>+'Input Sheet'!I135</f>
        <v>22</v>
      </c>
      <c r="K63" s="192">
        <f>+'Input Sheet'!J135</f>
        <v>15</v>
      </c>
      <c r="L63" s="260">
        <f t="shared" si="57"/>
        <v>51</v>
      </c>
      <c r="N63" s="192">
        <f t="shared" si="58"/>
        <v>42</v>
      </c>
      <c r="O63" s="192">
        <f t="shared" si="59"/>
        <v>66</v>
      </c>
      <c r="P63" s="192">
        <f t="shared" si="60"/>
        <v>45</v>
      </c>
      <c r="Q63" s="215">
        <f t="shared" si="44"/>
        <v>153</v>
      </c>
      <c r="R63" s="283"/>
      <c r="S63" s="192">
        <f>+N63/N$68*'Input Sheet'!H$175</f>
        <v>64.098551389673062</v>
      </c>
      <c r="T63" s="192">
        <f>+O63/O$68*'Input Sheet'!I$175</f>
        <v>111.66105272059093</v>
      </c>
      <c r="U63" s="192">
        <f>+P63/P$68*'Input Sheet'!J$175</f>
        <v>65.251350057545622</v>
      </c>
      <c r="V63" s="215">
        <f t="shared" si="45"/>
        <v>241.01095416780959</v>
      </c>
      <c r="W63" s="136"/>
      <c r="X63" s="219">
        <f t="shared" si="61"/>
        <v>4.7257049836825411</v>
      </c>
      <c r="Y63" s="139">
        <f t="shared" si="62"/>
        <v>5</v>
      </c>
      <c r="Z63" s="139" t="str">
        <f t="shared" si="63"/>
        <v>Hourly</v>
      </c>
      <c r="AA63" s="192">
        <f t="shared" si="49"/>
        <v>255</v>
      </c>
      <c r="AB63" s="144"/>
      <c r="AC63" s="135"/>
    </row>
    <row r="64" spans="2:29" ht="14.25" customHeight="1" x14ac:dyDescent="0.2">
      <c r="B64" s="249" t="s">
        <v>129</v>
      </c>
      <c r="C64" s="207">
        <f>'Input Sheet'!G61</f>
        <v>80</v>
      </c>
      <c r="D64" s="212" t="str">
        <f>'Input Sheet'!H61</f>
        <v>Hourly</v>
      </c>
      <c r="E64" s="211">
        <f>'Input Sheet'!I61</f>
        <v>4</v>
      </c>
      <c r="F64" s="238">
        <f>'Input Sheet'!J61</f>
        <v>88</v>
      </c>
      <c r="G64" s="238">
        <f>'Input Sheet'!K61</f>
        <v>80</v>
      </c>
      <c r="I64" s="192">
        <f>+'Input Sheet'!H136</f>
        <v>4</v>
      </c>
      <c r="J64" s="192">
        <f>+'Input Sheet'!I136</f>
        <v>1</v>
      </c>
      <c r="K64" s="192">
        <f>+'Input Sheet'!J136</f>
        <v>4</v>
      </c>
      <c r="L64" s="260">
        <f t="shared" si="57"/>
        <v>9</v>
      </c>
      <c r="N64" s="192">
        <f t="shared" si="58"/>
        <v>16</v>
      </c>
      <c r="O64" s="192">
        <f t="shared" si="59"/>
        <v>4</v>
      </c>
      <c r="P64" s="192">
        <f t="shared" si="60"/>
        <v>16</v>
      </c>
      <c r="Q64" s="215">
        <f t="shared" si="44"/>
        <v>36</v>
      </c>
      <c r="R64" s="283"/>
      <c r="S64" s="192">
        <f>+N64/N$68*'Input Sheet'!H$175</f>
        <v>24.418495767494498</v>
      </c>
      <c r="T64" s="192">
        <f>+O64/O$68*'Input Sheet'!I$175</f>
        <v>6.7673365285206613</v>
      </c>
      <c r="U64" s="192">
        <f>+P64/P$68*'Input Sheet'!J$175</f>
        <v>23.200480020460663</v>
      </c>
      <c r="V64" s="215">
        <f t="shared" si="45"/>
        <v>54.386312316475824</v>
      </c>
      <c r="W64" s="136"/>
      <c r="X64" s="219">
        <f t="shared" si="61"/>
        <v>6.0429235907195356</v>
      </c>
      <c r="Y64" s="139">
        <f t="shared" si="62"/>
        <v>6</v>
      </c>
      <c r="Z64" s="139" t="str">
        <f t="shared" si="63"/>
        <v>Hourly</v>
      </c>
      <c r="AA64" s="192">
        <f t="shared" si="49"/>
        <v>54</v>
      </c>
      <c r="AB64" s="144"/>
      <c r="AC64" s="135"/>
    </row>
    <row r="65" spans="2:29" ht="14.25" customHeight="1" x14ac:dyDescent="0.2">
      <c r="B65" s="249"/>
      <c r="C65" s="207"/>
      <c r="D65" s="212"/>
      <c r="E65" s="211"/>
      <c r="F65" s="238"/>
      <c r="G65" s="286"/>
      <c r="I65" s="192"/>
      <c r="J65" s="192"/>
      <c r="K65" s="192"/>
      <c r="L65" s="260"/>
      <c r="N65" s="192"/>
      <c r="O65" s="192"/>
      <c r="P65" s="192"/>
      <c r="Q65" s="215"/>
      <c r="R65" s="283"/>
      <c r="S65" s="192"/>
      <c r="T65" s="192"/>
      <c r="U65" s="192"/>
      <c r="V65" s="215"/>
      <c r="W65" s="136"/>
      <c r="X65" s="219"/>
      <c r="Y65" s="139"/>
      <c r="Z65" s="139"/>
      <c r="AA65" s="192"/>
      <c r="AB65" s="144"/>
      <c r="AC65" s="135"/>
    </row>
    <row r="66" spans="2:29" ht="14.25" customHeight="1" x14ac:dyDescent="0.2">
      <c r="B66" s="287"/>
      <c r="C66" s="288"/>
      <c r="D66" s="289"/>
      <c r="E66" s="290"/>
      <c r="F66" s="291"/>
      <c r="G66" s="292"/>
      <c r="I66" s="261">
        <f>SUM(I53:I64)</f>
        <v>252</v>
      </c>
      <c r="J66" s="261">
        <f t="shared" ref="J66:L66" si="64">SUM(J53:J64)</f>
        <v>234</v>
      </c>
      <c r="K66" s="261">
        <f t="shared" si="64"/>
        <v>270</v>
      </c>
      <c r="L66" s="261">
        <f t="shared" si="64"/>
        <v>756</v>
      </c>
      <c r="N66" s="261">
        <f t="shared" ref="N66" si="65">SUM(N53:N64)</f>
        <v>777</v>
      </c>
      <c r="O66" s="261">
        <f t="shared" ref="O66" si="66">SUM(O53:O64)</f>
        <v>730</v>
      </c>
      <c r="P66" s="261">
        <f t="shared" ref="P66" si="67">SUM(P53:P64)</f>
        <v>859</v>
      </c>
      <c r="Q66" s="261">
        <f t="shared" ref="Q66" si="68">SUM(Q53:Q64)</f>
        <v>2366</v>
      </c>
      <c r="R66" s="283"/>
      <c r="S66" s="261">
        <f t="shared" ref="S66" si="69">SUM(S53:S64)</f>
        <v>1185.8232007089514</v>
      </c>
      <c r="T66" s="261">
        <f t="shared" ref="T66" si="70">SUM(T53:T64)</f>
        <v>1235.0389164550206</v>
      </c>
      <c r="U66" s="261">
        <f t="shared" ref="U66" si="71">SUM(U53:U64)</f>
        <v>1245.5757710984817</v>
      </c>
      <c r="V66" s="261">
        <f t="shared" ref="V66" si="72">SUM(V53:V64)</f>
        <v>3666.4378882624542</v>
      </c>
      <c r="W66" s="136"/>
      <c r="X66" s="219"/>
      <c r="Y66" s="139"/>
      <c r="Z66" s="139"/>
      <c r="AA66" s="261">
        <f t="shared" ref="AA66" si="73">SUM(AA53:AA64)</f>
        <v>3843</v>
      </c>
      <c r="AB66" s="144"/>
      <c r="AC66" s="135"/>
    </row>
    <row r="67" spans="2:29" ht="14.25" customHeight="1" x14ac:dyDescent="0.25">
      <c r="B67" s="198"/>
      <c r="C67" s="198"/>
      <c r="D67" s="197"/>
      <c r="E67" s="197"/>
      <c r="F67" s="197"/>
      <c r="G67" s="199"/>
      <c r="I67" s="196"/>
      <c r="J67" s="196"/>
      <c r="K67" s="193"/>
      <c r="L67" s="196"/>
      <c r="N67" s="196"/>
      <c r="O67" s="196"/>
      <c r="P67" s="196"/>
      <c r="Q67" s="196"/>
      <c r="S67" s="194"/>
      <c r="T67" s="194"/>
      <c r="U67" s="194"/>
      <c r="V67" s="194"/>
      <c r="W67" s="140"/>
      <c r="X67" s="196"/>
      <c r="Y67" s="196"/>
      <c r="Z67" s="196"/>
      <c r="AA67" s="196"/>
    </row>
    <row r="68" spans="2:29" ht="14.25" customHeight="1" thickBot="1" x14ac:dyDescent="0.3">
      <c r="I68" s="195">
        <f>+I66+I50</f>
        <v>1082</v>
      </c>
      <c r="J68" s="195">
        <f t="shared" ref="J68:V68" si="74">+J66+J50</f>
        <v>1186</v>
      </c>
      <c r="K68" s="195">
        <f t="shared" si="74"/>
        <v>1219</v>
      </c>
      <c r="L68" s="195">
        <f t="shared" si="74"/>
        <v>3487</v>
      </c>
      <c r="N68" s="195">
        <f t="shared" si="74"/>
        <v>5654.818181818182</v>
      </c>
      <c r="O68" s="195">
        <f t="shared" si="74"/>
        <v>5806.4772727272721</v>
      </c>
      <c r="P68" s="195">
        <f t="shared" si="74"/>
        <v>6175.363636363636</v>
      </c>
      <c r="Q68" s="195">
        <f t="shared" si="74"/>
        <v>17636.659090909092</v>
      </c>
      <c r="S68" s="195">
        <f t="shared" si="74"/>
        <v>8630.1346149173878</v>
      </c>
      <c r="T68" s="195">
        <f t="shared" si="74"/>
        <v>9823.5964374380783</v>
      </c>
      <c r="U68" s="195">
        <f t="shared" si="74"/>
        <v>8954.462541533363</v>
      </c>
      <c r="V68" s="195">
        <f t="shared" si="74"/>
        <v>27408.193593888824</v>
      </c>
      <c r="X68" s="220"/>
      <c r="Y68" s="220"/>
      <c r="Z68" s="220"/>
      <c r="AA68" s="195">
        <f t="shared" ref="AA68" si="75">+AA66+AA50</f>
        <v>27697</v>
      </c>
    </row>
    <row r="69" spans="2:29" ht="14.25" customHeight="1" x14ac:dyDescent="0.2">
      <c r="S69" s="262">
        <f>+S68-'Input Sheet'!H175</f>
        <v>0</v>
      </c>
      <c r="T69" s="262">
        <f>+T68-'Input Sheet'!I175</f>
        <v>0</v>
      </c>
      <c r="U69" s="262">
        <f>+U68-'Input Sheet'!J175</f>
        <v>0</v>
      </c>
      <c r="AA69" s="338"/>
    </row>
    <row r="70" spans="2:29" ht="14.25" customHeight="1" x14ac:dyDescent="0.25">
      <c r="M70" s="280"/>
      <c r="Y70" s="145"/>
      <c r="Z70" s="145"/>
      <c r="AA70" s="135"/>
    </row>
    <row r="71" spans="2:29" ht="14.25" customHeight="1" x14ac:dyDescent="0.25">
      <c r="Y71" s="146"/>
      <c r="Z71" s="146"/>
      <c r="AA71" s="135"/>
    </row>
    <row r="72" spans="2:29" ht="14.25" customHeight="1" x14ac:dyDescent="0.25">
      <c r="Y72" s="146"/>
      <c r="Z72" s="146"/>
      <c r="AA72" s="142"/>
    </row>
    <row r="73" spans="2:29" x14ac:dyDescent="0.25">
      <c r="V73" s="135"/>
    </row>
    <row r="74" spans="2:29" x14ac:dyDescent="0.25">
      <c r="K74" s="141"/>
      <c r="L74" s="141"/>
      <c r="M74" s="281"/>
      <c r="N74" s="138"/>
      <c r="O74" s="138"/>
      <c r="P74" s="138"/>
      <c r="Q74" s="138"/>
      <c r="V74" s="135"/>
    </row>
    <row r="75" spans="2:29" x14ac:dyDescent="0.25">
      <c r="K75" s="141"/>
      <c r="L75" s="141"/>
      <c r="M75" s="282"/>
      <c r="N75" s="217"/>
      <c r="O75" s="217"/>
      <c r="P75" s="217"/>
      <c r="Q75" s="217"/>
      <c r="V75" s="135"/>
    </row>
    <row r="76" spans="2:29" x14ac:dyDescent="0.25">
      <c r="K76" s="141"/>
      <c r="L76" s="141"/>
      <c r="M76" s="281"/>
      <c r="N76" s="141"/>
      <c r="O76" s="141"/>
      <c r="P76" s="140"/>
      <c r="Q76" s="140"/>
      <c r="R76" s="280"/>
    </row>
    <row r="77" spans="2:29" x14ac:dyDescent="0.25">
      <c r="K77" s="141"/>
      <c r="L77" s="141"/>
      <c r="M77" s="281"/>
      <c r="N77" s="141"/>
      <c r="O77" s="141"/>
      <c r="P77" s="141"/>
      <c r="Q77" s="140"/>
    </row>
    <row r="78" spans="2:29" x14ac:dyDescent="0.25">
      <c r="K78" s="141"/>
      <c r="L78" s="141"/>
      <c r="M78" s="281"/>
      <c r="N78" s="141"/>
      <c r="O78" s="141"/>
      <c r="P78" s="141"/>
      <c r="Q78" s="141"/>
    </row>
    <row r="79" spans="2:29" x14ac:dyDescent="0.25">
      <c r="K79" s="141"/>
      <c r="L79" s="141"/>
      <c r="M79" s="281"/>
      <c r="N79" s="218"/>
      <c r="O79" s="218"/>
      <c r="P79" s="218"/>
      <c r="Q79" s="218"/>
    </row>
    <row r="80" spans="2:29" x14ac:dyDescent="0.25">
      <c r="N80" s="147"/>
      <c r="O80" s="147"/>
      <c r="P80" s="147"/>
      <c r="Q80" s="147"/>
    </row>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sheetData>
  <mergeCells count="6">
    <mergeCell ref="B6:Q6"/>
    <mergeCell ref="C8:G8"/>
    <mergeCell ref="I8:L8"/>
    <mergeCell ref="X8:AA8"/>
    <mergeCell ref="S8:V8"/>
    <mergeCell ref="N8:Q8"/>
  </mergeCells>
  <pageMargins left="0.39370078740157483" right="0.39370078740157483" top="0.39370078740157483" bottom="0.39370078740157483" header="0.19685039370078741" footer="0.19685039370078741"/>
  <pageSetup paperSize="9" scale="45" fitToHeight="0" orientation="landscape"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65</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47"/>
  <sheetViews>
    <sheetView showGridLines="0" tabSelected="1"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11" ht="21" x14ac:dyDescent="0.35">
      <c r="B2" s="156" t="s">
        <v>71</v>
      </c>
      <c r="C2" s="157"/>
      <c r="D2" s="157"/>
      <c r="E2" s="157"/>
      <c r="F2" s="157"/>
      <c r="G2" s="157"/>
      <c r="H2" s="157"/>
    </row>
    <row r="3" spans="2:11" x14ac:dyDescent="0.25">
      <c r="B3" s="11" t="s">
        <v>0</v>
      </c>
      <c r="C3" s="16" t="s">
        <v>133</v>
      </c>
      <c r="D3" s="17"/>
      <c r="E3" s="17"/>
      <c r="F3" s="17"/>
      <c r="G3" s="17"/>
      <c r="H3" s="17"/>
    </row>
    <row r="4" spans="2:11" x14ac:dyDescent="0.25">
      <c r="B4" s="11" t="s">
        <v>190</v>
      </c>
      <c r="C4" s="489" t="s">
        <v>187</v>
      </c>
      <c r="D4" s="489"/>
      <c r="E4" s="489"/>
      <c r="F4" s="489"/>
      <c r="G4" s="489"/>
      <c r="H4" s="489"/>
    </row>
    <row r="5" spans="2:11" ht="30.75" customHeight="1" x14ac:dyDescent="0.25">
      <c r="B5" s="336" t="s">
        <v>191</v>
      </c>
      <c r="C5" s="489" t="s">
        <v>188</v>
      </c>
      <c r="D5" s="489"/>
      <c r="E5" s="489"/>
      <c r="F5" s="489"/>
      <c r="G5" s="489"/>
      <c r="H5" s="489"/>
    </row>
    <row r="6" spans="2:11" ht="29.25" customHeight="1" x14ac:dyDescent="0.25">
      <c r="B6" s="162" t="s">
        <v>192</v>
      </c>
      <c r="C6" s="489" t="s">
        <v>183</v>
      </c>
      <c r="D6" s="489"/>
      <c r="E6" s="489"/>
      <c r="F6" s="489"/>
      <c r="G6" s="489"/>
      <c r="H6" s="489"/>
    </row>
    <row r="7" spans="2:11" x14ac:dyDescent="0.25">
      <c r="B7" s="162"/>
      <c r="C7" s="322"/>
      <c r="D7" s="324" t="s">
        <v>22</v>
      </c>
      <c r="E7" s="324" t="s">
        <v>23</v>
      </c>
      <c r="F7" s="324" t="s">
        <v>24</v>
      </c>
      <c r="G7" s="324" t="s">
        <v>25</v>
      </c>
      <c r="H7" s="324" t="s">
        <v>26</v>
      </c>
    </row>
    <row r="8" spans="2:11" x14ac:dyDescent="0.25">
      <c r="B8" s="162"/>
      <c r="C8" s="322"/>
      <c r="D8" s="325">
        <f>+'Input Sheet'!G197</f>
        <v>218.57980373321934</v>
      </c>
      <c r="E8" s="325">
        <f>+'Input Sheet'!H197</f>
        <v>228.11637934562978</v>
      </c>
      <c r="F8" s="325">
        <f>+'Input Sheet'!I197</f>
        <v>235.83987513456231</v>
      </c>
      <c r="G8" s="325">
        <f>+'Input Sheet'!J197</f>
        <v>244.14807950812676</v>
      </c>
      <c r="H8" s="325">
        <f>+'Input Sheet'!K197</f>
        <v>252.55564791123743</v>
      </c>
    </row>
    <row r="10" spans="2:11" x14ac:dyDescent="0.25">
      <c r="B10" s="154" t="s">
        <v>80</v>
      </c>
      <c r="C10" s="151"/>
      <c r="D10" s="151"/>
      <c r="E10" s="151"/>
      <c r="F10" s="151"/>
      <c r="G10" s="151"/>
      <c r="H10" s="151"/>
    </row>
    <row r="11" spans="2:11" ht="30" customHeight="1" x14ac:dyDescent="0.25">
      <c r="B11" s="490" t="s">
        <v>180</v>
      </c>
      <c r="C11" s="490"/>
      <c r="D11" s="490"/>
      <c r="E11" s="490"/>
      <c r="F11" s="490"/>
      <c r="G11" s="490"/>
      <c r="H11" s="490"/>
      <c r="I11" s="491"/>
      <c r="J11" s="491"/>
      <c r="K11" s="491"/>
    </row>
    <row r="13" spans="2:11" x14ac:dyDescent="0.25">
      <c r="B13" s="154" t="s">
        <v>215</v>
      </c>
      <c r="C13" s="151"/>
      <c r="D13" s="151"/>
      <c r="E13" s="151"/>
      <c r="F13" s="151"/>
      <c r="G13" s="151"/>
      <c r="H13" s="151"/>
    </row>
    <row r="14" spans="2:11" ht="15" customHeight="1" x14ac:dyDescent="0.25">
      <c r="B14" s="492" t="s">
        <v>103</v>
      </c>
      <c r="C14" s="492"/>
      <c r="D14" s="492"/>
      <c r="E14" s="492"/>
      <c r="F14" s="492"/>
      <c r="G14" s="492"/>
      <c r="H14" s="492"/>
    </row>
    <row r="15" spans="2:11" ht="47.25" customHeight="1" x14ac:dyDescent="0.25">
      <c r="B15" s="490" t="s">
        <v>104</v>
      </c>
      <c r="C15" s="490"/>
      <c r="D15" s="490"/>
      <c r="E15" s="490"/>
      <c r="F15" s="490"/>
      <c r="G15" s="490"/>
      <c r="H15" s="490"/>
    </row>
    <row r="16" spans="2:11" ht="48.75" customHeight="1" x14ac:dyDescent="0.25">
      <c r="B16" s="490" t="s">
        <v>189</v>
      </c>
      <c r="C16" s="490"/>
      <c r="D16" s="490"/>
      <c r="E16" s="490"/>
      <c r="F16" s="490"/>
      <c r="G16" s="490"/>
      <c r="H16" s="490"/>
    </row>
    <row r="17" spans="2:8" ht="48" customHeight="1" x14ac:dyDescent="0.25">
      <c r="B17" s="490" t="s">
        <v>206</v>
      </c>
      <c r="C17" s="490"/>
      <c r="D17" s="490"/>
      <c r="E17" s="490"/>
      <c r="F17" s="490"/>
      <c r="G17" s="490"/>
      <c r="H17" s="490"/>
    </row>
    <row r="18" spans="2:8" ht="47.25" customHeight="1" x14ac:dyDescent="0.25">
      <c r="B18" s="490" t="s">
        <v>207</v>
      </c>
      <c r="C18" s="490"/>
      <c r="D18" s="490"/>
      <c r="E18" s="490"/>
      <c r="F18" s="490"/>
      <c r="G18" s="490"/>
      <c r="H18" s="490"/>
    </row>
    <row r="19" spans="2:8" ht="47.25" customHeight="1" x14ac:dyDescent="0.25">
      <c r="B19" s="490" t="s">
        <v>113</v>
      </c>
      <c r="C19" s="490"/>
      <c r="D19" s="490"/>
      <c r="E19" s="490"/>
      <c r="F19" s="490"/>
      <c r="G19" s="490"/>
      <c r="H19" s="490"/>
    </row>
    <row r="20" spans="2:8" ht="32.25" customHeight="1" x14ac:dyDescent="0.25">
      <c r="B20" s="490" t="s">
        <v>112</v>
      </c>
      <c r="C20" s="490"/>
      <c r="D20" s="490"/>
      <c r="E20" s="490"/>
      <c r="F20" s="490"/>
      <c r="G20" s="490"/>
      <c r="H20" s="490"/>
    </row>
    <row r="21" spans="2:8" ht="48.75" customHeight="1" x14ac:dyDescent="0.25">
      <c r="B21" s="490" t="s">
        <v>208</v>
      </c>
      <c r="C21" s="490"/>
      <c r="D21" s="490"/>
      <c r="E21" s="490"/>
      <c r="F21" s="490"/>
      <c r="G21" s="490"/>
      <c r="H21" s="490"/>
    </row>
    <row r="23" spans="2:8" x14ac:dyDescent="0.25">
      <c r="B23" s="154" t="s">
        <v>105</v>
      </c>
      <c r="C23" s="151"/>
      <c r="D23" s="151"/>
      <c r="E23" s="151"/>
      <c r="F23" s="151"/>
      <c r="G23" s="151"/>
      <c r="H23" s="151"/>
    </row>
    <row r="24" spans="2:8" ht="77.25" customHeight="1" x14ac:dyDescent="0.25">
      <c r="B24" s="492" t="s">
        <v>209</v>
      </c>
      <c r="C24" s="492"/>
      <c r="D24" s="492"/>
      <c r="E24" s="492"/>
      <c r="F24" s="492"/>
      <c r="G24" s="492"/>
      <c r="H24" s="492"/>
    </row>
    <row r="26" spans="2:8" x14ac:dyDescent="0.25">
      <c r="B26" s="14" t="s">
        <v>108</v>
      </c>
      <c r="C26" s="493" t="s">
        <v>5</v>
      </c>
      <c r="D26" s="494"/>
      <c r="E26" s="13" t="s">
        <v>18</v>
      </c>
      <c r="F26" s="13" t="s">
        <v>19</v>
      </c>
      <c r="G26" s="13" t="s">
        <v>20</v>
      </c>
      <c r="H26" s="232" t="s">
        <v>1</v>
      </c>
    </row>
    <row r="27" spans="2:8" x14ac:dyDescent="0.25">
      <c r="B27" s="15" t="s">
        <v>106</v>
      </c>
      <c r="C27" s="495" t="s">
        <v>109</v>
      </c>
      <c r="D27" s="495"/>
      <c r="E27" s="9">
        <f>+'Input Sheet'!H67+'Input Sheet'!H68</f>
        <v>508461.38000000309</v>
      </c>
      <c r="F27" s="9">
        <f>+'Input Sheet'!I67+'Input Sheet'!I68</f>
        <v>555083.86000000266</v>
      </c>
      <c r="G27" s="9">
        <f>+'Input Sheet'!J67+'Input Sheet'!J68</f>
        <v>634213.78000000364</v>
      </c>
      <c r="H27" s="18">
        <f>SUM(D27:G27)</f>
        <v>1697759.0200000093</v>
      </c>
    </row>
    <row r="28" spans="2:8" x14ac:dyDescent="0.25">
      <c r="B28" s="15" t="s">
        <v>30</v>
      </c>
      <c r="C28" s="495" t="s">
        <v>110</v>
      </c>
      <c r="D28" s="495"/>
      <c r="E28" s="9">
        <f>'Input Sheet'!H180</f>
        <v>716261.81402024464</v>
      </c>
      <c r="F28" s="9">
        <f>'Input Sheet'!I180</f>
        <v>844860.62725798704</v>
      </c>
      <c r="G28" s="9">
        <f>'Input Sheet'!J180</f>
        <v>819934.89918603492</v>
      </c>
      <c r="H28" s="18">
        <f>SUM(D28:G28)</f>
        <v>2381057.3404642669</v>
      </c>
    </row>
    <row r="29" spans="2:8" x14ac:dyDescent="0.25">
      <c r="B29" t="s">
        <v>4</v>
      </c>
      <c r="C29" s="495" t="s">
        <v>111</v>
      </c>
      <c r="D29" s="495"/>
      <c r="E29" s="148">
        <f>+'Input Sheet'!H139</f>
        <v>1082</v>
      </c>
      <c r="F29" s="148">
        <f>'Input Sheet'!I139</f>
        <v>1186</v>
      </c>
      <c r="G29" s="148">
        <f>'Input Sheet'!J139</f>
        <v>1219</v>
      </c>
      <c r="H29" s="150">
        <f>SUM(D29:G29)</f>
        <v>3487</v>
      </c>
    </row>
    <row r="31" spans="2:8" x14ac:dyDescent="0.25">
      <c r="B31" s="154" t="s">
        <v>107</v>
      </c>
      <c r="C31" s="151"/>
      <c r="D31" s="151"/>
      <c r="E31" s="151"/>
      <c r="F31" s="151"/>
      <c r="G31" s="151"/>
      <c r="H31" s="151"/>
    </row>
    <row r="32" spans="2:8" ht="78.75" customHeight="1" x14ac:dyDescent="0.25">
      <c r="B32" s="492" t="s">
        <v>216</v>
      </c>
      <c r="C32" s="492"/>
      <c r="D32" s="492"/>
      <c r="E32" s="492"/>
      <c r="F32" s="492"/>
      <c r="G32" s="492"/>
      <c r="H32" s="492"/>
    </row>
    <row r="34" spans="2:8" x14ac:dyDescent="0.25">
      <c r="B34" s="334" t="s">
        <v>108</v>
      </c>
      <c r="C34" s="13" t="s">
        <v>22</v>
      </c>
      <c r="D34" s="13" t="s">
        <v>23</v>
      </c>
      <c r="E34" s="13" t="s">
        <v>24</v>
      </c>
      <c r="F34" s="13" t="s">
        <v>25</v>
      </c>
      <c r="G34" s="13" t="s">
        <v>26</v>
      </c>
      <c r="H34" s="232" t="s">
        <v>1</v>
      </c>
    </row>
    <row r="35" spans="2:8" x14ac:dyDescent="0.25">
      <c r="B35" s="15" t="s">
        <v>106</v>
      </c>
      <c r="C35" s="9">
        <f>'Fee Breakdown'!AB67</f>
        <v>2114759.6011188971</v>
      </c>
      <c r="D35" s="9">
        <f>'Fee Breakdown'!AC67</f>
        <v>2207025.9701689677</v>
      </c>
      <c r="E35" s="9">
        <f>'Fee Breakdown'!AD67</f>
        <v>2281750.7919268901</v>
      </c>
      <c r="F35" s="9">
        <f>'Fee Breakdown'!AE67</f>
        <v>2362132.6692411266</v>
      </c>
      <c r="G35" s="9">
        <f>'Fee Breakdown'!AF67</f>
        <v>2443475.893541222</v>
      </c>
      <c r="H35" s="18">
        <f>SUM(C35:G35)</f>
        <v>11409144.925997104</v>
      </c>
    </row>
    <row r="36" spans="2:8" x14ac:dyDescent="0.25">
      <c r="B36" s="15"/>
      <c r="C36" s="9"/>
      <c r="D36" s="9"/>
      <c r="E36" s="9"/>
      <c r="F36" s="9"/>
      <c r="G36" s="9"/>
      <c r="H36" s="18"/>
    </row>
    <row r="37" spans="2:8" x14ac:dyDescent="0.25">
      <c r="B37" s="15" t="s">
        <v>30</v>
      </c>
      <c r="C37" s="9">
        <f>'Fee Breakdown'!P131</f>
        <v>933712.17043118528</v>
      </c>
      <c r="D37" s="9">
        <f>'Fee Breakdown'!Q131</f>
        <v>974449.77089317865</v>
      </c>
      <c r="E37" s="9">
        <f>'Fee Breakdown'!R131</f>
        <v>1007442.3982687717</v>
      </c>
      <c r="F37" s="9">
        <f>'Fee Breakdown'!S131</f>
        <v>1042932.7382065584</v>
      </c>
      <c r="G37" s="9">
        <f>'Fee Breakdown'!T131</f>
        <v>1078847.5336617623</v>
      </c>
      <c r="H37" s="18">
        <f>SUM(C37:G37)</f>
        <v>5037384.6114614569</v>
      </c>
    </row>
    <row r="38" spans="2:8" x14ac:dyDescent="0.25">
      <c r="B38" s="15" t="s">
        <v>32</v>
      </c>
      <c r="C38" s="9">
        <f>'Fee Breakdown'!V131</f>
        <v>1095666.7438292017</v>
      </c>
      <c r="D38" s="9">
        <f>'Fee Breakdown'!W131</f>
        <v>1227810.102593831</v>
      </c>
      <c r="E38" s="9">
        <f>'Fee Breakdown'!X131</f>
        <v>1280501.7645609938</v>
      </c>
      <c r="F38" s="9">
        <f>'Fee Breakdown'!Y131</f>
        <v>1353076.0283054062</v>
      </c>
      <c r="G38" s="9">
        <f>'Fee Breakdown'!Z131</f>
        <v>1426882.2464930888</v>
      </c>
      <c r="H38" s="18">
        <f>SUM(C38:G38)</f>
        <v>6383936.8857825221</v>
      </c>
    </row>
    <row r="39" spans="2:8" ht="15.75" thickBot="1" x14ac:dyDescent="0.3">
      <c r="B39" s="152" t="s">
        <v>84</v>
      </c>
      <c r="C39" s="153">
        <f>SUM(C37:C38)</f>
        <v>2029378.914260387</v>
      </c>
      <c r="D39" s="153">
        <f t="shared" ref="D39:H39" si="0">SUM(D37:D38)</f>
        <v>2202259.8734870097</v>
      </c>
      <c r="E39" s="153">
        <f t="shared" si="0"/>
        <v>2287944.1628297656</v>
      </c>
      <c r="F39" s="153">
        <f t="shared" si="0"/>
        <v>2396008.7665119646</v>
      </c>
      <c r="G39" s="153">
        <f t="shared" si="0"/>
        <v>2505729.7801548513</v>
      </c>
      <c r="H39" s="153">
        <f t="shared" si="0"/>
        <v>11421321.497243978</v>
      </c>
    </row>
    <row r="40" spans="2:8" x14ac:dyDescent="0.25">
      <c r="B40" s="15"/>
      <c r="C40" s="9"/>
      <c r="D40" s="9"/>
      <c r="E40" s="9"/>
      <c r="F40" s="9"/>
      <c r="G40" s="9"/>
      <c r="H40" s="18"/>
    </row>
    <row r="41" spans="2:8" x14ac:dyDescent="0.25">
      <c r="B41" t="s">
        <v>4</v>
      </c>
      <c r="C41" s="230">
        <f>'Fee Breakdown'!H131</f>
        <v>1190</v>
      </c>
      <c r="D41" s="230">
        <f>'Fee Breakdown'!I131</f>
        <v>1190</v>
      </c>
      <c r="E41" s="230">
        <f>'Fee Breakdown'!J131</f>
        <v>1190</v>
      </c>
      <c r="F41" s="230">
        <f>'Fee Breakdown'!K131</f>
        <v>1190</v>
      </c>
      <c r="G41" s="230">
        <f>'Fee Breakdown'!L131</f>
        <v>1190</v>
      </c>
      <c r="H41" s="231">
        <f>SUM(C41:G41)</f>
        <v>5950</v>
      </c>
    </row>
    <row r="42" spans="2:8" x14ac:dyDescent="0.25">
      <c r="C42" s="3"/>
      <c r="D42" s="4"/>
      <c r="E42" s="3"/>
      <c r="F42" s="3"/>
      <c r="G42" s="3"/>
    </row>
    <row r="43" spans="2:8" x14ac:dyDescent="0.25">
      <c r="B43" s="154" t="s">
        <v>81</v>
      </c>
      <c r="C43" s="151"/>
      <c r="D43" s="151"/>
      <c r="E43" s="151"/>
      <c r="F43" s="151"/>
      <c r="G43" s="151"/>
      <c r="H43" s="151"/>
    </row>
    <row r="44" spans="2:8" ht="61.5" customHeight="1" x14ac:dyDescent="0.25">
      <c r="B44" s="492" t="s">
        <v>210</v>
      </c>
      <c r="C44" s="492"/>
      <c r="D44" s="492"/>
      <c r="E44" s="492"/>
      <c r="F44" s="492"/>
      <c r="G44" s="492"/>
      <c r="H44" s="492"/>
    </row>
    <row r="46" spans="2:8" x14ac:dyDescent="0.25">
      <c r="B46" s="12" t="s">
        <v>108</v>
      </c>
      <c r="C46" s="13" t="s">
        <v>22</v>
      </c>
      <c r="D46" s="13" t="s">
        <v>23</v>
      </c>
      <c r="E46" s="13" t="s">
        <v>24</v>
      </c>
      <c r="F46" s="13" t="s">
        <v>25</v>
      </c>
      <c r="G46" s="13" t="s">
        <v>26</v>
      </c>
      <c r="H46" s="232" t="s">
        <v>83</v>
      </c>
    </row>
    <row r="47" spans="2:8" x14ac:dyDescent="0.25">
      <c r="B47" t="s">
        <v>82</v>
      </c>
      <c r="C47" s="8">
        <f>+'Input Sheet'!G206</f>
        <v>2.1734523534412387</v>
      </c>
      <c r="D47" s="8">
        <f>+'Input Sheet'!H206</f>
        <v>2.2600034801880273</v>
      </c>
      <c r="E47" s="8">
        <f>+'Input Sheet'!I206</f>
        <v>2.2710421625707418</v>
      </c>
      <c r="F47" s="8">
        <f>+'Input Sheet'!J206</f>
        <v>2.2973761190315822</v>
      </c>
      <c r="G47" s="8">
        <f>+'Input Sheet'!K206</f>
        <v>2.3225986082111594</v>
      </c>
      <c r="H47" s="149">
        <f>AVERAGE(C47:G47)</f>
        <v>2.2648945446885498</v>
      </c>
    </row>
  </sheetData>
  <mergeCells count="20">
    <mergeCell ref="B44:H44"/>
    <mergeCell ref="B14:H14"/>
    <mergeCell ref="B15:H15"/>
    <mergeCell ref="B16:H16"/>
    <mergeCell ref="B17:H17"/>
    <mergeCell ref="B24:H24"/>
    <mergeCell ref="B18:H18"/>
    <mergeCell ref="B20:H20"/>
    <mergeCell ref="B21:H21"/>
    <mergeCell ref="B19:H19"/>
    <mergeCell ref="B32:H32"/>
    <mergeCell ref="C26:D26"/>
    <mergeCell ref="C27:D27"/>
    <mergeCell ref="C28:D28"/>
    <mergeCell ref="C29:D29"/>
    <mergeCell ref="C6:H6"/>
    <mergeCell ref="B11:H11"/>
    <mergeCell ref="I11:K11"/>
    <mergeCell ref="C5:H5"/>
    <mergeCell ref="C4:H4"/>
  </mergeCells>
  <pageMargins left="0.39370078740157483" right="0.39370078740157483" top="0.39370078740157483" bottom="0.39370078740157483" header="0.19685039370078741" footer="0.19685039370078741"/>
  <pageSetup paperSize="9" scale="70"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5"/>
  <sheetViews>
    <sheetView showGridLines="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156" t="s">
        <v>70</v>
      </c>
      <c r="C2" s="156"/>
      <c r="D2" s="155"/>
      <c r="E2" s="155"/>
      <c r="F2" s="155"/>
      <c r="G2" s="155"/>
      <c r="H2" s="155"/>
      <c r="I2" s="155"/>
      <c r="J2" s="155"/>
      <c r="K2" s="155"/>
    </row>
    <row r="3" spans="2:13" x14ac:dyDescent="0.25">
      <c r="B3" s="14" t="s">
        <v>0</v>
      </c>
      <c r="C3" s="12"/>
      <c r="D3" s="497" t="str">
        <f>'AER Summary'!C3</f>
        <v>Design Certification &amp; Re-certification</v>
      </c>
      <c r="E3" s="498"/>
      <c r="F3" s="498"/>
      <c r="G3" s="498"/>
      <c r="H3" s="498"/>
      <c r="I3" s="498"/>
      <c r="J3" s="498"/>
      <c r="K3" s="498"/>
      <c r="M3" s="6"/>
    </row>
    <row r="4" spans="2:13" x14ac:dyDescent="0.25">
      <c r="M4" s="6"/>
    </row>
    <row r="5" spans="2:13" x14ac:dyDescent="0.25">
      <c r="B5" s="154" t="s">
        <v>114</v>
      </c>
      <c r="C5" s="154"/>
      <c r="D5" s="154"/>
      <c r="E5" s="154"/>
      <c r="F5" s="154"/>
      <c r="G5" s="154"/>
      <c r="H5" s="154"/>
      <c r="I5" s="154"/>
      <c r="J5" s="154"/>
      <c r="K5" s="154"/>
      <c r="M5" s="7"/>
    </row>
    <row r="6" spans="2:13" ht="228.75" customHeight="1" x14ac:dyDescent="0.25">
      <c r="B6" s="492" t="s">
        <v>185</v>
      </c>
      <c r="C6" s="492"/>
      <c r="D6" s="492"/>
      <c r="E6" s="492"/>
      <c r="F6" s="492"/>
      <c r="G6" s="492"/>
      <c r="H6" s="492"/>
      <c r="I6" s="492"/>
      <c r="J6" s="492"/>
      <c r="K6" s="492"/>
      <c r="M6" s="7"/>
    </row>
    <row r="7" spans="2:13" ht="46.5" customHeight="1" x14ac:dyDescent="0.25">
      <c r="B7" s="496" t="s">
        <v>179</v>
      </c>
      <c r="C7" s="496"/>
      <c r="D7" s="496"/>
      <c r="E7" s="496"/>
      <c r="F7" s="496"/>
      <c r="G7" s="496"/>
      <c r="H7" s="496"/>
      <c r="I7" s="496"/>
      <c r="J7" s="496"/>
      <c r="K7" s="496"/>
      <c r="M7" s="7"/>
    </row>
    <row r="9" spans="2:13" x14ac:dyDescent="0.25">
      <c r="B9" s="154" t="s">
        <v>7</v>
      </c>
      <c r="C9" s="154"/>
      <c r="D9" s="154"/>
      <c r="E9" s="154"/>
      <c r="F9" s="154"/>
      <c r="G9" s="154"/>
      <c r="H9" s="154"/>
      <c r="I9" s="154"/>
      <c r="J9" s="154"/>
      <c r="K9" s="154"/>
    </row>
    <row r="10" spans="2:13" ht="30" customHeight="1" x14ac:dyDescent="0.25">
      <c r="B10" s="499" t="s">
        <v>180</v>
      </c>
      <c r="C10" s="499"/>
      <c r="D10" s="499"/>
      <c r="E10" s="499"/>
      <c r="F10" s="499"/>
      <c r="G10" s="499"/>
      <c r="H10" s="499"/>
      <c r="I10" s="499"/>
      <c r="J10" s="499"/>
      <c r="K10" s="499"/>
    </row>
    <row r="12" spans="2:13" x14ac:dyDescent="0.25">
      <c r="B12" s="154" t="s">
        <v>115</v>
      </c>
      <c r="C12" s="154"/>
      <c r="D12" s="154"/>
      <c r="E12" s="154"/>
      <c r="F12" s="154"/>
      <c r="G12" s="154"/>
      <c r="H12" s="154"/>
      <c r="I12" s="154"/>
      <c r="J12" s="154"/>
      <c r="K12" s="154"/>
    </row>
    <row r="13" spans="2:13" ht="243" customHeight="1" x14ac:dyDescent="0.25">
      <c r="B13" s="492" t="s">
        <v>186</v>
      </c>
      <c r="C13" s="492"/>
      <c r="D13" s="492"/>
      <c r="E13" s="492"/>
      <c r="F13" s="492"/>
      <c r="G13" s="492"/>
      <c r="H13" s="492"/>
      <c r="I13" s="492"/>
      <c r="J13" s="492"/>
      <c r="K13" s="492"/>
    </row>
    <row r="14" spans="2:13" ht="46.5" customHeight="1" x14ac:dyDescent="0.25">
      <c r="B14" s="496" t="s">
        <v>181</v>
      </c>
      <c r="C14" s="496"/>
      <c r="D14" s="496"/>
      <c r="E14" s="496"/>
      <c r="F14" s="496"/>
      <c r="G14" s="496"/>
      <c r="H14" s="496"/>
      <c r="I14" s="496"/>
      <c r="J14" s="496"/>
      <c r="K14" s="496"/>
    </row>
    <row r="15" spans="2:13" x14ac:dyDescent="0.25">
      <c r="B15" s="10"/>
    </row>
  </sheetData>
  <mergeCells count="6">
    <mergeCell ref="B14:K14"/>
    <mergeCell ref="D3:K3"/>
    <mergeCell ref="B10:K10"/>
    <mergeCell ref="B6:K6"/>
    <mergeCell ref="B7:K7"/>
    <mergeCell ref="B13:K13"/>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AG134"/>
  <sheetViews>
    <sheetView showGridLines="0" workbookViewId="0"/>
  </sheetViews>
  <sheetFormatPr defaultColWidth="9.140625" defaultRowHeight="12.75" x14ac:dyDescent="0.25"/>
  <cols>
    <col min="1" max="1" width="2.5703125" style="27" customWidth="1"/>
    <col min="2" max="2" width="57.28515625" style="27" bestFit="1" customWidth="1"/>
    <col min="3" max="6" width="10" style="27" customWidth="1"/>
    <col min="7" max="7" width="2.85546875" style="27" customWidth="1"/>
    <col min="8" max="9" width="10" style="27" customWidth="1"/>
    <col min="10" max="12" width="10" style="72" customWidth="1"/>
    <col min="13" max="13" width="2.85546875" style="72" customWidth="1"/>
    <col min="14" max="14" width="12" style="72" customWidth="1"/>
    <col min="15" max="15" width="2.85546875" style="72" customWidth="1"/>
    <col min="16" max="20" width="10" style="72" customWidth="1"/>
    <col min="21" max="21" width="3.7109375" style="97" customWidth="1"/>
    <col min="22" max="26" width="10" style="98" customWidth="1"/>
    <col min="27" max="27" width="3.7109375" style="27" customWidth="1"/>
    <col min="28" max="32" width="10" style="27" customWidth="1"/>
    <col min="33" max="33" width="2.85546875" style="27" customWidth="1"/>
    <col min="34" max="63" width="9.140625" style="27" customWidth="1"/>
    <col min="64" max="16384" width="9.140625" style="27"/>
  </cols>
  <sheetData>
    <row r="2" spans="2:33" ht="21" x14ac:dyDescent="0.25">
      <c r="B2" s="177" t="s">
        <v>72</v>
      </c>
      <c r="C2" s="178"/>
      <c r="D2" s="178"/>
      <c r="E2" s="178"/>
      <c r="F2" s="178"/>
      <c r="G2" s="178"/>
      <c r="H2" s="178"/>
      <c r="I2" s="178"/>
      <c r="J2" s="179"/>
      <c r="K2" s="179"/>
      <c r="L2" s="179"/>
      <c r="M2" s="179"/>
      <c r="N2" s="179"/>
      <c r="O2" s="179"/>
      <c r="P2" s="179"/>
      <c r="Q2" s="179"/>
      <c r="R2" s="179"/>
      <c r="S2" s="179"/>
      <c r="T2" s="179"/>
      <c r="U2" s="179"/>
      <c r="V2" s="179"/>
      <c r="W2" s="179"/>
      <c r="X2" s="179"/>
      <c r="Y2" s="179"/>
      <c r="Z2" s="179"/>
      <c r="AA2" s="179"/>
      <c r="AB2" s="179"/>
      <c r="AC2" s="179"/>
      <c r="AD2" s="179"/>
      <c r="AE2" s="179"/>
      <c r="AF2" s="179"/>
    </row>
    <row r="3" spans="2:33" ht="15" x14ac:dyDescent="0.25">
      <c r="B3" s="95" t="s">
        <v>0</v>
      </c>
      <c r="C3" s="96" t="str">
        <f>+'AER Summary'!C3</f>
        <v>Design Certification &amp; Re-certification</v>
      </c>
      <c r="D3" s="96"/>
      <c r="E3" s="96"/>
      <c r="F3" s="96"/>
      <c r="G3" s="96"/>
      <c r="H3" s="96"/>
      <c r="I3" s="96"/>
      <c r="J3" s="96"/>
      <c r="K3" s="96"/>
      <c r="L3" s="96"/>
      <c r="M3" s="96"/>
      <c r="N3" s="96"/>
      <c r="O3" s="96"/>
      <c r="P3" s="96"/>
      <c r="Q3" s="96"/>
      <c r="R3" s="96"/>
      <c r="S3" s="96"/>
      <c r="T3" s="96"/>
      <c r="U3" s="96"/>
      <c r="V3" s="96"/>
      <c r="W3" s="96"/>
      <c r="X3" s="96"/>
      <c r="Y3" s="96"/>
      <c r="Z3" s="96"/>
      <c r="AA3" s="96"/>
      <c r="AB3" s="96"/>
      <c r="AC3" s="96"/>
      <c r="AD3" s="96"/>
      <c r="AE3" s="96"/>
      <c r="AF3" s="96"/>
    </row>
    <row r="5" spans="2:33" ht="15" x14ac:dyDescent="0.25">
      <c r="B5" s="154" t="str">
        <f>"Proposed "&amp;'AER Summary'!C3&amp;" Fees &amp; Revenue"</f>
        <v>Proposed Design Certification &amp; Re-certification Fees &amp; Revenue</v>
      </c>
      <c r="C5" s="154"/>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c r="AD5" s="154"/>
      <c r="AE5" s="154"/>
      <c r="AF5" s="154"/>
    </row>
    <row r="6" spans="2:33" x14ac:dyDescent="0.25">
      <c r="M6" s="128"/>
      <c r="N6" s="128"/>
      <c r="O6" s="128"/>
      <c r="V6" s="89"/>
      <c r="W6" s="89"/>
      <c r="X6" s="89"/>
      <c r="Y6" s="89"/>
      <c r="Z6" s="89"/>
    </row>
    <row r="7" spans="2:33" x14ac:dyDescent="0.25">
      <c r="C7" s="506" t="s">
        <v>6</v>
      </c>
      <c r="D7" s="507"/>
      <c r="E7" s="507"/>
      <c r="F7" s="508"/>
      <c r="H7" s="509" t="s">
        <v>85</v>
      </c>
      <c r="I7" s="510"/>
      <c r="J7" s="510"/>
      <c r="K7" s="510"/>
      <c r="L7" s="511"/>
      <c r="M7" s="99"/>
      <c r="N7" s="99"/>
      <c r="O7" s="99"/>
      <c r="P7" s="509" t="s">
        <v>100</v>
      </c>
      <c r="Q7" s="510"/>
      <c r="R7" s="510"/>
      <c r="S7" s="510"/>
      <c r="T7" s="511"/>
      <c r="V7" s="512"/>
      <c r="W7" s="512"/>
      <c r="X7" s="512"/>
      <c r="Y7" s="512"/>
      <c r="Z7" s="512"/>
      <c r="AA7" s="170"/>
      <c r="AB7" s="509" t="s">
        <v>182</v>
      </c>
      <c r="AC7" s="510"/>
      <c r="AD7" s="510"/>
      <c r="AE7" s="510"/>
      <c r="AF7" s="511"/>
      <c r="AG7" s="170"/>
    </row>
    <row r="8" spans="2:33" ht="51" x14ac:dyDescent="0.25">
      <c r="B8" s="100" t="s">
        <v>15</v>
      </c>
      <c r="C8" s="267" t="s">
        <v>74</v>
      </c>
      <c r="D8" s="268" t="s">
        <v>8</v>
      </c>
      <c r="E8" s="268" t="s">
        <v>86</v>
      </c>
      <c r="F8" s="269" t="s">
        <v>73</v>
      </c>
      <c r="H8" s="166" t="s">
        <v>22</v>
      </c>
      <c r="I8" s="167" t="s">
        <v>23</v>
      </c>
      <c r="J8" s="167" t="s">
        <v>24</v>
      </c>
      <c r="K8" s="167" t="s">
        <v>25</v>
      </c>
      <c r="L8" s="168" t="s">
        <v>26</v>
      </c>
      <c r="M8" s="101"/>
      <c r="N8" s="239" t="s">
        <v>98</v>
      </c>
      <c r="O8" s="101"/>
      <c r="P8" s="102" t="s">
        <v>22</v>
      </c>
      <c r="Q8" s="103" t="s">
        <v>23</v>
      </c>
      <c r="R8" s="103" t="s">
        <v>24</v>
      </c>
      <c r="S8" s="103" t="s">
        <v>25</v>
      </c>
      <c r="T8" s="104" t="s">
        <v>26</v>
      </c>
      <c r="V8" s="171"/>
      <c r="W8" s="171"/>
      <c r="X8" s="171"/>
      <c r="Y8" s="171"/>
      <c r="Z8" s="171"/>
      <c r="AA8" s="170"/>
      <c r="AB8" s="102" t="s">
        <v>22</v>
      </c>
      <c r="AC8" s="103" t="s">
        <v>23</v>
      </c>
      <c r="AD8" s="103" t="s">
        <v>24</v>
      </c>
      <c r="AE8" s="103" t="s">
        <v>25</v>
      </c>
      <c r="AF8" s="104" t="s">
        <v>26</v>
      </c>
      <c r="AG8" s="170"/>
    </row>
    <row r="9" spans="2:33" x14ac:dyDescent="0.25">
      <c r="B9" s="107"/>
      <c r="C9" s="270"/>
      <c r="D9" s="108"/>
      <c r="E9" s="265"/>
      <c r="F9" s="237"/>
      <c r="G9" s="118"/>
      <c r="H9" s="164"/>
      <c r="I9" s="158"/>
      <c r="J9" s="158"/>
      <c r="K9" s="158"/>
      <c r="L9" s="159"/>
      <c r="M9" s="109"/>
      <c r="N9" s="113"/>
      <c r="O9" s="109"/>
      <c r="P9" s="221"/>
      <c r="Q9" s="222"/>
      <c r="R9" s="222"/>
      <c r="S9" s="222"/>
      <c r="T9" s="223"/>
      <c r="U9" s="110"/>
      <c r="V9" s="172"/>
      <c r="W9" s="172"/>
      <c r="X9" s="172"/>
      <c r="Y9" s="172"/>
      <c r="Z9" s="172"/>
      <c r="AA9" s="170"/>
      <c r="AB9" s="221"/>
      <c r="AC9" s="222"/>
      <c r="AD9" s="222"/>
      <c r="AE9" s="222"/>
      <c r="AF9" s="223"/>
      <c r="AG9" s="170"/>
    </row>
    <row r="10" spans="2:33" x14ac:dyDescent="0.2">
      <c r="B10" s="293" t="s">
        <v>144</v>
      </c>
      <c r="C10" s="293"/>
      <c r="D10" s="294"/>
      <c r="E10" s="294"/>
      <c r="F10" s="295"/>
      <c r="G10" s="118"/>
      <c r="H10" s="296"/>
      <c r="I10" s="297"/>
      <c r="J10" s="297"/>
      <c r="K10" s="297"/>
      <c r="L10" s="298"/>
      <c r="M10" s="109"/>
      <c r="N10" s="299"/>
      <c r="O10" s="109"/>
      <c r="P10" s="300"/>
      <c r="Q10" s="301"/>
      <c r="R10" s="301"/>
      <c r="S10" s="301"/>
      <c r="T10" s="302"/>
      <c r="U10" s="110"/>
      <c r="V10" s="172"/>
      <c r="W10" s="172"/>
      <c r="X10" s="172"/>
      <c r="Y10" s="172"/>
      <c r="Z10" s="172"/>
      <c r="AA10" s="170"/>
      <c r="AB10" s="300"/>
      <c r="AC10" s="301"/>
      <c r="AD10" s="301"/>
      <c r="AE10" s="301"/>
      <c r="AF10" s="302"/>
      <c r="AG10" s="170"/>
    </row>
    <row r="11" spans="2:33" x14ac:dyDescent="0.2">
      <c r="B11" s="249" t="s">
        <v>9</v>
      </c>
      <c r="C11" s="207">
        <f>'Input Sheet'!G11</f>
        <v>80</v>
      </c>
      <c r="D11" s="263">
        <f>'Input Sheet'!H11</f>
        <v>1</v>
      </c>
      <c r="E11" s="133">
        <f>'Input Sheet'!J11</f>
        <v>88</v>
      </c>
      <c r="F11" s="132">
        <f>'Input Sheet'!K11</f>
        <v>80</v>
      </c>
      <c r="G11" s="118"/>
      <c r="H11" s="164">
        <f>+'Input Sheet'!G$197</f>
        <v>218.57980373321934</v>
      </c>
      <c r="I11" s="158">
        <f>+'Input Sheet'!H$197</f>
        <v>228.11637934562978</v>
      </c>
      <c r="J11" s="158">
        <f>+'Input Sheet'!I$197</f>
        <v>235.83987513456231</v>
      </c>
      <c r="K11" s="158">
        <f>+'Input Sheet'!J$197</f>
        <v>244.14807950812676</v>
      </c>
      <c r="L11" s="159">
        <f>+'Input Sheet'!K$197</f>
        <v>252.55564791123743</v>
      </c>
      <c r="M11" s="109"/>
      <c r="N11" s="121">
        <f>+'Standard Hour Calcs'!Z12</f>
        <v>2</v>
      </c>
      <c r="O11" s="109"/>
      <c r="P11" s="224">
        <f t="shared" ref="P11" si="0">IF($N11="Hourly",H11,H11*$N11)</f>
        <v>437.15960746643867</v>
      </c>
      <c r="Q11" s="225">
        <f t="shared" ref="Q11" si="1">IF($N11="Hourly",I11,I11*$N11)</f>
        <v>456.23275869125956</v>
      </c>
      <c r="R11" s="225">
        <f t="shared" ref="R11" si="2">IF($N11="Hourly",J11,J11*$N11)</f>
        <v>471.67975026912461</v>
      </c>
      <c r="S11" s="225">
        <f t="shared" ref="S11" si="3">IF($N11="Hourly",K11,K11*$N11)</f>
        <v>488.29615901625351</v>
      </c>
      <c r="T11" s="226">
        <f t="shared" ref="T11" si="4">IF($N11="Hourly",L11,L11*$N11)</f>
        <v>505.11129582247486</v>
      </c>
      <c r="U11" s="110"/>
      <c r="V11" s="271"/>
      <c r="W11" s="271"/>
      <c r="X11" s="271"/>
      <c r="Y11" s="271"/>
      <c r="Z11" s="271"/>
      <c r="AA11" s="170"/>
      <c r="AB11" s="344">
        <f>IF($N11="Hourly",P11*$N75*H75,H75*P11)</f>
        <v>23606.618803187688</v>
      </c>
      <c r="AC11" s="345">
        <f t="shared" ref="AC11:AC27" si="5">IF($N11="Hourly",Q11*$N75*I75,I75*Q11)</f>
        <v>24636.568969328015</v>
      </c>
      <c r="AD11" s="345">
        <f t="shared" ref="AD11:AD27" si="6">IF($N11="Hourly",R11*$N75*J75,J75*R11)</f>
        <v>25470.706514532729</v>
      </c>
      <c r="AE11" s="345">
        <f t="shared" ref="AE11:AE27" si="7">IF($N11="Hourly",S11*$N75*K75,K75*S11)</f>
        <v>26367.992586877688</v>
      </c>
      <c r="AF11" s="346">
        <f t="shared" ref="AF11:AF27" si="8">IF($N11="Hourly",T11*$N75*L75,L75*T11)</f>
        <v>27276.009974413642</v>
      </c>
      <c r="AG11" s="170"/>
    </row>
    <row r="12" spans="2:33" x14ac:dyDescent="0.2">
      <c r="B12" s="249" t="s">
        <v>10</v>
      </c>
      <c r="C12" s="207">
        <f>'Input Sheet'!G12</f>
        <v>80</v>
      </c>
      <c r="D12" s="263">
        <f>'Input Sheet'!H12</f>
        <v>1.9886363636363638</v>
      </c>
      <c r="E12" s="133">
        <f>'Input Sheet'!J12</f>
        <v>175</v>
      </c>
      <c r="F12" s="132">
        <f>'Input Sheet'!K12</f>
        <v>159.09090909090909</v>
      </c>
      <c r="G12" s="118"/>
      <c r="H12" s="164">
        <f>+'Input Sheet'!G$197</f>
        <v>218.57980373321934</v>
      </c>
      <c r="I12" s="158">
        <f>+'Input Sheet'!H$197</f>
        <v>228.11637934562978</v>
      </c>
      <c r="J12" s="158">
        <f>+'Input Sheet'!I$197</f>
        <v>235.83987513456231</v>
      </c>
      <c r="K12" s="158">
        <f>+'Input Sheet'!J$197</f>
        <v>244.14807950812676</v>
      </c>
      <c r="L12" s="159">
        <f>+'Input Sheet'!K$197</f>
        <v>252.55564791123743</v>
      </c>
      <c r="M12" s="109"/>
      <c r="N12" s="121">
        <f>+'Standard Hour Calcs'!Z13</f>
        <v>3</v>
      </c>
      <c r="O12" s="109"/>
      <c r="P12" s="224">
        <f t="shared" ref="P12:P27" si="9">IF($N12="Hourly",H12,H12*$N12)</f>
        <v>655.73941119965798</v>
      </c>
      <c r="Q12" s="225">
        <f t="shared" ref="Q12:Q27" si="10">IF($N12="Hourly",I12,I12*$N12)</f>
        <v>684.34913803688937</v>
      </c>
      <c r="R12" s="225">
        <f t="shared" ref="R12:R27" si="11">IF($N12="Hourly",J12,J12*$N12)</f>
        <v>707.51962540368686</v>
      </c>
      <c r="S12" s="225">
        <f t="shared" ref="S12:S27" si="12">IF($N12="Hourly",K12,K12*$N12)</f>
        <v>732.44423852438024</v>
      </c>
      <c r="T12" s="226">
        <f t="shared" ref="T12:T27" si="13">IF($N12="Hourly",L12,L12*$N12)</f>
        <v>757.66694373371229</v>
      </c>
      <c r="U12" s="110"/>
      <c r="V12" s="271"/>
      <c r="W12" s="271"/>
      <c r="X12" s="271"/>
      <c r="Y12" s="271"/>
      <c r="Z12" s="271"/>
      <c r="AA12" s="170"/>
      <c r="AB12" s="347">
        <f t="shared" ref="AB12:AB27" si="14">IF($N12="Hourly",P12*$N76*H76,H76*P12)</f>
        <v>27541.055270385634</v>
      </c>
      <c r="AC12" s="348">
        <f t="shared" si="5"/>
        <v>28742.663797549354</v>
      </c>
      <c r="AD12" s="348">
        <f t="shared" si="6"/>
        <v>29715.824266954849</v>
      </c>
      <c r="AE12" s="348">
        <f t="shared" si="7"/>
        <v>30762.658018023969</v>
      </c>
      <c r="AF12" s="349">
        <f t="shared" si="8"/>
        <v>31822.011636815914</v>
      </c>
      <c r="AG12" s="170"/>
    </row>
    <row r="13" spans="2:33" x14ac:dyDescent="0.2">
      <c r="B13" s="249" t="s">
        <v>11</v>
      </c>
      <c r="C13" s="207">
        <f>'Input Sheet'!G13</f>
        <v>80</v>
      </c>
      <c r="D13" s="263">
        <f>'Input Sheet'!H13</f>
        <v>2.9886363636363638</v>
      </c>
      <c r="E13" s="133">
        <f>'Input Sheet'!J13</f>
        <v>263</v>
      </c>
      <c r="F13" s="132">
        <f>'Input Sheet'!K13</f>
        <v>239.09090909090909</v>
      </c>
      <c r="G13" s="118"/>
      <c r="H13" s="164">
        <f>+'Input Sheet'!G$197</f>
        <v>218.57980373321934</v>
      </c>
      <c r="I13" s="158">
        <f>+'Input Sheet'!H$197</f>
        <v>228.11637934562978</v>
      </c>
      <c r="J13" s="158">
        <f>+'Input Sheet'!I$197</f>
        <v>235.83987513456231</v>
      </c>
      <c r="K13" s="158">
        <f>+'Input Sheet'!J$197</f>
        <v>244.14807950812676</v>
      </c>
      <c r="L13" s="159">
        <f>+'Input Sheet'!K$197</f>
        <v>252.55564791123743</v>
      </c>
      <c r="M13" s="109"/>
      <c r="N13" s="121">
        <f>+'Standard Hour Calcs'!Z14</f>
        <v>5</v>
      </c>
      <c r="O13" s="109"/>
      <c r="P13" s="224">
        <f t="shared" si="9"/>
        <v>1092.8990186660967</v>
      </c>
      <c r="Q13" s="225">
        <f t="shared" si="10"/>
        <v>1140.5818967281489</v>
      </c>
      <c r="R13" s="225">
        <f t="shared" si="11"/>
        <v>1179.1993756728116</v>
      </c>
      <c r="S13" s="225">
        <f t="shared" si="12"/>
        <v>1220.7403975406337</v>
      </c>
      <c r="T13" s="226">
        <f t="shared" si="13"/>
        <v>1262.7782395561871</v>
      </c>
      <c r="U13" s="110"/>
      <c r="V13" s="271"/>
      <c r="W13" s="271"/>
      <c r="X13" s="271"/>
      <c r="Y13" s="271"/>
      <c r="Z13" s="271"/>
      <c r="AA13" s="170"/>
      <c r="AB13" s="347">
        <f t="shared" si="14"/>
        <v>99453.810698614805</v>
      </c>
      <c r="AC13" s="348">
        <f t="shared" si="5"/>
        <v>103792.95260226155</v>
      </c>
      <c r="AD13" s="348">
        <f t="shared" si="6"/>
        <v>107307.14318622585</v>
      </c>
      <c r="AE13" s="348">
        <f t="shared" si="7"/>
        <v>111087.37617619766</v>
      </c>
      <c r="AF13" s="349">
        <f t="shared" si="8"/>
        <v>114912.81979961303</v>
      </c>
      <c r="AG13" s="170"/>
    </row>
    <row r="14" spans="2:33" x14ac:dyDescent="0.2">
      <c r="B14" s="249" t="s">
        <v>13</v>
      </c>
      <c r="C14" s="207">
        <f>'Input Sheet'!G14</f>
        <v>80</v>
      </c>
      <c r="D14" s="263">
        <f>'Input Sheet'!H14</f>
        <v>3.9772727272727275</v>
      </c>
      <c r="E14" s="133">
        <f>'Input Sheet'!J14</f>
        <v>350</v>
      </c>
      <c r="F14" s="132">
        <f>'Input Sheet'!K14</f>
        <v>318.18181818181819</v>
      </c>
      <c r="G14" s="118"/>
      <c r="H14" s="164">
        <f>+'Input Sheet'!G$197</f>
        <v>218.57980373321934</v>
      </c>
      <c r="I14" s="158">
        <f>+'Input Sheet'!H$197</f>
        <v>228.11637934562978</v>
      </c>
      <c r="J14" s="158">
        <f>+'Input Sheet'!I$197</f>
        <v>235.83987513456231</v>
      </c>
      <c r="K14" s="158">
        <f>+'Input Sheet'!J$197</f>
        <v>244.14807950812676</v>
      </c>
      <c r="L14" s="159">
        <f>+'Input Sheet'!K$197</f>
        <v>252.55564791123743</v>
      </c>
      <c r="M14" s="109"/>
      <c r="N14" s="121">
        <f>+'Standard Hour Calcs'!Z15</f>
        <v>6</v>
      </c>
      <c r="O14" s="109"/>
      <c r="P14" s="224">
        <f t="shared" si="9"/>
        <v>1311.478822399316</v>
      </c>
      <c r="Q14" s="225">
        <f t="shared" si="10"/>
        <v>1368.6982760737787</v>
      </c>
      <c r="R14" s="225">
        <f t="shared" si="11"/>
        <v>1415.0392508073737</v>
      </c>
      <c r="S14" s="225">
        <f t="shared" si="12"/>
        <v>1464.8884770487605</v>
      </c>
      <c r="T14" s="226">
        <f t="shared" si="13"/>
        <v>1515.3338874674246</v>
      </c>
      <c r="U14" s="110"/>
      <c r="V14" s="271"/>
      <c r="W14" s="271"/>
      <c r="X14" s="271"/>
      <c r="Y14" s="271"/>
      <c r="Z14" s="271"/>
      <c r="AA14" s="170"/>
      <c r="AB14" s="347">
        <f t="shared" si="14"/>
        <v>90492.038745552796</v>
      </c>
      <c r="AC14" s="348">
        <f t="shared" si="5"/>
        <v>94440.181049090737</v>
      </c>
      <c r="AD14" s="348">
        <f t="shared" si="6"/>
        <v>97637.708305708788</v>
      </c>
      <c r="AE14" s="348">
        <f t="shared" si="7"/>
        <v>101077.30491636448</v>
      </c>
      <c r="AF14" s="349">
        <f t="shared" si="8"/>
        <v>104558.0382352523</v>
      </c>
      <c r="AG14" s="170"/>
    </row>
    <row r="15" spans="2:33" x14ac:dyDescent="0.2">
      <c r="B15" s="249" t="s">
        <v>145</v>
      </c>
      <c r="C15" s="207">
        <f>'Input Sheet'!G15</f>
        <v>80</v>
      </c>
      <c r="D15" s="263">
        <f>'Input Sheet'!H15</f>
        <v>1</v>
      </c>
      <c r="E15" s="133">
        <f>'Input Sheet'!J15</f>
        <v>88</v>
      </c>
      <c r="F15" s="132">
        <f>'Input Sheet'!K15</f>
        <v>80</v>
      </c>
      <c r="G15" s="118"/>
      <c r="H15" s="164">
        <f>+'Input Sheet'!G$197</f>
        <v>218.57980373321934</v>
      </c>
      <c r="I15" s="158">
        <f>+'Input Sheet'!H$197</f>
        <v>228.11637934562978</v>
      </c>
      <c r="J15" s="158">
        <f>+'Input Sheet'!I$197</f>
        <v>235.83987513456231</v>
      </c>
      <c r="K15" s="158">
        <f>+'Input Sheet'!J$197</f>
        <v>244.14807950812676</v>
      </c>
      <c r="L15" s="159">
        <f>+'Input Sheet'!K$197</f>
        <v>252.55564791123743</v>
      </c>
      <c r="M15" s="109"/>
      <c r="N15" s="121">
        <f>+'Standard Hour Calcs'!Z16</f>
        <v>1</v>
      </c>
      <c r="O15" s="109"/>
      <c r="P15" s="224">
        <f t="shared" si="9"/>
        <v>218.57980373321934</v>
      </c>
      <c r="Q15" s="225">
        <f t="shared" si="10"/>
        <v>228.11637934562978</v>
      </c>
      <c r="R15" s="225">
        <f t="shared" si="11"/>
        <v>235.83987513456231</v>
      </c>
      <c r="S15" s="225">
        <f t="shared" si="12"/>
        <v>244.14807950812676</v>
      </c>
      <c r="T15" s="226">
        <f t="shared" si="13"/>
        <v>252.55564791123743</v>
      </c>
      <c r="U15" s="110"/>
      <c r="V15" s="271"/>
      <c r="W15" s="271"/>
      <c r="X15" s="271"/>
      <c r="Y15" s="271"/>
      <c r="Z15" s="271"/>
      <c r="AA15" s="170"/>
      <c r="AB15" s="347">
        <f t="shared" si="14"/>
        <v>1311.478822399316</v>
      </c>
      <c r="AC15" s="348">
        <f t="shared" si="5"/>
        <v>1368.6982760737787</v>
      </c>
      <c r="AD15" s="348">
        <f t="shared" si="6"/>
        <v>1415.0392508073737</v>
      </c>
      <c r="AE15" s="348">
        <f t="shared" si="7"/>
        <v>1464.8884770487605</v>
      </c>
      <c r="AF15" s="349">
        <f t="shared" si="8"/>
        <v>1515.3338874674246</v>
      </c>
      <c r="AG15" s="170"/>
    </row>
    <row r="16" spans="2:33" x14ac:dyDescent="0.2">
      <c r="B16" s="249" t="s">
        <v>146</v>
      </c>
      <c r="C16" s="207">
        <f>'Input Sheet'!G16</f>
        <v>80</v>
      </c>
      <c r="D16" s="263">
        <f>'Input Sheet'!H16</f>
        <v>1.9886363636363638</v>
      </c>
      <c r="E16" s="133">
        <f>'Input Sheet'!J16</f>
        <v>175</v>
      </c>
      <c r="F16" s="132">
        <f>'Input Sheet'!K16</f>
        <v>159.09090909090909</v>
      </c>
      <c r="G16" s="118"/>
      <c r="H16" s="164">
        <f>+'Input Sheet'!G$197</f>
        <v>218.57980373321934</v>
      </c>
      <c r="I16" s="158">
        <f>+'Input Sheet'!H$197</f>
        <v>228.11637934562978</v>
      </c>
      <c r="J16" s="158">
        <f>+'Input Sheet'!I$197</f>
        <v>235.83987513456231</v>
      </c>
      <c r="K16" s="158">
        <f>+'Input Sheet'!J$197</f>
        <v>244.14807950812676</v>
      </c>
      <c r="L16" s="159">
        <f>+'Input Sheet'!K$197</f>
        <v>252.55564791123743</v>
      </c>
      <c r="M16" s="109"/>
      <c r="N16" s="121">
        <f>+'Standard Hour Calcs'!Z17</f>
        <v>3</v>
      </c>
      <c r="O16" s="109"/>
      <c r="P16" s="224">
        <f t="shared" si="9"/>
        <v>655.73941119965798</v>
      </c>
      <c r="Q16" s="225">
        <f t="shared" si="10"/>
        <v>684.34913803688937</v>
      </c>
      <c r="R16" s="225">
        <f t="shared" si="11"/>
        <v>707.51962540368686</v>
      </c>
      <c r="S16" s="225">
        <f t="shared" si="12"/>
        <v>732.44423852438024</v>
      </c>
      <c r="T16" s="226">
        <f t="shared" si="13"/>
        <v>757.66694373371229</v>
      </c>
      <c r="U16" s="110"/>
      <c r="V16" s="271"/>
      <c r="W16" s="271"/>
      <c r="X16" s="271"/>
      <c r="Y16" s="271"/>
      <c r="Z16" s="271"/>
      <c r="AA16" s="170"/>
      <c r="AB16" s="347">
        <f t="shared" si="14"/>
        <v>1311.478822399316</v>
      </c>
      <c r="AC16" s="348">
        <f t="shared" si="5"/>
        <v>1368.6982760737787</v>
      </c>
      <c r="AD16" s="348">
        <f t="shared" si="6"/>
        <v>1415.0392508073737</v>
      </c>
      <c r="AE16" s="348">
        <f t="shared" si="7"/>
        <v>1464.8884770487605</v>
      </c>
      <c r="AF16" s="349">
        <f t="shared" si="8"/>
        <v>1515.3338874674246</v>
      </c>
      <c r="AG16" s="170"/>
    </row>
    <row r="17" spans="2:33" x14ac:dyDescent="0.2">
      <c r="B17" s="249" t="s">
        <v>147</v>
      </c>
      <c r="C17" s="207">
        <f>'Input Sheet'!G17</f>
        <v>80</v>
      </c>
      <c r="D17" s="263">
        <f>'Input Sheet'!H17</f>
        <v>2.9886363636363638</v>
      </c>
      <c r="E17" s="133">
        <f>'Input Sheet'!J17</f>
        <v>263</v>
      </c>
      <c r="F17" s="132">
        <f>'Input Sheet'!K17</f>
        <v>239.09090909090909</v>
      </c>
      <c r="G17" s="118"/>
      <c r="H17" s="164">
        <f>+'Input Sheet'!G$197</f>
        <v>218.57980373321934</v>
      </c>
      <c r="I17" s="158">
        <f>+'Input Sheet'!H$197</f>
        <v>228.11637934562978</v>
      </c>
      <c r="J17" s="158">
        <f>+'Input Sheet'!I$197</f>
        <v>235.83987513456231</v>
      </c>
      <c r="K17" s="158">
        <f>+'Input Sheet'!J$197</f>
        <v>244.14807950812676</v>
      </c>
      <c r="L17" s="159">
        <f>+'Input Sheet'!K$197</f>
        <v>252.55564791123743</v>
      </c>
      <c r="M17" s="109"/>
      <c r="N17" s="121">
        <f>+'Standard Hour Calcs'!Z18</f>
        <v>4</v>
      </c>
      <c r="O17" s="109"/>
      <c r="P17" s="224">
        <f t="shared" si="9"/>
        <v>874.31921493287734</v>
      </c>
      <c r="Q17" s="225">
        <f t="shared" si="10"/>
        <v>912.46551738251912</v>
      </c>
      <c r="R17" s="225">
        <f t="shared" si="11"/>
        <v>943.35950053824922</v>
      </c>
      <c r="S17" s="225">
        <f t="shared" si="12"/>
        <v>976.59231803250702</v>
      </c>
      <c r="T17" s="226">
        <f t="shared" si="13"/>
        <v>1010.2225916449497</v>
      </c>
      <c r="U17" s="110"/>
      <c r="V17" s="271"/>
      <c r="W17" s="271"/>
      <c r="X17" s="271"/>
      <c r="Y17" s="271"/>
      <c r="Z17" s="271"/>
      <c r="AA17" s="170"/>
      <c r="AB17" s="347">
        <f t="shared" si="14"/>
        <v>874.31921493287734</v>
      </c>
      <c r="AC17" s="348">
        <f t="shared" si="5"/>
        <v>912.46551738251912</v>
      </c>
      <c r="AD17" s="348">
        <f t="shared" si="6"/>
        <v>943.35950053824922</v>
      </c>
      <c r="AE17" s="348">
        <f t="shared" si="7"/>
        <v>976.59231803250702</v>
      </c>
      <c r="AF17" s="349">
        <f t="shared" si="8"/>
        <v>1010.2225916449497</v>
      </c>
      <c r="AG17" s="170"/>
    </row>
    <row r="18" spans="2:33" x14ac:dyDescent="0.2">
      <c r="B18" s="249" t="s">
        <v>148</v>
      </c>
      <c r="C18" s="207">
        <f>'Input Sheet'!G18</f>
        <v>80</v>
      </c>
      <c r="D18" s="263">
        <f>'Input Sheet'!H18</f>
        <v>3.9772727272727275</v>
      </c>
      <c r="E18" s="133">
        <f>'Input Sheet'!J18</f>
        <v>350</v>
      </c>
      <c r="F18" s="132">
        <f>'Input Sheet'!K18</f>
        <v>318.18181818181819</v>
      </c>
      <c r="G18" s="118"/>
      <c r="H18" s="164">
        <f>+'Input Sheet'!G$197</f>
        <v>218.57980373321934</v>
      </c>
      <c r="I18" s="158">
        <f>+'Input Sheet'!H$197</f>
        <v>228.11637934562978</v>
      </c>
      <c r="J18" s="158">
        <f>+'Input Sheet'!I$197</f>
        <v>235.83987513456231</v>
      </c>
      <c r="K18" s="158">
        <f>+'Input Sheet'!J$197</f>
        <v>244.14807950812676</v>
      </c>
      <c r="L18" s="159">
        <f>+'Input Sheet'!K$197</f>
        <v>252.55564791123743</v>
      </c>
      <c r="M18" s="109"/>
      <c r="N18" s="121">
        <f>ROUND(D18,0)</f>
        <v>4</v>
      </c>
      <c r="O18" s="109"/>
      <c r="P18" s="224">
        <f t="shared" si="9"/>
        <v>874.31921493287734</v>
      </c>
      <c r="Q18" s="225">
        <f t="shared" si="10"/>
        <v>912.46551738251912</v>
      </c>
      <c r="R18" s="225">
        <f t="shared" si="11"/>
        <v>943.35950053824922</v>
      </c>
      <c r="S18" s="225">
        <f t="shared" si="12"/>
        <v>976.59231803250702</v>
      </c>
      <c r="T18" s="226">
        <f t="shared" si="13"/>
        <v>1010.2225916449497</v>
      </c>
      <c r="U18" s="110"/>
      <c r="V18" s="271"/>
      <c r="W18" s="271"/>
      <c r="X18" s="271"/>
      <c r="Y18" s="271"/>
      <c r="Z18" s="271"/>
      <c r="AA18" s="170"/>
      <c r="AB18" s="347">
        <f t="shared" si="14"/>
        <v>0</v>
      </c>
      <c r="AC18" s="348">
        <f t="shared" si="5"/>
        <v>0</v>
      </c>
      <c r="AD18" s="348">
        <f t="shared" si="6"/>
        <v>0</v>
      </c>
      <c r="AE18" s="348">
        <f t="shared" si="7"/>
        <v>0</v>
      </c>
      <c r="AF18" s="349">
        <f t="shared" si="8"/>
        <v>0</v>
      </c>
      <c r="AG18" s="170"/>
    </row>
    <row r="19" spans="2:33" x14ac:dyDescent="0.2">
      <c r="B19" s="249" t="s">
        <v>149</v>
      </c>
      <c r="C19" s="207">
        <f>'Input Sheet'!G19</f>
        <v>80</v>
      </c>
      <c r="D19" s="263">
        <f>'Input Sheet'!H19</f>
        <v>1</v>
      </c>
      <c r="E19" s="133">
        <f>'Input Sheet'!J19</f>
        <v>88</v>
      </c>
      <c r="F19" s="132">
        <f>'Input Sheet'!K19</f>
        <v>80</v>
      </c>
      <c r="G19" s="118"/>
      <c r="H19" s="164">
        <f>+'Input Sheet'!G$197</f>
        <v>218.57980373321934</v>
      </c>
      <c r="I19" s="158">
        <f>+'Input Sheet'!H$197</f>
        <v>228.11637934562978</v>
      </c>
      <c r="J19" s="158">
        <f>+'Input Sheet'!I$197</f>
        <v>235.83987513456231</v>
      </c>
      <c r="K19" s="158">
        <f>+'Input Sheet'!J$197</f>
        <v>244.14807950812676</v>
      </c>
      <c r="L19" s="159">
        <f>+'Input Sheet'!K$197</f>
        <v>252.55564791123743</v>
      </c>
      <c r="M19" s="109"/>
      <c r="N19" s="121">
        <f>+'Standard Hour Calcs'!Z20</f>
        <v>2</v>
      </c>
      <c r="O19" s="109"/>
      <c r="P19" s="224">
        <f t="shared" si="9"/>
        <v>437.15960746643867</v>
      </c>
      <c r="Q19" s="225">
        <f t="shared" si="10"/>
        <v>456.23275869125956</v>
      </c>
      <c r="R19" s="225">
        <f t="shared" si="11"/>
        <v>471.67975026912461</v>
      </c>
      <c r="S19" s="225">
        <f t="shared" si="12"/>
        <v>488.29615901625351</v>
      </c>
      <c r="T19" s="226">
        <f t="shared" si="13"/>
        <v>505.11129582247486</v>
      </c>
      <c r="U19" s="110"/>
      <c r="V19" s="271"/>
      <c r="W19" s="271"/>
      <c r="X19" s="271"/>
      <c r="Y19" s="271"/>
      <c r="Z19" s="271"/>
      <c r="AA19" s="170"/>
      <c r="AB19" s="347">
        <f t="shared" si="14"/>
        <v>5245.9152895972638</v>
      </c>
      <c r="AC19" s="348">
        <f t="shared" si="5"/>
        <v>5474.793104295115</v>
      </c>
      <c r="AD19" s="348">
        <f t="shared" si="6"/>
        <v>5660.1570032294949</v>
      </c>
      <c r="AE19" s="348">
        <f t="shared" si="7"/>
        <v>5859.5539081950419</v>
      </c>
      <c r="AF19" s="349">
        <f t="shared" si="8"/>
        <v>6061.3355498696983</v>
      </c>
      <c r="AG19" s="170"/>
    </row>
    <row r="20" spans="2:33" x14ac:dyDescent="0.2">
      <c r="B20" s="249" t="s">
        <v>150</v>
      </c>
      <c r="C20" s="207">
        <f>'Input Sheet'!G20</f>
        <v>80</v>
      </c>
      <c r="D20" s="263">
        <f>'Input Sheet'!H20</f>
        <v>1.9886363636363638</v>
      </c>
      <c r="E20" s="133">
        <f>'Input Sheet'!J20</f>
        <v>175</v>
      </c>
      <c r="F20" s="132">
        <f>'Input Sheet'!K20</f>
        <v>159.09090909090909</v>
      </c>
      <c r="G20" s="118"/>
      <c r="H20" s="164">
        <f>+'Input Sheet'!G$197</f>
        <v>218.57980373321934</v>
      </c>
      <c r="I20" s="158">
        <f>+'Input Sheet'!H$197</f>
        <v>228.11637934562978</v>
      </c>
      <c r="J20" s="158">
        <f>+'Input Sheet'!I$197</f>
        <v>235.83987513456231</v>
      </c>
      <c r="K20" s="158">
        <f>+'Input Sheet'!J$197</f>
        <v>244.14807950812676</v>
      </c>
      <c r="L20" s="159">
        <f>+'Input Sheet'!K$197</f>
        <v>252.55564791123743</v>
      </c>
      <c r="M20" s="109"/>
      <c r="N20" s="121">
        <f>+'Standard Hour Calcs'!Z21</f>
        <v>3</v>
      </c>
      <c r="O20" s="109"/>
      <c r="P20" s="224">
        <f t="shared" si="9"/>
        <v>655.73941119965798</v>
      </c>
      <c r="Q20" s="225">
        <f t="shared" si="10"/>
        <v>684.34913803688937</v>
      </c>
      <c r="R20" s="225">
        <f t="shared" si="11"/>
        <v>707.51962540368686</v>
      </c>
      <c r="S20" s="225">
        <f t="shared" si="12"/>
        <v>732.44423852438024</v>
      </c>
      <c r="T20" s="226">
        <f t="shared" si="13"/>
        <v>757.66694373371229</v>
      </c>
      <c r="U20" s="110"/>
      <c r="V20" s="271"/>
      <c r="W20" s="271"/>
      <c r="X20" s="271"/>
      <c r="Y20" s="271"/>
      <c r="Z20" s="271"/>
      <c r="AA20" s="170"/>
      <c r="AB20" s="347">
        <f t="shared" si="14"/>
        <v>3278.6970559982901</v>
      </c>
      <c r="AC20" s="348">
        <f t="shared" si="5"/>
        <v>3421.7456901844471</v>
      </c>
      <c r="AD20" s="348">
        <f t="shared" si="6"/>
        <v>3537.5981270184343</v>
      </c>
      <c r="AE20" s="348">
        <f t="shared" si="7"/>
        <v>3662.2211926219011</v>
      </c>
      <c r="AF20" s="349">
        <f t="shared" si="8"/>
        <v>3788.3347186685614</v>
      </c>
      <c r="AG20" s="170"/>
    </row>
    <row r="21" spans="2:33" x14ac:dyDescent="0.2">
      <c r="B21" s="249" t="s">
        <v>151</v>
      </c>
      <c r="C21" s="207">
        <f>'Input Sheet'!G21</f>
        <v>80</v>
      </c>
      <c r="D21" s="263">
        <f>'Input Sheet'!H21</f>
        <v>2.9886363636363638</v>
      </c>
      <c r="E21" s="133">
        <f>'Input Sheet'!J21</f>
        <v>263</v>
      </c>
      <c r="F21" s="132">
        <f>'Input Sheet'!K21</f>
        <v>239.09090909090909</v>
      </c>
      <c r="G21" s="118"/>
      <c r="H21" s="164">
        <f>+'Input Sheet'!G$197</f>
        <v>218.57980373321934</v>
      </c>
      <c r="I21" s="158">
        <f>+'Input Sheet'!H$197</f>
        <v>228.11637934562978</v>
      </c>
      <c r="J21" s="158">
        <f>+'Input Sheet'!I$197</f>
        <v>235.83987513456231</v>
      </c>
      <c r="K21" s="158">
        <f>+'Input Sheet'!J$197</f>
        <v>244.14807950812676</v>
      </c>
      <c r="L21" s="159">
        <f>+'Input Sheet'!K$197</f>
        <v>252.55564791123743</v>
      </c>
      <c r="M21" s="109"/>
      <c r="N21" s="121">
        <f>+'Standard Hour Calcs'!Z22</f>
        <v>5</v>
      </c>
      <c r="O21" s="109"/>
      <c r="P21" s="224">
        <f t="shared" si="9"/>
        <v>1092.8990186660967</v>
      </c>
      <c r="Q21" s="225">
        <f t="shared" si="10"/>
        <v>1140.5818967281489</v>
      </c>
      <c r="R21" s="225">
        <f t="shared" si="11"/>
        <v>1179.1993756728116</v>
      </c>
      <c r="S21" s="225">
        <f t="shared" si="12"/>
        <v>1220.7403975406337</v>
      </c>
      <c r="T21" s="226">
        <f t="shared" si="13"/>
        <v>1262.7782395561871</v>
      </c>
      <c r="U21" s="110"/>
      <c r="V21" s="271"/>
      <c r="W21" s="271"/>
      <c r="X21" s="271"/>
      <c r="Y21" s="271"/>
      <c r="Z21" s="271"/>
      <c r="AA21" s="170"/>
      <c r="AB21" s="347">
        <f t="shared" si="14"/>
        <v>7650.293130662677</v>
      </c>
      <c r="AC21" s="348">
        <f t="shared" si="5"/>
        <v>7984.0732770970426</v>
      </c>
      <c r="AD21" s="348">
        <f t="shared" si="6"/>
        <v>8254.3956297096811</v>
      </c>
      <c r="AE21" s="348">
        <f t="shared" si="7"/>
        <v>8545.1827827844354</v>
      </c>
      <c r="AF21" s="349">
        <f t="shared" si="8"/>
        <v>8839.4476768933091</v>
      </c>
      <c r="AG21" s="170"/>
    </row>
    <row r="22" spans="2:33" x14ac:dyDescent="0.2">
      <c r="B22" s="249" t="s">
        <v>152</v>
      </c>
      <c r="C22" s="207">
        <f>'Input Sheet'!G22</f>
        <v>80</v>
      </c>
      <c r="D22" s="263">
        <f>'Input Sheet'!H22</f>
        <v>1.9886363636363638</v>
      </c>
      <c r="E22" s="133">
        <f>'Input Sheet'!J22</f>
        <v>175</v>
      </c>
      <c r="F22" s="132">
        <f>'Input Sheet'!K22</f>
        <v>159.09090909090909</v>
      </c>
      <c r="G22" s="118"/>
      <c r="H22" s="164">
        <f>+'Input Sheet'!G$197</f>
        <v>218.57980373321934</v>
      </c>
      <c r="I22" s="158">
        <f>+'Input Sheet'!H$197</f>
        <v>228.11637934562978</v>
      </c>
      <c r="J22" s="158">
        <f>+'Input Sheet'!I$197</f>
        <v>235.83987513456231</v>
      </c>
      <c r="K22" s="158">
        <f>+'Input Sheet'!J$197</f>
        <v>244.14807950812676</v>
      </c>
      <c r="L22" s="159">
        <f>+'Input Sheet'!K$197</f>
        <v>252.55564791123743</v>
      </c>
      <c r="M22" s="109"/>
      <c r="N22" s="121">
        <f>+'Standard Hour Calcs'!Z23</f>
        <v>3</v>
      </c>
      <c r="O22" s="109"/>
      <c r="P22" s="224">
        <f t="shared" si="9"/>
        <v>655.73941119965798</v>
      </c>
      <c r="Q22" s="225">
        <f t="shared" si="10"/>
        <v>684.34913803688937</v>
      </c>
      <c r="R22" s="225">
        <f t="shared" si="11"/>
        <v>707.51962540368686</v>
      </c>
      <c r="S22" s="225">
        <f t="shared" si="12"/>
        <v>732.44423852438024</v>
      </c>
      <c r="T22" s="226">
        <f t="shared" si="13"/>
        <v>757.66694373371229</v>
      </c>
      <c r="U22" s="110"/>
      <c r="V22" s="271"/>
      <c r="W22" s="271"/>
      <c r="X22" s="271"/>
      <c r="Y22" s="271"/>
      <c r="Z22" s="271"/>
      <c r="AA22" s="170"/>
      <c r="AB22" s="347">
        <f t="shared" si="14"/>
        <v>5245.9152895972638</v>
      </c>
      <c r="AC22" s="348">
        <f t="shared" si="5"/>
        <v>5474.793104295115</v>
      </c>
      <c r="AD22" s="348">
        <f t="shared" si="6"/>
        <v>5660.1570032294949</v>
      </c>
      <c r="AE22" s="348">
        <f t="shared" si="7"/>
        <v>5859.5539081950419</v>
      </c>
      <c r="AF22" s="349">
        <f t="shared" si="8"/>
        <v>6061.3355498696983</v>
      </c>
      <c r="AG22" s="170"/>
    </row>
    <row r="23" spans="2:33" x14ac:dyDescent="0.2">
      <c r="B23" s="249" t="s">
        <v>153</v>
      </c>
      <c r="C23" s="207">
        <f>'Input Sheet'!G23</f>
        <v>80</v>
      </c>
      <c r="D23" s="263">
        <f>'Input Sheet'!H23</f>
        <v>2.9886363636363638</v>
      </c>
      <c r="E23" s="133">
        <f>'Input Sheet'!J23</f>
        <v>263</v>
      </c>
      <c r="F23" s="132">
        <f>'Input Sheet'!K23</f>
        <v>239.09090909090909</v>
      </c>
      <c r="G23" s="118"/>
      <c r="H23" s="164">
        <f>+'Input Sheet'!G$197</f>
        <v>218.57980373321934</v>
      </c>
      <c r="I23" s="158">
        <f>+'Input Sheet'!H$197</f>
        <v>228.11637934562978</v>
      </c>
      <c r="J23" s="158">
        <f>+'Input Sheet'!I$197</f>
        <v>235.83987513456231</v>
      </c>
      <c r="K23" s="158">
        <f>+'Input Sheet'!J$197</f>
        <v>244.14807950812676</v>
      </c>
      <c r="L23" s="159">
        <f>+'Input Sheet'!K$197</f>
        <v>252.55564791123743</v>
      </c>
      <c r="M23" s="109"/>
      <c r="N23" s="121">
        <f>+'Standard Hour Calcs'!Z24</f>
        <v>4</v>
      </c>
      <c r="O23" s="109"/>
      <c r="P23" s="224">
        <f t="shared" si="9"/>
        <v>874.31921493287734</v>
      </c>
      <c r="Q23" s="225">
        <f t="shared" si="10"/>
        <v>912.46551738251912</v>
      </c>
      <c r="R23" s="225">
        <f t="shared" si="11"/>
        <v>943.35950053824922</v>
      </c>
      <c r="S23" s="225">
        <f t="shared" si="12"/>
        <v>976.59231803250702</v>
      </c>
      <c r="T23" s="226">
        <f t="shared" si="13"/>
        <v>1010.2225916449497</v>
      </c>
      <c r="U23" s="110"/>
      <c r="V23" s="271"/>
      <c r="W23" s="271"/>
      <c r="X23" s="271"/>
      <c r="Y23" s="271"/>
      <c r="Z23" s="271"/>
      <c r="AA23" s="170"/>
      <c r="AB23" s="347">
        <f t="shared" si="14"/>
        <v>874.31921493287734</v>
      </c>
      <c r="AC23" s="348">
        <f t="shared" si="5"/>
        <v>912.46551738251912</v>
      </c>
      <c r="AD23" s="348">
        <f t="shared" si="6"/>
        <v>943.35950053824922</v>
      </c>
      <c r="AE23" s="348">
        <f t="shared" si="7"/>
        <v>976.59231803250702</v>
      </c>
      <c r="AF23" s="349">
        <f t="shared" si="8"/>
        <v>1010.2225916449497</v>
      </c>
      <c r="AG23" s="170"/>
    </row>
    <row r="24" spans="2:33" x14ac:dyDescent="0.2">
      <c r="B24" s="249" t="s">
        <v>154</v>
      </c>
      <c r="C24" s="207">
        <f>'Input Sheet'!G24</f>
        <v>80</v>
      </c>
      <c r="D24" s="263">
        <f>'Input Sheet'!H24</f>
        <v>5.9772727272727275</v>
      </c>
      <c r="E24" s="133">
        <f>'Input Sheet'!J24</f>
        <v>526</v>
      </c>
      <c r="F24" s="132">
        <f>'Input Sheet'!K24</f>
        <v>478.18181818181819</v>
      </c>
      <c r="G24" s="118"/>
      <c r="H24" s="164">
        <f>+'Input Sheet'!G$197</f>
        <v>218.57980373321934</v>
      </c>
      <c r="I24" s="158">
        <f>+'Input Sheet'!H$197</f>
        <v>228.11637934562978</v>
      </c>
      <c r="J24" s="158">
        <f>+'Input Sheet'!I$197</f>
        <v>235.83987513456231</v>
      </c>
      <c r="K24" s="158">
        <f>+'Input Sheet'!J$197</f>
        <v>244.14807950812676</v>
      </c>
      <c r="L24" s="159">
        <f>+'Input Sheet'!K$197</f>
        <v>252.55564791123743</v>
      </c>
      <c r="M24" s="109"/>
      <c r="N24" s="121">
        <f>ROUND(D24,0)</f>
        <v>6</v>
      </c>
      <c r="O24" s="109"/>
      <c r="P24" s="224">
        <f t="shared" si="9"/>
        <v>1311.478822399316</v>
      </c>
      <c r="Q24" s="225">
        <f t="shared" si="10"/>
        <v>1368.6982760737787</v>
      </c>
      <c r="R24" s="225">
        <f t="shared" si="11"/>
        <v>1415.0392508073737</v>
      </c>
      <c r="S24" s="225">
        <f t="shared" si="12"/>
        <v>1464.8884770487605</v>
      </c>
      <c r="T24" s="226">
        <f t="shared" si="13"/>
        <v>1515.3338874674246</v>
      </c>
      <c r="U24" s="110"/>
      <c r="V24" s="271"/>
      <c r="W24" s="271"/>
      <c r="X24" s="271"/>
      <c r="Y24" s="271"/>
      <c r="Z24" s="271"/>
      <c r="AA24" s="170"/>
      <c r="AB24" s="347">
        <f t="shared" si="14"/>
        <v>0</v>
      </c>
      <c r="AC24" s="348">
        <f t="shared" si="5"/>
        <v>0</v>
      </c>
      <c r="AD24" s="348">
        <f t="shared" si="6"/>
        <v>0</v>
      </c>
      <c r="AE24" s="348">
        <f t="shared" si="7"/>
        <v>0</v>
      </c>
      <c r="AF24" s="349">
        <f t="shared" si="8"/>
        <v>0</v>
      </c>
      <c r="AG24" s="170"/>
    </row>
    <row r="25" spans="2:33" x14ac:dyDescent="0.2">
      <c r="B25" s="249" t="s">
        <v>155</v>
      </c>
      <c r="C25" s="207">
        <f>'Input Sheet'!G25</f>
        <v>80</v>
      </c>
      <c r="D25" s="263">
        <f>'Input Sheet'!H25</f>
        <v>1</v>
      </c>
      <c r="E25" s="133">
        <f>'Input Sheet'!J25</f>
        <v>88</v>
      </c>
      <c r="F25" s="132">
        <f>'Input Sheet'!K25</f>
        <v>80</v>
      </c>
      <c r="G25" s="118"/>
      <c r="H25" s="164">
        <f>+'Input Sheet'!G$197</f>
        <v>218.57980373321934</v>
      </c>
      <c r="I25" s="158">
        <f>+'Input Sheet'!H$197</f>
        <v>228.11637934562978</v>
      </c>
      <c r="J25" s="158">
        <f>+'Input Sheet'!I$197</f>
        <v>235.83987513456231</v>
      </c>
      <c r="K25" s="158">
        <f>+'Input Sheet'!J$197</f>
        <v>244.14807950812676</v>
      </c>
      <c r="L25" s="159">
        <f>+'Input Sheet'!K$197</f>
        <v>252.55564791123743</v>
      </c>
      <c r="M25" s="109"/>
      <c r="N25" s="121">
        <f>+'Standard Hour Calcs'!Z26</f>
        <v>2</v>
      </c>
      <c r="O25" s="109"/>
      <c r="P25" s="224">
        <f t="shared" si="9"/>
        <v>437.15960746643867</v>
      </c>
      <c r="Q25" s="225">
        <f t="shared" si="10"/>
        <v>456.23275869125956</v>
      </c>
      <c r="R25" s="225">
        <f t="shared" si="11"/>
        <v>471.67975026912461</v>
      </c>
      <c r="S25" s="225">
        <f t="shared" si="12"/>
        <v>488.29615901625351</v>
      </c>
      <c r="T25" s="226">
        <f t="shared" si="13"/>
        <v>505.11129582247486</v>
      </c>
      <c r="U25" s="110"/>
      <c r="V25" s="271"/>
      <c r="W25" s="271"/>
      <c r="X25" s="271"/>
      <c r="Y25" s="271"/>
      <c r="Z25" s="271"/>
      <c r="AA25" s="170"/>
      <c r="AB25" s="347">
        <f t="shared" si="14"/>
        <v>3060.1172522650709</v>
      </c>
      <c r="AC25" s="348">
        <f t="shared" si="5"/>
        <v>3193.6293108388168</v>
      </c>
      <c r="AD25" s="348">
        <f t="shared" si="6"/>
        <v>3301.7582518838722</v>
      </c>
      <c r="AE25" s="348">
        <f t="shared" si="7"/>
        <v>3418.0731131137745</v>
      </c>
      <c r="AF25" s="349">
        <f t="shared" si="8"/>
        <v>3535.779070757324</v>
      </c>
      <c r="AG25" s="170"/>
    </row>
    <row r="26" spans="2:33" x14ac:dyDescent="0.2">
      <c r="B26" s="249" t="s">
        <v>156</v>
      </c>
      <c r="C26" s="207">
        <f>'Input Sheet'!G26</f>
        <v>80</v>
      </c>
      <c r="D26" s="263">
        <f>'Input Sheet'!H26</f>
        <v>1.9886363636363638</v>
      </c>
      <c r="E26" s="133">
        <f>'Input Sheet'!J26</f>
        <v>175</v>
      </c>
      <c r="F26" s="132">
        <f>'Input Sheet'!K26</f>
        <v>159.09090909090909</v>
      </c>
      <c r="G26" s="118"/>
      <c r="H26" s="164">
        <f>+'Input Sheet'!G$197</f>
        <v>218.57980373321934</v>
      </c>
      <c r="I26" s="158">
        <f>+'Input Sheet'!H$197</f>
        <v>228.11637934562978</v>
      </c>
      <c r="J26" s="158">
        <f>+'Input Sheet'!I$197</f>
        <v>235.83987513456231</v>
      </c>
      <c r="K26" s="158">
        <f>+'Input Sheet'!J$197</f>
        <v>244.14807950812676</v>
      </c>
      <c r="L26" s="159">
        <f>+'Input Sheet'!K$197</f>
        <v>252.55564791123743</v>
      </c>
      <c r="M26" s="109"/>
      <c r="N26" s="121">
        <f>+'Standard Hour Calcs'!Z27</f>
        <v>3</v>
      </c>
      <c r="O26" s="109"/>
      <c r="P26" s="224">
        <f t="shared" si="9"/>
        <v>655.73941119965798</v>
      </c>
      <c r="Q26" s="225">
        <f t="shared" si="10"/>
        <v>684.34913803688937</v>
      </c>
      <c r="R26" s="225">
        <f t="shared" si="11"/>
        <v>707.51962540368686</v>
      </c>
      <c r="S26" s="225">
        <f t="shared" si="12"/>
        <v>732.44423852438024</v>
      </c>
      <c r="T26" s="226">
        <f t="shared" si="13"/>
        <v>757.66694373371229</v>
      </c>
      <c r="U26" s="110"/>
      <c r="V26" s="271"/>
      <c r="W26" s="271"/>
      <c r="X26" s="271"/>
      <c r="Y26" s="271"/>
      <c r="Z26" s="271"/>
      <c r="AA26" s="170"/>
      <c r="AB26" s="347">
        <f t="shared" si="14"/>
        <v>655.73941119965798</v>
      </c>
      <c r="AC26" s="348">
        <f t="shared" si="5"/>
        <v>684.34913803688937</v>
      </c>
      <c r="AD26" s="348">
        <f t="shared" si="6"/>
        <v>707.51962540368686</v>
      </c>
      <c r="AE26" s="348">
        <f t="shared" si="7"/>
        <v>732.44423852438024</v>
      </c>
      <c r="AF26" s="349">
        <f t="shared" si="8"/>
        <v>757.66694373371229</v>
      </c>
      <c r="AG26" s="170"/>
    </row>
    <row r="27" spans="2:33" x14ac:dyDescent="0.2">
      <c r="B27" s="249" t="s">
        <v>157</v>
      </c>
      <c r="C27" s="207">
        <f>'Input Sheet'!G27</f>
        <v>80</v>
      </c>
      <c r="D27" s="263">
        <f>'Input Sheet'!H27</f>
        <v>2.9886363636363638</v>
      </c>
      <c r="E27" s="133">
        <f>'Input Sheet'!J27</f>
        <v>263</v>
      </c>
      <c r="F27" s="132">
        <f>'Input Sheet'!K27</f>
        <v>239.09090909090909</v>
      </c>
      <c r="G27" s="118"/>
      <c r="H27" s="164">
        <f>+'Input Sheet'!G$197</f>
        <v>218.57980373321934</v>
      </c>
      <c r="I27" s="158">
        <f>+'Input Sheet'!H$197</f>
        <v>228.11637934562978</v>
      </c>
      <c r="J27" s="158">
        <f>+'Input Sheet'!I$197</f>
        <v>235.83987513456231</v>
      </c>
      <c r="K27" s="158">
        <f>+'Input Sheet'!J$197</f>
        <v>244.14807950812676</v>
      </c>
      <c r="L27" s="159">
        <f>+'Input Sheet'!K$197</f>
        <v>252.55564791123743</v>
      </c>
      <c r="M27" s="109"/>
      <c r="N27" s="121">
        <f>+'Standard Hour Calcs'!Z28</f>
        <v>5</v>
      </c>
      <c r="O27" s="109"/>
      <c r="P27" s="224">
        <f t="shared" si="9"/>
        <v>1092.8990186660967</v>
      </c>
      <c r="Q27" s="225">
        <f t="shared" si="10"/>
        <v>1140.5818967281489</v>
      </c>
      <c r="R27" s="225">
        <f t="shared" si="11"/>
        <v>1179.1993756728116</v>
      </c>
      <c r="S27" s="225">
        <f t="shared" si="12"/>
        <v>1220.7403975406337</v>
      </c>
      <c r="T27" s="226">
        <f t="shared" si="13"/>
        <v>1262.7782395561871</v>
      </c>
      <c r="U27" s="110"/>
      <c r="V27" s="271"/>
      <c r="W27" s="271"/>
      <c r="X27" s="271"/>
      <c r="Y27" s="271"/>
      <c r="Z27" s="271"/>
      <c r="AA27" s="170"/>
      <c r="AB27" s="347">
        <f t="shared" si="14"/>
        <v>1092.8990186660967</v>
      </c>
      <c r="AC27" s="348">
        <f t="shared" si="5"/>
        <v>1140.5818967281489</v>
      </c>
      <c r="AD27" s="348">
        <f t="shared" si="6"/>
        <v>1179.1993756728116</v>
      </c>
      <c r="AE27" s="348">
        <f t="shared" si="7"/>
        <v>1220.7403975406337</v>
      </c>
      <c r="AF27" s="349">
        <f t="shared" si="8"/>
        <v>1262.7782395561871</v>
      </c>
      <c r="AG27" s="170"/>
    </row>
    <row r="28" spans="2:33" x14ac:dyDescent="0.2">
      <c r="B28" s="249"/>
      <c r="C28" s="207"/>
      <c r="D28" s="263"/>
      <c r="E28" s="133"/>
      <c r="F28" s="132"/>
      <c r="G28" s="118"/>
      <c r="H28" s="164"/>
      <c r="I28" s="158"/>
      <c r="J28" s="158"/>
      <c r="K28" s="158"/>
      <c r="L28" s="159"/>
      <c r="M28" s="109"/>
      <c r="N28" s="121"/>
      <c r="O28" s="109"/>
      <c r="P28" s="224"/>
      <c r="Q28" s="225"/>
      <c r="R28" s="225"/>
      <c r="S28" s="225"/>
      <c r="T28" s="226"/>
      <c r="U28" s="110"/>
      <c r="V28" s="271"/>
      <c r="W28" s="271"/>
      <c r="X28" s="271"/>
      <c r="Y28" s="271"/>
      <c r="Z28" s="271"/>
      <c r="AA28" s="170"/>
      <c r="AB28" s="347"/>
      <c r="AC28" s="348"/>
      <c r="AD28" s="348"/>
      <c r="AE28" s="348"/>
      <c r="AF28" s="349"/>
      <c r="AG28" s="170"/>
    </row>
    <row r="29" spans="2:33" x14ac:dyDescent="0.2">
      <c r="B29" s="249" t="s">
        <v>117</v>
      </c>
      <c r="C29" s="207">
        <f>'Input Sheet'!G29</f>
        <v>96.363636363636374</v>
      </c>
      <c r="D29" s="263" t="str">
        <f>'Input Sheet'!H29</f>
        <v>Hourly</v>
      </c>
      <c r="E29" s="133">
        <f>'Input Sheet'!J29</f>
        <v>106</v>
      </c>
      <c r="F29" s="132">
        <f>'Input Sheet'!K29</f>
        <v>96.363636363636374</v>
      </c>
      <c r="G29" s="118"/>
      <c r="H29" s="164">
        <f>+'Input Sheet'!G$197</f>
        <v>218.57980373321934</v>
      </c>
      <c r="I29" s="158">
        <f>+'Input Sheet'!H$197</f>
        <v>228.11637934562978</v>
      </c>
      <c r="J29" s="158">
        <f>+'Input Sheet'!I$197</f>
        <v>235.83987513456231</v>
      </c>
      <c r="K29" s="158">
        <f>+'Input Sheet'!J$197</f>
        <v>244.14807950812676</v>
      </c>
      <c r="L29" s="159">
        <f>+'Input Sheet'!K$197</f>
        <v>252.55564791123743</v>
      </c>
      <c r="M29" s="109"/>
      <c r="N29" s="121" t="str">
        <f>+'Standard Hour Calcs'!Z30</f>
        <v>Hourly</v>
      </c>
      <c r="O29" s="109"/>
      <c r="P29" s="224">
        <f t="shared" ref="P29:P42" si="15">IF($N29="Hourly",H29,H29*$N29)</f>
        <v>218.57980373321934</v>
      </c>
      <c r="Q29" s="225">
        <f t="shared" ref="Q29:Q42" si="16">IF($N29="Hourly",I29,I29*$N29)</f>
        <v>228.11637934562978</v>
      </c>
      <c r="R29" s="225">
        <f t="shared" ref="R29:R42" si="17">IF($N29="Hourly",J29,J29*$N29)</f>
        <v>235.83987513456231</v>
      </c>
      <c r="S29" s="225">
        <f t="shared" ref="S29:S42" si="18">IF($N29="Hourly",K29,K29*$N29)</f>
        <v>244.14807950812676</v>
      </c>
      <c r="T29" s="226">
        <f t="shared" ref="T29:T42" si="19">IF($N29="Hourly",L29,L29*$N29)</f>
        <v>252.55564791123743</v>
      </c>
      <c r="U29" s="110"/>
      <c r="V29" s="271"/>
      <c r="W29" s="271"/>
      <c r="X29" s="271"/>
      <c r="Y29" s="271"/>
      <c r="Z29" s="271"/>
      <c r="AA29" s="170"/>
      <c r="AB29" s="347">
        <f t="shared" ref="AB29:AB42" si="20">IF($N29="Hourly",P29*$N93*H93,H93*P29)</f>
        <v>124153.32852046858</v>
      </c>
      <c r="AC29" s="348">
        <f t="shared" ref="AC29:AC42" si="21">IF($N29="Hourly",Q29*$N93*I93,I93*Q29)</f>
        <v>129570.10346831771</v>
      </c>
      <c r="AD29" s="348">
        <f t="shared" ref="AD29:AD42" si="22">IF($N29="Hourly",R29*$N93*J93,J93*R29)</f>
        <v>133957.0490764314</v>
      </c>
      <c r="AE29" s="348">
        <f t="shared" ref="AE29:AE42" si="23">IF($N29="Hourly",S29*$N93*K93,K93*S29)</f>
        <v>138676.109160616</v>
      </c>
      <c r="AF29" s="349">
        <f t="shared" ref="AF29:AF42" si="24">IF($N29="Hourly",T29*$N93*L93,L93*T29)</f>
        <v>143451.60801358285</v>
      </c>
      <c r="AG29" s="170"/>
    </row>
    <row r="30" spans="2:33" x14ac:dyDescent="0.2">
      <c r="B30" s="249" t="s">
        <v>118</v>
      </c>
      <c r="C30" s="207">
        <f>'Input Sheet'!G30</f>
        <v>96.363636363636374</v>
      </c>
      <c r="D30" s="263" t="str">
        <f>'Input Sheet'!H30</f>
        <v>Hourly</v>
      </c>
      <c r="E30" s="133">
        <f>'Input Sheet'!J30</f>
        <v>106</v>
      </c>
      <c r="F30" s="132">
        <f>'Input Sheet'!K30</f>
        <v>96.363636363636374</v>
      </c>
      <c r="G30" s="118"/>
      <c r="H30" s="164">
        <f>+'Input Sheet'!G$197</f>
        <v>218.57980373321934</v>
      </c>
      <c r="I30" s="158">
        <f>+'Input Sheet'!H$197</f>
        <v>228.11637934562978</v>
      </c>
      <c r="J30" s="158">
        <f>+'Input Sheet'!I$197</f>
        <v>235.83987513456231</v>
      </c>
      <c r="K30" s="158">
        <f>+'Input Sheet'!J$197</f>
        <v>244.14807950812676</v>
      </c>
      <c r="L30" s="159">
        <f>+'Input Sheet'!K$197</f>
        <v>252.55564791123743</v>
      </c>
      <c r="M30" s="109"/>
      <c r="N30" s="121" t="str">
        <f>+'Standard Hour Calcs'!Z31</f>
        <v>Hourly</v>
      </c>
      <c r="O30" s="109"/>
      <c r="P30" s="224">
        <f t="shared" si="15"/>
        <v>218.57980373321934</v>
      </c>
      <c r="Q30" s="225">
        <f t="shared" si="16"/>
        <v>228.11637934562978</v>
      </c>
      <c r="R30" s="225">
        <f t="shared" si="17"/>
        <v>235.83987513456231</v>
      </c>
      <c r="S30" s="225">
        <f t="shared" si="18"/>
        <v>244.14807950812676</v>
      </c>
      <c r="T30" s="226">
        <f t="shared" si="19"/>
        <v>252.55564791123743</v>
      </c>
      <c r="U30" s="110"/>
      <c r="V30" s="271"/>
      <c r="W30" s="271"/>
      <c r="X30" s="271"/>
      <c r="Y30" s="271"/>
      <c r="Z30" s="271"/>
      <c r="AA30" s="170"/>
      <c r="AB30" s="347">
        <f t="shared" si="20"/>
        <v>384700.45457046601</v>
      </c>
      <c r="AC30" s="348">
        <f t="shared" si="21"/>
        <v>401484.82764830842</v>
      </c>
      <c r="AD30" s="348">
        <f t="shared" si="22"/>
        <v>415078.18023682968</v>
      </c>
      <c r="AE30" s="348">
        <f t="shared" si="23"/>
        <v>429700.6199343031</v>
      </c>
      <c r="AF30" s="349">
        <f t="shared" si="24"/>
        <v>444497.94032377785</v>
      </c>
      <c r="AG30" s="170"/>
    </row>
    <row r="31" spans="2:33" x14ac:dyDescent="0.2">
      <c r="B31" s="249" t="s">
        <v>119</v>
      </c>
      <c r="C31" s="207">
        <f>'Input Sheet'!G31</f>
        <v>96.363636363636374</v>
      </c>
      <c r="D31" s="263" t="str">
        <f>'Input Sheet'!H31</f>
        <v>Hourly</v>
      </c>
      <c r="E31" s="133">
        <f>'Input Sheet'!J31</f>
        <v>106</v>
      </c>
      <c r="F31" s="132">
        <f>'Input Sheet'!K31</f>
        <v>96.363636363636374</v>
      </c>
      <c r="G31" s="118"/>
      <c r="H31" s="164">
        <f>+'Input Sheet'!G$197</f>
        <v>218.57980373321934</v>
      </c>
      <c r="I31" s="158">
        <f>+'Input Sheet'!H$197</f>
        <v>228.11637934562978</v>
      </c>
      <c r="J31" s="158">
        <f>+'Input Sheet'!I$197</f>
        <v>235.83987513456231</v>
      </c>
      <c r="K31" s="158">
        <f>+'Input Sheet'!J$197</f>
        <v>244.14807950812676</v>
      </c>
      <c r="L31" s="159">
        <f>+'Input Sheet'!K$197</f>
        <v>252.55564791123743</v>
      </c>
      <c r="M31" s="109"/>
      <c r="N31" s="121" t="str">
        <f>+'Standard Hour Calcs'!Z32</f>
        <v>Hourly</v>
      </c>
      <c r="O31" s="109"/>
      <c r="P31" s="224">
        <f t="shared" si="15"/>
        <v>218.57980373321934</v>
      </c>
      <c r="Q31" s="225">
        <f t="shared" si="16"/>
        <v>228.11637934562978</v>
      </c>
      <c r="R31" s="225">
        <f t="shared" si="17"/>
        <v>235.83987513456231</v>
      </c>
      <c r="S31" s="225">
        <f t="shared" si="18"/>
        <v>244.14807950812676</v>
      </c>
      <c r="T31" s="226">
        <f t="shared" si="19"/>
        <v>252.55564791123743</v>
      </c>
      <c r="U31" s="110"/>
      <c r="V31" s="271"/>
      <c r="W31" s="271"/>
      <c r="X31" s="271"/>
      <c r="Y31" s="271"/>
      <c r="Z31" s="271"/>
      <c r="AA31" s="170"/>
      <c r="AB31" s="347">
        <f t="shared" si="20"/>
        <v>276503.4517225225</v>
      </c>
      <c r="AC31" s="348">
        <f t="shared" si="21"/>
        <v>288567.2198722217</v>
      </c>
      <c r="AD31" s="348">
        <f t="shared" si="22"/>
        <v>298337.44204522128</v>
      </c>
      <c r="AE31" s="348">
        <f t="shared" si="23"/>
        <v>308847.32057778037</v>
      </c>
      <c r="AF31" s="349">
        <f t="shared" si="24"/>
        <v>319482.89460771537</v>
      </c>
      <c r="AG31" s="170"/>
    </row>
    <row r="32" spans="2:33" x14ac:dyDescent="0.2">
      <c r="B32" s="249" t="s">
        <v>120</v>
      </c>
      <c r="C32" s="207">
        <f>'Input Sheet'!G32</f>
        <v>96.363636363636374</v>
      </c>
      <c r="D32" s="263" t="str">
        <f>'Input Sheet'!H32</f>
        <v>Hourly</v>
      </c>
      <c r="E32" s="133">
        <f>'Input Sheet'!J32</f>
        <v>106</v>
      </c>
      <c r="F32" s="132">
        <f>'Input Sheet'!K32</f>
        <v>96.363636363636374</v>
      </c>
      <c r="G32" s="118"/>
      <c r="H32" s="164">
        <f>+'Input Sheet'!G$197</f>
        <v>218.57980373321934</v>
      </c>
      <c r="I32" s="158">
        <f>+'Input Sheet'!H$197</f>
        <v>228.11637934562978</v>
      </c>
      <c r="J32" s="158">
        <f>+'Input Sheet'!I$197</f>
        <v>235.83987513456231</v>
      </c>
      <c r="K32" s="158">
        <f>+'Input Sheet'!J$197</f>
        <v>244.14807950812676</v>
      </c>
      <c r="L32" s="159">
        <f>+'Input Sheet'!K$197</f>
        <v>252.55564791123743</v>
      </c>
      <c r="M32" s="109"/>
      <c r="N32" s="121" t="str">
        <f>+'Standard Hour Calcs'!Z33</f>
        <v>Hourly</v>
      </c>
      <c r="O32" s="109"/>
      <c r="P32" s="224">
        <f t="shared" si="15"/>
        <v>218.57980373321934</v>
      </c>
      <c r="Q32" s="225">
        <f t="shared" si="16"/>
        <v>228.11637934562978</v>
      </c>
      <c r="R32" s="225">
        <f t="shared" si="17"/>
        <v>235.83987513456231</v>
      </c>
      <c r="S32" s="225">
        <f t="shared" si="18"/>
        <v>244.14807950812676</v>
      </c>
      <c r="T32" s="226">
        <f t="shared" si="19"/>
        <v>252.55564791123743</v>
      </c>
      <c r="U32" s="110"/>
      <c r="V32" s="271"/>
      <c r="W32" s="271"/>
      <c r="X32" s="271"/>
      <c r="Y32" s="271"/>
      <c r="Z32" s="271"/>
      <c r="AA32" s="170"/>
      <c r="AB32" s="347">
        <f t="shared" si="20"/>
        <v>49836.195251174009</v>
      </c>
      <c r="AC32" s="348">
        <f t="shared" si="21"/>
        <v>52010.534490803591</v>
      </c>
      <c r="AD32" s="348">
        <f t="shared" si="22"/>
        <v>53771.491530680214</v>
      </c>
      <c r="AE32" s="348">
        <f t="shared" si="23"/>
        <v>55665.762127852904</v>
      </c>
      <c r="AF32" s="349">
        <f t="shared" si="24"/>
        <v>57582.687723762137</v>
      </c>
      <c r="AG32" s="170"/>
    </row>
    <row r="33" spans="2:33" x14ac:dyDescent="0.2">
      <c r="B33" s="249" t="s">
        <v>121</v>
      </c>
      <c r="C33" s="207">
        <f>'Input Sheet'!G33</f>
        <v>96.363636363636374</v>
      </c>
      <c r="D33" s="263" t="str">
        <f>'Input Sheet'!H33</f>
        <v>Hourly</v>
      </c>
      <c r="E33" s="133">
        <f>'Input Sheet'!J33</f>
        <v>106</v>
      </c>
      <c r="F33" s="132">
        <f>'Input Sheet'!K33</f>
        <v>96.363636363636374</v>
      </c>
      <c r="G33" s="118"/>
      <c r="H33" s="164">
        <f>+'Input Sheet'!G$197</f>
        <v>218.57980373321934</v>
      </c>
      <c r="I33" s="158">
        <f>+'Input Sheet'!H$197</f>
        <v>228.11637934562978</v>
      </c>
      <c r="J33" s="158">
        <f>+'Input Sheet'!I$197</f>
        <v>235.83987513456231</v>
      </c>
      <c r="K33" s="158">
        <f>+'Input Sheet'!J$197</f>
        <v>244.14807950812676</v>
      </c>
      <c r="L33" s="159">
        <f>+'Input Sheet'!K$197</f>
        <v>252.55564791123743</v>
      </c>
      <c r="M33" s="109"/>
      <c r="N33" s="121" t="str">
        <f>+'Standard Hour Calcs'!Z34</f>
        <v>Hourly</v>
      </c>
      <c r="O33" s="109"/>
      <c r="P33" s="224">
        <f t="shared" si="15"/>
        <v>218.57980373321934</v>
      </c>
      <c r="Q33" s="225">
        <f t="shared" si="16"/>
        <v>228.11637934562978</v>
      </c>
      <c r="R33" s="225">
        <f t="shared" si="17"/>
        <v>235.83987513456231</v>
      </c>
      <c r="S33" s="225">
        <f t="shared" si="18"/>
        <v>244.14807950812676</v>
      </c>
      <c r="T33" s="226">
        <f t="shared" si="19"/>
        <v>252.55564791123743</v>
      </c>
      <c r="U33" s="110"/>
      <c r="V33" s="271"/>
      <c r="W33" s="271"/>
      <c r="X33" s="271"/>
      <c r="Y33" s="271"/>
      <c r="Z33" s="271"/>
      <c r="AA33" s="170"/>
      <c r="AB33" s="347">
        <f t="shared" si="20"/>
        <v>17923.543906123985</v>
      </c>
      <c r="AC33" s="348">
        <f t="shared" si="21"/>
        <v>18705.543106341644</v>
      </c>
      <c r="AD33" s="348">
        <f t="shared" si="22"/>
        <v>19338.869761034108</v>
      </c>
      <c r="AE33" s="348">
        <f t="shared" si="23"/>
        <v>20020.142519666395</v>
      </c>
      <c r="AF33" s="349">
        <f t="shared" si="24"/>
        <v>20709.563128721471</v>
      </c>
      <c r="AG33" s="170"/>
    </row>
    <row r="34" spans="2:33" x14ac:dyDescent="0.2">
      <c r="B34" s="249" t="s">
        <v>122</v>
      </c>
      <c r="C34" s="207">
        <f>'Input Sheet'!G34</f>
        <v>96.363636363636374</v>
      </c>
      <c r="D34" s="263" t="str">
        <f>'Input Sheet'!H34</f>
        <v>Hourly</v>
      </c>
      <c r="E34" s="133">
        <f>'Input Sheet'!J34</f>
        <v>106</v>
      </c>
      <c r="F34" s="132">
        <f>'Input Sheet'!K34</f>
        <v>96.363636363636374</v>
      </c>
      <c r="G34" s="118"/>
      <c r="H34" s="164">
        <f>+'Input Sheet'!G$197</f>
        <v>218.57980373321934</v>
      </c>
      <c r="I34" s="158">
        <f>+'Input Sheet'!H$197</f>
        <v>228.11637934562978</v>
      </c>
      <c r="J34" s="158">
        <f>+'Input Sheet'!I$197</f>
        <v>235.83987513456231</v>
      </c>
      <c r="K34" s="158">
        <f>+'Input Sheet'!J$197</f>
        <v>244.14807950812676</v>
      </c>
      <c r="L34" s="159">
        <f>+'Input Sheet'!K$197</f>
        <v>252.55564791123743</v>
      </c>
      <c r="M34" s="109"/>
      <c r="N34" s="121" t="str">
        <f>+'Standard Hour Calcs'!Z35</f>
        <v>Hourly</v>
      </c>
      <c r="O34" s="109"/>
      <c r="P34" s="224">
        <f t="shared" si="15"/>
        <v>218.57980373321934</v>
      </c>
      <c r="Q34" s="225">
        <f t="shared" si="16"/>
        <v>228.11637934562978</v>
      </c>
      <c r="R34" s="225">
        <f t="shared" si="17"/>
        <v>235.83987513456231</v>
      </c>
      <c r="S34" s="225">
        <f t="shared" si="18"/>
        <v>244.14807950812676</v>
      </c>
      <c r="T34" s="226">
        <f t="shared" si="19"/>
        <v>252.55564791123743</v>
      </c>
      <c r="U34" s="110"/>
      <c r="V34" s="271"/>
      <c r="W34" s="271"/>
      <c r="X34" s="271"/>
      <c r="Y34" s="271"/>
      <c r="Z34" s="271"/>
      <c r="AA34" s="170"/>
      <c r="AB34" s="347">
        <f t="shared" si="20"/>
        <v>6557.3941119965802</v>
      </c>
      <c r="AC34" s="348">
        <f t="shared" si="21"/>
        <v>6843.4913803688933</v>
      </c>
      <c r="AD34" s="348">
        <f t="shared" si="22"/>
        <v>7075.1962540368695</v>
      </c>
      <c r="AE34" s="348">
        <f t="shared" si="23"/>
        <v>7324.4423852438022</v>
      </c>
      <c r="AF34" s="349">
        <f t="shared" si="24"/>
        <v>7576.6694373371229</v>
      </c>
      <c r="AG34" s="170"/>
    </row>
    <row r="35" spans="2:33" x14ac:dyDescent="0.2">
      <c r="B35" s="249" t="s">
        <v>123</v>
      </c>
      <c r="C35" s="207">
        <f>'Input Sheet'!G35</f>
        <v>96.363636363636374</v>
      </c>
      <c r="D35" s="263" t="str">
        <f>'Input Sheet'!H35</f>
        <v>Hourly</v>
      </c>
      <c r="E35" s="133">
        <f>'Input Sheet'!J35</f>
        <v>106</v>
      </c>
      <c r="F35" s="132">
        <f>'Input Sheet'!K35</f>
        <v>96.363636363636374</v>
      </c>
      <c r="G35" s="118"/>
      <c r="H35" s="164">
        <f>+'Input Sheet'!G$197</f>
        <v>218.57980373321934</v>
      </c>
      <c r="I35" s="158">
        <f>+'Input Sheet'!H$197</f>
        <v>228.11637934562978</v>
      </c>
      <c r="J35" s="158">
        <f>+'Input Sheet'!I$197</f>
        <v>235.83987513456231</v>
      </c>
      <c r="K35" s="158">
        <f>+'Input Sheet'!J$197</f>
        <v>244.14807950812676</v>
      </c>
      <c r="L35" s="159">
        <f>+'Input Sheet'!K$197</f>
        <v>252.55564791123743</v>
      </c>
      <c r="M35" s="109"/>
      <c r="N35" s="121" t="str">
        <f>+'Standard Hour Calcs'!Z36</f>
        <v>Hourly</v>
      </c>
      <c r="O35" s="109"/>
      <c r="P35" s="224">
        <f t="shared" si="15"/>
        <v>218.57980373321934</v>
      </c>
      <c r="Q35" s="225">
        <f t="shared" si="16"/>
        <v>228.11637934562978</v>
      </c>
      <c r="R35" s="225">
        <f t="shared" si="17"/>
        <v>235.83987513456231</v>
      </c>
      <c r="S35" s="225">
        <f t="shared" si="18"/>
        <v>244.14807950812676</v>
      </c>
      <c r="T35" s="226">
        <f t="shared" si="19"/>
        <v>252.55564791123743</v>
      </c>
      <c r="U35" s="110"/>
      <c r="V35" s="271"/>
      <c r="W35" s="271"/>
      <c r="X35" s="271"/>
      <c r="Y35" s="271"/>
      <c r="Z35" s="271"/>
      <c r="AA35" s="170"/>
      <c r="AB35" s="347">
        <f t="shared" si="20"/>
        <v>99672.390502348018</v>
      </c>
      <c r="AC35" s="348">
        <f t="shared" si="21"/>
        <v>104021.06898160718</v>
      </c>
      <c r="AD35" s="348">
        <f t="shared" si="22"/>
        <v>107542.98306136041</v>
      </c>
      <c r="AE35" s="348">
        <f t="shared" si="23"/>
        <v>111331.52425570579</v>
      </c>
      <c r="AF35" s="349">
        <f t="shared" si="24"/>
        <v>115165.37544752427</v>
      </c>
      <c r="AG35" s="170"/>
    </row>
    <row r="36" spans="2:33" x14ac:dyDescent="0.2">
      <c r="B36" s="249" t="s">
        <v>124</v>
      </c>
      <c r="C36" s="207">
        <f>'Input Sheet'!G36</f>
        <v>96.363636363636374</v>
      </c>
      <c r="D36" s="263" t="str">
        <f>'Input Sheet'!H36</f>
        <v>Hourly</v>
      </c>
      <c r="E36" s="133">
        <f>'Input Sheet'!J36</f>
        <v>106</v>
      </c>
      <c r="F36" s="132">
        <f>'Input Sheet'!K36</f>
        <v>96.363636363636374</v>
      </c>
      <c r="G36" s="118"/>
      <c r="H36" s="164">
        <f>+'Input Sheet'!G$197</f>
        <v>218.57980373321934</v>
      </c>
      <c r="I36" s="158">
        <f>+'Input Sheet'!H$197</f>
        <v>228.11637934562978</v>
      </c>
      <c r="J36" s="158">
        <f>+'Input Sheet'!I$197</f>
        <v>235.83987513456231</v>
      </c>
      <c r="K36" s="158">
        <f>+'Input Sheet'!J$197</f>
        <v>244.14807950812676</v>
      </c>
      <c r="L36" s="159">
        <f>+'Input Sheet'!K$197</f>
        <v>252.55564791123743</v>
      </c>
      <c r="M36" s="109"/>
      <c r="N36" s="121" t="str">
        <f>+'Standard Hour Calcs'!Z37</f>
        <v>Hourly</v>
      </c>
      <c r="O36" s="109"/>
      <c r="P36" s="224">
        <f t="shared" si="15"/>
        <v>218.57980373321934</v>
      </c>
      <c r="Q36" s="225">
        <f t="shared" si="16"/>
        <v>228.11637934562978</v>
      </c>
      <c r="R36" s="225">
        <f t="shared" si="17"/>
        <v>235.83987513456231</v>
      </c>
      <c r="S36" s="225">
        <f t="shared" si="18"/>
        <v>244.14807950812676</v>
      </c>
      <c r="T36" s="226">
        <f t="shared" si="19"/>
        <v>252.55564791123743</v>
      </c>
      <c r="U36" s="110"/>
      <c r="V36" s="271"/>
      <c r="W36" s="271"/>
      <c r="X36" s="271"/>
      <c r="Y36" s="271"/>
      <c r="Z36" s="271"/>
      <c r="AA36" s="170"/>
      <c r="AB36" s="347">
        <f t="shared" si="20"/>
        <v>76940.090914093205</v>
      </c>
      <c r="AC36" s="348">
        <f t="shared" si="21"/>
        <v>80296.965529661684</v>
      </c>
      <c r="AD36" s="348">
        <f t="shared" si="22"/>
        <v>83015.63604736593</v>
      </c>
      <c r="AE36" s="348">
        <f t="shared" si="23"/>
        <v>85940.123986860621</v>
      </c>
      <c r="AF36" s="349">
        <f t="shared" si="24"/>
        <v>88899.588064755575</v>
      </c>
      <c r="AG36" s="170"/>
    </row>
    <row r="37" spans="2:33" x14ac:dyDescent="0.2">
      <c r="B37" s="249" t="s">
        <v>125</v>
      </c>
      <c r="C37" s="207">
        <f>'Input Sheet'!G37</f>
        <v>96.363636363636374</v>
      </c>
      <c r="D37" s="263" t="str">
        <f>'Input Sheet'!H37</f>
        <v>Hourly</v>
      </c>
      <c r="E37" s="133">
        <f>'Input Sheet'!J37</f>
        <v>106</v>
      </c>
      <c r="F37" s="132">
        <f>'Input Sheet'!K37</f>
        <v>96.363636363636374</v>
      </c>
      <c r="G37" s="118"/>
      <c r="H37" s="164">
        <f>+'Input Sheet'!G$197</f>
        <v>218.57980373321934</v>
      </c>
      <c r="I37" s="158">
        <f>+'Input Sheet'!H$197</f>
        <v>228.11637934562978</v>
      </c>
      <c r="J37" s="158">
        <f>+'Input Sheet'!I$197</f>
        <v>235.83987513456231</v>
      </c>
      <c r="K37" s="158">
        <f>+'Input Sheet'!J$197</f>
        <v>244.14807950812676</v>
      </c>
      <c r="L37" s="159">
        <f>+'Input Sheet'!K$197</f>
        <v>252.55564791123743</v>
      </c>
      <c r="M37" s="109"/>
      <c r="N37" s="121" t="str">
        <f>+'Standard Hour Calcs'!Z38</f>
        <v>Hourly</v>
      </c>
      <c r="O37" s="109"/>
      <c r="P37" s="224">
        <f t="shared" si="15"/>
        <v>218.57980373321934</v>
      </c>
      <c r="Q37" s="225">
        <f t="shared" si="16"/>
        <v>228.11637934562978</v>
      </c>
      <c r="R37" s="225">
        <f t="shared" si="17"/>
        <v>235.83987513456231</v>
      </c>
      <c r="S37" s="225">
        <f t="shared" si="18"/>
        <v>244.14807950812676</v>
      </c>
      <c r="T37" s="226">
        <f t="shared" si="19"/>
        <v>252.55564791123743</v>
      </c>
      <c r="U37" s="110"/>
      <c r="V37" s="271"/>
      <c r="W37" s="271"/>
      <c r="X37" s="271"/>
      <c r="Y37" s="271"/>
      <c r="Z37" s="271"/>
      <c r="AA37" s="170"/>
      <c r="AB37" s="347">
        <f t="shared" si="20"/>
        <v>70382.696802096631</v>
      </c>
      <c r="AC37" s="348">
        <f t="shared" si="21"/>
        <v>73453.474149292786</v>
      </c>
      <c r="AD37" s="348">
        <f t="shared" si="22"/>
        <v>75940.43979332906</v>
      </c>
      <c r="AE37" s="348">
        <f t="shared" si="23"/>
        <v>78615.681601616816</v>
      </c>
      <c r="AF37" s="349">
        <f t="shared" si="24"/>
        <v>81322.918627418447</v>
      </c>
      <c r="AG37" s="170"/>
    </row>
    <row r="38" spans="2:33" x14ac:dyDescent="0.2">
      <c r="B38" s="249" t="s">
        <v>158</v>
      </c>
      <c r="C38" s="207">
        <f>'Input Sheet'!G38</f>
        <v>96.363636363636374</v>
      </c>
      <c r="D38" s="263" t="str">
        <f>'Input Sheet'!H38</f>
        <v>Hourly</v>
      </c>
      <c r="E38" s="133">
        <f>'Input Sheet'!J38</f>
        <v>106</v>
      </c>
      <c r="F38" s="132">
        <f>'Input Sheet'!K38</f>
        <v>96.363636363636374</v>
      </c>
      <c r="G38" s="118"/>
      <c r="H38" s="164">
        <f>+'Input Sheet'!G$197</f>
        <v>218.57980373321934</v>
      </c>
      <c r="I38" s="158">
        <f>+'Input Sheet'!H$197</f>
        <v>228.11637934562978</v>
      </c>
      <c r="J38" s="158">
        <f>+'Input Sheet'!I$197</f>
        <v>235.83987513456231</v>
      </c>
      <c r="K38" s="158">
        <f>+'Input Sheet'!J$197</f>
        <v>244.14807950812676</v>
      </c>
      <c r="L38" s="159">
        <f>+'Input Sheet'!K$197</f>
        <v>252.55564791123743</v>
      </c>
      <c r="M38" s="109"/>
      <c r="N38" s="121" t="str">
        <f>+'Standard Hour Calcs'!Z39</f>
        <v>Hourly</v>
      </c>
      <c r="O38" s="109"/>
      <c r="P38" s="224">
        <f t="shared" si="15"/>
        <v>218.57980373321934</v>
      </c>
      <c r="Q38" s="225">
        <f t="shared" si="16"/>
        <v>228.11637934562978</v>
      </c>
      <c r="R38" s="225">
        <f t="shared" si="17"/>
        <v>235.83987513456231</v>
      </c>
      <c r="S38" s="225">
        <f t="shared" si="18"/>
        <v>244.14807950812676</v>
      </c>
      <c r="T38" s="226">
        <f t="shared" si="19"/>
        <v>252.55564791123743</v>
      </c>
      <c r="U38" s="110"/>
      <c r="V38" s="271"/>
      <c r="W38" s="271"/>
      <c r="X38" s="271"/>
      <c r="Y38" s="271"/>
      <c r="Z38" s="271"/>
      <c r="AA38" s="170"/>
      <c r="AB38" s="347">
        <f t="shared" si="20"/>
        <v>64918.201708766137</v>
      </c>
      <c r="AC38" s="348">
        <f t="shared" si="21"/>
        <v>67750.56466565204</v>
      </c>
      <c r="AD38" s="348">
        <f t="shared" si="22"/>
        <v>70044.442914964995</v>
      </c>
      <c r="AE38" s="348">
        <f t="shared" si="23"/>
        <v>72511.979613913645</v>
      </c>
      <c r="AF38" s="349">
        <f t="shared" si="24"/>
        <v>75009.027429637514</v>
      </c>
      <c r="AG38" s="170"/>
    </row>
    <row r="39" spans="2:33" x14ac:dyDescent="0.2">
      <c r="B39" s="249" t="s">
        <v>159</v>
      </c>
      <c r="C39" s="207">
        <f>'Input Sheet'!G39</f>
        <v>80</v>
      </c>
      <c r="D39" s="263">
        <f>'Input Sheet'!H39</f>
        <v>1</v>
      </c>
      <c r="E39" s="133">
        <f>'Input Sheet'!J39</f>
        <v>88</v>
      </c>
      <c r="F39" s="132">
        <f>'Input Sheet'!K39</f>
        <v>80</v>
      </c>
      <c r="G39" s="118"/>
      <c r="H39" s="164">
        <f>+'Input Sheet'!G$197</f>
        <v>218.57980373321934</v>
      </c>
      <c r="I39" s="158">
        <f>+'Input Sheet'!H$197</f>
        <v>228.11637934562978</v>
      </c>
      <c r="J39" s="158">
        <f>+'Input Sheet'!I$197</f>
        <v>235.83987513456231</v>
      </c>
      <c r="K39" s="158">
        <f>+'Input Sheet'!J$197</f>
        <v>244.14807950812676</v>
      </c>
      <c r="L39" s="159">
        <f>+'Input Sheet'!K$197</f>
        <v>252.55564791123743</v>
      </c>
      <c r="M39" s="109"/>
      <c r="N39" s="121">
        <f>+'Standard Hour Calcs'!Z40</f>
        <v>2</v>
      </c>
      <c r="O39" s="109"/>
      <c r="P39" s="224">
        <f t="shared" si="15"/>
        <v>437.15960746643867</v>
      </c>
      <c r="Q39" s="225">
        <f t="shared" si="16"/>
        <v>456.23275869125956</v>
      </c>
      <c r="R39" s="225">
        <f t="shared" si="17"/>
        <v>471.67975026912461</v>
      </c>
      <c r="S39" s="225">
        <f t="shared" si="18"/>
        <v>488.29615901625351</v>
      </c>
      <c r="T39" s="226">
        <f t="shared" si="19"/>
        <v>505.11129582247486</v>
      </c>
      <c r="U39" s="110"/>
      <c r="V39" s="271"/>
      <c r="W39" s="271"/>
      <c r="X39" s="271"/>
      <c r="Y39" s="271"/>
      <c r="Z39" s="271"/>
      <c r="AA39" s="170"/>
      <c r="AB39" s="347">
        <f t="shared" si="20"/>
        <v>19235.022728523301</v>
      </c>
      <c r="AC39" s="348">
        <f t="shared" si="21"/>
        <v>20074.241382415421</v>
      </c>
      <c r="AD39" s="348">
        <f t="shared" si="22"/>
        <v>20753.909011841482</v>
      </c>
      <c r="AE39" s="348">
        <f t="shared" si="23"/>
        <v>21485.030996715155</v>
      </c>
      <c r="AF39" s="349">
        <f t="shared" si="24"/>
        <v>22224.897016188894</v>
      </c>
      <c r="AG39" s="170"/>
    </row>
    <row r="40" spans="2:33" x14ac:dyDescent="0.2">
      <c r="B40" s="249" t="s">
        <v>160</v>
      </c>
      <c r="C40" s="207">
        <f>'Input Sheet'!G40</f>
        <v>80</v>
      </c>
      <c r="D40" s="263">
        <f>'Input Sheet'!H40</f>
        <v>1.9886363636363638</v>
      </c>
      <c r="E40" s="133">
        <f>'Input Sheet'!J40</f>
        <v>175</v>
      </c>
      <c r="F40" s="132">
        <f>'Input Sheet'!K40</f>
        <v>159.09090909090909</v>
      </c>
      <c r="G40" s="118"/>
      <c r="H40" s="164">
        <f>+'Input Sheet'!G$197</f>
        <v>218.57980373321934</v>
      </c>
      <c r="I40" s="158">
        <f>+'Input Sheet'!H$197</f>
        <v>228.11637934562978</v>
      </c>
      <c r="J40" s="158">
        <f>+'Input Sheet'!I$197</f>
        <v>235.83987513456231</v>
      </c>
      <c r="K40" s="158">
        <f>+'Input Sheet'!J$197</f>
        <v>244.14807950812676</v>
      </c>
      <c r="L40" s="159">
        <f>+'Input Sheet'!K$197</f>
        <v>252.55564791123743</v>
      </c>
      <c r="M40" s="109"/>
      <c r="N40" s="121">
        <f>+'Standard Hour Calcs'!Z41</f>
        <v>3</v>
      </c>
      <c r="O40" s="109"/>
      <c r="P40" s="224">
        <f t="shared" si="15"/>
        <v>655.73941119965798</v>
      </c>
      <c r="Q40" s="225">
        <f t="shared" si="16"/>
        <v>684.34913803688937</v>
      </c>
      <c r="R40" s="225">
        <f t="shared" si="17"/>
        <v>707.51962540368686</v>
      </c>
      <c r="S40" s="225">
        <f t="shared" si="18"/>
        <v>732.44423852438024</v>
      </c>
      <c r="T40" s="226">
        <f t="shared" si="19"/>
        <v>757.66694373371229</v>
      </c>
      <c r="U40" s="110"/>
      <c r="V40" s="271"/>
      <c r="W40" s="271"/>
      <c r="X40" s="271"/>
      <c r="Y40" s="271"/>
      <c r="Z40" s="271"/>
      <c r="AA40" s="170"/>
      <c r="AB40" s="347">
        <f t="shared" si="20"/>
        <v>3934.4364671979479</v>
      </c>
      <c r="AC40" s="348">
        <f t="shared" si="21"/>
        <v>4106.0948282213358</v>
      </c>
      <c r="AD40" s="348">
        <f t="shared" si="22"/>
        <v>4245.1177524221212</v>
      </c>
      <c r="AE40" s="348">
        <f t="shared" si="23"/>
        <v>4394.6654311462817</v>
      </c>
      <c r="AF40" s="349">
        <f t="shared" si="24"/>
        <v>4546.0016624022737</v>
      </c>
      <c r="AG40" s="170"/>
    </row>
    <row r="41" spans="2:33" x14ac:dyDescent="0.2">
      <c r="B41" s="249" t="s">
        <v>161</v>
      </c>
      <c r="C41" s="207">
        <f>'Input Sheet'!G41</f>
        <v>80</v>
      </c>
      <c r="D41" s="263">
        <f>'Input Sheet'!H41</f>
        <v>2.9886363636363638</v>
      </c>
      <c r="E41" s="133">
        <f>'Input Sheet'!J41</f>
        <v>263</v>
      </c>
      <c r="F41" s="132">
        <f>'Input Sheet'!K41</f>
        <v>239.09090909090909</v>
      </c>
      <c r="G41" s="118"/>
      <c r="H41" s="164">
        <f>+'Input Sheet'!G$197</f>
        <v>218.57980373321934</v>
      </c>
      <c r="I41" s="158">
        <f>+'Input Sheet'!H$197</f>
        <v>228.11637934562978</v>
      </c>
      <c r="J41" s="158">
        <f>+'Input Sheet'!I$197</f>
        <v>235.83987513456231</v>
      </c>
      <c r="K41" s="158">
        <f>+'Input Sheet'!J$197</f>
        <v>244.14807950812676</v>
      </c>
      <c r="L41" s="159">
        <f>+'Input Sheet'!K$197</f>
        <v>252.55564791123743</v>
      </c>
      <c r="M41" s="109"/>
      <c r="N41" s="121">
        <f>+'Standard Hour Calcs'!Z42</f>
        <v>5</v>
      </c>
      <c r="O41" s="109"/>
      <c r="P41" s="224">
        <f t="shared" si="15"/>
        <v>1092.8990186660967</v>
      </c>
      <c r="Q41" s="225">
        <f t="shared" si="16"/>
        <v>1140.5818967281489</v>
      </c>
      <c r="R41" s="225">
        <f t="shared" si="17"/>
        <v>1179.1993756728116</v>
      </c>
      <c r="S41" s="225">
        <f t="shared" si="18"/>
        <v>1220.7403975406337</v>
      </c>
      <c r="T41" s="226">
        <f t="shared" si="19"/>
        <v>1262.7782395561871</v>
      </c>
      <c r="U41" s="110"/>
      <c r="V41" s="271"/>
      <c r="W41" s="271"/>
      <c r="X41" s="271"/>
      <c r="Y41" s="271"/>
      <c r="Z41" s="271"/>
      <c r="AA41" s="170"/>
      <c r="AB41" s="347">
        <f t="shared" si="20"/>
        <v>3278.6970559982901</v>
      </c>
      <c r="AC41" s="348">
        <f t="shared" si="21"/>
        <v>3421.7456901844466</v>
      </c>
      <c r="AD41" s="348">
        <f t="shared" si="22"/>
        <v>3537.5981270184348</v>
      </c>
      <c r="AE41" s="348">
        <f t="shared" si="23"/>
        <v>3662.2211926219011</v>
      </c>
      <c r="AF41" s="349">
        <f t="shared" si="24"/>
        <v>3788.3347186685614</v>
      </c>
      <c r="AG41" s="170"/>
    </row>
    <row r="42" spans="2:33" x14ac:dyDescent="0.2">
      <c r="B42" s="249" t="s">
        <v>162</v>
      </c>
      <c r="C42" s="207">
        <f>'Input Sheet'!G42</f>
        <v>96.363636363636374</v>
      </c>
      <c r="D42" s="263">
        <f>'Input Sheet'!H42</f>
        <v>1</v>
      </c>
      <c r="E42" s="133">
        <f>'Input Sheet'!J42</f>
        <v>106</v>
      </c>
      <c r="F42" s="132">
        <f>'Input Sheet'!K42</f>
        <v>96.363636363636374</v>
      </c>
      <c r="G42" s="118"/>
      <c r="H42" s="164">
        <f>+'Input Sheet'!G$197</f>
        <v>218.57980373321934</v>
      </c>
      <c r="I42" s="158">
        <f>+'Input Sheet'!H$197</f>
        <v>228.11637934562978</v>
      </c>
      <c r="J42" s="158">
        <f>+'Input Sheet'!I$197</f>
        <v>235.83987513456231</v>
      </c>
      <c r="K42" s="158">
        <f>+'Input Sheet'!J$197</f>
        <v>244.14807950812676</v>
      </c>
      <c r="L42" s="159">
        <f>+'Input Sheet'!K$197</f>
        <v>252.55564791123743</v>
      </c>
      <c r="M42" s="109"/>
      <c r="N42" s="121">
        <f>ROUND(D42,0)</f>
        <v>1</v>
      </c>
      <c r="O42" s="109"/>
      <c r="P42" s="224">
        <f t="shared" si="15"/>
        <v>218.57980373321934</v>
      </c>
      <c r="Q42" s="225">
        <f t="shared" si="16"/>
        <v>228.11637934562978</v>
      </c>
      <c r="R42" s="225">
        <f t="shared" si="17"/>
        <v>235.83987513456231</v>
      </c>
      <c r="S42" s="225">
        <f t="shared" si="18"/>
        <v>244.14807950812676</v>
      </c>
      <c r="T42" s="226">
        <f t="shared" si="19"/>
        <v>252.55564791123743</v>
      </c>
      <c r="U42" s="110"/>
      <c r="V42" s="271"/>
      <c r="W42" s="271"/>
      <c r="X42" s="271"/>
      <c r="Y42" s="271"/>
      <c r="Z42" s="271"/>
      <c r="AA42" s="170"/>
      <c r="AB42" s="347">
        <f t="shared" si="20"/>
        <v>0</v>
      </c>
      <c r="AC42" s="348">
        <f t="shared" si="21"/>
        <v>0</v>
      </c>
      <c r="AD42" s="348">
        <f t="shared" si="22"/>
        <v>0</v>
      </c>
      <c r="AE42" s="348">
        <f t="shared" si="23"/>
        <v>0</v>
      </c>
      <c r="AF42" s="349">
        <f t="shared" si="24"/>
        <v>0</v>
      </c>
      <c r="AG42" s="170"/>
    </row>
    <row r="43" spans="2:33" x14ac:dyDescent="0.2">
      <c r="B43" s="249"/>
      <c r="C43" s="207"/>
      <c r="D43" s="263"/>
      <c r="E43" s="133"/>
      <c r="F43" s="132"/>
      <c r="G43" s="118"/>
      <c r="H43" s="164"/>
      <c r="I43" s="158"/>
      <c r="J43" s="158"/>
      <c r="K43" s="158"/>
      <c r="L43" s="159"/>
      <c r="M43" s="109"/>
      <c r="N43" s="121"/>
      <c r="O43" s="109"/>
      <c r="P43" s="224"/>
      <c r="Q43" s="225"/>
      <c r="R43" s="225"/>
      <c r="S43" s="225"/>
      <c r="T43" s="226"/>
      <c r="U43" s="110"/>
      <c r="V43" s="271"/>
      <c r="W43" s="271"/>
      <c r="X43" s="271"/>
      <c r="Y43" s="271"/>
      <c r="Z43" s="271"/>
      <c r="AA43" s="170"/>
      <c r="AB43" s="347"/>
      <c r="AC43" s="348"/>
      <c r="AD43" s="348"/>
      <c r="AE43" s="348"/>
      <c r="AF43" s="349"/>
      <c r="AG43" s="170"/>
    </row>
    <row r="44" spans="2:33" x14ac:dyDescent="0.2">
      <c r="B44" s="249" t="s">
        <v>126</v>
      </c>
      <c r="C44" s="207">
        <f>'Input Sheet'!G44</f>
        <v>96.363636363636374</v>
      </c>
      <c r="D44" s="263" t="str">
        <f>'Input Sheet'!H44</f>
        <v>Hourly</v>
      </c>
      <c r="E44" s="133">
        <f>'Input Sheet'!J44</f>
        <v>106</v>
      </c>
      <c r="F44" s="132">
        <f>'Input Sheet'!K44</f>
        <v>96.363636363636374</v>
      </c>
      <c r="G44" s="118"/>
      <c r="H44" s="164">
        <f>+'Input Sheet'!G$197</f>
        <v>218.57980373321934</v>
      </c>
      <c r="I44" s="158">
        <f>+'Input Sheet'!H$197</f>
        <v>228.11637934562978</v>
      </c>
      <c r="J44" s="158">
        <f>+'Input Sheet'!I$197</f>
        <v>235.83987513456231</v>
      </c>
      <c r="K44" s="158">
        <f>+'Input Sheet'!J$197</f>
        <v>244.14807950812676</v>
      </c>
      <c r="L44" s="159">
        <f>+'Input Sheet'!K$197</f>
        <v>252.55564791123743</v>
      </c>
      <c r="M44" s="109"/>
      <c r="N44" s="121" t="str">
        <f>+'Standard Hour Calcs'!Z45</f>
        <v>Hourly</v>
      </c>
      <c r="O44" s="109"/>
      <c r="P44" s="224">
        <f t="shared" ref="P44:P47" si="25">IF($N44="Hourly",H44,H44*$N44)</f>
        <v>218.57980373321934</v>
      </c>
      <c r="Q44" s="225">
        <f t="shared" ref="Q44:Q47" si="26">IF($N44="Hourly",I44,I44*$N44)</f>
        <v>228.11637934562978</v>
      </c>
      <c r="R44" s="225">
        <f t="shared" ref="R44:R47" si="27">IF($N44="Hourly",J44,J44*$N44)</f>
        <v>235.83987513456231</v>
      </c>
      <c r="S44" s="225">
        <f t="shared" ref="S44:S47" si="28">IF($N44="Hourly",K44,K44*$N44)</f>
        <v>244.14807950812676</v>
      </c>
      <c r="T44" s="226">
        <f t="shared" ref="T44:T47" si="29">IF($N44="Hourly",L44,L44*$N44)</f>
        <v>252.55564791123743</v>
      </c>
      <c r="U44" s="110"/>
      <c r="V44" s="271"/>
      <c r="W44" s="271"/>
      <c r="X44" s="271"/>
      <c r="Y44" s="271"/>
      <c r="Z44" s="271"/>
      <c r="AA44" s="170"/>
      <c r="AB44" s="347">
        <f t="shared" ref="AB44:AF47" si="30">IF($N44="Hourly",P44*$N108*H108,H108*P44)</f>
        <v>251803.93390066866</v>
      </c>
      <c r="AC44" s="348">
        <f t="shared" si="30"/>
        <v>262790.06900616549</v>
      </c>
      <c r="AD44" s="348">
        <f t="shared" si="30"/>
        <v>271687.53615501575</v>
      </c>
      <c r="AE44" s="348">
        <f t="shared" si="30"/>
        <v>281258.58759336203</v>
      </c>
      <c r="AF44" s="349">
        <f t="shared" si="30"/>
        <v>290944.10639374552</v>
      </c>
      <c r="AG44" s="170"/>
    </row>
    <row r="45" spans="2:33" x14ac:dyDescent="0.2">
      <c r="B45" s="249" t="s">
        <v>127</v>
      </c>
      <c r="C45" s="207">
        <f>'Input Sheet'!G45</f>
        <v>80</v>
      </c>
      <c r="D45" s="263" t="str">
        <f>'Input Sheet'!H45</f>
        <v>Hourly</v>
      </c>
      <c r="E45" s="133">
        <f>'Input Sheet'!J45</f>
        <v>88</v>
      </c>
      <c r="F45" s="132">
        <f>'Input Sheet'!K45</f>
        <v>80</v>
      </c>
      <c r="G45" s="118"/>
      <c r="H45" s="164">
        <f>+'Input Sheet'!G$197</f>
        <v>218.57980373321934</v>
      </c>
      <c r="I45" s="158">
        <f>+'Input Sheet'!H$197</f>
        <v>228.11637934562978</v>
      </c>
      <c r="J45" s="158">
        <f>+'Input Sheet'!I$197</f>
        <v>235.83987513456231</v>
      </c>
      <c r="K45" s="158">
        <f>+'Input Sheet'!J$197</f>
        <v>244.14807950812676</v>
      </c>
      <c r="L45" s="159">
        <f>+'Input Sheet'!K$197</f>
        <v>252.55564791123743</v>
      </c>
      <c r="M45" s="109"/>
      <c r="N45" s="121" t="str">
        <f>+'Standard Hour Calcs'!Z46</f>
        <v>Hourly</v>
      </c>
      <c r="O45" s="109"/>
      <c r="P45" s="224">
        <f t="shared" si="25"/>
        <v>218.57980373321934</v>
      </c>
      <c r="Q45" s="225">
        <f t="shared" si="26"/>
        <v>228.11637934562978</v>
      </c>
      <c r="R45" s="225">
        <f t="shared" si="27"/>
        <v>235.83987513456231</v>
      </c>
      <c r="S45" s="225">
        <f t="shared" si="28"/>
        <v>244.14807950812676</v>
      </c>
      <c r="T45" s="226">
        <f t="shared" si="29"/>
        <v>252.55564791123743</v>
      </c>
      <c r="U45" s="110"/>
      <c r="V45" s="271"/>
      <c r="W45" s="271"/>
      <c r="X45" s="271"/>
      <c r="Y45" s="271"/>
      <c r="Z45" s="271"/>
      <c r="AA45" s="170"/>
      <c r="AB45" s="347">
        <f t="shared" si="30"/>
        <v>37377.146438380507</v>
      </c>
      <c r="AC45" s="348">
        <f t="shared" si="30"/>
        <v>39007.90086810269</v>
      </c>
      <c r="AD45" s="348">
        <f t="shared" si="30"/>
        <v>40328.618648010153</v>
      </c>
      <c r="AE45" s="348">
        <f t="shared" si="30"/>
        <v>41749.321595889676</v>
      </c>
      <c r="AF45" s="349">
        <f t="shared" si="30"/>
        <v>43187.015792821599</v>
      </c>
      <c r="AG45" s="170"/>
    </row>
    <row r="46" spans="2:33" x14ac:dyDescent="0.2">
      <c r="B46" s="249" t="s">
        <v>128</v>
      </c>
      <c r="C46" s="207">
        <f>'Input Sheet'!G46</f>
        <v>96.363636363636374</v>
      </c>
      <c r="D46" s="263" t="str">
        <f>'Input Sheet'!H46</f>
        <v>Hourly</v>
      </c>
      <c r="E46" s="133">
        <f>'Input Sheet'!J46</f>
        <v>106</v>
      </c>
      <c r="F46" s="132">
        <f>'Input Sheet'!K46</f>
        <v>96.363636363636374</v>
      </c>
      <c r="G46" s="118"/>
      <c r="H46" s="164">
        <f>+'Input Sheet'!G$197</f>
        <v>218.57980373321934</v>
      </c>
      <c r="I46" s="158">
        <f>+'Input Sheet'!H$197</f>
        <v>228.11637934562978</v>
      </c>
      <c r="J46" s="158">
        <f>+'Input Sheet'!I$197</f>
        <v>235.83987513456231</v>
      </c>
      <c r="K46" s="158">
        <f>+'Input Sheet'!J$197</f>
        <v>244.14807950812676</v>
      </c>
      <c r="L46" s="159">
        <f>+'Input Sheet'!K$197</f>
        <v>252.55564791123743</v>
      </c>
      <c r="M46" s="109"/>
      <c r="N46" s="121" t="str">
        <f>+'Standard Hour Calcs'!Z47</f>
        <v>Hourly</v>
      </c>
      <c r="O46" s="109"/>
      <c r="P46" s="224">
        <f t="shared" si="25"/>
        <v>218.57980373321934</v>
      </c>
      <c r="Q46" s="225">
        <f t="shared" si="26"/>
        <v>228.11637934562978</v>
      </c>
      <c r="R46" s="225">
        <f t="shared" si="27"/>
        <v>235.83987513456231</v>
      </c>
      <c r="S46" s="225">
        <f t="shared" si="28"/>
        <v>244.14807950812676</v>
      </c>
      <c r="T46" s="226">
        <f t="shared" si="29"/>
        <v>252.55564791123743</v>
      </c>
      <c r="U46" s="110"/>
      <c r="V46" s="271"/>
      <c r="W46" s="271"/>
      <c r="X46" s="271"/>
      <c r="Y46" s="271"/>
      <c r="Z46" s="271"/>
      <c r="AA46" s="170"/>
      <c r="AB46" s="347">
        <f t="shared" si="30"/>
        <v>59016.547007969217</v>
      </c>
      <c r="AC46" s="348">
        <f t="shared" si="30"/>
        <v>61591.422423320044</v>
      </c>
      <c r="AD46" s="348">
        <f t="shared" si="30"/>
        <v>63676.766286331818</v>
      </c>
      <c r="AE46" s="348">
        <f t="shared" si="30"/>
        <v>65919.981467194215</v>
      </c>
      <c r="AF46" s="349">
        <f t="shared" si="30"/>
        <v>68190.024936034111</v>
      </c>
      <c r="AG46" s="170"/>
    </row>
    <row r="47" spans="2:33" x14ac:dyDescent="0.2">
      <c r="B47" s="249" t="s">
        <v>129</v>
      </c>
      <c r="C47" s="207">
        <f>'Input Sheet'!G47</f>
        <v>80</v>
      </c>
      <c r="D47" s="263" t="str">
        <f>'Input Sheet'!H47</f>
        <v>Hourly</v>
      </c>
      <c r="E47" s="133">
        <f>'Input Sheet'!J47</f>
        <v>88</v>
      </c>
      <c r="F47" s="132">
        <f>'Input Sheet'!K47</f>
        <v>80</v>
      </c>
      <c r="G47" s="118"/>
      <c r="H47" s="164">
        <f>+'Input Sheet'!G$197</f>
        <v>218.57980373321934</v>
      </c>
      <c r="I47" s="158">
        <f>+'Input Sheet'!H$197</f>
        <v>228.11637934562978</v>
      </c>
      <c r="J47" s="158">
        <f>+'Input Sheet'!I$197</f>
        <v>235.83987513456231</v>
      </c>
      <c r="K47" s="158">
        <f>+'Input Sheet'!J$197</f>
        <v>244.14807950812676</v>
      </c>
      <c r="L47" s="159">
        <f>+'Input Sheet'!K$197</f>
        <v>252.55564791123743</v>
      </c>
      <c r="M47" s="109"/>
      <c r="N47" s="121" t="str">
        <f>+'Standard Hour Calcs'!Z48</f>
        <v>Hourly</v>
      </c>
      <c r="O47" s="109"/>
      <c r="P47" s="224">
        <f t="shared" si="25"/>
        <v>218.57980373321934</v>
      </c>
      <c r="Q47" s="225">
        <f t="shared" si="26"/>
        <v>228.11637934562978</v>
      </c>
      <c r="R47" s="225">
        <f t="shared" si="27"/>
        <v>235.83987513456231</v>
      </c>
      <c r="S47" s="225">
        <f t="shared" si="28"/>
        <v>244.14807950812676</v>
      </c>
      <c r="T47" s="226">
        <f t="shared" si="29"/>
        <v>252.55564791123743</v>
      </c>
      <c r="U47" s="110"/>
      <c r="V47" s="271"/>
      <c r="W47" s="271"/>
      <c r="X47" s="271"/>
      <c r="Y47" s="271"/>
      <c r="Z47" s="271"/>
      <c r="AA47" s="170"/>
      <c r="AB47" s="347">
        <f t="shared" si="30"/>
        <v>15737.745868791792</v>
      </c>
      <c r="AC47" s="348">
        <f t="shared" si="30"/>
        <v>16424.379312885343</v>
      </c>
      <c r="AD47" s="348">
        <f t="shared" si="30"/>
        <v>16980.471009688485</v>
      </c>
      <c r="AE47" s="348">
        <f t="shared" si="30"/>
        <v>17578.661724585127</v>
      </c>
      <c r="AF47" s="349">
        <f t="shared" si="30"/>
        <v>18184.006649609095</v>
      </c>
      <c r="AG47" s="170"/>
    </row>
    <row r="48" spans="2:33" x14ac:dyDescent="0.2">
      <c r="B48" s="249"/>
      <c r="C48" s="207"/>
      <c r="D48" s="263"/>
      <c r="E48" s="133"/>
      <c r="F48" s="132"/>
      <c r="G48" s="118"/>
      <c r="H48" s="164"/>
      <c r="I48" s="158"/>
      <c r="J48" s="158"/>
      <c r="K48" s="158"/>
      <c r="L48" s="159"/>
      <c r="M48" s="109"/>
      <c r="N48" s="121"/>
      <c r="O48" s="109"/>
      <c r="P48" s="224"/>
      <c r="Q48" s="225"/>
      <c r="R48" s="225"/>
      <c r="S48" s="225"/>
      <c r="T48" s="226"/>
      <c r="U48" s="110"/>
      <c r="V48" s="271"/>
      <c r="W48" s="271"/>
      <c r="X48" s="271"/>
      <c r="Y48" s="271"/>
      <c r="Z48" s="271"/>
      <c r="AA48" s="170"/>
      <c r="AB48" s="347"/>
      <c r="AC48" s="348"/>
      <c r="AD48" s="348"/>
      <c r="AE48" s="348"/>
      <c r="AF48" s="349"/>
      <c r="AG48" s="170"/>
    </row>
    <row r="49" spans="2:33" x14ac:dyDescent="0.2">
      <c r="B49" s="249"/>
      <c r="C49" s="207"/>
      <c r="D49" s="263"/>
      <c r="E49" s="133"/>
      <c r="F49" s="132"/>
      <c r="G49" s="118"/>
      <c r="H49" s="164"/>
      <c r="I49" s="158"/>
      <c r="J49" s="158"/>
      <c r="K49" s="158"/>
      <c r="L49" s="159"/>
      <c r="M49" s="109"/>
      <c r="N49" s="121"/>
      <c r="O49" s="109"/>
      <c r="P49" s="224"/>
      <c r="Q49" s="225"/>
      <c r="R49" s="225"/>
      <c r="S49" s="225"/>
      <c r="T49" s="226"/>
      <c r="U49" s="110"/>
      <c r="V49" s="271"/>
      <c r="W49" s="271"/>
      <c r="X49" s="271"/>
      <c r="Y49" s="271"/>
      <c r="Z49" s="271"/>
      <c r="AA49" s="170"/>
      <c r="AB49" s="350">
        <f t="shared" ref="AB49:AF49" si="31">SUM(AB11:AB47)</f>
        <v>1833665.9735179769</v>
      </c>
      <c r="AC49" s="351">
        <f t="shared" si="31"/>
        <v>1913668.3063304881</v>
      </c>
      <c r="AD49" s="351">
        <f t="shared" si="31"/>
        <v>1978460.712503843</v>
      </c>
      <c r="AE49" s="351">
        <f t="shared" si="31"/>
        <v>2048158.2389936754</v>
      </c>
      <c r="AF49" s="352">
        <f t="shared" si="31"/>
        <v>2118689.3303273707</v>
      </c>
      <c r="AG49" s="170"/>
    </row>
    <row r="50" spans="2:33" x14ac:dyDescent="0.25">
      <c r="B50" s="92"/>
      <c r="C50" s="207"/>
      <c r="D50" s="264"/>
      <c r="E50" s="133"/>
      <c r="F50" s="132"/>
      <c r="G50" s="118"/>
      <c r="H50" s="164"/>
      <c r="I50" s="158"/>
      <c r="J50" s="158"/>
      <c r="K50" s="158"/>
      <c r="L50" s="159"/>
      <c r="M50" s="109"/>
      <c r="N50" s="121"/>
      <c r="O50" s="109"/>
      <c r="P50" s="224"/>
      <c r="Q50" s="225"/>
      <c r="R50" s="225"/>
      <c r="S50" s="225"/>
      <c r="T50" s="226"/>
      <c r="U50" s="110"/>
      <c r="V50" s="271"/>
      <c r="W50" s="271"/>
      <c r="X50" s="271"/>
      <c r="Y50" s="271"/>
      <c r="Z50" s="271"/>
      <c r="AA50" s="170"/>
      <c r="AB50" s="347"/>
      <c r="AC50" s="348"/>
      <c r="AD50" s="348"/>
      <c r="AE50" s="348"/>
      <c r="AF50" s="349"/>
      <c r="AG50" s="170"/>
    </row>
    <row r="51" spans="2:33" x14ac:dyDescent="0.2">
      <c r="B51" s="293" t="s">
        <v>163</v>
      </c>
      <c r="C51" s="293"/>
      <c r="D51" s="294"/>
      <c r="E51" s="294"/>
      <c r="F51" s="295"/>
      <c r="G51" s="118"/>
      <c r="H51" s="296"/>
      <c r="I51" s="297"/>
      <c r="J51" s="297"/>
      <c r="K51" s="297"/>
      <c r="L51" s="298"/>
      <c r="M51" s="109"/>
      <c r="N51" s="299"/>
      <c r="O51" s="109"/>
      <c r="P51" s="300"/>
      <c r="Q51" s="301"/>
      <c r="R51" s="301"/>
      <c r="S51" s="301"/>
      <c r="T51" s="302"/>
      <c r="U51" s="110"/>
      <c r="V51" s="172"/>
      <c r="W51" s="172"/>
      <c r="X51" s="172"/>
      <c r="Y51" s="172"/>
      <c r="Z51" s="172"/>
      <c r="AA51" s="170"/>
      <c r="AB51" s="353"/>
      <c r="AC51" s="354"/>
      <c r="AD51" s="354"/>
      <c r="AE51" s="354"/>
      <c r="AF51" s="355"/>
      <c r="AG51" s="170"/>
    </row>
    <row r="52" spans="2:33" x14ac:dyDescent="0.2">
      <c r="B52" s="249" t="s">
        <v>12</v>
      </c>
      <c r="C52" s="207">
        <f>'Input Sheet'!G50</f>
        <v>80</v>
      </c>
      <c r="D52" s="264" t="str">
        <f>'Input Sheet'!H50</f>
        <v>Hourly</v>
      </c>
      <c r="E52" s="133">
        <f>'Input Sheet'!J50</f>
        <v>88</v>
      </c>
      <c r="F52" s="132">
        <f>'Input Sheet'!K50</f>
        <v>80</v>
      </c>
      <c r="G52" s="118"/>
      <c r="H52" s="164">
        <f>+'Input Sheet'!G$197</f>
        <v>218.57980373321934</v>
      </c>
      <c r="I52" s="158">
        <f>+'Input Sheet'!H$197</f>
        <v>228.11637934562978</v>
      </c>
      <c r="J52" s="158">
        <f>+'Input Sheet'!I$197</f>
        <v>235.83987513456231</v>
      </c>
      <c r="K52" s="158">
        <f>+'Input Sheet'!J$197</f>
        <v>244.14807950812676</v>
      </c>
      <c r="L52" s="159">
        <f>+'Input Sheet'!K$197</f>
        <v>252.55564791123743</v>
      </c>
      <c r="M52" s="109"/>
      <c r="N52" s="121" t="str">
        <f>+'Standard Hour Calcs'!Z53</f>
        <v>Hourly</v>
      </c>
      <c r="O52" s="109"/>
      <c r="P52" s="224">
        <f t="shared" ref="P52:P63" si="32">IF($N52="Hourly",H52,H52*$N52)</f>
        <v>218.57980373321934</v>
      </c>
      <c r="Q52" s="225">
        <f t="shared" ref="Q52:Q63" si="33">IF($N52="Hourly",I52,I52*$N52)</f>
        <v>228.11637934562978</v>
      </c>
      <c r="R52" s="225">
        <f t="shared" ref="R52:R63" si="34">IF($N52="Hourly",J52,J52*$N52)</f>
        <v>235.83987513456231</v>
      </c>
      <c r="S52" s="225">
        <f t="shared" ref="S52:S63" si="35">IF($N52="Hourly",K52,K52*$N52)</f>
        <v>244.14807950812676</v>
      </c>
      <c r="T52" s="226">
        <f t="shared" ref="T52:T63" si="36">IF($N52="Hourly",L52,L52*$N52)</f>
        <v>252.55564791123743</v>
      </c>
      <c r="U52" s="110"/>
      <c r="V52" s="271"/>
      <c r="W52" s="271"/>
      <c r="X52" s="271"/>
      <c r="Y52" s="271"/>
      <c r="Z52" s="271"/>
      <c r="AA52" s="170"/>
      <c r="AB52" s="347">
        <f t="shared" ref="AB52:AF54" si="37">IF($N52="Hourly",P52*$N116*H116,H116*P52)</f>
        <v>5464.4950933304835</v>
      </c>
      <c r="AC52" s="348">
        <f t="shared" si="37"/>
        <v>5702.9094836407439</v>
      </c>
      <c r="AD52" s="348">
        <f t="shared" si="37"/>
        <v>5895.9968783640579</v>
      </c>
      <c r="AE52" s="348">
        <f t="shared" si="37"/>
        <v>6103.7019877031689</v>
      </c>
      <c r="AF52" s="349">
        <f t="shared" si="37"/>
        <v>6313.8911977809357</v>
      </c>
      <c r="AG52" s="170"/>
    </row>
    <row r="53" spans="2:33" x14ac:dyDescent="0.2">
      <c r="B53" s="249" t="s">
        <v>116</v>
      </c>
      <c r="C53" s="207">
        <f>'Input Sheet'!G51</f>
        <v>80</v>
      </c>
      <c r="D53" s="264" t="str">
        <f>'Input Sheet'!H51</f>
        <v>Hourly</v>
      </c>
      <c r="E53" s="133">
        <f>'Input Sheet'!J51</f>
        <v>88</v>
      </c>
      <c r="F53" s="132">
        <f>'Input Sheet'!K51</f>
        <v>80</v>
      </c>
      <c r="G53" s="118"/>
      <c r="H53" s="164">
        <f>+'Input Sheet'!G$197</f>
        <v>218.57980373321934</v>
      </c>
      <c r="I53" s="158">
        <f>+'Input Sheet'!H$197</f>
        <v>228.11637934562978</v>
      </c>
      <c r="J53" s="158">
        <f>+'Input Sheet'!I$197</f>
        <v>235.83987513456231</v>
      </c>
      <c r="K53" s="158">
        <f>+'Input Sheet'!J$197</f>
        <v>244.14807950812676</v>
      </c>
      <c r="L53" s="159">
        <f>+'Input Sheet'!K$197</f>
        <v>252.55564791123743</v>
      </c>
      <c r="M53" s="109"/>
      <c r="N53" s="121" t="str">
        <f>+'Standard Hour Calcs'!Z54</f>
        <v>Hourly</v>
      </c>
      <c r="O53" s="109"/>
      <c r="P53" s="224">
        <f t="shared" si="32"/>
        <v>218.57980373321934</v>
      </c>
      <c r="Q53" s="225">
        <f t="shared" si="33"/>
        <v>228.11637934562978</v>
      </c>
      <c r="R53" s="225">
        <f t="shared" si="34"/>
        <v>235.83987513456231</v>
      </c>
      <c r="S53" s="225">
        <f t="shared" si="35"/>
        <v>244.14807950812676</v>
      </c>
      <c r="T53" s="226">
        <f t="shared" si="36"/>
        <v>252.55564791123743</v>
      </c>
      <c r="U53" s="110"/>
      <c r="V53" s="271"/>
      <c r="W53" s="271"/>
      <c r="X53" s="271"/>
      <c r="Y53" s="271"/>
      <c r="Z53" s="271"/>
      <c r="AA53" s="170"/>
      <c r="AB53" s="347">
        <f t="shared" si="37"/>
        <v>6557.3941119965802</v>
      </c>
      <c r="AC53" s="348">
        <f t="shared" si="37"/>
        <v>6843.4913803688933</v>
      </c>
      <c r="AD53" s="348">
        <f t="shared" si="37"/>
        <v>7075.1962540368695</v>
      </c>
      <c r="AE53" s="348">
        <f t="shared" si="37"/>
        <v>7324.4423852438022</v>
      </c>
      <c r="AF53" s="349">
        <f t="shared" si="37"/>
        <v>7576.6694373371229</v>
      </c>
      <c r="AG53" s="170"/>
    </row>
    <row r="54" spans="2:33" x14ac:dyDescent="0.2">
      <c r="B54" s="249" t="s">
        <v>164</v>
      </c>
      <c r="C54" s="207">
        <f>'Input Sheet'!G52</f>
        <v>80</v>
      </c>
      <c r="D54" s="264" t="str">
        <f>'Input Sheet'!H52</f>
        <v>Hourly</v>
      </c>
      <c r="E54" s="133">
        <f>'Input Sheet'!J52</f>
        <v>88</v>
      </c>
      <c r="F54" s="132">
        <f>'Input Sheet'!K52</f>
        <v>80</v>
      </c>
      <c r="G54" s="118"/>
      <c r="H54" s="164">
        <f>+'Input Sheet'!G$197</f>
        <v>218.57980373321934</v>
      </c>
      <c r="I54" s="158">
        <f>+'Input Sheet'!H$197</f>
        <v>228.11637934562978</v>
      </c>
      <c r="J54" s="158">
        <f>+'Input Sheet'!I$197</f>
        <v>235.83987513456231</v>
      </c>
      <c r="K54" s="158">
        <f>+'Input Sheet'!J$197</f>
        <v>244.14807950812676</v>
      </c>
      <c r="L54" s="159">
        <f>+'Input Sheet'!K$197</f>
        <v>252.55564791123743</v>
      </c>
      <c r="M54" s="109"/>
      <c r="N54" s="121" t="str">
        <f>+'Standard Hour Calcs'!Z55</f>
        <v>Hourly</v>
      </c>
      <c r="O54" s="109"/>
      <c r="P54" s="224">
        <f t="shared" si="32"/>
        <v>218.57980373321934</v>
      </c>
      <c r="Q54" s="225">
        <f t="shared" si="33"/>
        <v>228.11637934562978</v>
      </c>
      <c r="R54" s="225">
        <f t="shared" si="34"/>
        <v>235.83987513456231</v>
      </c>
      <c r="S54" s="225">
        <f t="shared" si="35"/>
        <v>244.14807950812676</v>
      </c>
      <c r="T54" s="226">
        <f t="shared" si="36"/>
        <v>252.55564791123743</v>
      </c>
      <c r="U54" s="110"/>
      <c r="V54" s="271"/>
      <c r="W54" s="271"/>
      <c r="X54" s="271"/>
      <c r="Y54" s="271"/>
      <c r="Z54" s="271"/>
      <c r="AA54" s="170"/>
      <c r="AB54" s="347">
        <f t="shared" si="37"/>
        <v>86339.022474621641</v>
      </c>
      <c r="AC54" s="348">
        <f t="shared" si="37"/>
        <v>90105.969841523765</v>
      </c>
      <c r="AD54" s="348">
        <f t="shared" si="37"/>
        <v>93156.750678152108</v>
      </c>
      <c r="AE54" s="348">
        <f t="shared" si="37"/>
        <v>96438.491405710069</v>
      </c>
      <c r="AF54" s="349">
        <f t="shared" si="37"/>
        <v>99759.480924938791</v>
      </c>
      <c r="AG54" s="170"/>
    </row>
    <row r="55" spans="2:33" x14ac:dyDescent="0.2">
      <c r="B55" s="249" t="s">
        <v>165</v>
      </c>
      <c r="C55" s="207"/>
      <c r="D55" s="264"/>
      <c r="E55" s="133"/>
      <c r="F55" s="132"/>
      <c r="G55" s="118"/>
      <c r="H55" s="164"/>
      <c r="I55" s="158"/>
      <c r="J55" s="158"/>
      <c r="K55" s="158"/>
      <c r="L55" s="159"/>
      <c r="M55" s="109"/>
      <c r="N55" s="121"/>
      <c r="O55" s="109"/>
      <c r="P55" s="224"/>
      <c r="Q55" s="225"/>
      <c r="R55" s="225"/>
      <c r="S55" s="225"/>
      <c r="T55" s="226"/>
      <c r="U55" s="110"/>
      <c r="V55" s="271"/>
      <c r="W55" s="271"/>
      <c r="X55" s="271"/>
      <c r="Y55" s="271"/>
      <c r="Z55" s="271"/>
      <c r="AA55" s="170"/>
      <c r="AB55" s="347"/>
      <c r="AC55" s="348"/>
      <c r="AD55" s="348"/>
      <c r="AE55" s="348"/>
      <c r="AF55" s="349"/>
      <c r="AG55" s="170"/>
    </row>
    <row r="56" spans="2:33" x14ac:dyDescent="0.2">
      <c r="B56" s="249" t="s">
        <v>166</v>
      </c>
      <c r="C56" s="207">
        <f>'Input Sheet'!G54</f>
        <v>96.363636363636374</v>
      </c>
      <c r="D56" s="264" t="str">
        <f>'Input Sheet'!H54</f>
        <v>Hourly</v>
      </c>
      <c r="E56" s="133">
        <f>'Input Sheet'!J54</f>
        <v>106</v>
      </c>
      <c r="F56" s="132">
        <f>'Input Sheet'!K54</f>
        <v>96.363636363636374</v>
      </c>
      <c r="G56" s="118"/>
      <c r="H56" s="164">
        <f>+'Input Sheet'!G$197</f>
        <v>218.57980373321934</v>
      </c>
      <c r="I56" s="158">
        <f>+'Input Sheet'!H$197</f>
        <v>228.11637934562978</v>
      </c>
      <c r="J56" s="158">
        <f>+'Input Sheet'!I$197</f>
        <v>235.83987513456231</v>
      </c>
      <c r="K56" s="158">
        <f>+'Input Sheet'!J$197</f>
        <v>244.14807950812676</v>
      </c>
      <c r="L56" s="159">
        <f>+'Input Sheet'!K$197</f>
        <v>252.55564791123743</v>
      </c>
      <c r="M56" s="109"/>
      <c r="N56" s="121" t="str">
        <f>+'Standard Hour Calcs'!Z57</f>
        <v>Hourly</v>
      </c>
      <c r="O56" s="109"/>
      <c r="P56" s="224">
        <f t="shared" si="32"/>
        <v>218.57980373321934</v>
      </c>
      <c r="Q56" s="225">
        <f t="shared" si="33"/>
        <v>228.11637934562978</v>
      </c>
      <c r="R56" s="225">
        <f t="shared" si="34"/>
        <v>235.83987513456231</v>
      </c>
      <c r="S56" s="225">
        <f t="shared" si="35"/>
        <v>244.14807950812676</v>
      </c>
      <c r="T56" s="226">
        <f t="shared" si="36"/>
        <v>252.55564791123743</v>
      </c>
      <c r="U56" s="110"/>
      <c r="V56" s="271"/>
      <c r="W56" s="271"/>
      <c r="X56" s="271"/>
      <c r="Y56" s="271"/>
      <c r="Z56" s="271"/>
      <c r="AA56" s="170"/>
      <c r="AB56" s="347">
        <f t="shared" ref="AB56:AF58" si="38">IF($N56="Hourly",P56*$N120*H120,H120*P56)</f>
        <v>74317.133269294573</v>
      </c>
      <c r="AC56" s="348">
        <f t="shared" si="38"/>
        <v>77559.568977514122</v>
      </c>
      <c r="AD56" s="348">
        <f t="shared" si="38"/>
        <v>80185.557545751188</v>
      </c>
      <c r="AE56" s="348">
        <f t="shared" si="38"/>
        <v>83010.347032763093</v>
      </c>
      <c r="AF56" s="349">
        <f t="shared" si="38"/>
        <v>85868.92028982073</v>
      </c>
      <c r="AG56" s="170"/>
    </row>
    <row r="57" spans="2:33" x14ac:dyDescent="0.2">
      <c r="B57" s="249" t="s">
        <v>167</v>
      </c>
      <c r="C57" s="207">
        <f>'Input Sheet'!G55</f>
        <v>96.363636363636374</v>
      </c>
      <c r="D57" s="264" t="str">
        <f>'Input Sheet'!H55</f>
        <v>Hourly</v>
      </c>
      <c r="E57" s="133">
        <f>'Input Sheet'!J55</f>
        <v>106</v>
      </c>
      <c r="F57" s="132">
        <f>'Input Sheet'!K55</f>
        <v>96.363636363636374</v>
      </c>
      <c r="G57" s="118"/>
      <c r="H57" s="164">
        <f>+'Input Sheet'!G$197</f>
        <v>218.57980373321934</v>
      </c>
      <c r="I57" s="158">
        <f>+'Input Sheet'!H$197</f>
        <v>228.11637934562978</v>
      </c>
      <c r="J57" s="158">
        <f>+'Input Sheet'!I$197</f>
        <v>235.83987513456231</v>
      </c>
      <c r="K57" s="158">
        <f>+'Input Sheet'!J$197</f>
        <v>244.14807950812676</v>
      </c>
      <c r="L57" s="159">
        <f>+'Input Sheet'!K$197</f>
        <v>252.55564791123743</v>
      </c>
      <c r="M57" s="109"/>
      <c r="N57" s="121" t="str">
        <f>+'Standard Hour Calcs'!Z58</f>
        <v>Hourly</v>
      </c>
      <c r="O57" s="109"/>
      <c r="P57" s="224">
        <f t="shared" si="32"/>
        <v>218.57980373321934</v>
      </c>
      <c r="Q57" s="225">
        <f t="shared" si="33"/>
        <v>228.11637934562978</v>
      </c>
      <c r="R57" s="225">
        <f t="shared" si="34"/>
        <v>235.83987513456231</v>
      </c>
      <c r="S57" s="225">
        <f t="shared" si="35"/>
        <v>244.14807950812676</v>
      </c>
      <c r="T57" s="226">
        <f t="shared" si="36"/>
        <v>252.55564791123743</v>
      </c>
      <c r="U57" s="110"/>
      <c r="V57" s="271"/>
      <c r="W57" s="271"/>
      <c r="X57" s="271"/>
      <c r="Y57" s="271"/>
      <c r="Z57" s="271"/>
      <c r="AA57" s="170"/>
      <c r="AB57" s="347">
        <f t="shared" si="38"/>
        <v>10491.830579194528</v>
      </c>
      <c r="AC57" s="348">
        <f t="shared" si="38"/>
        <v>10949.58620859023</v>
      </c>
      <c r="AD57" s="348">
        <f t="shared" si="38"/>
        <v>11320.31400645899</v>
      </c>
      <c r="AE57" s="348">
        <f t="shared" si="38"/>
        <v>11719.107816390084</v>
      </c>
      <c r="AF57" s="349">
        <f t="shared" si="38"/>
        <v>12122.671099739397</v>
      </c>
      <c r="AG57" s="170"/>
    </row>
    <row r="58" spans="2:33" x14ac:dyDescent="0.2">
      <c r="B58" s="249" t="s">
        <v>168</v>
      </c>
      <c r="C58" s="207">
        <f>'Input Sheet'!G56</f>
        <v>96.363636363636374</v>
      </c>
      <c r="D58" s="264" t="str">
        <f>'Input Sheet'!H56</f>
        <v>Hourly</v>
      </c>
      <c r="E58" s="133">
        <f>'Input Sheet'!J56</f>
        <v>106</v>
      </c>
      <c r="F58" s="132">
        <f>'Input Sheet'!K56</f>
        <v>96.363636363636374</v>
      </c>
      <c r="G58" s="118"/>
      <c r="H58" s="164">
        <f>+'Input Sheet'!G$197</f>
        <v>218.57980373321934</v>
      </c>
      <c r="I58" s="158">
        <f>+'Input Sheet'!H$197</f>
        <v>228.11637934562978</v>
      </c>
      <c r="J58" s="158">
        <f>+'Input Sheet'!I$197</f>
        <v>235.83987513456231</v>
      </c>
      <c r="K58" s="158">
        <f>+'Input Sheet'!J$197</f>
        <v>244.14807950812676</v>
      </c>
      <c r="L58" s="159">
        <f>+'Input Sheet'!K$197</f>
        <v>252.55564791123743</v>
      </c>
      <c r="M58" s="109"/>
      <c r="N58" s="121" t="str">
        <f>+'Standard Hour Calcs'!Z59</f>
        <v>Hourly</v>
      </c>
      <c r="O58" s="109"/>
      <c r="P58" s="224">
        <f t="shared" si="32"/>
        <v>218.57980373321934</v>
      </c>
      <c r="Q58" s="225">
        <f t="shared" si="33"/>
        <v>228.11637934562978</v>
      </c>
      <c r="R58" s="225">
        <f t="shared" si="34"/>
        <v>235.83987513456231</v>
      </c>
      <c r="S58" s="225">
        <f t="shared" si="35"/>
        <v>244.14807950812676</v>
      </c>
      <c r="T58" s="226">
        <f t="shared" si="36"/>
        <v>252.55564791123743</v>
      </c>
      <c r="U58" s="110"/>
      <c r="V58" s="271"/>
      <c r="W58" s="271"/>
      <c r="X58" s="271"/>
      <c r="Y58" s="271"/>
      <c r="Z58" s="271"/>
      <c r="AA58" s="170"/>
      <c r="AB58" s="347">
        <f t="shared" si="38"/>
        <v>20765.081354655838</v>
      </c>
      <c r="AC58" s="348">
        <f t="shared" si="38"/>
        <v>21671.056037834827</v>
      </c>
      <c r="AD58" s="348">
        <f t="shared" si="38"/>
        <v>22404.78813778342</v>
      </c>
      <c r="AE58" s="348">
        <f t="shared" si="38"/>
        <v>23194.067553272042</v>
      </c>
      <c r="AF58" s="349">
        <f t="shared" si="38"/>
        <v>23992.786551567555</v>
      </c>
      <c r="AG58" s="170"/>
    </row>
    <row r="59" spans="2:33" x14ac:dyDescent="0.2">
      <c r="B59" s="249" t="s">
        <v>165</v>
      </c>
      <c r="C59" s="207"/>
      <c r="D59" s="264"/>
      <c r="E59" s="133"/>
      <c r="F59" s="132"/>
      <c r="G59" s="118"/>
      <c r="H59" s="164"/>
      <c r="I59" s="158"/>
      <c r="J59" s="158"/>
      <c r="K59" s="158"/>
      <c r="L59" s="159"/>
      <c r="M59" s="109"/>
      <c r="N59" s="121"/>
      <c r="O59" s="109"/>
      <c r="P59" s="224"/>
      <c r="Q59" s="225"/>
      <c r="R59" s="225"/>
      <c r="S59" s="225"/>
      <c r="T59" s="226"/>
      <c r="U59" s="110"/>
      <c r="V59" s="271"/>
      <c r="W59" s="271"/>
      <c r="X59" s="271"/>
      <c r="Y59" s="271"/>
      <c r="Z59" s="271"/>
      <c r="AA59" s="170"/>
      <c r="AB59" s="347"/>
      <c r="AC59" s="348"/>
      <c r="AD59" s="348"/>
      <c r="AE59" s="348"/>
      <c r="AF59" s="349"/>
      <c r="AG59" s="170"/>
    </row>
    <row r="60" spans="2:33" x14ac:dyDescent="0.2">
      <c r="B60" s="249" t="s">
        <v>126</v>
      </c>
      <c r="C60" s="207">
        <f>'Input Sheet'!G58</f>
        <v>96.363636363636374</v>
      </c>
      <c r="D60" s="264" t="str">
        <f>'Input Sheet'!H58</f>
        <v>Hourly</v>
      </c>
      <c r="E60" s="133">
        <f>'Input Sheet'!J58</f>
        <v>106</v>
      </c>
      <c r="F60" s="132">
        <f>'Input Sheet'!K58</f>
        <v>96.363636363636374</v>
      </c>
      <c r="G60" s="118"/>
      <c r="H60" s="164">
        <f>+'Input Sheet'!G$197</f>
        <v>218.57980373321934</v>
      </c>
      <c r="I60" s="158">
        <f>+'Input Sheet'!H$197</f>
        <v>228.11637934562978</v>
      </c>
      <c r="J60" s="158">
        <f>+'Input Sheet'!I$197</f>
        <v>235.83987513456231</v>
      </c>
      <c r="K60" s="158">
        <f>+'Input Sheet'!J$197</f>
        <v>244.14807950812676</v>
      </c>
      <c r="L60" s="159">
        <f>+'Input Sheet'!K$197</f>
        <v>252.55564791123743</v>
      </c>
      <c r="M60" s="109"/>
      <c r="N60" s="121" t="str">
        <f>+'Standard Hour Calcs'!Z61</f>
        <v>Hourly</v>
      </c>
      <c r="O60" s="109"/>
      <c r="P60" s="224">
        <f t="shared" si="32"/>
        <v>218.57980373321934</v>
      </c>
      <c r="Q60" s="225">
        <f t="shared" si="33"/>
        <v>228.11637934562978</v>
      </c>
      <c r="R60" s="225">
        <f t="shared" si="34"/>
        <v>235.83987513456231</v>
      </c>
      <c r="S60" s="225">
        <f t="shared" si="35"/>
        <v>244.14807950812676</v>
      </c>
      <c r="T60" s="226">
        <f t="shared" si="36"/>
        <v>252.55564791123743</v>
      </c>
      <c r="U60" s="110"/>
      <c r="V60" s="271"/>
      <c r="W60" s="271"/>
      <c r="X60" s="271"/>
      <c r="Y60" s="271"/>
      <c r="Z60" s="271"/>
      <c r="AA60" s="170"/>
      <c r="AB60" s="347">
        <f t="shared" ref="AB60:AF63" si="39">IF($N60="Hourly",P60*$N124*H124,H124*P60)</f>
        <v>49836.195251174009</v>
      </c>
      <c r="AC60" s="348">
        <f t="shared" si="39"/>
        <v>52010.534490803591</v>
      </c>
      <c r="AD60" s="348">
        <f t="shared" si="39"/>
        <v>53771.4915306802</v>
      </c>
      <c r="AE60" s="348">
        <f t="shared" si="39"/>
        <v>55665.762127852897</v>
      </c>
      <c r="AF60" s="349">
        <f t="shared" si="39"/>
        <v>57582.687723762137</v>
      </c>
      <c r="AG60" s="170"/>
    </row>
    <row r="61" spans="2:33" x14ac:dyDescent="0.2">
      <c r="B61" s="249" t="s">
        <v>127</v>
      </c>
      <c r="C61" s="207">
        <f>'Input Sheet'!G59</f>
        <v>80</v>
      </c>
      <c r="D61" s="264" t="str">
        <f>'Input Sheet'!H59</f>
        <v>Hourly</v>
      </c>
      <c r="E61" s="133">
        <f>'Input Sheet'!J59</f>
        <v>88</v>
      </c>
      <c r="F61" s="132">
        <f>'Input Sheet'!K59</f>
        <v>80</v>
      </c>
      <c r="G61" s="118"/>
      <c r="H61" s="164">
        <f>+'Input Sheet'!G$197</f>
        <v>218.57980373321934</v>
      </c>
      <c r="I61" s="158">
        <f>+'Input Sheet'!H$197</f>
        <v>228.11637934562978</v>
      </c>
      <c r="J61" s="158">
        <f>+'Input Sheet'!I$197</f>
        <v>235.83987513456231</v>
      </c>
      <c r="K61" s="158">
        <f>+'Input Sheet'!J$197</f>
        <v>244.14807950812676</v>
      </c>
      <c r="L61" s="159">
        <f>+'Input Sheet'!K$197</f>
        <v>252.55564791123743</v>
      </c>
      <c r="M61" s="109"/>
      <c r="N61" s="121" t="str">
        <f>+'Standard Hour Calcs'!Z62</f>
        <v>Hourly</v>
      </c>
      <c r="O61" s="109"/>
      <c r="P61" s="224">
        <f t="shared" si="32"/>
        <v>218.57980373321934</v>
      </c>
      <c r="Q61" s="225">
        <f t="shared" si="33"/>
        <v>228.11637934562978</v>
      </c>
      <c r="R61" s="225">
        <f t="shared" si="34"/>
        <v>235.83987513456231</v>
      </c>
      <c r="S61" s="225">
        <f t="shared" si="35"/>
        <v>244.14807950812676</v>
      </c>
      <c r="T61" s="226">
        <f t="shared" si="36"/>
        <v>252.55564791123743</v>
      </c>
      <c r="U61" s="110"/>
      <c r="V61" s="271"/>
      <c r="W61" s="271"/>
      <c r="X61" s="271"/>
      <c r="Y61" s="271"/>
      <c r="Z61" s="271"/>
      <c r="AA61" s="170"/>
      <c r="AB61" s="347">
        <f t="shared" si="39"/>
        <v>3497.2768597315094</v>
      </c>
      <c r="AC61" s="348">
        <f t="shared" si="39"/>
        <v>3649.8620695300765</v>
      </c>
      <c r="AD61" s="348">
        <f t="shared" si="39"/>
        <v>3773.4380021529969</v>
      </c>
      <c r="AE61" s="348">
        <f t="shared" si="39"/>
        <v>3906.3692721300281</v>
      </c>
      <c r="AF61" s="349">
        <f t="shared" si="39"/>
        <v>4040.8903665797989</v>
      </c>
      <c r="AG61" s="170"/>
    </row>
    <row r="62" spans="2:33" x14ac:dyDescent="0.2">
      <c r="B62" s="249" t="s">
        <v>128</v>
      </c>
      <c r="C62" s="207">
        <f>'Input Sheet'!G60</f>
        <v>96.363636363636374</v>
      </c>
      <c r="D62" s="264" t="str">
        <f>'Input Sheet'!H60</f>
        <v>Hourly</v>
      </c>
      <c r="E62" s="133">
        <f>'Input Sheet'!J60</f>
        <v>106</v>
      </c>
      <c r="F62" s="132">
        <f>'Input Sheet'!K60</f>
        <v>96.363636363636374</v>
      </c>
      <c r="G62" s="118"/>
      <c r="H62" s="164">
        <f>+'Input Sheet'!G$197</f>
        <v>218.57980373321934</v>
      </c>
      <c r="I62" s="158">
        <f>+'Input Sheet'!H$197</f>
        <v>228.11637934562978</v>
      </c>
      <c r="J62" s="158">
        <f>+'Input Sheet'!I$197</f>
        <v>235.83987513456231</v>
      </c>
      <c r="K62" s="158">
        <f>+'Input Sheet'!J$197</f>
        <v>244.14807950812676</v>
      </c>
      <c r="L62" s="159">
        <f>+'Input Sheet'!K$197</f>
        <v>252.55564791123743</v>
      </c>
      <c r="M62" s="109"/>
      <c r="N62" s="121" t="str">
        <f>+'Standard Hour Calcs'!Z63</f>
        <v>Hourly</v>
      </c>
      <c r="O62" s="109"/>
      <c r="P62" s="224">
        <f t="shared" si="32"/>
        <v>218.57980373321934</v>
      </c>
      <c r="Q62" s="225">
        <f t="shared" si="33"/>
        <v>228.11637934562978</v>
      </c>
      <c r="R62" s="225">
        <f t="shared" si="34"/>
        <v>235.83987513456231</v>
      </c>
      <c r="S62" s="225">
        <f t="shared" si="35"/>
        <v>244.14807950812676</v>
      </c>
      <c r="T62" s="226">
        <f t="shared" si="36"/>
        <v>252.55564791123743</v>
      </c>
      <c r="U62" s="110"/>
      <c r="V62" s="271"/>
      <c r="W62" s="271"/>
      <c r="X62" s="271"/>
      <c r="Y62" s="271"/>
      <c r="Z62" s="271"/>
      <c r="AA62" s="170"/>
      <c r="AB62" s="347">
        <f t="shared" si="39"/>
        <v>18579.283317323643</v>
      </c>
      <c r="AC62" s="348">
        <f t="shared" si="39"/>
        <v>19389.89224437853</v>
      </c>
      <c r="AD62" s="348">
        <f t="shared" si="39"/>
        <v>20046.389386437797</v>
      </c>
      <c r="AE62" s="348">
        <f t="shared" si="39"/>
        <v>20752.586758190773</v>
      </c>
      <c r="AF62" s="349">
        <f t="shared" si="39"/>
        <v>21467.230072455182</v>
      </c>
      <c r="AG62" s="170"/>
    </row>
    <row r="63" spans="2:33" x14ac:dyDescent="0.2">
      <c r="B63" s="249" t="s">
        <v>129</v>
      </c>
      <c r="C63" s="207">
        <f>'Input Sheet'!G61</f>
        <v>80</v>
      </c>
      <c r="D63" s="264" t="str">
        <f>'Input Sheet'!H61</f>
        <v>Hourly</v>
      </c>
      <c r="E63" s="133">
        <f>'Input Sheet'!J61</f>
        <v>88</v>
      </c>
      <c r="F63" s="132">
        <f>'Input Sheet'!K61</f>
        <v>80</v>
      </c>
      <c r="G63" s="118"/>
      <c r="H63" s="164">
        <f>+'Input Sheet'!G$197</f>
        <v>218.57980373321934</v>
      </c>
      <c r="I63" s="158">
        <f>+'Input Sheet'!H$197</f>
        <v>228.11637934562978</v>
      </c>
      <c r="J63" s="158">
        <f>+'Input Sheet'!I$197</f>
        <v>235.83987513456231</v>
      </c>
      <c r="K63" s="158">
        <f>+'Input Sheet'!J$197</f>
        <v>244.14807950812676</v>
      </c>
      <c r="L63" s="159">
        <f>+'Input Sheet'!K$197</f>
        <v>252.55564791123743</v>
      </c>
      <c r="M63" s="109"/>
      <c r="N63" s="121" t="str">
        <f>+'Standard Hour Calcs'!Z64</f>
        <v>Hourly</v>
      </c>
      <c r="O63" s="109"/>
      <c r="P63" s="224">
        <f t="shared" si="32"/>
        <v>218.57980373321934</v>
      </c>
      <c r="Q63" s="225">
        <f t="shared" si="33"/>
        <v>228.11637934562978</v>
      </c>
      <c r="R63" s="225">
        <f t="shared" si="34"/>
        <v>235.83987513456231</v>
      </c>
      <c r="S63" s="225">
        <f t="shared" si="35"/>
        <v>244.14807950812676</v>
      </c>
      <c r="T63" s="226">
        <f t="shared" si="36"/>
        <v>252.55564791123743</v>
      </c>
      <c r="U63" s="110"/>
      <c r="V63" s="271"/>
      <c r="W63" s="271"/>
      <c r="X63" s="271"/>
      <c r="Y63" s="271"/>
      <c r="Z63" s="271"/>
      <c r="AA63" s="170"/>
      <c r="AB63" s="347">
        <f t="shared" si="39"/>
        <v>5245.9152895972638</v>
      </c>
      <c r="AC63" s="348">
        <f t="shared" si="39"/>
        <v>5474.793104295115</v>
      </c>
      <c r="AD63" s="348">
        <f t="shared" si="39"/>
        <v>5660.1570032294949</v>
      </c>
      <c r="AE63" s="348">
        <f t="shared" si="39"/>
        <v>5859.5539081950419</v>
      </c>
      <c r="AF63" s="349">
        <f t="shared" si="39"/>
        <v>6061.3355498696983</v>
      </c>
      <c r="AG63" s="170"/>
    </row>
    <row r="64" spans="2:33" x14ac:dyDescent="0.2">
      <c r="B64" s="249"/>
      <c r="C64" s="207"/>
      <c r="D64" s="264"/>
      <c r="E64" s="133"/>
      <c r="F64" s="132"/>
      <c r="G64" s="118"/>
      <c r="H64" s="164"/>
      <c r="I64" s="158"/>
      <c r="J64" s="158"/>
      <c r="K64" s="158"/>
      <c r="L64" s="159"/>
      <c r="M64" s="109"/>
      <c r="N64" s="121"/>
      <c r="O64" s="109"/>
      <c r="P64" s="224"/>
      <c r="Q64" s="225"/>
      <c r="R64" s="225"/>
      <c r="S64" s="225"/>
      <c r="T64" s="226"/>
      <c r="U64" s="110"/>
      <c r="V64" s="271"/>
      <c r="W64" s="271"/>
      <c r="X64" s="271"/>
      <c r="Y64" s="271"/>
      <c r="Z64" s="271"/>
      <c r="AA64" s="170"/>
      <c r="AB64" s="347"/>
      <c r="AC64" s="348"/>
      <c r="AD64" s="348"/>
      <c r="AE64" s="348"/>
      <c r="AF64" s="349"/>
      <c r="AG64" s="170"/>
    </row>
    <row r="65" spans="2:33" x14ac:dyDescent="0.2">
      <c r="B65" s="249"/>
      <c r="C65" s="207"/>
      <c r="D65" s="264"/>
      <c r="E65" s="133"/>
      <c r="F65" s="132"/>
      <c r="G65" s="118"/>
      <c r="H65" s="164"/>
      <c r="I65" s="158"/>
      <c r="J65" s="158"/>
      <c r="K65" s="158"/>
      <c r="L65" s="159"/>
      <c r="M65" s="109"/>
      <c r="N65" s="121"/>
      <c r="O65" s="109"/>
      <c r="P65" s="224"/>
      <c r="Q65" s="225"/>
      <c r="R65" s="225"/>
      <c r="S65" s="225"/>
      <c r="T65" s="226"/>
      <c r="U65" s="110"/>
      <c r="V65" s="271"/>
      <c r="W65" s="271"/>
      <c r="X65" s="271"/>
      <c r="Y65" s="271"/>
      <c r="Z65" s="271"/>
      <c r="AA65" s="170"/>
      <c r="AB65" s="356">
        <f t="shared" ref="AB65:AF65" si="40">SUM(AB52:AB63)</f>
        <v>281093.62760092004</v>
      </c>
      <c r="AC65" s="357">
        <f t="shared" si="40"/>
        <v>293357.66383847984</v>
      </c>
      <c r="AD65" s="357">
        <f t="shared" si="40"/>
        <v>303290.07942304708</v>
      </c>
      <c r="AE65" s="357">
        <f t="shared" si="40"/>
        <v>313974.430247451</v>
      </c>
      <c r="AF65" s="358">
        <f t="shared" si="40"/>
        <v>324786.56321385136</v>
      </c>
      <c r="AG65" s="170"/>
    </row>
    <row r="66" spans="2:33" x14ac:dyDescent="0.2">
      <c r="B66" s="249"/>
      <c r="C66" s="207"/>
      <c r="D66" s="264"/>
      <c r="E66" s="133"/>
      <c r="F66" s="132"/>
      <c r="G66" s="118"/>
      <c r="H66" s="164"/>
      <c r="I66" s="158"/>
      <c r="J66" s="158"/>
      <c r="K66" s="158"/>
      <c r="L66" s="159"/>
      <c r="M66" s="109"/>
      <c r="N66" s="121"/>
      <c r="O66" s="109"/>
      <c r="P66" s="224"/>
      <c r="Q66" s="225"/>
      <c r="R66" s="225"/>
      <c r="S66" s="225"/>
      <c r="T66" s="226"/>
      <c r="U66" s="110"/>
      <c r="V66" s="271"/>
      <c r="W66" s="271"/>
      <c r="X66" s="271"/>
      <c r="Y66" s="271"/>
      <c r="Z66" s="271"/>
      <c r="AA66" s="170"/>
      <c r="AB66" s="347"/>
      <c r="AC66" s="348"/>
      <c r="AD66" s="348"/>
      <c r="AE66" s="348"/>
      <c r="AF66" s="349"/>
      <c r="AG66" s="170"/>
    </row>
    <row r="67" spans="2:33" x14ac:dyDescent="0.2">
      <c r="B67" s="125"/>
      <c r="C67" s="266"/>
      <c r="D67" s="84"/>
      <c r="E67" s="84"/>
      <c r="F67" s="126"/>
      <c r="G67" s="119"/>
      <c r="H67" s="165"/>
      <c r="I67" s="160"/>
      <c r="J67" s="160"/>
      <c r="K67" s="160"/>
      <c r="L67" s="161"/>
      <c r="M67" s="120"/>
      <c r="N67" s="127"/>
      <c r="O67" s="120"/>
      <c r="P67" s="227"/>
      <c r="Q67" s="228"/>
      <c r="R67" s="228"/>
      <c r="S67" s="228"/>
      <c r="T67" s="229"/>
      <c r="U67" s="110"/>
      <c r="V67" s="271"/>
      <c r="W67" s="271"/>
      <c r="X67" s="271"/>
      <c r="Y67" s="271"/>
      <c r="Z67" s="271"/>
      <c r="AA67" s="170"/>
      <c r="AB67" s="359">
        <f>+AB65+AB49</f>
        <v>2114759.6011188971</v>
      </c>
      <c r="AC67" s="360">
        <f t="shared" ref="AC67:AF67" si="41">+AC65+AC49</f>
        <v>2207025.9701689677</v>
      </c>
      <c r="AD67" s="360">
        <f t="shared" si="41"/>
        <v>2281750.7919268901</v>
      </c>
      <c r="AE67" s="360">
        <f t="shared" si="41"/>
        <v>2362132.6692411266</v>
      </c>
      <c r="AF67" s="361">
        <f t="shared" si="41"/>
        <v>2443475.893541222</v>
      </c>
      <c r="AG67" s="170"/>
    </row>
    <row r="68" spans="2:33" x14ac:dyDescent="0.25">
      <c r="B68" s="81"/>
      <c r="C68" s="133"/>
      <c r="D68" s="81"/>
      <c r="E68" s="81"/>
      <c r="F68" s="133"/>
      <c r="G68" s="119"/>
      <c r="H68" s="158"/>
      <c r="I68" s="158"/>
      <c r="J68" s="158"/>
      <c r="K68" s="158"/>
      <c r="L68" s="158"/>
      <c r="M68" s="120"/>
      <c r="N68" s="117"/>
      <c r="O68" s="120"/>
      <c r="P68" s="225"/>
      <c r="Q68" s="225"/>
      <c r="R68" s="225"/>
      <c r="S68" s="225"/>
      <c r="T68" s="225"/>
      <c r="U68" s="110"/>
      <c r="V68" s="271"/>
      <c r="W68" s="271"/>
      <c r="X68" s="271"/>
      <c r="Y68" s="271"/>
      <c r="Z68" s="271"/>
      <c r="AA68" s="170"/>
      <c r="AB68" s="225"/>
      <c r="AC68" s="225"/>
      <c r="AD68" s="225"/>
      <c r="AE68" s="225"/>
      <c r="AF68" s="225"/>
      <c r="AG68" s="170"/>
    </row>
    <row r="69" spans="2:33" ht="15" x14ac:dyDescent="0.25">
      <c r="B69" s="154" t="s">
        <v>102</v>
      </c>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c r="AC69" s="154"/>
      <c r="AD69" s="154"/>
      <c r="AE69" s="154"/>
      <c r="AF69" s="154"/>
    </row>
    <row r="70" spans="2:33" x14ac:dyDescent="0.25">
      <c r="M70" s="128"/>
      <c r="N70" s="128"/>
      <c r="O70" s="128"/>
      <c r="V70" s="89"/>
      <c r="W70" s="89"/>
      <c r="X70" s="89"/>
      <c r="Y70" s="89"/>
      <c r="Z70" s="89"/>
    </row>
    <row r="71" spans="2:33" s="97" customFormat="1" x14ac:dyDescent="0.2">
      <c r="C71" s="500" t="s">
        <v>75</v>
      </c>
      <c r="D71" s="501"/>
      <c r="E71" s="501"/>
      <c r="F71" s="502"/>
      <c r="G71" s="27"/>
      <c r="H71" s="503" t="s">
        <v>101</v>
      </c>
      <c r="I71" s="504"/>
      <c r="J71" s="504"/>
      <c r="K71" s="504"/>
      <c r="L71" s="505"/>
      <c r="P71" s="513" t="s">
        <v>77</v>
      </c>
      <c r="Q71" s="514"/>
      <c r="R71" s="514"/>
      <c r="S71" s="514"/>
      <c r="T71" s="515"/>
      <c r="V71" s="500" t="s">
        <v>76</v>
      </c>
      <c r="W71" s="501"/>
      <c r="X71" s="501"/>
      <c r="Y71" s="501"/>
      <c r="Z71" s="502"/>
      <c r="AB71" s="500" t="s">
        <v>61</v>
      </c>
      <c r="AC71" s="501"/>
      <c r="AD71" s="501"/>
      <c r="AE71" s="501"/>
      <c r="AF71" s="502"/>
    </row>
    <row r="72" spans="2:33" s="97" customFormat="1" ht="25.5" x14ac:dyDescent="0.25">
      <c r="B72" s="100" t="s">
        <v>15</v>
      </c>
      <c r="C72" s="102" t="s">
        <v>17</v>
      </c>
      <c r="D72" s="103" t="s">
        <v>18</v>
      </c>
      <c r="E72" s="103" t="s">
        <v>19</v>
      </c>
      <c r="F72" s="104" t="s">
        <v>20</v>
      </c>
      <c r="G72" s="27"/>
      <c r="H72" s="102" t="s">
        <v>22</v>
      </c>
      <c r="I72" s="103" t="s">
        <v>23</v>
      </c>
      <c r="J72" s="103" t="s">
        <v>24</v>
      </c>
      <c r="K72" s="103" t="s">
        <v>25</v>
      </c>
      <c r="L72" s="104" t="s">
        <v>26</v>
      </c>
      <c r="N72" s="131" t="s">
        <v>27</v>
      </c>
      <c r="P72" s="174" t="s">
        <v>22</v>
      </c>
      <c r="Q72" s="175" t="s">
        <v>23</v>
      </c>
      <c r="R72" s="175" t="s">
        <v>24</v>
      </c>
      <c r="S72" s="175" t="s">
        <v>25</v>
      </c>
      <c r="T72" s="176" t="s">
        <v>26</v>
      </c>
      <c r="V72" s="173" t="s">
        <v>22</v>
      </c>
      <c r="W72" s="105" t="s">
        <v>23</v>
      </c>
      <c r="X72" s="105" t="s">
        <v>24</v>
      </c>
      <c r="Y72" s="105" t="s">
        <v>25</v>
      </c>
      <c r="Z72" s="106" t="s">
        <v>26</v>
      </c>
      <c r="AB72" s="173" t="s">
        <v>22</v>
      </c>
      <c r="AC72" s="105" t="s">
        <v>23</v>
      </c>
      <c r="AD72" s="105" t="s">
        <v>24</v>
      </c>
      <c r="AE72" s="105" t="s">
        <v>25</v>
      </c>
      <c r="AF72" s="106" t="s">
        <v>26</v>
      </c>
    </row>
    <row r="73" spans="2:33" s="97" customFormat="1" x14ac:dyDescent="0.25">
      <c r="B73" s="107"/>
      <c r="C73" s="111"/>
      <c r="D73" s="108"/>
      <c r="E73" s="108"/>
      <c r="F73" s="112"/>
      <c r="G73" s="81"/>
      <c r="H73" s="111"/>
      <c r="I73" s="108"/>
      <c r="J73" s="108"/>
      <c r="K73" s="108"/>
      <c r="L73" s="112"/>
      <c r="N73" s="113"/>
      <c r="P73" s="124"/>
      <c r="Q73" s="122"/>
      <c r="R73" s="122"/>
      <c r="S73" s="122"/>
      <c r="T73" s="123"/>
      <c r="V73" s="116"/>
      <c r="W73" s="114"/>
      <c r="X73" s="114"/>
      <c r="Y73" s="114"/>
      <c r="Z73" s="115"/>
      <c r="AB73" s="116"/>
      <c r="AC73" s="114"/>
      <c r="AD73" s="114"/>
      <c r="AE73" s="114"/>
      <c r="AF73" s="115"/>
    </row>
    <row r="74" spans="2:33" x14ac:dyDescent="0.2">
      <c r="B74" s="293" t="s">
        <v>144</v>
      </c>
      <c r="C74" s="293"/>
      <c r="D74" s="294"/>
      <c r="E74" s="294"/>
      <c r="F74" s="295"/>
      <c r="G74" s="118"/>
      <c r="H74" s="296"/>
      <c r="I74" s="297"/>
      <c r="J74" s="297"/>
      <c r="K74" s="297"/>
      <c r="L74" s="298"/>
      <c r="M74" s="109"/>
      <c r="N74" s="299"/>
      <c r="O74" s="109"/>
      <c r="P74" s="303"/>
      <c r="Q74" s="304"/>
      <c r="R74" s="304"/>
      <c r="S74" s="304"/>
      <c r="T74" s="305"/>
      <c r="U74" s="306"/>
      <c r="V74" s="303"/>
      <c r="W74" s="304"/>
      <c r="X74" s="304"/>
      <c r="Y74" s="304"/>
      <c r="Z74" s="305"/>
      <c r="AA74" s="307"/>
      <c r="AB74" s="303"/>
      <c r="AC74" s="304"/>
      <c r="AD74" s="304"/>
      <c r="AE74" s="304"/>
      <c r="AF74" s="305"/>
      <c r="AG74" s="170"/>
    </row>
    <row r="75" spans="2:33" s="97" customFormat="1" x14ac:dyDescent="0.2">
      <c r="B75" s="249" t="s">
        <v>9</v>
      </c>
      <c r="C75" s="362">
        <f>+'Input Sheet'!G85</f>
        <v>57</v>
      </c>
      <c r="D75" s="363">
        <f>+'Input Sheet'!H85</f>
        <v>49</v>
      </c>
      <c r="E75" s="363">
        <f>+'Input Sheet'!I85</f>
        <v>47</v>
      </c>
      <c r="F75" s="364">
        <f>+'Input Sheet'!K85</f>
        <v>63</v>
      </c>
      <c r="G75" s="335"/>
      <c r="H75" s="362">
        <f>ROUND(AVERAGE($C75:$F75),0)</f>
        <v>54</v>
      </c>
      <c r="I75" s="363">
        <f t="shared" ref="I75:L93" si="42">ROUND(AVERAGE($C75:$F75),0)</f>
        <v>54</v>
      </c>
      <c r="J75" s="363">
        <f t="shared" si="42"/>
        <v>54</v>
      </c>
      <c r="K75" s="363">
        <f t="shared" si="42"/>
        <v>54</v>
      </c>
      <c r="L75" s="364">
        <f t="shared" si="42"/>
        <v>54</v>
      </c>
      <c r="N75" s="121"/>
      <c r="P75" s="308">
        <f>IF($N11="Hourly",'Input Sheet'!G$196*'Fee Breakdown'!$N75*'Fee Breakdown'!H75,'Input Sheet'!G$196*'Fee Breakdown'!$N11*'Fee Breakdown'!H75)</f>
        <v>10422.833530394626</v>
      </c>
      <c r="Q75" s="309">
        <f>IF($N11="Hourly",'Input Sheet'!H$196*'Fee Breakdown'!$N75*'Fee Breakdown'!I75,'Input Sheet'!H$196*'Fee Breakdown'!$N11*'Fee Breakdown'!I75)</f>
        <v>10877.578837877345</v>
      </c>
      <c r="R75" s="309">
        <f>IF($N11="Hourly",'Input Sheet'!I$196*'Fee Breakdown'!$N75*'Fee Breakdown'!J75,'Input Sheet'!I$196*'Fee Breakdown'!$N11*'Fee Breakdown'!J75)</f>
        <v>11245.868631837451</v>
      </c>
      <c r="S75" s="309">
        <f>IF($N11="Hourly",'Input Sheet'!J$196*'Fee Breakdown'!$N75*'Fee Breakdown'!K75,'Input Sheet'!J$196*'Fee Breakdown'!$N11*'Fee Breakdown'!K75)</f>
        <v>11642.039868352282</v>
      </c>
      <c r="T75" s="310">
        <f>IF($N11="Hourly",'Input Sheet'!K$196*'Fee Breakdown'!$N75*'Fee Breakdown'!L75,'Input Sheet'!K$196*'Fee Breakdown'!$N11*'Fee Breakdown'!L75)</f>
        <v>12042.94921296851</v>
      </c>
      <c r="U75" s="311"/>
      <c r="V75" s="308">
        <f>+P75*('Input Sheet'!G$206-1)</f>
        <v>12230.698535767828</v>
      </c>
      <c r="W75" s="309">
        <f>+Q75*('Input Sheet'!H$206-1)</f>
        <v>13705.787191745092</v>
      </c>
      <c r="X75" s="309">
        <f>+R75*('Input Sheet'!I$206-1)</f>
        <v>14293.973185797144</v>
      </c>
      <c r="Y75" s="309">
        <f>+S75*('Input Sheet'!J$206-1)</f>
        <v>15104.104502013835</v>
      </c>
      <c r="Z75" s="310">
        <f>+T75*('Input Sheet'!K$206-1)</f>
        <v>15927.987867829828</v>
      </c>
      <c r="AA75" s="311"/>
      <c r="AB75" s="308">
        <f t="shared" ref="AB75" si="43">+P75+V75</f>
        <v>22653.532066162454</v>
      </c>
      <c r="AC75" s="309">
        <f t="shared" ref="AC75" si="44">+Q75+W75</f>
        <v>24583.366029622437</v>
      </c>
      <c r="AD75" s="309">
        <f t="shared" ref="AD75" si="45">+R75+X75</f>
        <v>25539.841817634595</v>
      </c>
      <c r="AE75" s="309">
        <f t="shared" ref="AE75" si="46">+S75+Y75</f>
        <v>26746.144370366117</v>
      </c>
      <c r="AF75" s="310">
        <f t="shared" ref="AF75" si="47">+T75+Z75</f>
        <v>27970.937080798336</v>
      </c>
    </row>
    <row r="76" spans="2:33" s="97" customFormat="1" x14ac:dyDescent="0.2">
      <c r="B76" s="249" t="s">
        <v>10</v>
      </c>
      <c r="C76" s="362">
        <f>+'Input Sheet'!G86</f>
        <v>48</v>
      </c>
      <c r="D76" s="363">
        <f>+'Input Sheet'!H86</f>
        <v>25</v>
      </c>
      <c r="E76" s="363">
        <f>+'Input Sheet'!I86</f>
        <v>53</v>
      </c>
      <c r="F76" s="364">
        <f>+'Input Sheet'!K86</f>
        <v>43</v>
      </c>
      <c r="G76" s="335"/>
      <c r="H76" s="362">
        <f t="shared" ref="H76:H93" si="48">ROUND(AVERAGE($C76:$F76),0)</f>
        <v>42</v>
      </c>
      <c r="I76" s="363">
        <f t="shared" si="42"/>
        <v>42</v>
      </c>
      <c r="J76" s="363">
        <f t="shared" si="42"/>
        <v>42</v>
      </c>
      <c r="K76" s="363">
        <f t="shared" si="42"/>
        <v>42</v>
      </c>
      <c r="L76" s="364">
        <f t="shared" si="42"/>
        <v>42</v>
      </c>
      <c r="N76" s="121"/>
      <c r="P76" s="308">
        <f>IF($N12="Hourly",'Input Sheet'!G$196*'Fee Breakdown'!$N76*'Fee Breakdown'!H76,'Input Sheet'!G$196*'Fee Breakdown'!$N12*'Fee Breakdown'!H76)</f>
        <v>12159.972452127065</v>
      </c>
      <c r="Q76" s="309">
        <f>IF($N12="Hourly",'Input Sheet'!H$196*'Fee Breakdown'!$N76*'Fee Breakdown'!I76,'Input Sheet'!H$196*'Fee Breakdown'!$N12*'Fee Breakdown'!I76)</f>
        <v>12690.508644190235</v>
      </c>
      <c r="R76" s="309">
        <f>IF($N12="Hourly",'Input Sheet'!I$196*'Fee Breakdown'!$N76*'Fee Breakdown'!J76,'Input Sheet'!I$196*'Fee Breakdown'!$N12*'Fee Breakdown'!J76)</f>
        <v>13120.180070477027</v>
      </c>
      <c r="S76" s="309">
        <f>IF($N12="Hourly",'Input Sheet'!J$196*'Fee Breakdown'!$N76*'Fee Breakdown'!K76,'Input Sheet'!J$196*'Fee Breakdown'!$N12*'Fee Breakdown'!K76)</f>
        <v>13582.379846410995</v>
      </c>
      <c r="T76" s="310">
        <f>IF($N12="Hourly",'Input Sheet'!K$196*'Fee Breakdown'!$N76*'Fee Breakdown'!L76,'Input Sheet'!K$196*'Fee Breakdown'!$N12*'Fee Breakdown'!L76)</f>
        <v>14050.107415129927</v>
      </c>
      <c r="U76" s="311"/>
      <c r="V76" s="308">
        <f>+P76*('Input Sheet'!G$206-1)</f>
        <v>14269.148291729134</v>
      </c>
      <c r="W76" s="309">
        <f>+Q76*('Input Sheet'!H$206-1)</f>
        <v>15990.08505703594</v>
      </c>
      <c r="X76" s="309">
        <f>+R76*('Input Sheet'!I$206-1)</f>
        <v>16676.302050096667</v>
      </c>
      <c r="Y76" s="309">
        <f>+S76*('Input Sheet'!J$206-1)</f>
        <v>17621.455252349475</v>
      </c>
      <c r="Z76" s="310">
        <f>+T76*('Input Sheet'!K$206-1)</f>
        <v>18582.652512468132</v>
      </c>
      <c r="AA76" s="311"/>
      <c r="AB76" s="308">
        <f t="shared" ref="AB76:AB91" si="49">+P76+V76</f>
        <v>26429.120743856198</v>
      </c>
      <c r="AC76" s="309">
        <f t="shared" ref="AC76:AC91" si="50">+Q76+W76</f>
        <v>28680.593701226175</v>
      </c>
      <c r="AD76" s="309">
        <f t="shared" ref="AD76:AD91" si="51">+R76+X76</f>
        <v>29796.482120573695</v>
      </c>
      <c r="AE76" s="309">
        <f t="shared" ref="AE76:AE91" si="52">+S76+Y76</f>
        <v>31203.835098760472</v>
      </c>
      <c r="AF76" s="310">
        <f t="shared" ref="AF76:AF91" si="53">+T76+Z76</f>
        <v>32632.759927598061</v>
      </c>
    </row>
    <row r="77" spans="2:33" s="97" customFormat="1" x14ac:dyDescent="0.2">
      <c r="B77" s="249" t="s">
        <v>11</v>
      </c>
      <c r="C77" s="362">
        <f>+'Input Sheet'!G87</f>
        <v>82</v>
      </c>
      <c r="D77" s="363">
        <f>+'Input Sheet'!H87</f>
        <v>86</v>
      </c>
      <c r="E77" s="363">
        <f>+'Input Sheet'!I87</f>
        <v>101</v>
      </c>
      <c r="F77" s="364">
        <f>+'Input Sheet'!K87</f>
        <v>93</v>
      </c>
      <c r="G77" s="335"/>
      <c r="H77" s="362">
        <f t="shared" si="48"/>
        <v>91</v>
      </c>
      <c r="I77" s="363">
        <f t="shared" si="42"/>
        <v>91</v>
      </c>
      <c r="J77" s="363">
        <f t="shared" si="42"/>
        <v>91</v>
      </c>
      <c r="K77" s="363">
        <f t="shared" si="42"/>
        <v>91</v>
      </c>
      <c r="L77" s="364">
        <f t="shared" si="42"/>
        <v>91</v>
      </c>
      <c r="N77" s="121"/>
      <c r="P77" s="308">
        <f>IF($N13="Hourly",'Input Sheet'!G$196*'Fee Breakdown'!$N77*'Fee Breakdown'!H77,'Input Sheet'!G$196*'Fee Breakdown'!$N13*'Fee Breakdown'!H77)</f>
        <v>43911.011632681068</v>
      </c>
      <c r="Q77" s="309">
        <f>IF($N13="Hourly",'Input Sheet'!H$196*'Fee Breakdown'!$N77*'Fee Breakdown'!I77,'Input Sheet'!H$196*'Fee Breakdown'!$N13*'Fee Breakdown'!I77)</f>
        <v>45826.836770686961</v>
      </c>
      <c r="R77" s="309">
        <f>IF($N13="Hourly",'Input Sheet'!I$196*'Fee Breakdown'!$N77*'Fee Breakdown'!J77,'Input Sheet'!I$196*'Fee Breakdown'!$N13*'Fee Breakdown'!J77)</f>
        <v>47378.428032278141</v>
      </c>
      <c r="S77" s="309">
        <f>IF($N13="Hourly",'Input Sheet'!J$196*'Fee Breakdown'!$N77*'Fee Breakdown'!K77,'Input Sheet'!J$196*'Fee Breakdown'!$N13*'Fee Breakdown'!K77)</f>
        <v>49047.482778706377</v>
      </c>
      <c r="T77" s="310">
        <f>IF($N13="Hourly",'Input Sheet'!K$196*'Fee Breakdown'!$N77*'Fee Breakdown'!L77,'Input Sheet'!K$196*'Fee Breakdown'!$N13*'Fee Breakdown'!L77)</f>
        <v>50736.498999080301</v>
      </c>
      <c r="U77" s="311"/>
      <c r="V77" s="308">
        <f>+P77*('Input Sheet'!G$206-1)</f>
        <v>51527.479942355203</v>
      </c>
      <c r="W77" s="309">
        <f>+Q77*('Input Sheet'!H$206-1)</f>
        <v>57741.973817074228</v>
      </c>
      <c r="X77" s="309">
        <f>+R77*('Input Sheet'!I$206-1)</f>
        <v>60219.979625349064</v>
      </c>
      <c r="Y77" s="309">
        <f>+S77*('Input Sheet'!J$206-1)</f>
        <v>63633.032855706442</v>
      </c>
      <c r="Z77" s="310">
        <f>+T77*('Input Sheet'!K$206-1)</f>
        <v>67104.022961690483</v>
      </c>
      <c r="AA77" s="311"/>
      <c r="AB77" s="308">
        <f t="shared" si="49"/>
        <v>95438.491575036271</v>
      </c>
      <c r="AC77" s="309">
        <f t="shared" si="50"/>
        <v>103568.8105877612</v>
      </c>
      <c r="AD77" s="309">
        <f t="shared" si="51"/>
        <v>107598.40765762721</v>
      </c>
      <c r="AE77" s="309">
        <f t="shared" si="52"/>
        <v>112680.51563441282</v>
      </c>
      <c r="AF77" s="310">
        <f t="shared" si="53"/>
        <v>117840.52196077078</v>
      </c>
    </row>
    <row r="78" spans="2:33" s="97" customFormat="1" x14ac:dyDescent="0.2">
      <c r="B78" s="249" t="s">
        <v>13</v>
      </c>
      <c r="C78" s="362">
        <f>+'Input Sheet'!G88</f>
        <v>34</v>
      </c>
      <c r="D78" s="363">
        <f>+'Input Sheet'!H88</f>
        <v>72</v>
      </c>
      <c r="E78" s="363">
        <f>+'Input Sheet'!I88</f>
        <v>100</v>
      </c>
      <c r="F78" s="364">
        <f>+'Input Sheet'!K88</f>
        <v>70</v>
      </c>
      <c r="G78" s="335"/>
      <c r="H78" s="362">
        <f t="shared" si="48"/>
        <v>69</v>
      </c>
      <c r="I78" s="363">
        <f t="shared" si="42"/>
        <v>69</v>
      </c>
      <c r="J78" s="363">
        <f t="shared" si="42"/>
        <v>69</v>
      </c>
      <c r="K78" s="363">
        <f t="shared" si="42"/>
        <v>69</v>
      </c>
      <c r="L78" s="364">
        <f t="shared" si="42"/>
        <v>69</v>
      </c>
      <c r="N78" s="121"/>
      <c r="P78" s="308">
        <f>IF($N14="Hourly",'Input Sheet'!G$196*'Fee Breakdown'!$N78*'Fee Breakdown'!H78,'Input Sheet'!G$196*'Fee Breakdown'!$N14*'Fee Breakdown'!H78)</f>
        <v>39954.195199846072</v>
      </c>
      <c r="Q78" s="309">
        <f>IF($N14="Hourly",'Input Sheet'!H$196*'Fee Breakdown'!$N78*'Fee Breakdown'!I78,'Input Sheet'!H$196*'Fee Breakdown'!$N14*'Fee Breakdown'!I78)</f>
        <v>41697.385545196485</v>
      </c>
      <c r="R78" s="309">
        <f>IF($N14="Hourly",'Input Sheet'!I$196*'Fee Breakdown'!$N78*'Fee Breakdown'!J78,'Input Sheet'!I$196*'Fee Breakdown'!$N14*'Fee Breakdown'!J78)</f>
        <v>43109.163088710229</v>
      </c>
      <c r="S78" s="309">
        <f>IF($N14="Hourly",'Input Sheet'!J$196*'Fee Breakdown'!$N78*'Fee Breakdown'!K78,'Input Sheet'!J$196*'Fee Breakdown'!$N14*'Fee Breakdown'!K78)</f>
        <v>44627.819495350413</v>
      </c>
      <c r="T78" s="310">
        <f>IF($N14="Hourly",'Input Sheet'!K$196*'Fee Breakdown'!$N78*'Fee Breakdown'!L78,'Input Sheet'!K$196*'Fee Breakdown'!$N14*'Fee Breakdown'!L78)</f>
        <v>46164.638649712615</v>
      </c>
      <c r="U78" s="311"/>
      <c r="V78" s="308">
        <f>+P78*('Input Sheet'!G$206-1)</f>
        <v>46884.344387110017</v>
      </c>
      <c r="W78" s="309">
        <f>+Q78*('Input Sheet'!H$206-1)</f>
        <v>52538.850901689519</v>
      </c>
      <c r="X78" s="309">
        <f>+R78*('Input Sheet'!I$206-1)</f>
        <v>54793.56387888905</v>
      </c>
      <c r="Y78" s="309">
        <f>+S78*('Input Sheet'!J$206-1)</f>
        <v>57899.067257719704</v>
      </c>
      <c r="Z78" s="310">
        <f>+T78*('Input Sheet'!K$206-1)</f>
        <v>61057.286826681004</v>
      </c>
      <c r="AA78" s="311"/>
      <c r="AB78" s="308">
        <f t="shared" si="49"/>
        <v>86838.539586956089</v>
      </c>
      <c r="AC78" s="309">
        <f t="shared" si="50"/>
        <v>94236.236446886003</v>
      </c>
      <c r="AD78" s="309">
        <f t="shared" si="51"/>
        <v>97902.726967599272</v>
      </c>
      <c r="AE78" s="309">
        <f t="shared" si="52"/>
        <v>102526.88675307011</v>
      </c>
      <c r="AF78" s="310">
        <f t="shared" si="53"/>
        <v>107221.92547639362</v>
      </c>
    </row>
    <row r="79" spans="2:33" s="97" customFormat="1" x14ac:dyDescent="0.2">
      <c r="B79" s="249" t="s">
        <v>145</v>
      </c>
      <c r="C79" s="362">
        <f>+'Input Sheet'!G89</f>
        <v>4</v>
      </c>
      <c r="D79" s="363">
        <f>+'Input Sheet'!H89</f>
        <v>0</v>
      </c>
      <c r="E79" s="363">
        <f>+'Input Sheet'!I89</f>
        <v>0</v>
      </c>
      <c r="F79" s="364">
        <f>+'Input Sheet'!K89</f>
        <v>20</v>
      </c>
      <c r="G79" s="335"/>
      <c r="H79" s="362">
        <f t="shared" si="48"/>
        <v>6</v>
      </c>
      <c r="I79" s="363">
        <f t="shared" si="42"/>
        <v>6</v>
      </c>
      <c r="J79" s="363">
        <f t="shared" si="42"/>
        <v>6</v>
      </c>
      <c r="K79" s="363">
        <f t="shared" si="42"/>
        <v>6</v>
      </c>
      <c r="L79" s="364">
        <f t="shared" si="42"/>
        <v>6</v>
      </c>
      <c r="N79" s="121"/>
      <c r="P79" s="308">
        <f>IF($N15="Hourly",'Input Sheet'!G$196*'Fee Breakdown'!$N79*'Fee Breakdown'!H79,'Input Sheet'!G$196*'Fee Breakdown'!$N15*'Fee Breakdown'!H79)</f>
        <v>579.04630724414596</v>
      </c>
      <c r="Q79" s="309">
        <f>IF($N15="Hourly",'Input Sheet'!H$196*'Fee Breakdown'!$N79*'Fee Breakdown'!I79,'Input Sheet'!H$196*'Fee Breakdown'!$N15*'Fee Breakdown'!I79)</f>
        <v>604.3099354376302</v>
      </c>
      <c r="R79" s="309">
        <f>IF($N15="Hourly",'Input Sheet'!I$196*'Fee Breakdown'!$N79*'Fee Breakdown'!J79,'Input Sheet'!I$196*'Fee Breakdown'!$N15*'Fee Breakdown'!J79)</f>
        <v>624.77047954652505</v>
      </c>
      <c r="S79" s="309">
        <f>IF($N15="Hourly",'Input Sheet'!J$196*'Fee Breakdown'!$N79*'Fee Breakdown'!K79,'Input Sheet'!J$196*'Fee Breakdown'!$N15*'Fee Breakdown'!K79)</f>
        <v>646.77999268623785</v>
      </c>
      <c r="T79" s="310">
        <f>IF($N15="Hourly",'Input Sheet'!K$196*'Fee Breakdown'!$N79*'Fee Breakdown'!L79,'Input Sheet'!K$196*'Fee Breakdown'!$N15*'Fee Breakdown'!L79)</f>
        <v>669.05273405380603</v>
      </c>
      <c r="U79" s="311"/>
      <c r="V79" s="308">
        <f>+P79*('Input Sheet'!G$206-1)</f>
        <v>679.48325198710165</v>
      </c>
      <c r="W79" s="309">
        <f>+Q79*('Input Sheet'!H$206-1)</f>
        <v>761.43262176361611</v>
      </c>
      <c r="X79" s="309">
        <f>+R79*('Input Sheet'!I$206-1)</f>
        <v>794.10962143317454</v>
      </c>
      <c r="Y79" s="309">
        <f>+S79*('Input Sheet'!J$206-1)</f>
        <v>839.1169167785464</v>
      </c>
      <c r="Z79" s="310">
        <f>+T79*('Input Sheet'!K$206-1)</f>
        <v>884.88821487943483</v>
      </c>
      <c r="AA79" s="311"/>
      <c r="AB79" s="308">
        <f t="shared" si="49"/>
        <v>1258.5295592312477</v>
      </c>
      <c r="AC79" s="309">
        <f t="shared" si="50"/>
        <v>1365.7425572012462</v>
      </c>
      <c r="AD79" s="309">
        <f t="shared" si="51"/>
        <v>1418.8801009796996</v>
      </c>
      <c r="AE79" s="309">
        <f t="shared" si="52"/>
        <v>1485.8969094647841</v>
      </c>
      <c r="AF79" s="310">
        <f t="shared" si="53"/>
        <v>1553.9409489332409</v>
      </c>
    </row>
    <row r="80" spans="2:33" s="97" customFormat="1" x14ac:dyDescent="0.2">
      <c r="B80" s="249" t="s">
        <v>146</v>
      </c>
      <c r="C80" s="362">
        <f>+'Input Sheet'!G90</f>
        <v>1</v>
      </c>
      <c r="D80" s="363">
        <f>+'Input Sheet'!H90</f>
        <v>0</v>
      </c>
      <c r="E80" s="363">
        <f>+'Input Sheet'!I90</f>
        <v>0</v>
      </c>
      <c r="F80" s="364">
        <f>+'Input Sheet'!K90</f>
        <v>7</v>
      </c>
      <c r="G80" s="335"/>
      <c r="H80" s="362">
        <f t="shared" si="48"/>
        <v>2</v>
      </c>
      <c r="I80" s="363">
        <f t="shared" si="42"/>
        <v>2</v>
      </c>
      <c r="J80" s="363">
        <f t="shared" si="42"/>
        <v>2</v>
      </c>
      <c r="K80" s="363">
        <f t="shared" si="42"/>
        <v>2</v>
      </c>
      <c r="L80" s="364">
        <f t="shared" si="42"/>
        <v>2</v>
      </c>
      <c r="N80" s="121"/>
      <c r="P80" s="308">
        <f>IF($N16="Hourly",'Input Sheet'!G$196*'Fee Breakdown'!$N80*'Fee Breakdown'!H80,'Input Sheet'!G$196*'Fee Breakdown'!$N16*'Fee Breakdown'!H80)</f>
        <v>579.04630724414596</v>
      </c>
      <c r="Q80" s="309">
        <f>IF($N16="Hourly",'Input Sheet'!H$196*'Fee Breakdown'!$N80*'Fee Breakdown'!I80,'Input Sheet'!H$196*'Fee Breakdown'!$N16*'Fee Breakdown'!I80)</f>
        <v>604.3099354376302</v>
      </c>
      <c r="R80" s="309">
        <f>IF($N16="Hourly",'Input Sheet'!I$196*'Fee Breakdown'!$N80*'Fee Breakdown'!J80,'Input Sheet'!I$196*'Fee Breakdown'!$N16*'Fee Breakdown'!J80)</f>
        <v>624.77047954652505</v>
      </c>
      <c r="S80" s="309">
        <f>IF($N16="Hourly",'Input Sheet'!J$196*'Fee Breakdown'!$N80*'Fee Breakdown'!K80,'Input Sheet'!J$196*'Fee Breakdown'!$N16*'Fee Breakdown'!K80)</f>
        <v>646.77999268623785</v>
      </c>
      <c r="T80" s="310">
        <f>IF($N16="Hourly",'Input Sheet'!K$196*'Fee Breakdown'!$N80*'Fee Breakdown'!L80,'Input Sheet'!K$196*'Fee Breakdown'!$N16*'Fee Breakdown'!L80)</f>
        <v>669.05273405380603</v>
      </c>
      <c r="U80" s="311"/>
      <c r="V80" s="308">
        <f>+P80*('Input Sheet'!G$206-1)</f>
        <v>679.48325198710165</v>
      </c>
      <c r="W80" s="309">
        <f>+Q80*('Input Sheet'!H$206-1)</f>
        <v>761.43262176361611</v>
      </c>
      <c r="X80" s="309">
        <f>+R80*('Input Sheet'!I$206-1)</f>
        <v>794.10962143317454</v>
      </c>
      <c r="Y80" s="309">
        <f>+S80*('Input Sheet'!J$206-1)</f>
        <v>839.1169167785464</v>
      </c>
      <c r="Z80" s="310">
        <f>+T80*('Input Sheet'!K$206-1)</f>
        <v>884.88821487943483</v>
      </c>
      <c r="AA80" s="311"/>
      <c r="AB80" s="308">
        <f t="shared" si="49"/>
        <v>1258.5295592312477</v>
      </c>
      <c r="AC80" s="309">
        <f t="shared" si="50"/>
        <v>1365.7425572012462</v>
      </c>
      <c r="AD80" s="309">
        <f t="shared" si="51"/>
        <v>1418.8801009796996</v>
      </c>
      <c r="AE80" s="309">
        <f t="shared" si="52"/>
        <v>1485.8969094647841</v>
      </c>
      <c r="AF80" s="310">
        <f t="shared" si="53"/>
        <v>1553.9409489332409</v>
      </c>
    </row>
    <row r="81" spans="2:32" s="97" customFormat="1" x14ac:dyDescent="0.2">
      <c r="B81" s="249" t="s">
        <v>147</v>
      </c>
      <c r="C81" s="362">
        <f>+'Input Sheet'!G91</f>
        <v>4</v>
      </c>
      <c r="D81" s="363">
        <f>+'Input Sheet'!H91</f>
        <v>0</v>
      </c>
      <c r="E81" s="363">
        <f>+'Input Sheet'!I91</f>
        <v>0</v>
      </c>
      <c r="F81" s="364">
        <f>+'Input Sheet'!K91</f>
        <v>1</v>
      </c>
      <c r="G81" s="335"/>
      <c r="H81" s="362">
        <f t="shared" si="48"/>
        <v>1</v>
      </c>
      <c r="I81" s="363">
        <f t="shared" si="42"/>
        <v>1</v>
      </c>
      <c r="J81" s="363">
        <f t="shared" si="42"/>
        <v>1</v>
      </c>
      <c r="K81" s="363">
        <f t="shared" si="42"/>
        <v>1</v>
      </c>
      <c r="L81" s="364">
        <f t="shared" si="42"/>
        <v>1</v>
      </c>
      <c r="N81" s="121"/>
      <c r="P81" s="308">
        <f>IF($N17="Hourly",'Input Sheet'!G$196*'Fee Breakdown'!$N81*'Fee Breakdown'!H81,'Input Sheet'!G$196*'Fee Breakdown'!$N17*'Fee Breakdown'!H81)</f>
        <v>386.03087149609729</v>
      </c>
      <c r="Q81" s="309">
        <f>IF($N17="Hourly",'Input Sheet'!H$196*'Fee Breakdown'!$N81*'Fee Breakdown'!I81,'Input Sheet'!H$196*'Fee Breakdown'!$N17*'Fee Breakdown'!I81)</f>
        <v>402.87329029175351</v>
      </c>
      <c r="R81" s="309">
        <f>IF($N17="Hourly",'Input Sheet'!I$196*'Fee Breakdown'!$N81*'Fee Breakdown'!J81,'Input Sheet'!I$196*'Fee Breakdown'!$N17*'Fee Breakdown'!J81)</f>
        <v>416.5136530310167</v>
      </c>
      <c r="S81" s="309">
        <f>IF($N17="Hourly",'Input Sheet'!J$196*'Fee Breakdown'!$N81*'Fee Breakdown'!K81,'Input Sheet'!J$196*'Fee Breakdown'!$N17*'Fee Breakdown'!K81)</f>
        <v>431.18666179082527</v>
      </c>
      <c r="T81" s="310">
        <f>IF($N17="Hourly",'Input Sheet'!K$196*'Fee Breakdown'!$N81*'Fee Breakdown'!L81,'Input Sheet'!K$196*'Fee Breakdown'!$N17*'Fee Breakdown'!L81)</f>
        <v>446.03515603587073</v>
      </c>
      <c r="U81" s="311"/>
      <c r="V81" s="308">
        <f>+P81*('Input Sheet'!G$206-1)</f>
        <v>452.98883465806773</v>
      </c>
      <c r="W81" s="309">
        <f>+Q81*('Input Sheet'!H$206-1)</f>
        <v>507.6217478424108</v>
      </c>
      <c r="X81" s="309">
        <f>+R81*('Input Sheet'!I$206-1)</f>
        <v>529.40641428878303</v>
      </c>
      <c r="Y81" s="309">
        <f>+S81*('Input Sheet'!J$206-1)</f>
        <v>559.41127785236426</v>
      </c>
      <c r="Z81" s="310">
        <f>+T81*('Input Sheet'!K$206-1)</f>
        <v>589.92547658628996</v>
      </c>
      <c r="AA81" s="311"/>
      <c r="AB81" s="308">
        <f t="shared" si="49"/>
        <v>839.01970615416508</v>
      </c>
      <c r="AC81" s="309">
        <f t="shared" si="50"/>
        <v>910.49503813416436</v>
      </c>
      <c r="AD81" s="309">
        <f t="shared" si="51"/>
        <v>945.92006731979973</v>
      </c>
      <c r="AE81" s="309">
        <f t="shared" si="52"/>
        <v>990.59793964318953</v>
      </c>
      <c r="AF81" s="310">
        <f t="shared" si="53"/>
        <v>1035.9606326221606</v>
      </c>
    </row>
    <row r="82" spans="2:32" s="97" customFormat="1" x14ac:dyDescent="0.2">
      <c r="B82" s="249" t="s">
        <v>148</v>
      </c>
      <c r="C82" s="362">
        <f>+'Input Sheet'!G92</f>
        <v>0</v>
      </c>
      <c r="D82" s="363">
        <f>+'Input Sheet'!H92</f>
        <v>0</v>
      </c>
      <c r="E82" s="363">
        <f>+'Input Sheet'!I92</f>
        <v>0</v>
      </c>
      <c r="F82" s="364">
        <f>+'Input Sheet'!K92</f>
        <v>0</v>
      </c>
      <c r="G82" s="335"/>
      <c r="H82" s="362">
        <f t="shared" si="48"/>
        <v>0</v>
      </c>
      <c r="I82" s="363">
        <f t="shared" si="42"/>
        <v>0</v>
      </c>
      <c r="J82" s="363">
        <f t="shared" si="42"/>
        <v>0</v>
      </c>
      <c r="K82" s="363">
        <f t="shared" si="42"/>
        <v>0</v>
      </c>
      <c r="L82" s="364">
        <f t="shared" si="42"/>
        <v>0</v>
      </c>
      <c r="N82" s="121"/>
      <c r="P82" s="308">
        <f>IF($N18="Hourly",'Input Sheet'!G$196*'Fee Breakdown'!$N82*'Fee Breakdown'!H82,'Input Sheet'!G$196*'Fee Breakdown'!$N18*'Fee Breakdown'!H82)</f>
        <v>0</v>
      </c>
      <c r="Q82" s="309">
        <f>IF($N18="Hourly",'Input Sheet'!H$196*'Fee Breakdown'!$N82*'Fee Breakdown'!I82,'Input Sheet'!H$196*'Fee Breakdown'!$N18*'Fee Breakdown'!I82)</f>
        <v>0</v>
      </c>
      <c r="R82" s="309">
        <f>IF($N18="Hourly",'Input Sheet'!I$196*'Fee Breakdown'!$N82*'Fee Breakdown'!J82,'Input Sheet'!I$196*'Fee Breakdown'!$N18*'Fee Breakdown'!J82)</f>
        <v>0</v>
      </c>
      <c r="S82" s="309">
        <f>IF($N18="Hourly",'Input Sheet'!J$196*'Fee Breakdown'!$N82*'Fee Breakdown'!K82,'Input Sheet'!J$196*'Fee Breakdown'!$N18*'Fee Breakdown'!K82)</f>
        <v>0</v>
      </c>
      <c r="T82" s="310">
        <f>IF($N18="Hourly",'Input Sheet'!K$196*'Fee Breakdown'!$N82*'Fee Breakdown'!L82,'Input Sheet'!K$196*'Fee Breakdown'!$N18*'Fee Breakdown'!L82)</f>
        <v>0</v>
      </c>
      <c r="U82" s="311"/>
      <c r="V82" s="308">
        <f>+P82*('Input Sheet'!G$206-1)</f>
        <v>0</v>
      </c>
      <c r="W82" s="309">
        <f>+Q82*('Input Sheet'!H$206-1)</f>
        <v>0</v>
      </c>
      <c r="X82" s="309">
        <f>+R82*('Input Sheet'!I$206-1)</f>
        <v>0</v>
      </c>
      <c r="Y82" s="309">
        <f>+S82*('Input Sheet'!J$206-1)</f>
        <v>0</v>
      </c>
      <c r="Z82" s="310">
        <f>+T82*('Input Sheet'!K$206-1)</f>
        <v>0</v>
      </c>
      <c r="AA82" s="311"/>
      <c r="AB82" s="308">
        <f t="shared" si="49"/>
        <v>0</v>
      </c>
      <c r="AC82" s="309">
        <f t="shared" si="50"/>
        <v>0</v>
      </c>
      <c r="AD82" s="309">
        <f t="shared" si="51"/>
        <v>0</v>
      </c>
      <c r="AE82" s="309">
        <f t="shared" si="52"/>
        <v>0</v>
      </c>
      <c r="AF82" s="310">
        <f t="shared" si="53"/>
        <v>0</v>
      </c>
    </row>
    <row r="83" spans="2:32" s="97" customFormat="1" x14ac:dyDescent="0.2">
      <c r="B83" s="249" t="s">
        <v>149</v>
      </c>
      <c r="C83" s="362">
        <f>+'Input Sheet'!G93</f>
        <v>11</v>
      </c>
      <c r="D83" s="363">
        <f>+'Input Sheet'!H93</f>
        <v>14</v>
      </c>
      <c r="E83" s="363">
        <f>+'Input Sheet'!I93</f>
        <v>18</v>
      </c>
      <c r="F83" s="364">
        <f>+'Input Sheet'!K93</f>
        <v>3</v>
      </c>
      <c r="G83" s="335"/>
      <c r="H83" s="362">
        <f t="shared" si="48"/>
        <v>12</v>
      </c>
      <c r="I83" s="363">
        <f t="shared" si="42"/>
        <v>12</v>
      </c>
      <c r="J83" s="363">
        <f t="shared" si="42"/>
        <v>12</v>
      </c>
      <c r="K83" s="363">
        <f t="shared" si="42"/>
        <v>12</v>
      </c>
      <c r="L83" s="364">
        <f t="shared" si="42"/>
        <v>12</v>
      </c>
      <c r="N83" s="121"/>
      <c r="P83" s="308">
        <f>IF($N19="Hourly",'Input Sheet'!G$196*'Fee Breakdown'!$N83*'Fee Breakdown'!H83,'Input Sheet'!G$196*'Fee Breakdown'!$N19*'Fee Breakdown'!H83)</f>
        <v>2316.1852289765839</v>
      </c>
      <c r="Q83" s="309">
        <f>IF($N19="Hourly",'Input Sheet'!H$196*'Fee Breakdown'!$N83*'Fee Breakdown'!I83,'Input Sheet'!H$196*'Fee Breakdown'!$N19*'Fee Breakdown'!I83)</f>
        <v>2417.2397417505208</v>
      </c>
      <c r="R83" s="309">
        <f>IF($N19="Hourly",'Input Sheet'!I$196*'Fee Breakdown'!$N83*'Fee Breakdown'!J83,'Input Sheet'!I$196*'Fee Breakdown'!$N19*'Fee Breakdown'!J83)</f>
        <v>2499.0819181861002</v>
      </c>
      <c r="S83" s="309">
        <f>IF($N19="Hourly",'Input Sheet'!J$196*'Fee Breakdown'!$N83*'Fee Breakdown'!K83,'Input Sheet'!J$196*'Fee Breakdown'!$N19*'Fee Breakdown'!K83)</f>
        <v>2587.1199707449514</v>
      </c>
      <c r="T83" s="310">
        <f>IF($N19="Hourly",'Input Sheet'!K$196*'Fee Breakdown'!$N83*'Fee Breakdown'!L83,'Input Sheet'!K$196*'Fee Breakdown'!$N19*'Fee Breakdown'!L83)</f>
        <v>2676.2109362152241</v>
      </c>
      <c r="U83" s="311"/>
      <c r="V83" s="308">
        <f>+P83*('Input Sheet'!G$206-1)</f>
        <v>2717.9330079484066</v>
      </c>
      <c r="W83" s="309">
        <f>+Q83*('Input Sheet'!H$206-1)</f>
        <v>3045.7304870544644</v>
      </c>
      <c r="X83" s="309">
        <f>+R83*('Input Sheet'!I$206-1)</f>
        <v>3176.4384857326982</v>
      </c>
      <c r="Y83" s="309">
        <f>+S83*('Input Sheet'!J$206-1)</f>
        <v>3356.4676671141856</v>
      </c>
      <c r="Z83" s="310">
        <f>+T83*('Input Sheet'!K$206-1)</f>
        <v>3539.5528595177393</v>
      </c>
      <c r="AA83" s="311"/>
      <c r="AB83" s="308">
        <f t="shared" si="49"/>
        <v>5034.1182369249909</v>
      </c>
      <c r="AC83" s="309">
        <f t="shared" si="50"/>
        <v>5462.9702288049848</v>
      </c>
      <c r="AD83" s="309">
        <f t="shared" si="51"/>
        <v>5675.5204039187984</v>
      </c>
      <c r="AE83" s="309">
        <f t="shared" si="52"/>
        <v>5943.5876378591365</v>
      </c>
      <c r="AF83" s="310">
        <f t="shared" si="53"/>
        <v>6215.7637957329634</v>
      </c>
    </row>
    <row r="84" spans="2:32" s="97" customFormat="1" x14ac:dyDescent="0.2">
      <c r="B84" s="249" t="s">
        <v>150</v>
      </c>
      <c r="C84" s="362">
        <f>+'Input Sheet'!G94</f>
        <v>3</v>
      </c>
      <c r="D84" s="363">
        <f>+'Input Sheet'!H94</f>
        <v>5</v>
      </c>
      <c r="E84" s="363">
        <f>+'Input Sheet'!I94</f>
        <v>8</v>
      </c>
      <c r="F84" s="364">
        <f>+'Input Sheet'!K94</f>
        <v>2</v>
      </c>
      <c r="G84" s="335"/>
      <c r="H84" s="362">
        <f t="shared" si="48"/>
        <v>5</v>
      </c>
      <c r="I84" s="363">
        <f t="shared" si="42"/>
        <v>5</v>
      </c>
      <c r="J84" s="363">
        <f t="shared" si="42"/>
        <v>5</v>
      </c>
      <c r="K84" s="363">
        <f t="shared" si="42"/>
        <v>5</v>
      </c>
      <c r="L84" s="364">
        <f t="shared" si="42"/>
        <v>5</v>
      </c>
      <c r="N84" s="121"/>
      <c r="P84" s="308">
        <f>IF($N20="Hourly",'Input Sheet'!G$196*'Fee Breakdown'!$N84*'Fee Breakdown'!H84,'Input Sheet'!G$196*'Fee Breakdown'!$N20*'Fee Breakdown'!H84)</f>
        <v>1447.615768110365</v>
      </c>
      <c r="Q84" s="309">
        <f>IF($N20="Hourly",'Input Sheet'!H$196*'Fee Breakdown'!$N84*'Fee Breakdown'!I84,'Input Sheet'!H$196*'Fee Breakdown'!$N20*'Fee Breakdown'!I84)</f>
        <v>1510.7748385940754</v>
      </c>
      <c r="R84" s="309">
        <f>IF($N20="Hourly",'Input Sheet'!I$196*'Fee Breakdown'!$N84*'Fee Breakdown'!J84,'Input Sheet'!I$196*'Fee Breakdown'!$N20*'Fee Breakdown'!J84)</f>
        <v>1561.9261988663127</v>
      </c>
      <c r="S84" s="309">
        <f>IF($N20="Hourly",'Input Sheet'!J$196*'Fee Breakdown'!$N84*'Fee Breakdown'!K84,'Input Sheet'!J$196*'Fee Breakdown'!$N20*'Fee Breakdown'!K84)</f>
        <v>1616.9499817155947</v>
      </c>
      <c r="T84" s="310">
        <f>IF($N20="Hourly",'Input Sheet'!K$196*'Fee Breakdown'!$N84*'Fee Breakdown'!L84,'Input Sheet'!K$196*'Fee Breakdown'!$N20*'Fee Breakdown'!L84)</f>
        <v>1672.6318351345151</v>
      </c>
      <c r="U84" s="311"/>
      <c r="V84" s="308">
        <f>+P84*('Input Sheet'!G$206-1)</f>
        <v>1698.7081299677543</v>
      </c>
      <c r="W84" s="309">
        <f>+Q84*('Input Sheet'!H$206-1)</f>
        <v>1903.5815544090403</v>
      </c>
      <c r="X84" s="309">
        <f>+R84*('Input Sheet'!I$206-1)</f>
        <v>1985.2740535829366</v>
      </c>
      <c r="Y84" s="309">
        <f>+S84*('Input Sheet'!J$206-1)</f>
        <v>2097.7922919463663</v>
      </c>
      <c r="Z84" s="310">
        <f>+T84*('Input Sheet'!K$206-1)</f>
        <v>2212.220537198587</v>
      </c>
      <c r="AA84" s="311"/>
      <c r="AB84" s="308">
        <f t="shared" si="49"/>
        <v>3146.3238980781193</v>
      </c>
      <c r="AC84" s="309">
        <f t="shared" si="50"/>
        <v>3414.356393003116</v>
      </c>
      <c r="AD84" s="309">
        <f t="shared" si="51"/>
        <v>3547.2002524492491</v>
      </c>
      <c r="AE84" s="309">
        <f t="shared" si="52"/>
        <v>3714.742273661961</v>
      </c>
      <c r="AF84" s="310">
        <f t="shared" si="53"/>
        <v>3884.8523723331018</v>
      </c>
    </row>
    <row r="85" spans="2:32" s="97" customFormat="1" x14ac:dyDescent="0.2">
      <c r="B85" s="249" t="s">
        <v>151</v>
      </c>
      <c r="C85" s="362"/>
      <c r="D85" s="363">
        <f>+'Input Sheet'!H95</f>
        <v>7</v>
      </c>
      <c r="E85" s="363">
        <f>+'Input Sheet'!I95</f>
        <v>14</v>
      </c>
      <c r="F85" s="364">
        <v>0</v>
      </c>
      <c r="G85" s="335"/>
      <c r="H85" s="362">
        <f t="shared" si="48"/>
        <v>7</v>
      </c>
      <c r="I85" s="363">
        <f t="shared" si="42"/>
        <v>7</v>
      </c>
      <c r="J85" s="363">
        <f t="shared" si="42"/>
        <v>7</v>
      </c>
      <c r="K85" s="363">
        <f t="shared" si="42"/>
        <v>7</v>
      </c>
      <c r="L85" s="364">
        <f t="shared" si="42"/>
        <v>7</v>
      </c>
      <c r="N85" s="121"/>
      <c r="P85" s="308">
        <f>IF($N21="Hourly",'Input Sheet'!G$196*'Fee Breakdown'!$N85*'Fee Breakdown'!H85,'Input Sheet'!G$196*'Fee Breakdown'!$N21*'Fee Breakdown'!H85)</f>
        <v>3377.7701255908514</v>
      </c>
      <c r="Q85" s="309">
        <f>IF($N21="Hourly",'Input Sheet'!H$196*'Fee Breakdown'!$N85*'Fee Breakdown'!I85,'Input Sheet'!H$196*'Fee Breakdown'!$N21*'Fee Breakdown'!I85)</f>
        <v>3525.1412900528435</v>
      </c>
      <c r="R85" s="309">
        <f>IF($N21="Hourly",'Input Sheet'!I$196*'Fee Breakdown'!$N85*'Fee Breakdown'!J85,'Input Sheet'!I$196*'Fee Breakdown'!$N21*'Fee Breakdown'!J85)</f>
        <v>3644.4944640213957</v>
      </c>
      <c r="S85" s="309">
        <f>IF($N21="Hourly",'Input Sheet'!J$196*'Fee Breakdown'!$N85*'Fee Breakdown'!K85,'Input Sheet'!J$196*'Fee Breakdown'!$N21*'Fee Breakdown'!K85)</f>
        <v>3772.8832906697212</v>
      </c>
      <c r="T85" s="310">
        <f>IF($N21="Hourly",'Input Sheet'!K$196*'Fee Breakdown'!$N85*'Fee Breakdown'!L85,'Input Sheet'!K$196*'Fee Breakdown'!$N21*'Fee Breakdown'!L85)</f>
        <v>3902.8076153138691</v>
      </c>
      <c r="U85" s="311"/>
      <c r="V85" s="308">
        <f>+P85*('Input Sheet'!G$206-1)</f>
        <v>3963.6523032580931</v>
      </c>
      <c r="W85" s="309">
        <f>+Q85*('Input Sheet'!H$206-1)</f>
        <v>4441.6902936210954</v>
      </c>
      <c r="X85" s="309">
        <f>+R85*('Input Sheet'!I$206-1)</f>
        <v>4632.3061250268511</v>
      </c>
      <c r="Y85" s="309">
        <f>+S85*('Input Sheet'!J$206-1)</f>
        <v>4894.8486812081883</v>
      </c>
      <c r="Z85" s="310">
        <f>+T85*('Input Sheet'!K$206-1)</f>
        <v>5161.847920130037</v>
      </c>
      <c r="AA85" s="311"/>
      <c r="AB85" s="308">
        <f t="shared" si="49"/>
        <v>7341.422428848944</v>
      </c>
      <c r="AC85" s="309">
        <f t="shared" si="50"/>
        <v>7966.8315836739384</v>
      </c>
      <c r="AD85" s="309">
        <f t="shared" si="51"/>
        <v>8276.8005890482473</v>
      </c>
      <c r="AE85" s="309">
        <f t="shared" si="52"/>
        <v>8667.731971877909</v>
      </c>
      <c r="AF85" s="310">
        <f t="shared" si="53"/>
        <v>9064.655535443906</v>
      </c>
    </row>
    <row r="86" spans="2:32" s="97" customFormat="1" x14ac:dyDescent="0.2">
      <c r="B86" s="249" t="s">
        <v>152</v>
      </c>
      <c r="C86" s="362">
        <f>+'Input Sheet'!G96</f>
        <v>17</v>
      </c>
      <c r="D86" s="363">
        <f>+'Input Sheet'!H96</f>
        <v>0</v>
      </c>
      <c r="E86" s="363">
        <f>+'Input Sheet'!I96</f>
        <v>0</v>
      </c>
      <c r="F86" s="364">
        <f>+'Input Sheet'!K96</f>
        <v>15</v>
      </c>
      <c r="G86" s="335"/>
      <c r="H86" s="362">
        <f t="shared" si="48"/>
        <v>8</v>
      </c>
      <c r="I86" s="363">
        <f t="shared" si="42"/>
        <v>8</v>
      </c>
      <c r="J86" s="363">
        <f t="shared" si="42"/>
        <v>8</v>
      </c>
      <c r="K86" s="363">
        <f t="shared" si="42"/>
        <v>8</v>
      </c>
      <c r="L86" s="364">
        <f t="shared" si="42"/>
        <v>8</v>
      </c>
      <c r="N86" s="121"/>
      <c r="P86" s="308">
        <f>IF($N22="Hourly",'Input Sheet'!G$196*'Fee Breakdown'!$N86*'Fee Breakdown'!H86,'Input Sheet'!G$196*'Fee Breakdown'!$N22*'Fee Breakdown'!H86)</f>
        <v>2316.1852289765839</v>
      </c>
      <c r="Q86" s="309">
        <f>IF($N22="Hourly",'Input Sheet'!H$196*'Fee Breakdown'!$N86*'Fee Breakdown'!I86,'Input Sheet'!H$196*'Fee Breakdown'!$N22*'Fee Breakdown'!I86)</f>
        <v>2417.2397417505208</v>
      </c>
      <c r="R86" s="309">
        <f>IF($N22="Hourly",'Input Sheet'!I$196*'Fee Breakdown'!$N86*'Fee Breakdown'!J86,'Input Sheet'!I$196*'Fee Breakdown'!$N22*'Fee Breakdown'!J86)</f>
        <v>2499.0819181861002</v>
      </c>
      <c r="S86" s="309">
        <f>IF($N22="Hourly",'Input Sheet'!J$196*'Fee Breakdown'!$N86*'Fee Breakdown'!K86,'Input Sheet'!J$196*'Fee Breakdown'!$N22*'Fee Breakdown'!K86)</f>
        <v>2587.1199707449514</v>
      </c>
      <c r="T86" s="310">
        <f>IF($N22="Hourly",'Input Sheet'!K$196*'Fee Breakdown'!$N86*'Fee Breakdown'!L86,'Input Sheet'!K$196*'Fee Breakdown'!$N22*'Fee Breakdown'!L86)</f>
        <v>2676.2109362152241</v>
      </c>
      <c r="U86" s="311"/>
      <c r="V86" s="308">
        <f>+P86*('Input Sheet'!G$206-1)</f>
        <v>2717.9330079484066</v>
      </c>
      <c r="W86" s="309">
        <f>+Q86*('Input Sheet'!H$206-1)</f>
        <v>3045.7304870544644</v>
      </c>
      <c r="X86" s="309">
        <f>+R86*('Input Sheet'!I$206-1)</f>
        <v>3176.4384857326982</v>
      </c>
      <c r="Y86" s="309">
        <f>+S86*('Input Sheet'!J$206-1)</f>
        <v>3356.4676671141856</v>
      </c>
      <c r="Z86" s="310">
        <f>+T86*('Input Sheet'!K$206-1)</f>
        <v>3539.5528595177393</v>
      </c>
      <c r="AA86" s="311"/>
      <c r="AB86" s="308">
        <f t="shared" si="49"/>
        <v>5034.1182369249909</v>
      </c>
      <c r="AC86" s="309">
        <f t="shared" si="50"/>
        <v>5462.9702288049848</v>
      </c>
      <c r="AD86" s="309">
        <f t="shared" si="51"/>
        <v>5675.5204039187984</v>
      </c>
      <c r="AE86" s="309">
        <f t="shared" si="52"/>
        <v>5943.5876378591365</v>
      </c>
      <c r="AF86" s="310">
        <f t="shared" si="53"/>
        <v>6215.7637957329634</v>
      </c>
    </row>
    <row r="87" spans="2:32" s="97" customFormat="1" x14ac:dyDescent="0.2">
      <c r="B87" s="249" t="s">
        <v>153</v>
      </c>
      <c r="C87" s="362">
        <f>+'Input Sheet'!G97</f>
        <v>1</v>
      </c>
      <c r="D87" s="363">
        <f>+'Input Sheet'!H97</f>
        <v>0</v>
      </c>
      <c r="E87" s="363">
        <f>+'Input Sheet'!I97</f>
        <v>0</v>
      </c>
      <c r="F87" s="364">
        <f>+'Input Sheet'!K97</f>
        <v>4</v>
      </c>
      <c r="G87" s="335"/>
      <c r="H87" s="362">
        <f t="shared" si="48"/>
        <v>1</v>
      </c>
      <c r="I87" s="363">
        <f t="shared" si="42"/>
        <v>1</v>
      </c>
      <c r="J87" s="363">
        <f t="shared" si="42"/>
        <v>1</v>
      </c>
      <c r="K87" s="363">
        <f t="shared" si="42"/>
        <v>1</v>
      </c>
      <c r="L87" s="364">
        <f t="shared" si="42"/>
        <v>1</v>
      </c>
      <c r="N87" s="121"/>
      <c r="P87" s="308">
        <f>IF($N23="Hourly",'Input Sheet'!G$196*'Fee Breakdown'!$N87*'Fee Breakdown'!H87,'Input Sheet'!G$196*'Fee Breakdown'!$N23*'Fee Breakdown'!H87)</f>
        <v>386.03087149609729</v>
      </c>
      <c r="Q87" s="309">
        <f>IF($N23="Hourly",'Input Sheet'!H$196*'Fee Breakdown'!$N87*'Fee Breakdown'!I87,'Input Sheet'!H$196*'Fee Breakdown'!$N23*'Fee Breakdown'!I87)</f>
        <v>402.87329029175351</v>
      </c>
      <c r="R87" s="309">
        <f>IF($N23="Hourly",'Input Sheet'!I$196*'Fee Breakdown'!$N87*'Fee Breakdown'!J87,'Input Sheet'!I$196*'Fee Breakdown'!$N23*'Fee Breakdown'!J87)</f>
        <v>416.5136530310167</v>
      </c>
      <c r="S87" s="309">
        <f>IF($N23="Hourly",'Input Sheet'!J$196*'Fee Breakdown'!$N87*'Fee Breakdown'!K87,'Input Sheet'!J$196*'Fee Breakdown'!$N23*'Fee Breakdown'!K87)</f>
        <v>431.18666179082527</v>
      </c>
      <c r="T87" s="310">
        <f>IF($N23="Hourly",'Input Sheet'!K$196*'Fee Breakdown'!$N87*'Fee Breakdown'!L87,'Input Sheet'!K$196*'Fee Breakdown'!$N23*'Fee Breakdown'!L87)</f>
        <v>446.03515603587073</v>
      </c>
      <c r="U87" s="311"/>
      <c r="V87" s="308">
        <f>+P87*('Input Sheet'!G$206-1)</f>
        <v>452.98883465806773</v>
      </c>
      <c r="W87" s="309">
        <f>+Q87*('Input Sheet'!H$206-1)</f>
        <v>507.6217478424108</v>
      </c>
      <c r="X87" s="309">
        <f>+R87*('Input Sheet'!I$206-1)</f>
        <v>529.40641428878303</v>
      </c>
      <c r="Y87" s="309">
        <f>+S87*('Input Sheet'!J$206-1)</f>
        <v>559.41127785236426</v>
      </c>
      <c r="Z87" s="310">
        <f>+T87*('Input Sheet'!K$206-1)</f>
        <v>589.92547658628996</v>
      </c>
      <c r="AA87" s="311"/>
      <c r="AB87" s="308">
        <f t="shared" si="49"/>
        <v>839.01970615416508</v>
      </c>
      <c r="AC87" s="309">
        <f t="shared" si="50"/>
        <v>910.49503813416436</v>
      </c>
      <c r="AD87" s="309">
        <f t="shared" si="51"/>
        <v>945.92006731979973</v>
      </c>
      <c r="AE87" s="309">
        <f t="shared" si="52"/>
        <v>990.59793964318953</v>
      </c>
      <c r="AF87" s="310">
        <f t="shared" si="53"/>
        <v>1035.9606326221606</v>
      </c>
    </row>
    <row r="88" spans="2:32" s="97" customFormat="1" x14ac:dyDescent="0.2">
      <c r="B88" s="249" t="s">
        <v>154</v>
      </c>
      <c r="C88" s="362">
        <f>+'Input Sheet'!G98</f>
        <v>0</v>
      </c>
      <c r="D88" s="363">
        <f>+'Input Sheet'!H98</f>
        <v>0</v>
      </c>
      <c r="E88" s="363">
        <f>+'Input Sheet'!I98</f>
        <v>0</v>
      </c>
      <c r="F88" s="364">
        <f>+'Input Sheet'!K98</f>
        <v>0</v>
      </c>
      <c r="G88" s="335"/>
      <c r="H88" s="362">
        <f t="shared" si="48"/>
        <v>0</v>
      </c>
      <c r="I88" s="363">
        <f t="shared" si="42"/>
        <v>0</v>
      </c>
      <c r="J88" s="363">
        <f t="shared" si="42"/>
        <v>0</v>
      </c>
      <c r="K88" s="363">
        <f t="shared" si="42"/>
        <v>0</v>
      </c>
      <c r="L88" s="364">
        <f t="shared" si="42"/>
        <v>0</v>
      </c>
      <c r="N88" s="121"/>
      <c r="P88" s="308">
        <f>IF($N24="Hourly",'Input Sheet'!G$196*'Fee Breakdown'!$N88*'Fee Breakdown'!H88,'Input Sheet'!G$196*'Fee Breakdown'!$N24*'Fee Breakdown'!H88)</f>
        <v>0</v>
      </c>
      <c r="Q88" s="309">
        <f>IF($N24="Hourly",'Input Sheet'!H$196*'Fee Breakdown'!$N88*'Fee Breakdown'!I88,'Input Sheet'!H$196*'Fee Breakdown'!$N24*'Fee Breakdown'!I88)</f>
        <v>0</v>
      </c>
      <c r="R88" s="309">
        <f>IF($N24="Hourly",'Input Sheet'!I$196*'Fee Breakdown'!$N88*'Fee Breakdown'!J88,'Input Sheet'!I$196*'Fee Breakdown'!$N24*'Fee Breakdown'!J88)</f>
        <v>0</v>
      </c>
      <c r="S88" s="309">
        <f>IF($N24="Hourly",'Input Sheet'!J$196*'Fee Breakdown'!$N88*'Fee Breakdown'!K88,'Input Sheet'!J$196*'Fee Breakdown'!$N24*'Fee Breakdown'!K88)</f>
        <v>0</v>
      </c>
      <c r="T88" s="310">
        <f>IF($N24="Hourly",'Input Sheet'!K$196*'Fee Breakdown'!$N88*'Fee Breakdown'!L88,'Input Sheet'!K$196*'Fee Breakdown'!$N24*'Fee Breakdown'!L88)</f>
        <v>0</v>
      </c>
      <c r="U88" s="311"/>
      <c r="V88" s="308">
        <f>+P88*('Input Sheet'!G$206-1)</f>
        <v>0</v>
      </c>
      <c r="W88" s="309">
        <f>+Q88*('Input Sheet'!H$206-1)</f>
        <v>0</v>
      </c>
      <c r="X88" s="309">
        <f>+R88*('Input Sheet'!I$206-1)</f>
        <v>0</v>
      </c>
      <c r="Y88" s="309">
        <f>+S88*('Input Sheet'!J$206-1)</f>
        <v>0</v>
      </c>
      <c r="Z88" s="310">
        <f>+T88*('Input Sheet'!K$206-1)</f>
        <v>0</v>
      </c>
      <c r="AA88" s="311"/>
      <c r="AB88" s="308">
        <f t="shared" si="49"/>
        <v>0</v>
      </c>
      <c r="AC88" s="309">
        <f t="shared" si="50"/>
        <v>0</v>
      </c>
      <c r="AD88" s="309">
        <f t="shared" si="51"/>
        <v>0</v>
      </c>
      <c r="AE88" s="309">
        <f t="shared" si="52"/>
        <v>0</v>
      </c>
      <c r="AF88" s="310">
        <f t="shared" si="53"/>
        <v>0</v>
      </c>
    </row>
    <row r="89" spans="2:32" s="97" customFormat="1" x14ac:dyDescent="0.2">
      <c r="B89" s="249" t="s">
        <v>155</v>
      </c>
      <c r="C89" s="362">
        <f>+'Input Sheet'!G99</f>
        <v>1</v>
      </c>
      <c r="D89" s="363">
        <f>+'Input Sheet'!H99</f>
        <v>12</v>
      </c>
      <c r="E89" s="363">
        <f>+'Input Sheet'!I99</f>
        <v>4</v>
      </c>
      <c r="F89" s="364">
        <f>+'Input Sheet'!K99</f>
        <v>9</v>
      </c>
      <c r="G89" s="335"/>
      <c r="H89" s="362">
        <f t="shared" si="48"/>
        <v>7</v>
      </c>
      <c r="I89" s="363">
        <f t="shared" si="42"/>
        <v>7</v>
      </c>
      <c r="J89" s="363">
        <f t="shared" si="42"/>
        <v>7</v>
      </c>
      <c r="K89" s="363">
        <f t="shared" si="42"/>
        <v>7</v>
      </c>
      <c r="L89" s="364">
        <f t="shared" si="42"/>
        <v>7</v>
      </c>
      <c r="N89" s="121"/>
      <c r="P89" s="308">
        <f>IF($N25="Hourly",'Input Sheet'!G$196*'Fee Breakdown'!$N89*'Fee Breakdown'!H89,'Input Sheet'!G$196*'Fee Breakdown'!$N25*'Fee Breakdown'!H89)</f>
        <v>1351.1080502363404</v>
      </c>
      <c r="Q89" s="309">
        <f>IF($N25="Hourly",'Input Sheet'!H$196*'Fee Breakdown'!$N89*'Fee Breakdown'!I89,'Input Sheet'!H$196*'Fee Breakdown'!$N25*'Fee Breakdown'!I89)</f>
        <v>1410.0565160211372</v>
      </c>
      <c r="R89" s="309">
        <f>IF($N25="Hourly",'Input Sheet'!I$196*'Fee Breakdown'!$N89*'Fee Breakdown'!J89,'Input Sheet'!I$196*'Fee Breakdown'!$N25*'Fee Breakdown'!J89)</f>
        <v>1457.7977856085586</v>
      </c>
      <c r="S89" s="309">
        <f>IF($N25="Hourly",'Input Sheet'!J$196*'Fee Breakdown'!$N89*'Fee Breakdown'!K89,'Input Sheet'!J$196*'Fee Breakdown'!$N25*'Fee Breakdown'!K89)</f>
        <v>1509.1533162678884</v>
      </c>
      <c r="T89" s="310">
        <f>IF($N25="Hourly",'Input Sheet'!K$196*'Fee Breakdown'!$N89*'Fee Breakdown'!L89,'Input Sheet'!K$196*'Fee Breakdown'!$N25*'Fee Breakdown'!L89)</f>
        <v>1561.1230461255475</v>
      </c>
      <c r="U89" s="311"/>
      <c r="V89" s="308">
        <f>+P89*('Input Sheet'!G$206-1)</f>
        <v>1585.460921303237</v>
      </c>
      <c r="W89" s="309">
        <f>+Q89*('Input Sheet'!H$206-1)</f>
        <v>1776.6761174484377</v>
      </c>
      <c r="X89" s="309">
        <f>+R89*('Input Sheet'!I$206-1)</f>
        <v>1852.9224500107409</v>
      </c>
      <c r="Y89" s="309">
        <f>+S89*('Input Sheet'!J$206-1)</f>
        <v>1957.939472483275</v>
      </c>
      <c r="Z89" s="310">
        <f>+T89*('Input Sheet'!K$206-1)</f>
        <v>2064.7391680520145</v>
      </c>
      <c r="AA89" s="311"/>
      <c r="AB89" s="308">
        <f t="shared" si="49"/>
        <v>2936.5689715395774</v>
      </c>
      <c r="AC89" s="309">
        <f t="shared" si="50"/>
        <v>3186.7326334695749</v>
      </c>
      <c r="AD89" s="309">
        <f t="shared" si="51"/>
        <v>3310.7202356192993</v>
      </c>
      <c r="AE89" s="309">
        <f t="shared" si="52"/>
        <v>3467.0927887511634</v>
      </c>
      <c r="AF89" s="310">
        <f t="shared" si="53"/>
        <v>3625.8622141775622</v>
      </c>
    </row>
    <row r="90" spans="2:32" s="97" customFormat="1" x14ac:dyDescent="0.2">
      <c r="B90" s="249" t="s">
        <v>156</v>
      </c>
      <c r="C90" s="362">
        <f>+'Input Sheet'!G100</f>
        <v>0</v>
      </c>
      <c r="D90" s="363">
        <f>+'Input Sheet'!H100</f>
        <v>0</v>
      </c>
      <c r="E90" s="363">
        <f>+'Input Sheet'!I100</f>
        <v>3</v>
      </c>
      <c r="F90" s="364">
        <f>+'Input Sheet'!K100</f>
        <v>0</v>
      </c>
      <c r="G90" s="335"/>
      <c r="H90" s="362">
        <f t="shared" si="48"/>
        <v>1</v>
      </c>
      <c r="I90" s="363">
        <f t="shared" si="42"/>
        <v>1</v>
      </c>
      <c r="J90" s="363">
        <f t="shared" si="42"/>
        <v>1</v>
      </c>
      <c r="K90" s="363">
        <f t="shared" si="42"/>
        <v>1</v>
      </c>
      <c r="L90" s="364">
        <f t="shared" si="42"/>
        <v>1</v>
      </c>
      <c r="N90" s="121"/>
      <c r="P90" s="308">
        <f>IF($N26="Hourly",'Input Sheet'!G$196*'Fee Breakdown'!$N90*'Fee Breakdown'!H90,'Input Sheet'!G$196*'Fee Breakdown'!$N26*'Fee Breakdown'!H90)</f>
        <v>289.52315362207298</v>
      </c>
      <c r="Q90" s="309">
        <f>IF($N26="Hourly",'Input Sheet'!H$196*'Fee Breakdown'!$N90*'Fee Breakdown'!I90,'Input Sheet'!H$196*'Fee Breakdown'!$N26*'Fee Breakdown'!I90)</f>
        <v>302.1549677188151</v>
      </c>
      <c r="R90" s="309">
        <f>IF($N26="Hourly",'Input Sheet'!I$196*'Fee Breakdown'!$N90*'Fee Breakdown'!J90,'Input Sheet'!I$196*'Fee Breakdown'!$N26*'Fee Breakdown'!J90)</f>
        <v>312.38523977326253</v>
      </c>
      <c r="S90" s="309">
        <f>IF($N26="Hourly",'Input Sheet'!J$196*'Fee Breakdown'!$N90*'Fee Breakdown'!K90,'Input Sheet'!J$196*'Fee Breakdown'!$N26*'Fee Breakdown'!K90)</f>
        <v>323.38999634311892</v>
      </c>
      <c r="T90" s="310">
        <f>IF($N26="Hourly",'Input Sheet'!K$196*'Fee Breakdown'!$N90*'Fee Breakdown'!L90,'Input Sheet'!K$196*'Fee Breakdown'!$N26*'Fee Breakdown'!L90)</f>
        <v>334.52636702690302</v>
      </c>
      <c r="U90" s="311"/>
      <c r="V90" s="308">
        <f>+P90*('Input Sheet'!G$206-1)</f>
        <v>339.74162599355083</v>
      </c>
      <c r="W90" s="309">
        <f>+Q90*('Input Sheet'!H$206-1)</f>
        <v>380.71631088180806</v>
      </c>
      <c r="X90" s="309">
        <f>+R90*('Input Sheet'!I$206-1)</f>
        <v>397.05481071658727</v>
      </c>
      <c r="Y90" s="309">
        <f>+S90*('Input Sheet'!J$206-1)</f>
        <v>419.5584583892732</v>
      </c>
      <c r="Z90" s="310">
        <f>+T90*('Input Sheet'!K$206-1)</f>
        <v>442.44410743971741</v>
      </c>
      <c r="AA90" s="311"/>
      <c r="AB90" s="308">
        <f t="shared" si="49"/>
        <v>629.26477961562387</v>
      </c>
      <c r="AC90" s="309">
        <f t="shared" si="50"/>
        <v>682.8712786006231</v>
      </c>
      <c r="AD90" s="309">
        <f t="shared" si="51"/>
        <v>709.4400504898498</v>
      </c>
      <c r="AE90" s="309">
        <f t="shared" si="52"/>
        <v>742.94845473239207</v>
      </c>
      <c r="AF90" s="310">
        <f t="shared" si="53"/>
        <v>776.97047446662043</v>
      </c>
    </row>
    <row r="91" spans="2:32" s="97" customFormat="1" x14ac:dyDescent="0.2">
      <c r="B91" s="249" t="s">
        <v>157</v>
      </c>
      <c r="C91" s="362">
        <f>+'Input Sheet'!G101</f>
        <v>0</v>
      </c>
      <c r="D91" s="363">
        <f>+'Input Sheet'!H101</f>
        <v>0</v>
      </c>
      <c r="E91" s="363">
        <f>+'Input Sheet'!I101</f>
        <v>4</v>
      </c>
      <c r="F91" s="364">
        <f>+'Input Sheet'!K101</f>
        <v>0</v>
      </c>
      <c r="G91" s="335"/>
      <c r="H91" s="362">
        <f t="shared" si="48"/>
        <v>1</v>
      </c>
      <c r="I91" s="363">
        <f t="shared" si="42"/>
        <v>1</v>
      </c>
      <c r="J91" s="363">
        <f t="shared" si="42"/>
        <v>1</v>
      </c>
      <c r="K91" s="363">
        <f t="shared" si="42"/>
        <v>1</v>
      </c>
      <c r="L91" s="364">
        <f t="shared" si="42"/>
        <v>1</v>
      </c>
      <c r="N91" s="121"/>
      <c r="P91" s="308">
        <f>IF($N27="Hourly",'Input Sheet'!G$196*'Fee Breakdown'!$N91*'Fee Breakdown'!H91,'Input Sheet'!G$196*'Fee Breakdown'!$N27*'Fee Breakdown'!H91)</f>
        <v>482.5385893701216</v>
      </c>
      <c r="Q91" s="309">
        <f>IF($N27="Hourly",'Input Sheet'!H$196*'Fee Breakdown'!$N91*'Fee Breakdown'!I91,'Input Sheet'!H$196*'Fee Breakdown'!$N27*'Fee Breakdown'!I91)</f>
        <v>503.59161286469191</v>
      </c>
      <c r="R91" s="309">
        <f>IF($N27="Hourly",'Input Sheet'!I$196*'Fee Breakdown'!$N91*'Fee Breakdown'!J91,'Input Sheet'!I$196*'Fee Breakdown'!$N27*'Fee Breakdown'!J91)</f>
        <v>520.64206628877082</v>
      </c>
      <c r="S91" s="309">
        <f>IF($N27="Hourly",'Input Sheet'!J$196*'Fee Breakdown'!$N91*'Fee Breakdown'!K91,'Input Sheet'!J$196*'Fee Breakdown'!$N27*'Fee Breakdown'!K91)</f>
        <v>538.98332723853161</v>
      </c>
      <c r="T91" s="310">
        <f>IF($N27="Hourly",'Input Sheet'!K$196*'Fee Breakdown'!$N91*'Fee Breakdown'!L91,'Input Sheet'!K$196*'Fee Breakdown'!$N27*'Fee Breakdown'!L91)</f>
        <v>557.54394504483844</v>
      </c>
      <c r="U91" s="311"/>
      <c r="V91" s="308">
        <f>+P91*('Input Sheet'!G$206-1)</f>
        <v>566.23604332258469</v>
      </c>
      <c r="W91" s="309">
        <f>+Q91*('Input Sheet'!H$206-1)</f>
        <v>634.5271848030136</v>
      </c>
      <c r="X91" s="309">
        <f>+R91*('Input Sheet'!I$206-1)</f>
        <v>661.75801786097873</v>
      </c>
      <c r="Y91" s="309">
        <f>+S91*('Input Sheet'!J$206-1)</f>
        <v>699.26409731545539</v>
      </c>
      <c r="Z91" s="310">
        <f>+T91*('Input Sheet'!K$206-1)</f>
        <v>737.40684573286239</v>
      </c>
      <c r="AA91" s="311"/>
      <c r="AB91" s="308">
        <f t="shared" si="49"/>
        <v>1048.7746326927063</v>
      </c>
      <c r="AC91" s="309">
        <f t="shared" si="50"/>
        <v>1138.1187976677056</v>
      </c>
      <c r="AD91" s="309">
        <f t="shared" si="51"/>
        <v>1182.4000841497495</v>
      </c>
      <c r="AE91" s="309">
        <f t="shared" si="52"/>
        <v>1238.247424553987</v>
      </c>
      <c r="AF91" s="310">
        <f t="shared" si="53"/>
        <v>1294.9507907777008</v>
      </c>
    </row>
    <row r="92" spans="2:32" s="97" customFormat="1" x14ac:dyDescent="0.2">
      <c r="B92" s="249"/>
      <c r="C92" s="362"/>
      <c r="D92" s="363"/>
      <c r="E92" s="363"/>
      <c r="F92" s="364"/>
      <c r="G92" s="335"/>
      <c r="H92" s="362"/>
      <c r="I92" s="363"/>
      <c r="J92" s="363"/>
      <c r="K92" s="363"/>
      <c r="L92" s="364"/>
      <c r="N92" s="121"/>
      <c r="P92" s="308"/>
      <c r="Q92" s="309"/>
      <c r="R92" s="309"/>
      <c r="S92" s="309"/>
      <c r="T92" s="310"/>
      <c r="U92" s="311"/>
      <c r="V92" s="308"/>
      <c r="W92" s="309"/>
      <c r="X92" s="309"/>
      <c r="Y92" s="309"/>
      <c r="Z92" s="310"/>
      <c r="AA92" s="311"/>
      <c r="AB92" s="308"/>
      <c r="AC92" s="309"/>
      <c r="AD92" s="309"/>
      <c r="AE92" s="309"/>
      <c r="AF92" s="310"/>
    </row>
    <row r="93" spans="2:32" s="97" customFormat="1" x14ac:dyDescent="0.2">
      <c r="B93" s="249" t="s">
        <v>117</v>
      </c>
      <c r="C93" s="362">
        <f>+'Input Sheet'!G103</f>
        <v>73</v>
      </c>
      <c r="D93" s="363">
        <f>+'Input Sheet'!H103</f>
        <v>81</v>
      </c>
      <c r="E93" s="363">
        <f>+'Input Sheet'!I103</f>
        <v>73</v>
      </c>
      <c r="F93" s="364">
        <f>+'Input Sheet'!K103</f>
        <v>58</v>
      </c>
      <c r="G93" s="335"/>
      <c r="H93" s="362">
        <f t="shared" si="48"/>
        <v>71</v>
      </c>
      <c r="I93" s="363">
        <f t="shared" si="42"/>
        <v>71</v>
      </c>
      <c r="J93" s="363">
        <f t="shared" si="42"/>
        <v>71</v>
      </c>
      <c r="K93" s="363">
        <f t="shared" si="42"/>
        <v>71</v>
      </c>
      <c r="L93" s="364">
        <f t="shared" si="42"/>
        <v>71</v>
      </c>
      <c r="N93" s="121">
        <f>+'Standard Hour Calcs'!Y30</f>
        <v>8</v>
      </c>
      <c r="P93" s="308">
        <f>IF($N29="Hourly",'Input Sheet'!G$196*'Fee Breakdown'!$N93*'Fee Breakdown'!H93,'Input Sheet'!G$196*'Fee Breakdown'!$N29*'Fee Breakdown'!H93)</f>
        <v>54816.383752445814</v>
      </c>
      <c r="Q93" s="309">
        <f>IF($N29="Hourly",'Input Sheet'!H$196*'Fee Breakdown'!$N93*'Fee Breakdown'!I93,'Input Sheet'!H$196*'Fee Breakdown'!$N29*'Fee Breakdown'!I93)</f>
        <v>57208.007221428998</v>
      </c>
      <c r="R93" s="309">
        <f>IF($N29="Hourly",'Input Sheet'!I$196*'Fee Breakdown'!$N93*'Fee Breakdown'!J93,'Input Sheet'!I$196*'Fee Breakdown'!$N29*'Fee Breakdown'!J93)</f>
        <v>59144.93873040437</v>
      </c>
      <c r="S93" s="309">
        <f>IF($N29="Hourly",'Input Sheet'!J$196*'Fee Breakdown'!$N93*'Fee Breakdown'!K93,'Input Sheet'!J$196*'Fee Breakdown'!$N29*'Fee Breakdown'!K93)</f>
        <v>61228.505974297186</v>
      </c>
      <c r="T93" s="310">
        <f>IF($N29="Hourly",'Input Sheet'!K$196*'Fee Breakdown'!$N93*'Fee Breakdown'!L93,'Input Sheet'!K$196*'Fee Breakdown'!$N29*'Fee Breakdown'!L93)</f>
        <v>63336.992157093642</v>
      </c>
      <c r="U93" s="311"/>
      <c r="V93" s="308">
        <f>+P93*('Input Sheet'!G$206-1)</f>
        <v>64324.414521445615</v>
      </c>
      <c r="W93" s="309">
        <f>+Q93*('Input Sheet'!H$206-1)</f>
        <v>72082.288193622342</v>
      </c>
      <c r="X93" s="309">
        <f>+R93*('Input Sheet'!I$206-1)</f>
        <v>75175.710829007192</v>
      </c>
      <c r="Y93" s="309">
        <f>+S93*('Input Sheet'!J$206-1)</f>
        <v>79436.401455035724</v>
      </c>
      <c r="Z93" s="310">
        <f>+T93*('Input Sheet'!K$206-1)</f>
        <v>83769.417675253164</v>
      </c>
      <c r="AA93" s="311"/>
      <c r="AB93" s="308">
        <f t="shared" ref="AB93:AB106" si="54">+P93+V93</f>
        <v>119140.79827389143</v>
      </c>
      <c r="AC93" s="309">
        <f t="shared" ref="AC93:AC106" si="55">+Q93+W93</f>
        <v>129290.29541505134</v>
      </c>
      <c r="AD93" s="309">
        <f t="shared" ref="AD93:AD106" si="56">+R93+X93</f>
        <v>134320.64955941157</v>
      </c>
      <c r="AE93" s="309">
        <f t="shared" ref="AE93:AE106" si="57">+S93+Y93</f>
        <v>140664.9074293329</v>
      </c>
      <c r="AF93" s="310">
        <f t="shared" ref="AF93:AF106" si="58">+T93+Z93</f>
        <v>147106.40983234681</v>
      </c>
    </row>
    <row r="94" spans="2:32" s="97" customFormat="1" x14ac:dyDescent="0.2">
      <c r="B94" s="249" t="s">
        <v>118</v>
      </c>
      <c r="C94" s="362">
        <f>+'Input Sheet'!G104</f>
        <v>209</v>
      </c>
      <c r="D94" s="363">
        <f>+'Input Sheet'!H104</f>
        <v>90</v>
      </c>
      <c r="E94" s="363">
        <f>+'Input Sheet'!I104</f>
        <v>73</v>
      </c>
      <c r="F94" s="364">
        <f>+'Input Sheet'!K104</f>
        <v>69</v>
      </c>
      <c r="G94" s="335"/>
      <c r="H94" s="362">
        <f t="shared" ref="H94:L106" si="59">ROUND(AVERAGE($C94:$F94),0)</f>
        <v>110</v>
      </c>
      <c r="I94" s="363">
        <f t="shared" si="59"/>
        <v>110</v>
      </c>
      <c r="J94" s="363">
        <f t="shared" si="59"/>
        <v>110</v>
      </c>
      <c r="K94" s="363">
        <f t="shared" si="59"/>
        <v>110</v>
      </c>
      <c r="L94" s="364">
        <f t="shared" si="59"/>
        <v>110</v>
      </c>
      <c r="N94" s="121">
        <f>+'Standard Hour Calcs'!Y31</f>
        <v>16</v>
      </c>
      <c r="P94" s="308">
        <f>IF($N30="Hourly",'Input Sheet'!G$196*'Fee Breakdown'!$N94*'Fee Breakdown'!H94,'Input Sheet'!G$196*'Fee Breakdown'!$N30*'Fee Breakdown'!H94)</f>
        <v>169853.58345828281</v>
      </c>
      <c r="Q94" s="309">
        <f>IF($N30="Hourly",'Input Sheet'!H$196*'Fee Breakdown'!$N94*'Fee Breakdown'!I94,'Input Sheet'!H$196*'Fee Breakdown'!$N30*'Fee Breakdown'!I94)</f>
        <v>177264.24772837156</v>
      </c>
      <c r="R94" s="309">
        <f>IF($N30="Hourly",'Input Sheet'!I$196*'Fee Breakdown'!$N94*'Fee Breakdown'!J94,'Input Sheet'!I$196*'Fee Breakdown'!$N30*'Fee Breakdown'!J94)</f>
        <v>183266.00733364734</v>
      </c>
      <c r="S94" s="309">
        <f>IF($N30="Hourly",'Input Sheet'!J$196*'Fee Breakdown'!$N94*'Fee Breakdown'!K94,'Input Sheet'!J$196*'Fee Breakdown'!$N30*'Fee Breakdown'!K94)</f>
        <v>189722.13118796312</v>
      </c>
      <c r="T94" s="310">
        <f>IF($N30="Hourly",'Input Sheet'!K$196*'Fee Breakdown'!$N94*'Fee Breakdown'!L94,'Input Sheet'!K$196*'Fee Breakdown'!$N30*'Fee Breakdown'!L94)</f>
        <v>196255.46865578313</v>
      </c>
      <c r="U94" s="311"/>
      <c r="V94" s="308">
        <f>+P94*('Input Sheet'!G$206-1)</f>
        <v>199315.0872495498</v>
      </c>
      <c r="W94" s="309">
        <f>+Q94*('Input Sheet'!H$206-1)</f>
        <v>223353.56905066076</v>
      </c>
      <c r="X94" s="309">
        <f>+R94*('Input Sheet'!I$206-1)</f>
        <v>232938.82228706454</v>
      </c>
      <c r="Y94" s="309">
        <f>+S94*('Input Sheet'!J$206-1)</f>
        <v>246140.9622550403</v>
      </c>
      <c r="Z94" s="310">
        <f>+T94*('Input Sheet'!K$206-1)</f>
        <v>259567.20969796757</v>
      </c>
      <c r="AA94" s="311"/>
      <c r="AB94" s="308">
        <f t="shared" si="54"/>
        <v>369168.67070783261</v>
      </c>
      <c r="AC94" s="309">
        <f t="shared" si="55"/>
        <v>400617.81677903235</v>
      </c>
      <c r="AD94" s="309">
        <f t="shared" si="56"/>
        <v>416204.82962071185</v>
      </c>
      <c r="AE94" s="309">
        <f t="shared" si="57"/>
        <v>435863.09344300342</v>
      </c>
      <c r="AF94" s="310">
        <f t="shared" si="58"/>
        <v>455822.67835375073</v>
      </c>
    </row>
    <row r="95" spans="2:32" s="97" customFormat="1" x14ac:dyDescent="0.2">
      <c r="B95" s="249" t="s">
        <v>119</v>
      </c>
      <c r="C95" s="362">
        <f>+'Input Sheet'!G105</f>
        <v>54</v>
      </c>
      <c r="D95" s="363">
        <f>+'Input Sheet'!H105</f>
        <v>55</v>
      </c>
      <c r="E95" s="363">
        <f>+'Input Sheet'!I105</f>
        <v>50</v>
      </c>
      <c r="F95" s="364">
        <f>+'Input Sheet'!K105</f>
        <v>61</v>
      </c>
      <c r="G95" s="335"/>
      <c r="H95" s="362">
        <f t="shared" si="59"/>
        <v>55</v>
      </c>
      <c r="I95" s="363">
        <f t="shared" si="59"/>
        <v>55</v>
      </c>
      <c r="J95" s="363">
        <f t="shared" si="59"/>
        <v>55</v>
      </c>
      <c r="K95" s="363">
        <f t="shared" si="59"/>
        <v>55</v>
      </c>
      <c r="L95" s="364">
        <f t="shared" si="59"/>
        <v>55</v>
      </c>
      <c r="N95" s="121">
        <f>+'Standard Hour Calcs'!Y32</f>
        <v>23</v>
      </c>
      <c r="P95" s="308">
        <f>IF($N31="Hourly",'Input Sheet'!G$196*'Fee Breakdown'!$N95*'Fee Breakdown'!H95,'Input Sheet'!G$196*'Fee Breakdown'!$N31*'Fee Breakdown'!H95)</f>
        <v>122082.26311064078</v>
      </c>
      <c r="Q95" s="309">
        <f>IF($N31="Hourly",'Input Sheet'!H$196*'Fee Breakdown'!$N95*'Fee Breakdown'!I95,'Input Sheet'!H$196*'Fee Breakdown'!$N31*'Fee Breakdown'!I95)</f>
        <v>127408.67805476705</v>
      </c>
      <c r="R95" s="309">
        <f>IF($N31="Hourly",'Input Sheet'!I$196*'Fee Breakdown'!$N95*'Fee Breakdown'!J95,'Input Sheet'!I$196*'Fee Breakdown'!$N31*'Fee Breakdown'!J95)</f>
        <v>131722.44277105902</v>
      </c>
      <c r="S95" s="309">
        <f>IF($N31="Hourly",'Input Sheet'!J$196*'Fee Breakdown'!$N95*'Fee Breakdown'!K95,'Input Sheet'!J$196*'Fee Breakdown'!$N31*'Fee Breakdown'!K95)</f>
        <v>136362.78179134851</v>
      </c>
      <c r="T95" s="310">
        <f>IF($N31="Hourly",'Input Sheet'!K$196*'Fee Breakdown'!$N95*'Fee Breakdown'!L95,'Input Sheet'!K$196*'Fee Breakdown'!$N31*'Fee Breakdown'!L95)</f>
        <v>141058.61809634411</v>
      </c>
      <c r="U95" s="311"/>
      <c r="V95" s="308">
        <f>+P95*('Input Sheet'!G$206-1)</f>
        <v>143257.71896061394</v>
      </c>
      <c r="W95" s="309">
        <f>+Q95*('Input Sheet'!H$206-1)</f>
        <v>160535.37775516242</v>
      </c>
      <c r="X95" s="309">
        <f>+R95*('Input Sheet'!I$206-1)</f>
        <v>167424.77851882763</v>
      </c>
      <c r="Y95" s="309">
        <f>+S95*('Input Sheet'!J$206-1)</f>
        <v>176913.81662081022</v>
      </c>
      <c r="Z95" s="310">
        <f>+T95*('Input Sheet'!K$206-1)</f>
        <v>186563.93197041418</v>
      </c>
      <c r="AA95" s="311"/>
      <c r="AB95" s="308">
        <f t="shared" si="54"/>
        <v>265339.98207125475</v>
      </c>
      <c r="AC95" s="309">
        <f t="shared" si="55"/>
        <v>287944.0558099295</v>
      </c>
      <c r="AD95" s="309">
        <f t="shared" si="56"/>
        <v>299147.22128988663</v>
      </c>
      <c r="AE95" s="309">
        <f t="shared" si="57"/>
        <v>313276.59841215872</v>
      </c>
      <c r="AF95" s="310">
        <f t="shared" si="58"/>
        <v>327622.5500667583</v>
      </c>
    </row>
    <row r="96" spans="2:32" s="97" customFormat="1" x14ac:dyDescent="0.2">
      <c r="B96" s="249" t="s">
        <v>120</v>
      </c>
      <c r="C96" s="362">
        <f>+'Input Sheet'!G106</f>
        <v>2</v>
      </c>
      <c r="D96" s="363">
        <f>+'Input Sheet'!H106</f>
        <v>8</v>
      </c>
      <c r="E96" s="363">
        <f>+'Input Sheet'!I106</f>
        <v>4</v>
      </c>
      <c r="F96" s="364">
        <f>+'Input Sheet'!K106</f>
        <v>10</v>
      </c>
      <c r="G96" s="335"/>
      <c r="H96" s="362">
        <f t="shared" si="59"/>
        <v>6</v>
      </c>
      <c r="I96" s="363">
        <f t="shared" si="59"/>
        <v>6</v>
      </c>
      <c r="J96" s="363">
        <f t="shared" si="59"/>
        <v>6</v>
      </c>
      <c r="K96" s="363">
        <f t="shared" si="59"/>
        <v>6</v>
      </c>
      <c r="L96" s="364">
        <f t="shared" si="59"/>
        <v>6</v>
      </c>
      <c r="N96" s="121">
        <f>+'Standard Hour Calcs'!Y33</f>
        <v>38</v>
      </c>
      <c r="P96" s="308">
        <f>IF($N32="Hourly",'Input Sheet'!G$196*'Fee Breakdown'!$N96*'Fee Breakdown'!H96,'Input Sheet'!G$196*'Fee Breakdown'!$N32*'Fee Breakdown'!H96)</f>
        <v>22003.759675277543</v>
      </c>
      <c r="Q96" s="309">
        <f>IF($N32="Hourly",'Input Sheet'!H$196*'Fee Breakdown'!$N96*'Fee Breakdown'!I96,'Input Sheet'!H$196*'Fee Breakdown'!$N32*'Fee Breakdown'!I96)</f>
        <v>22963.77754662995</v>
      </c>
      <c r="R96" s="309">
        <f>IF($N32="Hourly",'Input Sheet'!I$196*'Fee Breakdown'!$N96*'Fee Breakdown'!J96,'Input Sheet'!I$196*'Fee Breakdown'!$N32*'Fee Breakdown'!J96)</f>
        <v>23741.278222767953</v>
      </c>
      <c r="S96" s="309">
        <f>IF($N32="Hourly",'Input Sheet'!J$196*'Fee Breakdown'!$N96*'Fee Breakdown'!K96,'Input Sheet'!J$196*'Fee Breakdown'!$N32*'Fee Breakdown'!K96)</f>
        <v>24577.639722077041</v>
      </c>
      <c r="T96" s="310">
        <f>IF($N32="Hourly",'Input Sheet'!K$196*'Fee Breakdown'!$N96*'Fee Breakdown'!L96,'Input Sheet'!K$196*'Fee Breakdown'!$N32*'Fee Breakdown'!L96)</f>
        <v>25424.003894044632</v>
      </c>
      <c r="U96" s="311"/>
      <c r="V96" s="308">
        <f>+P96*('Input Sheet'!G$206-1)</f>
        <v>25820.363575509858</v>
      </c>
      <c r="W96" s="309">
        <f>+Q96*('Input Sheet'!H$206-1)</f>
        <v>28934.439627017418</v>
      </c>
      <c r="X96" s="309">
        <f>+R96*('Input Sheet'!I$206-1)</f>
        <v>30176.165614460635</v>
      </c>
      <c r="Y96" s="309">
        <f>+S96*('Input Sheet'!J$206-1)</f>
        <v>31886.442837584767</v>
      </c>
      <c r="Z96" s="310">
        <f>+T96*('Input Sheet'!K$206-1)</f>
        <v>33625.752165418526</v>
      </c>
      <c r="AA96" s="311"/>
      <c r="AB96" s="308">
        <f t="shared" si="54"/>
        <v>47824.123250787401</v>
      </c>
      <c r="AC96" s="309">
        <f t="shared" si="55"/>
        <v>51898.217173647368</v>
      </c>
      <c r="AD96" s="309">
        <f t="shared" si="56"/>
        <v>53917.443837228588</v>
      </c>
      <c r="AE96" s="309">
        <f t="shared" si="57"/>
        <v>56464.082559661809</v>
      </c>
      <c r="AF96" s="310">
        <f t="shared" si="58"/>
        <v>59049.756059463158</v>
      </c>
    </row>
    <row r="97" spans="2:32" s="97" customFormat="1" x14ac:dyDescent="0.2">
      <c r="B97" s="249" t="s">
        <v>121</v>
      </c>
      <c r="C97" s="362">
        <f>+'Input Sheet'!G107</f>
        <v>0</v>
      </c>
      <c r="D97" s="363">
        <f>+'Input Sheet'!H107</f>
        <v>2</v>
      </c>
      <c r="E97" s="363">
        <f>+'Input Sheet'!I107</f>
        <v>1</v>
      </c>
      <c r="F97" s="364">
        <f>+'Input Sheet'!K107</f>
        <v>1</v>
      </c>
      <c r="G97" s="335"/>
      <c r="H97" s="362">
        <f t="shared" si="59"/>
        <v>1</v>
      </c>
      <c r="I97" s="363">
        <f t="shared" si="59"/>
        <v>1</v>
      </c>
      <c r="J97" s="363">
        <f t="shared" si="59"/>
        <v>1</v>
      </c>
      <c r="K97" s="363">
        <f t="shared" si="59"/>
        <v>1</v>
      </c>
      <c r="L97" s="364">
        <f t="shared" si="59"/>
        <v>1</v>
      </c>
      <c r="N97" s="121">
        <f>+'Standard Hour Calcs'!Y34</f>
        <v>82</v>
      </c>
      <c r="P97" s="308">
        <f>IF($N33="Hourly",'Input Sheet'!G$196*'Fee Breakdown'!$N97*'Fee Breakdown'!H97,'Input Sheet'!G$196*'Fee Breakdown'!$N33*'Fee Breakdown'!H97)</f>
        <v>7913.6328656699943</v>
      </c>
      <c r="Q97" s="309">
        <f>IF($N33="Hourly",'Input Sheet'!H$196*'Fee Breakdown'!$N97*'Fee Breakdown'!I97,'Input Sheet'!H$196*'Fee Breakdown'!$N33*'Fee Breakdown'!I97)</f>
        <v>8258.902450980946</v>
      </c>
      <c r="R97" s="309">
        <f>IF($N33="Hourly",'Input Sheet'!I$196*'Fee Breakdown'!$N97*'Fee Breakdown'!J97,'Input Sheet'!I$196*'Fee Breakdown'!$N33*'Fee Breakdown'!J97)</f>
        <v>8538.5298871358427</v>
      </c>
      <c r="S97" s="309">
        <f>IF($N33="Hourly",'Input Sheet'!J$196*'Fee Breakdown'!$N97*'Fee Breakdown'!K97,'Input Sheet'!J$196*'Fee Breakdown'!$N33*'Fee Breakdown'!K97)</f>
        <v>8839.3265667119176</v>
      </c>
      <c r="T97" s="310">
        <f>IF($N33="Hourly",'Input Sheet'!K$196*'Fee Breakdown'!$N97*'Fee Breakdown'!L97,'Input Sheet'!K$196*'Fee Breakdown'!$N33*'Fee Breakdown'!L97)</f>
        <v>9143.7206987353493</v>
      </c>
      <c r="U97" s="311"/>
      <c r="V97" s="308">
        <f>+P97*('Input Sheet'!G$206-1)</f>
        <v>9286.2711104903883</v>
      </c>
      <c r="W97" s="309">
        <f>+Q97*('Input Sheet'!H$206-1)</f>
        <v>10406.245830769421</v>
      </c>
      <c r="X97" s="309">
        <f>+R97*('Input Sheet'!I$206-1)</f>
        <v>10852.831492920053</v>
      </c>
      <c r="Y97" s="309">
        <f>+S97*('Input Sheet'!J$206-1)</f>
        <v>11467.931195973468</v>
      </c>
      <c r="Z97" s="310">
        <f>+T97*('Input Sheet'!K$206-1)</f>
        <v>12093.472270018943</v>
      </c>
      <c r="AA97" s="311"/>
      <c r="AB97" s="308">
        <f t="shared" si="54"/>
        <v>17199.903976160382</v>
      </c>
      <c r="AC97" s="309">
        <f t="shared" si="55"/>
        <v>18665.148281750367</v>
      </c>
      <c r="AD97" s="309">
        <f t="shared" si="56"/>
        <v>19391.361380055896</v>
      </c>
      <c r="AE97" s="309">
        <f t="shared" si="57"/>
        <v>20307.257762685385</v>
      </c>
      <c r="AF97" s="310">
        <f t="shared" si="58"/>
        <v>21237.192968754294</v>
      </c>
    </row>
    <row r="98" spans="2:32" s="97" customFormat="1" x14ac:dyDescent="0.2">
      <c r="B98" s="249" t="s">
        <v>122</v>
      </c>
      <c r="C98" s="362">
        <f>+'Input Sheet'!G108</f>
        <v>7</v>
      </c>
      <c r="D98" s="363">
        <f>+'Input Sheet'!H108</f>
        <v>6</v>
      </c>
      <c r="E98" s="363">
        <f>+'Input Sheet'!I108</f>
        <v>7</v>
      </c>
      <c r="F98" s="364">
        <f>+'Input Sheet'!K108</f>
        <v>2</v>
      </c>
      <c r="G98" s="335"/>
      <c r="H98" s="362">
        <f t="shared" si="59"/>
        <v>6</v>
      </c>
      <c r="I98" s="363">
        <f t="shared" si="59"/>
        <v>6</v>
      </c>
      <c r="J98" s="363">
        <f t="shared" si="59"/>
        <v>6</v>
      </c>
      <c r="K98" s="363">
        <f t="shared" si="59"/>
        <v>6</v>
      </c>
      <c r="L98" s="364">
        <f t="shared" si="59"/>
        <v>6</v>
      </c>
      <c r="N98" s="121">
        <f>+'Standard Hour Calcs'!Y35</f>
        <v>5</v>
      </c>
      <c r="P98" s="308">
        <f>IF($N34="Hourly",'Input Sheet'!G$196*'Fee Breakdown'!$N98*'Fee Breakdown'!H98,'Input Sheet'!G$196*'Fee Breakdown'!$N34*'Fee Breakdown'!H98)</f>
        <v>2895.2315362207296</v>
      </c>
      <c r="Q98" s="309">
        <f>IF($N34="Hourly",'Input Sheet'!H$196*'Fee Breakdown'!$N98*'Fee Breakdown'!I98,'Input Sheet'!H$196*'Fee Breakdown'!$N34*'Fee Breakdown'!I98)</f>
        <v>3021.5496771881517</v>
      </c>
      <c r="R98" s="309">
        <f>IF($N34="Hourly",'Input Sheet'!I$196*'Fee Breakdown'!$N98*'Fee Breakdown'!J98,'Input Sheet'!I$196*'Fee Breakdown'!$N34*'Fee Breakdown'!J98)</f>
        <v>3123.8523977326249</v>
      </c>
      <c r="S98" s="309">
        <f>IF($N34="Hourly",'Input Sheet'!J$196*'Fee Breakdown'!$N98*'Fee Breakdown'!K98,'Input Sheet'!J$196*'Fee Breakdown'!$N34*'Fee Breakdown'!K98)</f>
        <v>3233.8999634311895</v>
      </c>
      <c r="T98" s="310">
        <f>IF($N34="Hourly",'Input Sheet'!K$196*'Fee Breakdown'!$N98*'Fee Breakdown'!L98,'Input Sheet'!K$196*'Fee Breakdown'!$N34*'Fee Breakdown'!L98)</f>
        <v>3345.2636702690306</v>
      </c>
      <c r="U98" s="311"/>
      <c r="V98" s="308">
        <f>+P98*('Input Sheet'!G$206-1)</f>
        <v>3397.4162599355082</v>
      </c>
      <c r="W98" s="309">
        <f>+Q98*('Input Sheet'!H$206-1)</f>
        <v>3807.1631088180816</v>
      </c>
      <c r="X98" s="309">
        <f>+R98*('Input Sheet'!I$206-1)</f>
        <v>3970.5481071658724</v>
      </c>
      <c r="Y98" s="309">
        <f>+S98*('Input Sheet'!J$206-1)</f>
        <v>4195.5845838927326</v>
      </c>
      <c r="Z98" s="310">
        <f>+T98*('Input Sheet'!K$206-1)</f>
        <v>4424.4410743971748</v>
      </c>
      <c r="AA98" s="311"/>
      <c r="AB98" s="308">
        <f t="shared" si="54"/>
        <v>6292.6477961562377</v>
      </c>
      <c r="AC98" s="309">
        <f t="shared" si="55"/>
        <v>6828.7127860062337</v>
      </c>
      <c r="AD98" s="309">
        <f t="shared" si="56"/>
        <v>7094.4005048984973</v>
      </c>
      <c r="AE98" s="309">
        <f t="shared" si="57"/>
        <v>7429.484547323922</v>
      </c>
      <c r="AF98" s="310">
        <f t="shared" si="58"/>
        <v>7769.7047446662054</v>
      </c>
    </row>
    <row r="99" spans="2:32" s="97" customFormat="1" x14ac:dyDescent="0.2">
      <c r="B99" s="249" t="s">
        <v>123</v>
      </c>
      <c r="C99" s="362">
        <f>+'Input Sheet'!G109</f>
        <v>82</v>
      </c>
      <c r="D99" s="363">
        <f>+'Input Sheet'!H109</f>
        <v>51</v>
      </c>
      <c r="E99" s="363">
        <f>+'Input Sheet'!I109</f>
        <v>46</v>
      </c>
      <c r="F99" s="364">
        <f>+'Input Sheet'!K109</f>
        <v>49</v>
      </c>
      <c r="G99" s="335"/>
      <c r="H99" s="362">
        <f t="shared" si="59"/>
        <v>57</v>
      </c>
      <c r="I99" s="363">
        <f t="shared" si="59"/>
        <v>57</v>
      </c>
      <c r="J99" s="363">
        <f t="shared" si="59"/>
        <v>57</v>
      </c>
      <c r="K99" s="363">
        <f t="shared" si="59"/>
        <v>57</v>
      </c>
      <c r="L99" s="364">
        <f t="shared" si="59"/>
        <v>57</v>
      </c>
      <c r="N99" s="121">
        <f>+'Standard Hour Calcs'!Y36</f>
        <v>8</v>
      </c>
      <c r="P99" s="308">
        <f>IF($N35="Hourly",'Input Sheet'!G$196*'Fee Breakdown'!$N99*'Fee Breakdown'!H99,'Input Sheet'!G$196*'Fee Breakdown'!$N35*'Fee Breakdown'!H99)</f>
        <v>44007.519350555092</v>
      </c>
      <c r="Q99" s="309">
        <f>IF($N35="Hourly",'Input Sheet'!H$196*'Fee Breakdown'!$N99*'Fee Breakdown'!I99,'Input Sheet'!H$196*'Fee Breakdown'!$N35*'Fee Breakdown'!I99)</f>
        <v>45927.5550932599</v>
      </c>
      <c r="R99" s="309">
        <f>IF($N35="Hourly",'Input Sheet'!I$196*'Fee Breakdown'!$N99*'Fee Breakdown'!J99,'Input Sheet'!I$196*'Fee Breakdown'!$N35*'Fee Breakdown'!J99)</f>
        <v>47482.556445535905</v>
      </c>
      <c r="S99" s="309">
        <f>IF($N35="Hourly",'Input Sheet'!J$196*'Fee Breakdown'!$N99*'Fee Breakdown'!K99,'Input Sheet'!J$196*'Fee Breakdown'!$N35*'Fee Breakdown'!K99)</f>
        <v>49155.279444154083</v>
      </c>
      <c r="T99" s="310">
        <f>IF($N35="Hourly",'Input Sheet'!K$196*'Fee Breakdown'!$N99*'Fee Breakdown'!L99,'Input Sheet'!K$196*'Fee Breakdown'!$N35*'Fee Breakdown'!L99)</f>
        <v>50848.007788089264</v>
      </c>
      <c r="U99" s="311"/>
      <c r="V99" s="308">
        <f>+P99*('Input Sheet'!G$206-1)</f>
        <v>51640.727151019724</v>
      </c>
      <c r="W99" s="309">
        <f>+Q99*('Input Sheet'!H$206-1)</f>
        <v>57868.879254034837</v>
      </c>
      <c r="X99" s="309">
        <f>+R99*('Input Sheet'!I$206-1)</f>
        <v>60352.33122892127</v>
      </c>
      <c r="Y99" s="309">
        <f>+S99*('Input Sheet'!J$206-1)</f>
        <v>63772.885675169535</v>
      </c>
      <c r="Z99" s="310">
        <f>+T99*('Input Sheet'!K$206-1)</f>
        <v>67251.504330837051</v>
      </c>
      <c r="AA99" s="311"/>
      <c r="AB99" s="308">
        <f t="shared" si="54"/>
        <v>95648.246501574817</v>
      </c>
      <c r="AC99" s="309">
        <f t="shared" si="55"/>
        <v>103796.43434729474</v>
      </c>
      <c r="AD99" s="309">
        <f t="shared" si="56"/>
        <v>107834.88767445718</v>
      </c>
      <c r="AE99" s="309">
        <f t="shared" si="57"/>
        <v>112928.16511932362</v>
      </c>
      <c r="AF99" s="310">
        <f t="shared" si="58"/>
        <v>118099.51211892632</v>
      </c>
    </row>
    <row r="100" spans="2:32" s="97" customFormat="1" x14ac:dyDescent="0.2">
      <c r="B100" s="249" t="s">
        <v>124</v>
      </c>
      <c r="C100" s="362">
        <f>+'Input Sheet'!G110</f>
        <v>33</v>
      </c>
      <c r="D100" s="363">
        <f>+'Input Sheet'!H110</f>
        <v>17</v>
      </c>
      <c r="E100" s="363">
        <f>+'Input Sheet'!I110</f>
        <v>20</v>
      </c>
      <c r="F100" s="364">
        <f>+'Input Sheet'!K110</f>
        <v>19</v>
      </c>
      <c r="G100" s="335"/>
      <c r="H100" s="362">
        <f t="shared" si="59"/>
        <v>22</v>
      </c>
      <c r="I100" s="363">
        <f t="shared" si="59"/>
        <v>22</v>
      </c>
      <c r="J100" s="363">
        <f t="shared" si="59"/>
        <v>22</v>
      </c>
      <c r="K100" s="363">
        <f t="shared" si="59"/>
        <v>22</v>
      </c>
      <c r="L100" s="364">
        <f t="shared" si="59"/>
        <v>22</v>
      </c>
      <c r="N100" s="121">
        <f>+'Standard Hour Calcs'!Y37</f>
        <v>16</v>
      </c>
      <c r="P100" s="308">
        <f>IF($N36="Hourly",'Input Sheet'!G$196*'Fee Breakdown'!$N100*'Fee Breakdown'!H100,'Input Sheet'!G$196*'Fee Breakdown'!$N36*'Fee Breakdown'!H100)</f>
        <v>33970.716691656562</v>
      </c>
      <c r="Q100" s="309">
        <f>IF($N36="Hourly",'Input Sheet'!H$196*'Fee Breakdown'!$N100*'Fee Breakdown'!I100,'Input Sheet'!H$196*'Fee Breakdown'!$N36*'Fee Breakdown'!I100)</f>
        <v>35452.849545674311</v>
      </c>
      <c r="R100" s="309">
        <f>IF($N36="Hourly",'Input Sheet'!I$196*'Fee Breakdown'!$N100*'Fee Breakdown'!J100,'Input Sheet'!I$196*'Fee Breakdown'!$N36*'Fee Breakdown'!J100)</f>
        <v>36653.201466729472</v>
      </c>
      <c r="S100" s="309">
        <f>IF($N36="Hourly",'Input Sheet'!J$196*'Fee Breakdown'!$N100*'Fee Breakdown'!K100,'Input Sheet'!J$196*'Fee Breakdown'!$N36*'Fee Breakdown'!K100)</f>
        <v>37944.426237592626</v>
      </c>
      <c r="T100" s="310">
        <f>IF($N36="Hourly",'Input Sheet'!K$196*'Fee Breakdown'!$N100*'Fee Breakdown'!L100,'Input Sheet'!K$196*'Fee Breakdown'!$N36*'Fee Breakdown'!L100)</f>
        <v>39251.093731156623</v>
      </c>
      <c r="U100" s="311"/>
      <c r="V100" s="308">
        <f>+P100*('Input Sheet'!G$206-1)</f>
        <v>39863.017449909959</v>
      </c>
      <c r="W100" s="309">
        <f>+Q100*('Input Sheet'!H$206-1)</f>
        <v>44670.713810132154</v>
      </c>
      <c r="X100" s="309">
        <f>+R100*('Input Sheet'!I$206-1)</f>
        <v>46587.764457412908</v>
      </c>
      <c r="Y100" s="309">
        <f>+S100*('Input Sheet'!J$206-1)</f>
        <v>49228.192451008064</v>
      </c>
      <c r="Z100" s="310">
        <f>+T100*('Input Sheet'!K$206-1)</f>
        <v>51913.441939593511</v>
      </c>
      <c r="AA100" s="311"/>
      <c r="AB100" s="308">
        <f t="shared" si="54"/>
        <v>73833.734141566529</v>
      </c>
      <c r="AC100" s="309">
        <f t="shared" si="55"/>
        <v>80123.563355806458</v>
      </c>
      <c r="AD100" s="309">
        <f t="shared" si="56"/>
        <v>83240.96592414238</v>
      </c>
      <c r="AE100" s="309">
        <f t="shared" si="57"/>
        <v>87172.618688600691</v>
      </c>
      <c r="AF100" s="310">
        <f t="shared" si="58"/>
        <v>91164.535670750134</v>
      </c>
    </row>
    <row r="101" spans="2:32" s="97" customFormat="1" x14ac:dyDescent="0.2">
      <c r="B101" s="249" t="s">
        <v>125</v>
      </c>
      <c r="C101" s="362">
        <f>+'Input Sheet'!G111</f>
        <v>16</v>
      </c>
      <c r="D101" s="363">
        <f>+'Input Sheet'!H111</f>
        <v>12</v>
      </c>
      <c r="E101" s="363">
        <f>+'Input Sheet'!I111</f>
        <v>15</v>
      </c>
      <c r="F101" s="364">
        <f>+'Input Sheet'!K111</f>
        <v>14</v>
      </c>
      <c r="G101" s="335"/>
      <c r="H101" s="362">
        <f t="shared" si="59"/>
        <v>14</v>
      </c>
      <c r="I101" s="363">
        <f t="shared" si="59"/>
        <v>14</v>
      </c>
      <c r="J101" s="363">
        <f t="shared" si="59"/>
        <v>14</v>
      </c>
      <c r="K101" s="363">
        <f t="shared" si="59"/>
        <v>14</v>
      </c>
      <c r="L101" s="364">
        <f t="shared" si="59"/>
        <v>14</v>
      </c>
      <c r="N101" s="121">
        <f>+'Standard Hour Calcs'!Y38</f>
        <v>23</v>
      </c>
      <c r="P101" s="308">
        <f>IF($N37="Hourly",'Input Sheet'!G$196*'Fee Breakdown'!$N101*'Fee Breakdown'!H101,'Input Sheet'!G$196*'Fee Breakdown'!$N37*'Fee Breakdown'!H101)</f>
        <v>31075.485155435832</v>
      </c>
      <c r="Q101" s="309">
        <f>IF($N37="Hourly",'Input Sheet'!H$196*'Fee Breakdown'!$N101*'Fee Breakdown'!I101,'Input Sheet'!H$196*'Fee Breakdown'!$N37*'Fee Breakdown'!I101)</f>
        <v>32431.299868486156</v>
      </c>
      <c r="R101" s="309">
        <f>IF($N37="Hourly",'Input Sheet'!I$196*'Fee Breakdown'!$N101*'Fee Breakdown'!J101,'Input Sheet'!I$196*'Fee Breakdown'!$N37*'Fee Breakdown'!J101)</f>
        <v>33529.349068996846</v>
      </c>
      <c r="S101" s="309">
        <f>IF($N37="Hourly",'Input Sheet'!J$196*'Fee Breakdown'!$N101*'Fee Breakdown'!K101,'Input Sheet'!J$196*'Fee Breakdown'!$N37*'Fee Breakdown'!K101)</f>
        <v>34710.526274161435</v>
      </c>
      <c r="T101" s="310">
        <f>IF($N37="Hourly",'Input Sheet'!K$196*'Fee Breakdown'!$N101*'Fee Breakdown'!L101,'Input Sheet'!K$196*'Fee Breakdown'!$N37*'Fee Breakdown'!L101)</f>
        <v>35905.830060887594</v>
      </c>
      <c r="U101" s="311"/>
      <c r="V101" s="308">
        <f>+P101*('Input Sheet'!G$206-1)</f>
        <v>36465.601189974455</v>
      </c>
      <c r="W101" s="309">
        <f>+Q101*('Input Sheet'!H$206-1)</f>
        <v>40863.550701314067</v>
      </c>
      <c r="X101" s="309">
        <f>+R101*('Input Sheet'!I$206-1)</f>
        <v>42617.216350247036</v>
      </c>
      <c r="Y101" s="309">
        <f>+S101*('Input Sheet'!J$206-1)</f>
        <v>45032.60786711533</v>
      </c>
      <c r="Z101" s="310">
        <f>+T101*('Input Sheet'!K$206-1)</f>
        <v>47489.000865196344</v>
      </c>
      <c r="AA101" s="311"/>
      <c r="AB101" s="308">
        <f t="shared" si="54"/>
        <v>67541.086345410295</v>
      </c>
      <c r="AC101" s="309">
        <f t="shared" si="55"/>
        <v>73294.850569800226</v>
      </c>
      <c r="AD101" s="309">
        <f t="shared" si="56"/>
        <v>76146.565419243881</v>
      </c>
      <c r="AE101" s="309">
        <f t="shared" si="57"/>
        <v>79743.134141276765</v>
      </c>
      <c r="AF101" s="310">
        <f t="shared" si="58"/>
        <v>83394.830926083931</v>
      </c>
    </row>
    <row r="102" spans="2:32" s="97" customFormat="1" x14ac:dyDescent="0.2">
      <c r="B102" s="249" t="s">
        <v>158</v>
      </c>
      <c r="C102" s="362">
        <f>+'Input Sheet'!G112</f>
        <v>34</v>
      </c>
      <c r="D102" s="363">
        <f>+'Input Sheet'!H112</f>
        <v>22</v>
      </c>
      <c r="E102" s="363">
        <f>+'Input Sheet'!I112</f>
        <v>39</v>
      </c>
      <c r="F102" s="364">
        <f>+'Input Sheet'!K112</f>
        <v>35</v>
      </c>
      <c r="G102" s="335"/>
      <c r="H102" s="362">
        <f t="shared" si="59"/>
        <v>33</v>
      </c>
      <c r="I102" s="363">
        <f t="shared" si="59"/>
        <v>33</v>
      </c>
      <c r="J102" s="363">
        <f t="shared" si="59"/>
        <v>33</v>
      </c>
      <c r="K102" s="363">
        <f t="shared" si="59"/>
        <v>33</v>
      </c>
      <c r="L102" s="364">
        <f t="shared" si="59"/>
        <v>33</v>
      </c>
      <c r="N102" s="121">
        <f>+'Standard Hour Calcs'!Y39</f>
        <v>9</v>
      </c>
      <c r="P102" s="308">
        <f>IF($N38="Hourly",'Input Sheet'!G$196*'Fee Breakdown'!$N102*'Fee Breakdown'!H102,'Input Sheet'!G$196*'Fee Breakdown'!$N38*'Fee Breakdown'!H102)</f>
        <v>28662.792208585226</v>
      </c>
      <c r="Q102" s="309">
        <f>IF($N38="Hourly",'Input Sheet'!H$196*'Fee Breakdown'!$N102*'Fee Breakdown'!I102,'Input Sheet'!H$196*'Fee Breakdown'!$N38*'Fee Breakdown'!I102)</f>
        <v>29913.341804162697</v>
      </c>
      <c r="R102" s="309">
        <f>IF($N38="Hourly",'Input Sheet'!I$196*'Fee Breakdown'!$N102*'Fee Breakdown'!J102,'Input Sheet'!I$196*'Fee Breakdown'!$N38*'Fee Breakdown'!J102)</f>
        <v>30926.138737552988</v>
      </c>
      <c r="S102" s="309">
        <f>IF($N38="Hourly",'Input Sheet'!J$196*'Fee Breakdown'!$N102*'Fee Breakdown'!K102,'Input Sheet'!J$196*'Fee Breakdown'!$N38*'Fee Breakdown'!K102)</f>
        <v>32015.609637968777</v>
      </c>
      <c r="T102" s="310">
        <f>IF($N38="Hourly",'Input Sheet'!K$196*'Fee Breakdown'!$N102*'Fee Breakdown'!L102,'Input Sheet'!K$196*'Fee Breakdown'!$N38*'Fee Breakdown'!L102)</f>
        <v>33118.110335663405</v>
      </c>
      <c r="U102" s="311"/>
      <c r="V102" s="308">
        <f>+P102*('Input Sheet'!G$206-1)</f>
        <v>33634.420973361535</v>
      </c>
      <c r="W102" s="309">
        <f>+Q102*('Input Sheet'!H$206-1)</f>
        <v>37690.914777299004</v>
      </c>
      <c r="X102" s="309">
        <f>+R102*('Input Sheet'!I$206-1)</f>
        <v>39308.426260942142</v>
      </c>
      <c r="Y102" s="309">
        <f>+S102*('Input Sheet'!J$206-1)</f>
        <v>41536.287380538051</v>
      </c>
      <c r="Z102" s="310">
        <f>+T102*('Input Sheet'!K$206-1)</f>
        <v>43801.96663653203</v>
      </c>
      <c r="AA102" s="311"/>
      <c r="AB102" s="308">
        <f t="shared" si="54"/>
        <v>62297.213181946761</v>
      </c>
      <c r="AC102" s="309">
        <f t="shared" si="55"/>
        <v>67604.256581461697</v>
      </c>
      <c r="AD102" s="309">
        <f t="shared" si="56"/>
        <v>70234.564998495131</v>
      </c>
      <c r="AE102" s="309">
        <f t="shared" si="57"/>
        <v>73551.897018506832</v>
      </c>
      <c r="AF102" s="310">
        <f t="shared" si="58"/>
        <v>76920.076972195442</v>
      </c>
    </row>
    <row r="103" spans="2:32" s="97" customFormat="1" x14ac:dyDescent="0.2">
      <c r="B103" s="249" t="s">
        <v>159</v>
      </c>
      <c r="C103" s="362">
        <f>+'Input Sheet'!G113</f>
        <v>55</v>
      </c>
      <c r="D103" s="363">
        <f>+'Input Sheet'!H113</f>
        <v>38</v>
      </c>
      <c r="E103" s="363">
        <f>+'Input Sheet'!I113</f>
        <v>46</v>
      </c>
      <c r="F103" s="364">
        <f>+'Input Sheet'!K113</f>
        <v>38</v>
      </c>
      <c r="G103" s="335"/>
      <c r="H103" s="362">
        <f t="shared" si="59"/>
        <v>44</v>
      </c>
      <c r="I103" s="363">
        <f t="shared" si="59"/>
        <v>44</v>
      </c>
      <c r="J103" s="363">
        <f t="shared" si="59"/>
        <v>44</v>
      </c>
      <c r="K103" s="363">
        <f t="shared" si="59"/>
        <v>44</v>
      </c>
      <c r="L103" s="364">
        <f t="shared" si="59"/>
        <v>44</v>
      </c>
      <c r="N103" s="121"/>
      <c r="P103" s="308">
        <f>IF($N39="Hourly",'Input Sheet'!G$196*'Fee Breakdown'!$N103*'Fee Breakdown'!H103,'Input Sheet'!G$196*'Fee Breakdown'!$N39*'Fee Breakdown'!H103)</f>
        <v>8492.6791729141405</v>
      </c>
      <c r="Q103" s="309">
        <f>IF($N39="Hourly",'Input Sheet'!H$196*'Fee Breakdown'!$N103*'Fee Breakdown'!I103,'Input Sheet'!H$196*'Fee Breakdown'!$N39*'Fee Breakdown'!I103)</f>
        <v>8863.2123864185778</v>
      </c>
      <c r="R103" s="309">
        <f>IF($N39="Hourly",'Input Sheet'!I$196*'Fee Breakdown'!$N103*'Fee Breakdown'!J103,'Input Sheet'!I$196*'Fee Breakdown'!$N39*'Fee Breakdown'!J103)</f>
        <v>9163.3003666823679</v>
      </c>
      <c r="S103" s="309">
        <f>IF($N39="Hourly",'Input Sheet'!J$196*'Fee Breakdown'!$N103*'Fee Breakdown'!K103,'Input Sheet'!J$196*'Fee Breakdown'!$N39*'Fee Breakdown'!K103)</f>
        <v>9486.1065593981566</v>
      </c>
      <c r="T103" s="310">
        <f>IF($N39="Hourly",'Input Sheet'!K$196*'Fee Breakdown'!$N103*'Fee Breakdown'!L103,'Input Sheet'!K$196*'Fee Breakdown'!$N39*'Fee Breakdown'!L103)</f>
        <v>9812.7734327891558</v>
      </c>
      <c r="U103" s="311"/>
      <c r="V103" s="308">
        <f>+P103*('Input Sheet'!G$206-1)</f>
        <v>9965.7543624774898</v>
      </c>
      <c r="W103" s="309">
        <f>+Q103*('Input Sheet'!H$206-1)</f>
        <v>11167.678452533039</v>
      </c>
      <c r="X103" s="309">
        <f>+R103*('Input Sheet'!I$206-1)</f>
        <v>11646.941114353227</v>
      </c>
      <c r="Y103" s="309">
        <f>+S103*('Input Sheet'!J$206-1)</f>
        <v>12307.048112752016</v>
      </c>
      <c r="Z103" s="310">
        <f>+T103*('Input Sheet'!K$206-1)</f>
        <v>12978.360484898378</v>
      </c>
      <c r="AA103" s="311"/>
      <c r="AB103" s="308">
        <f t="shared" si="54"/>
        <v>18458.433535391632</v>
      </c>
      <c r="AC103" s="309">
        <f t="shared" si="55"/>
        <v>20030.890838951615</v>
      </c>
      <c r="AD103" s="309">
        <f t="shared" si="56"/>
        <v>20810.241481035595</v>
      </c>
      <c r="AE103" s="309">
        <f t="shared" si="57"/>
        <v>21793.154672150173</v>
      </c>
      <c r="AF103" s="310">
        <f t="shared" si="58"/>
        <v>22791.133917687534</v>
      </c>
    </row>
    <row r="104" spans="2:32" s="97" customFormat="1" x14ac:dyDescent="0.2">
      <c r="B104" s="249" t="s">
        <v>160</v>
      </c>
      <c r="C104" s="362">
        <f>+'Input Sheet'!G114</f>
        <v>2</v>
      </c>
      <c r="D104" s="363">
        <f>+'Input Sheet'!H114</f>
        <v>7</v>
      </c>
      <c r="E104" s="363">
        <f>+'Input Sheet'!I114</f>
        <v>13</v>
      </c>
      <c r="F104" s="364">
        <f>+'Input Sheet'!K114</f>
        <v>1</v>
      </c>
      <c r="G104" s="335"/>
      <c r="H104" s="362">
        <f t="shared" si="59"/>
        <v>6</v>
      </c>
      <c r="I104" s="363">
        <f t="shared" si="59"/>
        <v>6</v>
      </c>
      <c r="J104" s="363">
        <f t="shared" si="59"/>
        <v>6</v>
      </c>
      <c r="K104" s="363">
        <f t="shared" si="59"/>
        <v>6</v>
      </c>
      <c r="L104" s="364">
        <f t="shared" si="59"/>
        <v>6</v>
      </c>
      <c r="N104" s="121"/>
      <c r="P104" s="308">
        <f>IF($N40="Hourly",'Input Sheet'!G$196*'Fee Breakdown'!$N104*'Fee Breakdown'!H104,'Input Sheet'!G$196*'Fee Breakdown'!$N40*'Fee Breakdown'!H104)</f>
        <v>1737.1389217324379</v>
      </c>
      <c r="Q104" s="309">
        <f>IF($N40="Hourly",'Input Sheet'!H$196*'Fee Breakdown'!$N104*'Fee Breakdown'!I104,'Input Sheet'!H$196*'Fee Breakdown'!$N40*'Fee Breakdown'!I104)</f>
        <v>1812.9298063128906</v>
      </c>
      <c r="R104" s="309">
        <f>IF($N40="Hourly",'Input Sheet'!I$196*'Fee Breakdown'!$N104*'Fee Breakdown'!J104,'Input Sheet'!I$196*'Fee Breakdown'!$N40*'Fee Breakdown'!J104)</f>
        <v>1874.311438639575</v>
      </c>
      <c r="S104" s="309">
        <f>IF($N40="Hourly",'Input Sheet'!J$196*'Fee Breakdown'!$N104*'Fee Breakdown'!K104,'Input Sheet'!J$196*'Fee Breakdown'!$N40*'Fee Breakdown'!K104)</f>
        <v>1940.3399780587135</v>
      </c>
      <c r="T104" s="310">
        <f>IF($N40="Hourly",'Input Sheet'!K$196*'Fee Breakdown'!$N104*'Fee Breakdown'!L104,'Input Sheet'!K$196*'Fee Breakdown'!$N40*'Fee Breakdown'!L104)</f>
        <v>2007.1582021614181</v>
      </c>
      <c r="U104" s="311"/>
      <c r="V104" s="308">
        <f>+P104*('Input Sheet'!G$206-1)</f>
        <v>2038.4497559613048</v>
      </c>
      <c r="W104" s="309">
        <f>+Q104*('Input Sheet'!H$206-1)</f>
        <v>2284.2978652908487</v>
      </c>
      <c r="X104" s="309">
        <f>+R104*('Input Sheet'!I$206-1)</f>
        <v>2382.3288642995235</v>
      </c>
      <c r="Y104" s="309">
        <f>+S104*('Input Sheet'!J$206-1)</f>
        <v>2517.3507503356391</v>
      </c>
      <c r="Z104" s="310">
        <f>+T104*('Input Sheet'!K$206-1)</f>
        <v>2654.6646446383043</v>
      </c>
      <c r="AA104" s="311"/>
      <c r="AB104" s="308">
        <f t="shared" si="54"/>
        <v>3775.5886776937427</v>
      </c>
      <c r="AC104" s="309">
        <f t="shared" si="55"/>
        <v>4097.2276716037395</v>
      </c>
      <c r="AD104" s="309">
        <f t="shared" si="56"/>
        <v>4256.6403029390985</v>
      </c>
      <c r="AE104" s="309">
        <f t="shared" si="57"/>
        <v>4457.6907283943528</v>
      </c>
      <c r="AF104" s="310">
        <f t="shared" si="58"/>
        <v>4661.8228467997224</v>
      </c>
    </row>
    <row r="105" spans="2:32" s="97" customFormat="1" x14ac:dyDescent="0.2">
      <c r="B105" s="249" t="s">
        <v>161</v>
      </c>
      <c r="C105" s="362">
        <f>+'Input Sheet'!G115</f>
        <v>0</v>
      </c>
      <c r="D105" s="363">
        <f>+'Input Sheet'!H115</f>
        <v>6</v>
      </c>
      <c r="E105" s="363">
        <f>+'Input Sheet'!I115</f>
        <v>2</v>
      </c>
      <c r="F105" s="364">
        <f>+'Input Sheet'!K115</f>
        <v>2</v>
      </c>
      <c r="G105" s="335"/>
      <c r="H105" s="362">
        <f t="shared" si="59"/>
        <v>3</v>
      </c>
      <c r="I105" s="363">
        <f t="shared" si="59"/>
        <v>3</v>
      </c>
      <c r="J105" s="363">
        <f t="shared" si="59"/>
        <v>3</v>
      </c>
      <c r="K105" s="363">
        <f t="shared" si="59"/>
        <v>3</v>
      </c>
      <c r="L105" s="364">
        <f t="shared" si="59"/>
        <v>3</v>
      </c>
      <c r="N105" s="121"/>
      <c r="P105" s="308">
        <f>IF($N41="Hourly",'Input Sheet'!G$196*'Fee Breakdown'!$N105*'Fee Breakdown'!H105,'Input Sheet'!G$196*'Fee Breakdown'!$N41*'Fee Breakdown'!H105)</f>
        <v>1447.6157681103648</v>
      </c>
      <c r="Q105" s="309">
        <f>IF($N41="Hourly",'Input Sheet'!H$196*'Fee Breakdown'!$N105*'Fee Breakdown'!I105,'Input Sheet'!H$196*'Fee Breakdown'!$N41*'Fee Breakdown'!I105)</f>
        <v>1510.7748385940758</v>
      </c>
      <c r="R105" s="309">
        <f>IF($N41="Hourly",'Input Sheet'!I$196*'Fee Breakdown'!$N105*'Fee Breakdown'!J105,'Input Sheet'!I$196*'Fee Breakdown'!$N41*'Fee Breakdown'!J105)</f>
        <v>1561.9261988663125</v>
      </c>
      <c r="S105" s="309">
        <f>IF($N41="Hourly",'Input Sheet'!J$196*'Fee Breakdown'!$N105*'Fee Breakdown'!K105,'Input Sheet'!J$196*'Fee Breakdown'!$N41*'Fee Breakdown'!K105)</f>
        <v>1616.9499817155947</v>
      </c>
      <c r="T105" s="310">
        <f>IF($N41="Hourly",'Input Sheet'!K$196*'Fee Breakdown'!$N105*'Fee Breakdown'!L105,'Input Sheet'!K$196*'Fee Breakdown'!$N41*'Fee Breakdown'!L105)</f>
        <v>1672.6318351345153</v>
      </c>
      <c r="U105" s="311"/>
      <c r="V105" s="308">
        <f>+P105*('Input Sheet'!G$206-1)</f>
        <v>1698.7081299677541</v>
      </c>
      <c r="W105" s="309">
        <f>+Q105*('Input Sheet'!H$206-1)</f>
        <v>1903.5815544090408</v>
      </c>
      <c r="X105" s="309">
        <f>+R105*('Input Sheet'!I$206-1)</f>
        <v>1985.2740535829362</v>
      </c>
      <c r="Y105" s="309">
        <f>+S105*('Input Sheet'!J$206-1)</f>
        <v>2097.7922919463663</v>
      </c>
      <c r="Z105" s="310">
        <f>+T105*('Input Sheet'!K$206-1)</f>
        <v>2212.2205371985874</v>
      </c>
      <c r="AA105" s="311"/>
      <c r="AB105" s="308">
        <f t="shared" si="54"/>
        <v>3146.3238980781189</v>
      </c>
      <c r="AC105" s="309">
        <f t="shared" si="55"/>
        <v>3414.3563930031169</v>
      </c>
      <c r="AD105" s="309">
        <f t="shared" si="56"/>
        <v>3547.2002524492486</v>
      </c>
      <c r="AE105" s="309">
        <f t="shared" si="57"/>
        <v>3714.742273661961</v>
      </c>
      <c r="AF105" s="310">
        <f t="shared" si="58"/>
        <v>3884.8523723331027</v>
      </c>
    </row>
    <row r="106" spans="2:32" s="97" customFormat="1" x14ac:dyDescent="0.2">
      <c r="B106" s="249" t="s">
        <v>162</v>
      </c>
      <c r="C106" s="362">
        <f>+'Input Sheet'!G116</f>
        <v>0</v>
      </c>
      <c r="D106" s="363">
        <f>+'Input Sheet'!H116</f>
        <v>0</v>
      </c>
      <c r="E106" s="363">
        <f>+'Input Sheet'!I116</f>
        <v>0</v>
      </c>
      <c r="F106" s="364">
        <f>+'Input Sheet'!K116</f>
        <v>0</v>
      </c>
      <c r="G106" s="335"/>
      <c r="H106" s="362">
        <f t="shared" si="59"/>
        <v>0</v>
      </c>
      <c r="I106" s="363">
        <f t="shared" si="59"/>
        <v>0</v>
      </c>
      <c r="J106" s="363">
        <f t="shared" si="59"/>
        <v>0</v>
      </c>
      <c r="K106" s="363">
        <f t="shared" si="59"/>
        <v>0</v>
      </c>
      <c r="L106" s="364">
        <f t="shared" si="59"/>
        <v>0</v>
      </c>
      <c r="N106" s="121"/>
      <c r="P106" s="308">
        <f>IF($N42="Hourly",'Input Sheet'!G$196*'Fee Breakdown'!$N106*'Fee Breakdown'!H106,'Input Sheet'!G$196*'Fee Breakdown'!$N42*'Fee Breakdown'!H106)</f>
        <v>0</v>
      </c>
      <c r="Q106" s="309">
        <f>IF($N42="Hourly",'Input Sheet'!H$196*'Fee Breakdown'!$N106*'Fee Breakdown'!I106,'Input Sheet'!H$196*'Fee Breakdown'!$N42*'Fee Breakdown'!I106)</f>
        <v>0</v>
      </c>
      <c r="R106" s="309">
        <f>IF($N42="Hourly",'Input Sheet'!I$196*'Fee Breakdown'!$N106*'Fee Breakdown'!J106,'Input Sheet'!I$196*'Fee Breakdown'!$N42*'Fee Breakdown'!J106)</f>
        <v>0</v>
      </c>
      <c r="S106" s="309">
        <f>IF($N42="Hourly",'Input Sheet'!J$196*'Fee Breakdown'!$N106*'Fee Breakdown'!K106,'Input Sheet'!J$196*'Fee Breakdown'!$N42*'Fee Breakdown'!K106)</f>
        <v>0</v>
      </c>
      <c r="T106" s="310">
        <f>IF($N42="Hourly",'Input Sheet'!K$196*'Fee Breakdown'!$N106*'Fee Breakdown'!L106,'Input Sheet'!K$196*'Fee Breakdown'!$N42*'Fee Breakdown'!L106)</f>
        <v>0</v>
      </c>
      <c r="U106" s="311"/>
      <c r="V106" s="308">
        <f>+P106*('Input Sheet'!G$206-1)</f>
        <v>0</v>
      </c>
      <c r="W106" s="309">
        <f>+Q106*('Input Sheet'!H$206-1)</f>
        <v>0</v>
      </c>
      <c r="X106" s="309">
        <f>+R106*('Input Sheet'!I$206-1)</f>
        <v>0</v>
      </c>
      <c r="Y106" s="309">
        <f>+S106*('Input Sheet'!J$206-1)</f>
        <v>0</v>
      </c>
      <c r="Z106" s="310">
        <f>+T106*('Input Sheet'!K$206-1)</f>
        <v>0</v>
      </c>
      <c r="AA106" s="311"/>
      <c r="AB106" s="308">
        <f t="shared" si="54"/>
        <v>0</v>
      </c>
      <c r="AC106" s="309">
        <f t="shared" si="55"/>
        <v>0</v>
      </c>
      <c r="AD106" s="309">
        <f t="shared" si="56"/>
        <v>0</v>
      </c>
      <c r="AE106" s="309">
        <f t="shared" si="57"/>
        <v>0</v>
      </c>
      <c r="AF106" s="310">
        <f t="shared" si="58"/>
        <v>0</v>
      </c>
    </row>
    <row r="107" spans="2:32" s="97" customFormat="1" x14ac:dyDescent="0.2">
      <c r="B107" s="249"/>
      <c r="C107" s="362"/>
      <c r="D107" s="363"/>
      <c r="E107" s="363"/>
      <c r="F107" s="364"/>
      <c r="G107" s="335"/>
      <c r="H107" s="362"/>
      <c r="I107" s="363"/>
      <c r="J107" s="363"/>
      <c r="K107" s="363"/>
      <c r="L107" s="364"/>
      <c r="N107" s="121"/>
      <c r="P107" s="308"/>
      <c r="Q107" s="309"/>
      <c r="R107" s="309"/>
      <c r="S107" s="309"/>
      <c r="T107" s="310"/>
      <c r="U107" s="311"/>
      <c r="V107" s="308"/>
      <c r="W107" s="309"/>
      <c r="X107" s="309"/>
      <c r="Y107" s="309"/>
      <c r="Z107" s="310"/>
      <c r="AA107" s="311"/>
      <c r="AB107" s="308"/>
      <c r="AC107" s="309"/>
      <c r="AD107" s="309"/>
      <c r="AE107" s="309"/>
      <c r="AF107" s="310"/>
    </row>
    <row r="108" spans="2:32" s="97" customFormat="1" x14ac:dyDescent="0.2">
      <c r="B108" s="249" t="s">
        <v>126</v>
      </c>
      <c r="C108" s="362">
        <f>+'Input Sheet'!G118</f>
        <v>101</v>
      </c>
      <c r="D108" s="363">
        <f>+'Input Sheet'!H118</f>
        <v>109</v>
      </c>
      <c r="E108" s="363">
        <f>+'Input Sheet'!I118</f>
        <v>128</v>
      </c>
      <c r="F108" s="364">
        <f>+'Input Sheet'!K118</f>
        <v>172</v>
      </c>
      <c r="G108" s="335"/>
      <c r="H108" s="362">
        <f t="shared" ref="H108:L111" si="60">ROUND(AVERAGE($C108:$F108),0)</f>
        <v>128</v>
      </c>
      <c r="I108" s="363">
        <f t="shared" si="60"/>
        <v>128</v>
      </c>
      <c r="J108" s="363">
        <f t="shared" si="60"/>
        <v>128</v>
      </c>
      <c r="K108" s="363">
        <f t="shared" si="60"/>
        <v>128</v>
      </c>
      <c r="L108" s="364">
        <f t="shared" si="60"/>
        <v>128</v>
      </c>
      <c r="N108" s="121">
        <f>+'Standard Hour Calcs'!Y45</f>
        <v>9</v>
      </c>
      <c r="P108" s="308">
        <f>IF($N44="Hourly",'Input Sheet'!G$196*'Fee Breakdown'!$N108*'Fee Breakdown'!H108,'Input Sheet'!G$196*'Fee Breakdown'!$N44*'Fee Breakdown'!H108)</f>
        <v>111176.89099087603</v>
      </c>
      <c r="Q108" s="309">
        <f>IF($N44="Hourly",'Input Sheet'!H$196*'Fee Breakdown'!$N108*'Fee Breakdown'!I108,'Input Sheet'!H$196*'Fee Breakdown'!$N44*'Fee Breakdown'!I108)</f>
        <v>116027.50760402501</v>
      </c>
      <c r="R108" s="309">
        <f>IF($N44="Hourly",'Input Sheet'!I$196*'Fee Breakdown'!$N108*'Fee Breakdown'!J108,'Input Sheet'!I$196*'Fee Breakdown'!$N44*'Fee Breakdown'!J108)</f>
        <v>119955.9320729328</v>
      </c>
      <c r="S108" s="309">
        <f>IF($N44="Hourly",'Input Sheet'!J$196*'Fee Breakdown'!$N108*'Fee Breakdown'!K108,'Input Sheet'!J$196*'Fee Breakdown'!$N44*'Fee Breakdown'!K108)</f>
        <v>124181.75859575768</v>
      </c>
      <c r="T108" s="310">
        <f>IF($N44="Hourly",'Input Sheet'!K$196*'Fee Breakdown'!$N108*'Fee Breakdown'!L108,'Input Sheet'!K$196*'Fee Breakdown'!$N44*'Fee Breakdown'!L108)</f>
        <v>128458.12493833077</v>
      </c>
      <c r="U108" s="311"/>
      <c r="V108" s="308">
        <f>+P108*('Input Sheet'!G$206-1)</f>
        <v>130460.78438152351</v>
      </c>
      <c r="W108" s="309">
        <f>+Q108*('Input Sheet'!H$206-1)</f>
        <v>146195.06337861432</v>
      </c>
      <c r="X108" s="309">
        <f>+R108*('Input Sheet'!I$206-1)</f>
        <v>152469.0473151695</v>
      </c>
      <c r="Y108" s="309">
        <f>+S108*('Input Sheet'!J$206-1)</f>
        <v>161110.44802148093</v>
      </c>
      <c r="Z108" s="310">
        <f>+T108*('Input Sheet'!K$206-1)</f>
        <v>169898.5372568515</v>
      </c>
      <c r="AA108" s="311"/>
      <c r="AB108" s="308">
        <f t="shared" ref="AB108:AB111" si="61">+P108+V108</f>
        <v>241637.67537239954</v>
      </c>
      <c r="AC108" s="309">
        <f t="shared" ref="AC108:AC111" si="62">+Q108+W108</f>
        <v>262222.57098263933</v>
      </c>
      <c r="AD108" s="309">
        <f t="shared" ref="AD108:AD111" si="63">+R108+X108</f>
        <v>272424.97938810231</v>
      </c>
      <c r="AE108" s="309">
        <f t="shared" ref="AE108:AE111" si="64">+S108+Y108</f>
        <v>285292.20661723858</v>
      </c>
      <c r="AF108" s="310">
        <f t="shared" ref="AF108:AF111" si="65">+T108+Z108</f>
        <v>298356.66219518229</v>
      </c>
    </row>
    <row r="109" spans="2:32" s="97" customFormat="1" x14ac:dyDescent="0.2">
      <c r="B109" s="249" t="s">
        <v>127</v>
      </c>
      <c r="C109" s="362">
        <f>+'Input Sheet'!G119</f>
        <v>30</v>
      </c>
      <c r="D109" s="363">
        <f>+'Input Sheet'!H119</f>
        <v>17</v>
      </c>
      <c r="E109" s="363">
        <f>+'Input Sheet'!I119</f>
        <v>14</v>
      </c>
      <c r="F109" s="364">
        <f>+'Input Sheet'!K119</f>
        <v>16</v>
      </c>
      <c r="G109" s="335"/>
      <c r="H109" s="362">
        <f t="shared" si="60"/>
        <v>19</v>
      </c>
      <c r="I109" s="363">
        <f t="shared" si="60"/>
        <v>19</v>
      </c>
      <c r="J109" s="363">
        <f t="shared" si="60"/>
        <v>19</v>
      </c>
      <c r="K109" s="363">
        <f t="shared" si="60"/>
        <v>19</v>
      </c>
      <c r="L109" s="364">
        <f t="shared" si="60"/>
        <v>19</v>
      </c>
      <c r="N109" s="121">
        <f>+'Standard Hour Calcs'!Y46</f>
        <v>9</v>
      </c>
      <c r="P109" s="308">
        <f>IF($N45="Hourly",'Input Sheet'!G$196*'Fee Breakdown'!$N109*'Fee Breakdown'!H109,'Input Sheet'!G$196*'Fee Breakdown'!$N45*'Fee Breakdown'!H109)</f>
        <v>16502.819756458161</v>
      </c>
      <c r="Q109" s="309">
        <f>IF($N45="Hourly",'Input Sheet'!H$196*'Fee Breakdown'!$N109*'Fee Breakdown'!I109,'Input Sheet'!H$196*'Fee Breakdown'!$N45*'Fee Breakdown'!I109)</f>
        <v>17222.833159972462</v>
      </c>
      <c r="R109" s="309">
        <f>IF($N45="Hourly",'Input Sheet'!I$196*'Fee Breakdown'!$N109*'Fee Breakdown'!J109,'Input Sheet'!I$196*'Fee Breakdown'!$N45*'Fee Breakdown'!J109)</f>
        <v>17805.958667075964</v>
      </c>
      <c r="S109" s="309">
        <f>IF($N45="Hourly",'Input Sheet'!J$196*'Fee Breakdown'!$N109*'Fee Breakdown'!K109,'Input Sheet'!J$196*'Fee Breakdown'!$N45*'Fee Breakdown'!K109)</f>
        <v>18433.22979155778</v>
      </c>
      <c r="T109" s="310">
        <f>IF($N45="Hourly",'Input Sheet'!K$196*'Fee Breakdown'!$N109*'Fee Breakdown'!L109,'Input Sheet'!K$196*'Fee Breakdown'!$N45*'Fee Breakdown'!L109)</f>
        <v>19068.002920533476</v>
      </c>
      <c r="U109" s="311"/>
      <c r="V109" s="308">
        <f>+P109*('Input Sheet'!G$206-1)</f>
        <v>19365.272681632399</v>
      </c>
      <c r="W109" s="309">
        <f>+Q109*('Input Sheet'!H$206-1)</f>
        <v>21700.829720263064</v>
      </c>
      <c r="X109" s="309">
        <f>+R109*('Input Sheet'!I$206-1)</f>
        <v>22632.124210845475</v>
      </c>
      <c r="Y109" s="309">
        <f>+S109*('Input Sheet'!J$206-1)</f>
        <v>23914.832128188573</v>
      </c>
      <c r="Z109" s="310">
        <f>+T109*('Input Sheet'!K$206-1)</f>
        <v>25219.314124063898</v>
      </c>
      <c r="AA109" s="311"/>
      <c r="AB109" s="308">
        <f t="shared" si="61"/>
        <v>35868.092438090564</v>
      </c>
      <c r="AC109" s="309">
        <f t="shared" si="62"/>
        <v>38923.662880235526</v>
      </c>
      <c r="AD109" s="309">
        <f t="shared" si="63"/>
        <v>40438.082877921435</v>
      </c>
      <c r="AE109" s="309">
        <f t="shared" si="64"/>
        <v>42348.061919746353</v>
      </c>
      <c r="AF109" s="310">
        <f t="shared" si="65"/>
        <v>44287.317044597374</v>
      </c>
    </row>
    <row r="110" spans="2:32" s="97" customFormat="1" x14ac:dyDescent="0.2">
      <c r="B110" s="249" t="s">
        <v>128</v>
      </c>
      <c r="C110" s="362">
        <f>+'Input Sheet'!G120</f>
        <v>42</v>
      </c>
      <c r="D110" s="363">
        <f>+'Input Sheet'!H120</f>
        <v>33</v>
      </c>
      <c r="E110" s="363">
        <f>+'Input Sheet'!I120</f>
        <v>56</v>
      </c>
      <c r="F110" s="364">
        <f>+'Input Sheet'!K120</f>
        <v>48</v>
      </c>
      <c r="G110" s="335"/>
      <c r="H110" s="362">
        <f t="shared" si="60"/>
        <v>45</v>
      </c>
      <c r="I110" s="363">
        <f t="shared" si="60"/>
        <v>45</v>
      </c>
      <c r="J110" s="363">
        <f t="shared" si="60"/>
        <v>45</v>
      </c>
      <c r="K110" s="363">
        <f t="shared" si="60"/>
        <v>45</v>
      </c>
      <c r="L110" s="364">
        <f t="shared" si="60"/>
        <v>45</v>
      </c>
      <c r="N110" s="121">
        <f>+'Standard Hour Calcs'!Y47</f>
        <v>6</v>
      </c>
      <c r="P110" s="308">
        <f>IF($N46="Hourly",'Input Sheet'!G$196*'Fee Breakdown'!$N110*'Fee Breakdown'!H110,'Input Sheet'!G$196*'Fee Breakdown'!$N46*'Fee Breakdown'!H110)</f>
        <v>26057.083825986567</v>
      </c>
      <c r="Q110" s="309">
        <f>IF($N46="Hourly",'Input Sheet'!H$196*'Fee Breakdown'!$N110*'Fee Breakdown'!I110,'Input Sheet'!H$196*'Fee Breakdown'!$N46*'Fee Breakdown'!I110)</f>
        <v>27193.947094693358</v>
      </c>
      <c r="R110" s="309">
        <f>IF($N46="Hourly",'Input Sheet'!I$196*'Fee Breakdown'!$N110*'Fee Breakdown'!J110,'Input Sheet'!I$196*'Fee Breakdown'!$N46*'Fee Breakdown'!J110)</f>
        <v>28114.671579593629</v>
      </c>
      <c r="S110" s="309">
        <f>IF($N46="Hourly",'Input Sheet'!J$196*'Fee Breakdown'!$N110*'Fee Breakdown'!K110,'Input Sheet'!J$196*'Fee Breakdown'!$N46*'Fee Breakdown'!K110)</f>
        <v>29105.099670880703</v>
      </c>
      <c r="T110" s="310">
        <f>IF($N46="Hourly",'Input Sheet'!K$196*'Fee Breakdown'!$N110*'Fee Breakdown'!L110,'Input Sheet'!K$196*'Fee Breakdown'!$N46*'Fee Breakdown'!L110)</f>
        <v>30107.37303242127</v>
      </c>
      <c r="U110" s="311"/>
      <c r="V110" s="308">
        <f>+P110*('Input Sheet'!G$206-1)</f>
        <v>30576.746339419573</v>
      </c>
      <c r="W110" s="309">
        <f>+Q110*('Input Sheet'!H$206-1)</f>
        <v>34264.467979362729</v>
      </c>
      <c r="X110" s="309">
        <f>+R110*('Input Sheet'!I$206-1)</f>
        <v>35734.932964492858</v>
      </c>
      <c r="Y110" s="309">
        <f>+S110*('Input Sheet'!J$206-1)</f>
        <v>37760.261255034588</v>
      </c>
      <c r="Z110" s="310">
        <f>+T110*('Input Sheet'!K$206-1)</f>
        <v>39819.969669574566</v>
      </c>
      <c r="AA110" s="311"/>
      <c r="AB110" s="308">
        <f t="shared" si="61"/>
        <v>56633.830165406136</v>
      </c>
      <c r="AC110" s="309">
        <f t="shared" si="62"/>
        <v>61458.415074056087</v>
      </c>
      <c r="AD110" s="309">
        <f t="shared" si="63"/>
        <v>63849.604544086484</v>
      </c>
      <c r="AE110" s="309">
        <f t="shared" si="64"/>
        <v>66865.360925915287</v>
      </c>
      <c r="AF110" s="310">
        <f t="shared" si="65"/>
        <v>69927.342701995833</v>
      </c>
    </row>
    <row r="111" spans="2:32" s="97" customFormat="1" x14ac:dyDescent="0.2">
      <c r="B111" s="249" t="s">
        <v>129</v>
      </c>
      <c r="C111" s="362">
        <f>+'Input Sheet'!G121</f>
        <v>11</v>
      </c>
      <c r="D111" s="363">
        <f>+'Input Sheet'!H121</f>
        <v>6</v>
      </c>
      <c r="E111" s="363">
        <f>+'Input Sheet'!I121</f>
        <v>13</v>
      </c>
      <c r="F111" s="364">
        <f>+'Input Sheet'!K121</f>
        <v>7</v>
      </c>
      <c r="G111" s="335"/>
      <c r="H111" s="362">
        <f t="shared" si="60"/>
        <v>9</v>
      </c>
      <c r="I111" s="363">
        <f t="shared" si="60"/>
        <v>9</v>
      </c>
      <c r="J111" s="363">
        <f t="shared" si="60"/>
        <v>9</v>
      </c>
      <c r="K111" s="363">
        <f t="shared" si="60"/>
        <v>9</v>
      </c>
      <c r="L111" s="364">
        <f t="shared" si="60"/>
        <v>9</v>
      </c>
      <c r="N111" s="121">
        <f>+'Standard Hour Calcs'!Y48</f>
        <v>8</v>
      </c>
      <c r="P111" s="308">
        <f>IF($N47="Hourly",'Input Sheet'!G$196*'Fee Breakdown'!$N111*'Fee Breakdown'!H111,'Input Sheet'!G$196*'Fee Breakdown'!$N47*'Fee Breakdown'!H111)</f>
        <v>6948.5556869297516</v>
      </c>
      <c r="Q111" s="309">
        <f>IF($N47="Hourly",'Input Sheet'!H$196*'Fee Breakdown'!$N111*'Fee Breakdown'!I111,'Input Sheet'!H$196*'Fee Breakdown'!$N47*'Fee Breakdown'!I111)</f>
        <v>7251.7192252515633</v>
      </c>
      <c r="R111" s="309">
        <f>IF($N47="Hourly",'Input Sheet'!I$196*'Fee Breakdown'!$N111*'Fee Breakdown'!J111,'Input Sheet'!I$196*'Fee Breakdown'!$N47*'Fee Breakdown'!J111)</f>
        <v>7497.2457545583002</v>
      </c>
      <c r="S111" s="309">
        <f>IF($N47="Hourly",'Input Sheet'!J$196*'Fee Breakdown'!$N111*'Fee Breakdown'!K111,'Input Sheet'!J$196*'Fee Breakdown'!$N47*'Fee Breakdown'!K111)</f>
        <v>7761.3599122348551</v>
      </c>
      <c r="T111" s="310">
        <f>IF($N47="Hourly",'Input Sheet'!K$196*'Fee Breakdown'!$N111*'Fee Breakdown'!L111,'Input Sheet'!K$196*'Fee Breakdown'!$N47*'Fee Breakdown'!L111)</f>
        <v>8028.6328086456733</v>
      </c>
      <c r="U111" s="311"/>
      <c r="V111" s="308">
        <f>+P111*('Input Sheet'!G$206-1)</f>
        <v>8153.7990238452194</v>
      </c>
      <c r="W111" s="309">
        <f>+Q111*('Input Sheet'!H$206-1)</f>
        <v>9137.1914611633947</v>
      </c>
      <c r="X111" s="309">
        <f>+R111*('Input Sheet'!I$206-1)</f>
        <v>9529.315457198094</v>
      </c>
      <c r="Y111" s="309">
        <f>+S111*('Input Sheet'!J$206-1)</f>
        <v>10069.403001342558</v>
      </c>
      <c r="Z111" s="310">
        <f>+T111*('Input Sheet'!K$206-1)</f>
        <v>10618.658578553219</v>
      </c>
      <c r="AA111" s="311"/>
      <c r="AB111" s="308">
        <f t="shared" si="61"/>
        <v>15102.354710774971</v>
      </c>
      <c r="AC111" s="309">
        <f t="shared" si="62"/>
        <v>16388.910686414958</v>
      </c>
      <c r="AD111" s="309">
        <f t="shared" si="63"/>
        <v>17026.561211756394</v>
      </c>
      <c r="AE111" s="309">
        <f t="shared" si="64"/>
        <v>17830.762913577411</v>
      </c>
      <c r="AF111" s="310">
        <f t="shared" si="65"/>
        <v>18647.291387198893</v>
      </c>
    </row>
    <row r="112" spans="2:32" s="97" customFormat="1" x14ac:dyDescent="0.2">
      <c r="B112" s="249"/>
      <c r="C112" s="362"/>
      <c r="D112" s="363"/>
      <c r="E112" s="363"/>
      <c r="F112" s="364"/>
      <c r="G112" s="335"/>
      <c r="H112" s="365"/>
      <c r="I112" s="366"/>
      <c r="J112" s="366"/>
      <c r="K112" s="366"/>
      <c r="L112" s="367"/>
      <c r="N112" s="121"/>
      <c r="P112" s="308"/>
      <c r="Q112" s="309"/>
      <c r="R112" s="309"/>
      <c r="S112" s="309"/>
      <c r="T112" s="310"/>
      <c r="U112" s="311"/>
      <c r="V112" s="308"/>
      <c r="W112" s="309"/>
      <c r="X112" s="309"/>
      <c r="Y112" s="309"/>
      <c r="Z112" s="310"/>
      <c r="AA112" s="311"/>
      <c r="AB112" s="308"/>
      <c r="AC112" s="309"/>
      <c r="AD112" s="309"/>
      <c r="AE112" s="309"/>
      <c r="AF112" s="310"/>
    </row>
    <row r="113" spans="2:33" s="97" customFormat="1" x14ac:dyDescent="0.2">
      <c r="B113" s="92"/>
      <c r="C113" s="368">
        <f t="shared" ref="C113:E113" si="66">SUM(C75:C111)</f>
        <v>1014</v>
      </c>
      <c r="D113" s="369">
        <f t="shared" si="66"/>
        <v>830</v>
      </c>
      <c r="E113" s="369">
        <f t="shared" si="66"/>
        <v>952</v>
      </c>
      <c r="F113" s="370">
        <f>SUM(F75:F111)</f>
        <v>932</v>
      </c>
      <c r="G113" s="335"/>
      <c r="H113" s="371">
        <f t="shared" ref="H113" si="67">SUM(H75:H111)</f>
        <v>936</v>
      </c>
      <c r="I113" s="372">
        <f t="shared" ref="I113" si="68">SUM(I75:I111)</f>
        <v>936</v>
      </c>
      <c r="J113" s="372">
        <f t="shared" ref="J113" si="69">SUM(J75:J111)</f>
        <v>936</v>
      </c>
      <c r="K113" s="372">
        <f>SUM(K75:K111)</f>
        <v>936</v>
      </c>
      <c r="L113" s="373">
        <f t="shared" ref="L113" si="70">SUM(L75:L111)</f>
        <v>936</v>
      </c>
      <c r="N113" s="121"/>
      <c r="P113" s="312">
        <f t="shared" ref="P113" si="71">SUM(P75:P111)</f>
        <v>809603.24524518999</v>
      </c>
      <c r="Q113" s="313">
        <f t="shared" ref="Q113" si="72">SUM(Q75:Q111)</f>
        <v>844926.00806437992</v>
      </c>
      <c r="R113" s="313">
        <f t="shared" ref="R113" si="73">SUM(R75:R111)</f>
        <v>873533.25881929987</v>
      </c>
      <c r="S113" s="313">
        <f t="shared" ref="S113" si="74">SUM(S75:S111)</f>
        <v>904306.22644080815</v>
      </c>
      <c r="T113" s="314">
        <f t="shared" ref="T113" si="75">SUM(T75:T111)</f>
        <v>935447.23099622992</v>
      </c>
      <c r="U113" s="311"/>
      <c r="V113" s="312">
        <f t="shared" ref="V113" si="76">SUM(V75:V111)</f>
        <v>950030.83348663279</v>
      </c>
      <c r="W113" s="313">
        <f t="shared" ref="W113" si="77">SUM(W75:W111)</f>
        <v>1064609.710662496</v>
      </c>
      <c r="X113" s="313">
        <f t="shared" ref="X113" si="78">SUM(X75:X111)</f>
        <v>1110297.6023671501</v>
      </c>
      <c r="Y113" s="313">
        <f t="shared" ref="Y113" si="79">SUM(Y75:Y111)</f>
        <v>1173225.3024758711</v>
      </c>
      <c r="Z113" s="314">
        <f t="shared" ref="Z113" si="80">SUM(Z75:Z111)</f>
        <v>1237221.2057705966</v>
      </c>
      <c r="AA113" s="311"/>
      <c r="AB113" s="312">
        <f t="shared" ref="AB113" si="81">SUM(AB75:AB111)</f>
        <v>1759634.078731823</v>
      </c>
      <c r="AC113" s="313">
        <f t="shared" ref="AC113" si="82">SUM(AC75:AC111)</f>
        <v>1909535.7187268762</v>
      </c>
      <c r="AD113" s="313">
        <f t="shared" ref="AD113" si="83">SUM(AD75:AD111)</f>
        <v>1983830.8611864499</v>
      </c>
      <c r="AE113" s="313">
        <f t="shared" ref="AE113" si="84">SUM(AE75:AE111)</f>
        <v>2077531.5289166796</v>
      </c>
      <c r="AF113" s="314">
        <f t="shared" ref="AF113" si="85">SUM(AF75:AF111)</f>
        <v>2172668.4367668265</v>
      </c>
    </row>
    <row r="114" spans="2:33" s="97" customFormat="1" x14ac:dyDescent="0.25">
      <c r="B114" s="92"/>
      <c r="C114" s="362"/>
      <c r="D114" s="363"/>
      <c r="E114" s="363"/>
      <c r="F114" s="364"/>
      <c r="G114" s="335"/>
      <c r="H114" s="362"/>
      <c r="I114" s="363"/>
      <c r="J114" s="363"/>
      <c r="K114" s="363"/>
      <c r="L114" s="364"/>
      <c r="N114" s="121"/>
      <c r="P114" s="308"/>
      <c r="Q114" s="309"/>
      <c r="R114" s="309"/>
      <c r="S114" s="309"/>
      <c r="T114" s="310"/>
      <c r="U114" s="311"/>
      <c r="V114" s="308"/>
      <c r="W114" s="309"/>
      <c r="X114" s="309"/>
      <c r="Y114" s="309"/>
      <c r="Z114" s="310"/>
      <c r="AA114" s="311"/>
      <c r="AB114" s="308"/>
      <c r="AC114" s="309"/>
      <c r="AD114" s="309"/>
      <c r="AE114" s="309"/>
      <c r="AF114" s="310"/>
    </row>
    <row r="115" spans="2:33" x14ac:dyDescent="0.2">
      <c r="B115" s="293" t="s">
        <v>163</v>
      </c>
      <c r="C115" s="374"/>
      <c r="D115" s="375"/>
      <c r="E115" s="375"/>
      <c r="F115" s="376"/>
      <c r="G115" s="377"/>
      <c r="H115" s="378"/>
      <c r="I115" s="379"/>
      <c r="J115" s="379"/>
      <c r="K115" s="379"/>
      <c r="L115" s="380"/>
      <c r="M115" s="109"/>
      <c r="N115" s="299"/>
      <c r="O115" s="109"/>
      <c r="P115" s="303"/>
      <c r="Q115" s="304"/>
      <c r="R115" s="304"/>
      <c r="S115" s="304"/>
      <c r="T115" s="305"/>
      <c r="U115" s="306"/>
      <c r="V115" s="303"/>
      <c r="W115" s="304"/>
      <c r="X115" s="304"/>
      <c r="Y115" s="304"/>
      <c r="Z115" s="305"/>
      <c r="AA115" s="307"/>
      <c r="AB115" s="303"/>
      <c r="AC115" s="304"/>
      <c r="AD115" s="304"/>
      <c r="AE115" s="304"/>
      <c r="AF115" s="305"/>
      <c r="AG115" s="170"/>
    </row>
    <row r="116" spans="2:33" s="97" customFormat="1" x14ac:dyDescent="0.2">
      <c r="B116" s="249" t="s">
        <v>12</v>
      </c>
      <c r="C116" s="362">
        <f>+'Input Sheet'!G125</f>
        <v>7</v>
      </c>
      <c r="D116" s="363">
        <f>+'Input Sheet'!H125</f>
        <v>7</v>
      </c>
      <c r="E116" s="363">
        <f>+'Input Sheet'!I125</f>
        <v>3</v>
      </c>
      <c r="F116" s="364">
        <f>+'Input Sheet'!K125</f>
        <v>3</v>
      </c>
      <c r="G116" s="335"/>
      <c r="H116" s="362">
        <f t="shared" ref="H116:L118" si="86">ROUND(AVERAGE($C116:$F116),0)</f>
        <v>5</v>
      </c>
      <c r="I116" s="363">
        <f t="shared" si="86"/>
        <v>5</v>
      </c>
      <c r="J116" s="363">
        <f t="shared" si="86"/>
        <v>5</v>
      </c>
      <c r="K116" s="363">
        <f t="shared" si="86"/>
        <v>5</v>
      </c>
      <c r="L116" s="364">
        <f t="shared" si="86"/>
        <v>5</v>
      </c>
      <c r="N116" s="121">
        <f>+'Standard Hour Calcs'!Y53</f>
        <v>5</v>
      </c>
      <c r="P116" s="308">
        <f>IF($N52="Hourly",'Input Sheet'!G$196*'Fee Breakdown'!$N116*'Fee Breakdown'!H116,'Input Sheet'!G$196*'Fee Breakdown'!$N52*'Fee Breakdown'!H116)</f>
        <v>2412.6929468506078</v>
      </c>
      <c r="Q116" s="309">
        <f>IF($N52="Hourly",'Input Sheet'!H$196*'Fee Breakdown'!$N116*'Fee Breakdown'!I116,'Input Sheet'!H$196*'Fee Breakdown'!$N52*'Fee Breakdown'!I116)</f>
        <v>2517.9580643234594</v>
      </c>
      <c r="R116" s="309">
        <f>IF($N52="Hourly",'Input Sheet'!I$196*'Fee Breakdown'!$N116*'Fee Breakdown'!J116,'Input Sheet'!I$196*'Fee Breakdown'!$N52*'Fee Breakdown'!J116)</f>
        <v>2603.2103314438541</v>
      </c>
      <c r="S116" s="309">
        <f>IF($N52="Hourly",'Input Sheet'!J$196*'Fee Breakdown'!$N116*'Fee Breakdown'!K116,'Input Sheet'!J$196*'Fee Breakdown'!$N52*'Fee Breakdown'!K116)</f>
        <v>2694.9166361926582</v>
      </c>
      <c r="T116" s="310">
        <f>IF($N52="Hourly",'Input Sheet'!K$196*'Fee Breakdown'!$N116*'Fee Breakdown'!L116,'Input Sheet'!K$196*'Fee Breakdown'!$N52*'Fee Breakdown'!L116)</f>
        <v>2787.7197252241922</v>
      </c>
      <c r="U116" s="311"/>
      <c r="V116" s="308">
        <f>+P116*('Input Sheet'!G$206-1)</f>
        <v>2831.1802166129232</v>
      </c>
      <c r="W116" s="309">
        <f>+Q116*('Input Sheet'!H$206-1)</f>
        <v>3172.6359240150678</v>
      </c>
      <c r="X116" s="309">
        <f>+R116*('Input Sheet'!I$206-1)</f>
        <v>3308.7900893048936</v>
      </c>
      <c r="Y116" s="309">
        <f>+S116*('Input Sheet'!J$206-1)</f>
        <v>3496.3204865772773</v>
      </c>
      <c r="Z116" s="310">
        <f>+T116*('Input Sheet'!K$206-1)</f>
        <v>3687.0342286643122</v>
      </c>
      <c r="AA116" s="311"/>
      <c r="AB116" s="308">
        <f t="shared" ref="AB116:AB118" si="87">+P116+V116</f>
        <v>5243.8731634635315</v>
      </c>
      <c r="AC116" s="309">
        <f t="shared" ref="AC116:AC118" si="88">+Q116+W116</f>
        <v>5690.5939883385272</v>
      </c>
      <c r="AD116" s="309">
        <f t="shared" ref="AD116:AD118" si="89">+R116+X116</f>
        <v>5912.0004207487473</v>
      </c>
      <c r="AE116" s="309">
        <f t="shared" ref="AE116:AE118" si="90">+S116+Y116</f>
        <v>6191.237122769935</v>
      </c>
      <c r="AF116" s="310">
        <f t="shared" ref="AF116:AF118" si="91">+T116+Z116</f>
        <v>6474.7539538885048</v>
      </c>
    </row>
    <row r="117" spans="2:33" s="97" customFormat="1" x14ac:dyDescent="0.2">
      <c r="B117" s="249" t="s">
        <v>116</v>
      </c>
      <c r="C117" s="362">
        <f>+'Input Sheet'!G126</f>
        <v>6</v>
      </c>
      <c r="D117" s="363">
        <f>+'Input Sheet'!H126</f>
        <v>7</v>
      </c>
      <c r="E117" s="363">
        <f>+'Input Sheet'!I126</f>
        <v>7</v>
      </c>
      <c r="F117" s="364">
        <f>+'Input Sheet'!K126</f>
        <v>2</v>
      </c>
      <c r="G117" s="335"/>
      <c r="H117" s="362">
        <f t="shared" si="86"/>
        <v>6</v>
      </c>
      <c r="I117" s="363">
        <f t="shared" si="86"/>
        <v>6</v>
      </c>
      <c r="J117" s="363">
        <f t="shared" si="86"/>
        <v>6</v>
      </c>
      <c r="K117" s="363">
        <f t="shared" si="86"/>
        <v>6</v>
      </c>
      <c r="L117" s="364">
        <f t="shared" si="86"/>
        <v>6</v>
      </c>
      <c r="N117" s="121">
        <f>+'Standard Hour Calcs'!Y54</f>
        <v>5</v>
      </c>
      <c r="P117" s="308">
        <f>IF($N53="Hourly",'Input Sheet'!G$196*'Fee Breakdown'!$N117*'Fee Breakdown'!H117,'Input Sheet'!G$196*'Fee Breakdown'!$N53*'Fee Breakdown'!H117)</f>
        <v>2895.2315362207296</v>
      </c>
      <c r="Q117" s="309">
        <f>IF($N53="Hourly",'Input Sheet'!H$196*'Fee Breakdown'!$N117*'Fee Breakdown'!I117,'Input Sheet'!H$196*'Fee Breakdown'!$N53*'Fee Breakdown'!I117)</f>
        <v>3021.5496771881517</v>
      </c>
      <c r="R117" s="309">
        <f>IF($N53="Hourly",'Input Sheet'!I$196*'Fee Breakdown'!$N117*'Fee Breakdown'!J117,'Input Sheet'!I$196*'Fee Breakdown'!$N53*'Fee Breakdown'!J117)</f>
        <v>3123.8523977326249</v>
      </c>
      <c r="S117" s="309">
        <f>IF($N53="Hourly",'Input Sheet'!J$196*'Fee Breakdown'!$N117*'Fee Breakdown'!K117,'Input Sheet'!J$196*'Fee Breakdown'!$N53*'Fee Breakdown'!K117)</f>
        <v>3233.8999634311895</v>
      </c>
      <c r="T117" s="310">
        <f>IF($N53="Hourly",'Input Sheet'!K$196*'Fee Breakdown'!$N117*'Fee Breakdown'!L117,'Input Sheet'!K$196*'Fee Breakdown'!$N53*'Fee Breakdown'!L117)</f>
        <v>3345.2636702690306</v>
      </c>
      <c r="U117" s="311"/>
      <c r="V117" s="308">
        <f>+P117*('Input Sheet'!G$206-1)</f>
        <v>3397.4162599355082</v>
      </c>
      <c r="W117" s="309">
        <f>+Q117*('Input Sheet'!H$206-1)</f>
        <v>3807.1631088180816</v>
      </c>
      <c r="X117" s="309">
        <f>+R117*('Input Sheet'!I$206-1)</f>
        <v>3970.5481071658724</v>
      </c>
      <c r="Y117" s="309">
        <f>+S117*('Input Sheet'!J$206-1)</f>
        <v>4195.5845838927326</v>
      </c>
      <c r="Z117" s="310">
        <f>+T117*('Input Sheet'!K$206-1)</f>
        <v>4424.4410743971748</v>
      </c>
      <c r="AA117" s="311"/>
      <c r="AB117" s="308">
        <f t="shared" si="87"/>
        <v>6292.6477961562377</v>
      </c>
      <c r="AC117" s="309">
        <f t="shared" si="88"/>
        <v>6828.7127860062337</v>
      </c>
      <c r="AD117" s="309">
        <f t="shared" si="89"/>
        <v>7094.4005048984973</v>
      </c>
      <c r="AE117" s="309">
        <f t="shared" si="90"/>
        <v>7429.484547323922</v>
      </c>
      <c r="AF117" s="310">
        <f t="shared" si="91"/>
        <v>7769.7047446662054</v>
      </c>
    </row>
    <row r="118" spans="2:33" s="97" customFormat="1" x14ac:dyDescent="0.2">
      <c r="B118" s="249" t="s">
        <v>164</v>
      </c>
      <c r="C118" s="362">
        <f>+'Input Sheet'!G127</f>
        <v>71</v>
      </c>
      <c r="D118" s="363">
        <f>+'Input Sheet'!H127</f>
        <v>68</v>
      </c>
      <c r="E118" s="363">
        <f>+'Input Sheet'!I127</f>
        <v>77</v>
      </c>
      <c r="F118" s="364">
        <f>+'Input Sheet'!K127</f>
        <v>101</v>
      </c>
      <c r="G118" s="335"/>
      <c r="H118" s="362">
        <f t="shared" si="86"/>
        <v>79</v>
      </c>
      <c r="I118" s="363">
        <f t="shared" si="86"/>
        <v>79</v>
      </c>
      <c r="J118" s="363">
        <f t="shared" si="86"/>
        <v>79</v>
      </c>
      <c r="K118" s="363">
        <f t="shared" si="86"/>
        <v>79</v>
      </c>
      <c r="L118" s="364">
        <f t="shared" si="86"/>
        <v>79</v>
      </c>
      <c r="N118" s="121">
        <f>+'Standard Hour Calcs'!Y55</f>
        <v>5</v>
      </c>
      <c r="P118" s="308">
        <f>IF($N54="Hourly",'Input Sheet'!G$196*'Fee Breakdown'!$N118*'Fee Breakdown'!H118,'Input Sheet'!G$196*'Fee Breakdown'!$N54*'Fee Breakdown'!H118)</f>
        <v>38120.548560239607</v>
      </c>
      <c r="Q118" s="309">
        <f>IF($N54="Hourly",'Input Sheet'!H$196*'Fee Breakdown'!$N118*'Fee Breakdown'!I118,'Input Sheet'!H$196*'Fee Breakdown'!$N54*'Fee Breakdown'!I118)</f>
        <v>39783.737416310658</v>
      </c>
      <c r="R118" s="309">
        <f>IF($N54="Hourly",'Input Sheet'!I$196*'Fee Breakdown'!$N118*'Fee Breakdown'!J118,'Input Sheet'!I$196*'Fee Breakdown'!$N54*'Fee Breakdown'!J118)</f>
        <v>41130.723236812897</v>
      </c>
      <c r="S118" s="309">
        <f>IF($N54="Hourly",'Input Sheet'!J$196*'Fee Breakdown'!$N118*'Fee Breakdown'!K118,'Input Sheet'!J$196*'Fee Breakdown'!$N54*'Fee Breakdown'!K118)</f>
        <v>42579.682851843994</v>
      </c>
      <c r="T118" s="310">
        <f>IF($N54="Hourly",'Input Sheet'!K$196*'Fee Breakdown'!$N118*'Fee Breakdown'!L118,'Input Sheet'!K$196*'Fee Breakdown'!$N54*'Fee Breakdown'!L118)</f>
        <v>44045.971658542236</v>
      </c>
      <c r="U118" s="311"/>
      <c r="V118" s="308">
        <f>+P118*('Input Sheet'!G$206-1)</f>
        <v>44732.647422484188</v>
      </c>
      <c r="W118" s="309">
        <f>+Q118*('Input Sheet'!H$206-1)</f>
        <v>50127.647599438067</v>
      </c>
      <c r="X118" s="309">
        <f>+R118*('Input Sheet'!I$206-1)</f>
        <v>52278.883411017327</v>
      </c>
      <c r="Y118" s="309">
        <f>+S118*('Input Sheet'!J$206-1)</f>
        <v>55241.863687920973</v>
      </c>
      <c r="Z118" s="310">
        <f>+T118*('Input Sheet'!K$206-1)</f>
        <v>58255.140812896134</v>
      </c>
      <c r="AA118" s="311"/>
      <c r="AB118" s="308">
        <f t="shared" si="87"/>
        <v>82853.195982723788</v>
      </c>
      <c r="AC118" s="309">
        <f t="shared" si="88"/>
        <v>89911.385015748732</v>
      </c>
      <c r="AD118" s="309">
        <f t="shared" si="89"/>
        <v>93409.606647830224</v>
      </c>
      <c r="AE118" s="309">
        <f t="shared" si="90"/>
        <v>97821.546539764968</v>
      </c>
      <c r="AF118" s="310">
        <f t="shared" si="91"/>
        <v>102301.11247143836</v>
      </c>
    </row>
    <row r="119" spans="2:33" s="97" customFormat="1" x14ac:dyDescent="0.2">
      <c r="B119" s="249" t="s">
        <v>165</v>
      </c>
      <c r="C119" s="362"/>
      <c r="D119" s="363"/>
      <c r="E119" s="363"/>
      <c r="F119" s="364"/>
      <c r="G119" s="335"/>
      <c r="H119" s="362"/>
      <c r="I119" s="363"/>
      <c r="J119" s="363"/>
      <c r="K119" s="363"/>
      <c r="L119" s="364"/>
      <c r="N119" s="121"/>
      <c r="P119" s="308"/>
      <c r="Q119" s="309"/>
      <c r="R119" s="309"/>
      <c r="S119" s="309"/>
      <c r="T119" s="310"/>
      <c r="U119" s="311"/>
      <c r="V119" s="308"/>
      <c r="W119" s="309"/>
      <c r="X119" s="309"/>
      <c r="Y119" s="309"/>
      <c r="Z119" s="310"/>
      <c r="AA119" s="311"/>
      <c r="AB119" s="308"/>
      <c r="AC119" s="309"/>
      <c r="AD119" s="309"/>
      <c r="AE119" s="309"/>
      <c r="AF119" s="310"/>
    </row>
    <row r="120" spans="2:33" s="97" customFormat="1" x14ac:dyDescent="0.2">
      <c r="B120" s="249" t="s">
        <v>166</v>
      </c>
      <c r="C120" s="362">
        <f>+'Input Sheet'!G129</f>
        <v>75</v>
      </c>
      <c r="D120" s="363">
        <f>+'Input Sheet'!H129</f>
        <v>89</v>
      </c>
      <c r="E120" s="363">
        <f>+'Input Sheet'!I129</f>
        <v>54</v>
      </c>
      <c r="F120" s="364">
        <f>+'Input Sheet'!K129</f>
        <v>55</v>
      </c>
      <c r="G120" s="335"/>
      <c r="H120" s="362">
        <f t="shared" ref="H120:L122" si="92">ROUND(AVERAGE($C120:$F120),0)</f>
        <v>68</v>
      </c>
      <c r="I120" s="363">
        <f t="shared" si="92"/>
        <v>68</v>
      </c>
      <c r="J120" s="363">
        <f t="shared" si="92"/>
        <v>68</v>
      </c>
      <c r="K120" s="363">
        <f t="shared" si="92"/>
        <v>68</v>
      </c>
      <c r="L120" s="364">
        <f t="shared" si="92"/>
        <v>68</v>
      </c>
      <c r="N120" s="121">
        <f>+'Standard Hour Calcs'!Y57</f>
        <v>5</v>
      </c>
      <c r="P120" s="308">
        <f>IF($N56="Hourly",'Input Sheet'!G$196*'Fee Breakdown'!$N120*'Fee Breakdown'!H120,'Input Sheet'!G$196*'Fee Breakdown'!$N56*'Fee Breakdown'!H120)</f>
        <v>32812.624077168271</v>
      </c>
      <c r="Q120" s="309">
        <f>IF($N56="Hourly",'Input Sheet'!H$196*'Fee Breakdown'!$N120*'Fee Breakdown'!I120,'Input Sheet'!H$196*'Fee Breakdown'!$N56*'Fee Breakdown'!I120)</f>
        <v>34244.229674799048</v>
      </c>
      <c r="R120" s="309">
        <f>IF($N56="Hourly",'Input Sheet'!I$196*'Fee Breakdown'!$N120*'Fee Breakdown'!J120,'Input Sheet'!I$196*'Fee Breakdown'!$N56*'Fee Breakdown'!J120)</f>
        <v>35403.660507636414</v>
      </c>
      <c r="S120" s="309">
        <f>IF($N56="Hourly",'Input Sheet'!J$196*'Fee Breakdown'!$N120*'Fee Breakdown'!K120,'Input Sheet'!J$196*'Fee Breakdown'!$N56*'Fee Breakdown'!K120)</f>
        <v>36650.866252220148</v>
      </c>
      <c r="T120" s="310">
        <f>IF($N56="Hourly",'Input Sheet'!K$196*'Fee Breakdown'!$N120*'Fee Breakdown'!L120,'Input Sheet'!K$196*'Fee Breakdown'!$N56*'Fee Breakdown'!L120)</f>
        <v>37912.988263049017</v>
      </c>
      <c r="U120" s="311"/>
      <c r="V120" s="308">
        <f>+P120*('Input Sheet'!G$206-1)</f>
        <v>38504.050945935764</v>
      </c>
      <c r="W120" s="309">
        <f>+Q120*('Input Sheet'!H$206-1)</f>
        <v>43147.848566604916</v>
      </c>
      <c r="X120" s="309">
        <f>+R120*('Input Sheet'!I$206-1)</f>
        <v>44999.545214546553</v>
      </c>
      <c r="Y120" s="309">
        <f>+S120*('Input Sheet'!J$206-1)</f>
        <v>47549.958617450968</v>
      </c>
      <c r="Z120" s="310">
        <f>+T120*('Input Sheet'!K$206-1)</f>
        <v>50143.665509834653</v>
      </c>
      <c r="AA120" s="311"/>
      <c r="AB120" s="308">
        <f t="shared" ref="AB120:AB122" si="93">+P120+V120</f>
        <v>71316.675023104035</v>
      </c>
      <c r="AC120" s="309">
        <f t="shared" ref="AC120:AC122" si="94">+Q120+W120</f>
        <v>77392.078241403971</v>
      </c>
      <c r="AD120" s="309">
        <f t="shared" ref="AD120:AD122" si="95">+R120+X120</f>
        <v>80403.20572218296</v>
      </c>
      <c r="AE120" s="309">
        <f t="shared" ref="AE120:AE122" si="96">+S120+Y120</f>
        <v>84200.824869671109</v>
      </c>
      <c r="AF120" s="310">
        <f t="shared" ref="AF120:AF122" si="97">+T120+Z120</f>
        <v>88056.65377288367</v>
      </c>
    </row>
    <row r="121" spans="2:33" s="97" customFormat="1" x14ac:dyDescent="0.2">
      <c r="B121" s="249" t="s">
        <v>167</v>
      </c>
      <c r="C121" s="362">
        <f>+'Input Sheet'!G130</f>
        <v>21</v>
      </c>
      <c r="D121" s="363">
        <f>+'Input Sheet'!H130</f>
        <v>14</v>
      </c>
      <c r="E121" s="363">
        <f>+'Input Sheet'!I130</f>
        <v>14</v>
      </c>
      <c r="F121" s="364">
        <f>+'Input Sheet'!K130</f>
        <v>13</v>
      </c>
      <c r="G121" s="335"/>
      <c r="H121" s="362">
        <f t="shared" si="92"/>
        <v>16</v>
      </c>
      <c r="I121" s="363">
        <f t="shared" si="92"/>
        <v>16</v>
      </c>
      <c r="J121" s="363">
        <f t="shared" si="92"/>
        <v>16</v>
      </c>
      <c r="K121" s="363">
        <f t="shared" si="92"/>
        <v>16</v>
      </c>
      <c r="L121" s="364">
        <f t="shared" si="92"/>
        <v>16</v>
      </c>
      <c r="N121" s="121">
        <f>+'Standard Hour Calcs'!Y58</f>
        <v>3</v>
      </c>
      <c r="P121" s="308">
        <f>IF($N57="Hourly",'Input Sheet'!G$196*'Fee Breakdown'!$N121*'Fee Breakdown'!H121,'Input Sheet'!G$196*'Fee Breakdown'!$N57*'Fee Breakdown'!H121)</f>
        <v>4632.3704579531677</v>
      </c>
      <c r="Q121" s="309">
        <f>IF($N57="Hourly",'Input Sheet'!H$196*'Fee Breakdown'!$N121*'Fee Breakdown'!I121,'Input Sheet'!H$196*'Fee Breakdown'!$N57*'Fee Breakdown'!I121)</f>
        <v>4834.4794835010416</v>
      </c>
      <c r="R121" s="309">
        <f>IF($N57="Hourly",'Input Sheet'!I$196*'Fee Breakdown'!$N121*'Fee Breakdown'!J121,'Input Sheet'!I$196*'Fee Breakdown'!$N57*'Fee Breakdown'!J121)</f>
        <v>4998.1638363722004</v>
      </c>
      <c r="S121" s="309">
        <f>IF($N57="Hourly",'Input Sheet'!J$196*'Fee Breakdown'!$N121*'Fee Breakdown'!K121,'Input Sheet'!J$196*'Fee Breakdown'!$N57*'Fee Breakdown'!K121)</f>
        <v>5174.2399414899028</v>
      </c>
      <c r="T121" s="310">
        <f>IF($N57="Hourly",'Input Sheet'!K$196*'Fee Breakdown'!$N121*'Fee Breakdown'!L121,'Input Sheet'!K$196*'Fee Breakdown'!$N57*'Fee Breakdown'!L121)</f>
        <v>5352.4218724304483</v>
      </c>
      <c r="U121" s="311"/>
      <c r="V121" s="308">
        <f>+P121*('Input Sheet'!G$206-1)</f>
        <v>5435.8660158968132</v>
      </c>
      <c r="W121" s="309">
        <f>+Q121*('Input Sheet'!H$206-1)</f>
        <v>6091.4609741089289</v>
      </c>
      <c r="X121" s="309">
        <f>+R121*('Input Sheet'!I$206-1)</f>
        <v>6352.8769714653963</v>
      </c>
      <c r="Y121" s="309">
        <f>+S121*('Input Sheet'!J$206-1)</f>
        <v>6712.9353342283712</v>
      </c>
      <c r="Z121" s="310">
        <f>+T121*('Input Sheet'!K$206-1)</f>
        <v>7079.1057190354786</v>
      </c>
      <c r="AA121" s="311"/>
      <c r="AB121" s="308">
        <f t="shared" si="93"/>
        <v>10068.236473849982</v>
      </c>
      <c r="AC121" s="309">
        <f t="shared" si="94"/>
        <v>10925.94045760997</v>
      </c>
      <c r="AD121" s="309">
        <f t="shared" si="95"/>
        <v>11351.040807837597</v>
      </c>
      <c r="AE121" s="309">
        <f t="shared" si="96"/>
        <v>11887.175275718273</v>
      </c>
      <c r="AF121" s="310">
        <f t="shared" si="97"/>
        <v>12431.527591465927</v>
      </c>
    </row>
    <row r="122" spans="2:33" s="97" customFormat="1" x14ac:dyDescent="0.2">
      <c r="B122" s="249" t="s">
        <v>168</v>
      </c>
      <c r="C122" s="362">
        <f>+'Input Sheet'!G131</f>
        <v>20</v>
      </c>
      <c r="D122" s="363">
        <f>+'Input Sheet'!H131</f>
        <v>19</v>
      </c>
      <c r="E122" s="363">
        <f>+'Input Sheet'!I131</f>
        <v>17</v>
      </c>
      <c r="F122" s="364">
        <f>+'Input Sheet'!K131</f>
        <v>20</v>
      </c>
      <c r="G122" s="335"/>
      <c r="H122" s="362">
        <f t="shared" si="92"/>
        <v>19</v>
      </c>
      <c r="I122" s="363">
        <f t="shared" si="92"/>
        <v>19</v>
      </c>
      <c r="J122" s="363">
        <f t="shared" si="92"/>
        <v>19</v>
      </c>
      <c r="K122" s="363">
        <f t="shared" si="92"/>
        <v>19</v>
      </c>
      <c r="L122" s="364">
        <f t="shared" si="92"/>
        <v>19</v>
      </c>
      <c r="N122" s="121">
        <f>+'Standard Hour Calcs'!Y59</f>
        <v>5</v>
      </c>
      <c r="P122" s="308">
        <f>IF($N58="Hourly",'Input Sheet'!G$196*'Fee Breakdown'!$N122*'Fee Breakdown'!H122,'Input Sheet'!G$196*'Fee Breakdown'!$N58*'Fee Breakdown'!H122)</f>
        <v>9168.2331980323106</v>
      </c>
      <c r="Q122" s="309">
        <f>IF($N58="Hourly",'Input Sheet'!H$196*'Fee Breakdown'!$N122*'Fee Breakdown'!I122,'Input Sheet'!H$196*'Fee Breakdown'!$N58*'Fee Breakdown'!I122)</f>
        <v>9568.2406444291464</v>
      </c>
      <c r="R122" s="309">
        <f>IF($N58="Hourly",'Input Sheet'!I$196*'Fee Breakdown'!$N122*'Fee Breakdown'!J122,'Input Sheet'!I$196*'Fee Breakdown'!$N58*'Fee Breakdown'!J122)</f>
        <v>9892.199259486646</v>
      </c>
      <c r="S122" s="309">
        <f>IF($N58="Hourly",'Input Sheet'!J$196*'Fee Breakdown'!$N122*'Fee Breakdown'!K122,'Input Sheet'!J$196*'Fee Breakdown'!$N58*'Fee Breakdown'!K122)</f>
        <v>10240.683217532101</v>
      </c>
      <c r="T122" s="310">
        <f>IF($N58="Hourly",'Input Sheet'!K$196*'Fee Breakdown'!$N122*'Fee Breakdown'!L122,'Input Sheet'!K$196*'Fee Breakdown'!$N58*'Fee Breakdown'!L122)</f>
        <v>10593.334955851929</v>
      </c>
      <c r="U122" s="311"/>
      <c r="V122" s="308">
        <f>+P122*('Input Sheet'!G$206-1)</f>
        <v>10758.484823129109</v>
      </c>
      <c r="W122" s="309">
        <f>+Q122*('Input Sheet'!H$206-1)</f>
        <v>12056.016511257258</v>
      </c>
      <c r="X122" s="309">
        <f>+R122*('Input Sheet'!I$206-1)</f>
        <v>12573.402339358598</v>
      </c>
      <c r="Y122" s="309">
        <f>+S122*('Input Sheet'!J$206-1)</f>
        <v>13286.017848993653</v>
      </c>
      <c r="Z122" s="310">
        <f>+T122*('Input Sheet'!K$206-1)</f>
        <v>14010.730068924386</v>
      </c>
      <c r="AA122" s="311"/>
      <c r="AB122" s="308">
        <f t="shared" si="93"/>
        <v>19926.718021161418</v>
      </c>
      <c r="AC122" s="309">
        <f t="shared" si="94"/>
        <v>21624.257155686406</v>
      </c>
      <c r="AD122" s="309">
        <f t="shared" si="95"/>
        <v>22465.601598845242</v>
      </c>
      <c r="AE122" s="309">
        <f t="shared" si="96"/>
        <v>23526.701066525755</v>
      </c>
      <c r="AF122" s="310">
        <f t="shared" si="97"/>
        <v>24604.065024776315</v>
      </c>
    </row>
    <row r="123" spans="2:33" s="97" customFormat="1" x14ac:dyDescent="0.2">
      <c r="B123" s="249" t="s">
        <v>165</v>
      </c>
      <c r="C123" s="362"/>
      <c r="D123" s="363"/>
      <c r="E123" s="363"/>
      <c r="F123" s="364"/>
      <c r="G123" s="335"/>
      <c r="H123" s="362"/>
      <c r="I123" s="363"/>
      <c r="J123" s="363"/>
      <c r="K123" s="363"/>
      <c r="L123" s="364"/>
      <c r="N123" s="121"/>
      <c r="P123" s="308"/>
      <c r="Q123" s="309"/>
      <c r="R123" s="309"/>
      <c r="S123" s="309"/>
      <c r="T123" s="310"/>
      <c r="U123" s="311"/>
      <c r="V123" s="308"/>
      <c r="W123" s="309"/>
      <c r="X123" s="309"/>
      <c r="Y123" s="309"/>
      <c r="Z123" s="310"/>
      <c r="AA123" s="311"/>
      <c r="AB123" s="308"/>
      <c r="AC123" s="309"/>
      <c r="AD123" s="309"/>
      <c r="AE123" s="309"/>
      <c r="AF123" s="310"/>
    </row>
    <row r="124" spans="2:33" s="97" customFormat="1" x14ac:dyDescent="0.2">
      <c r="B124" s="249" t="s">
        <v>126</v>
      </c>
      <c r="C124" s="362">
        <f>+'Input Sheet'!G133</f>
        <v>35</v>
      </c>
      <c r="D124" s="363">
        <f>+'Input Sheet'!H133</f>
        <v>29</v>
      </c>
      <c r="E124" s="363">
        <f>+'Input Sheet'!I133</f>
        <v>37</v>
      </c>
      <c r="F124" s="364">
        <f>+'Input Sheet'!K133</f>
        <v>50</v>
      </c>
      <c r="G124" s="335"/>
      <c r="H124" s="362">
        <f t="shared" ref="H124:L127" si="98">ROUND(AVERAGE($C124:$F124),0)</f>
        <v>38</v>
      </c>
      <c r="I124" s="363">
        <f t="shared" si="98"/>
        <v>38</v>
      </c>
      <c r="J124" s="363">
        <f t="shared" si="98"/>
        <v>38</v>
      </c>
      <c r="K124" s="363">
        <f t="shared" si="98"/>
        <v>38</v>
      </c>
      <c r="L124" s="364">
        <f t="shared" si="98"/>
        <v>38</v>
      </c>
      <c r="N124" s="121">
        <f>+'Standard Hour Calcs'!Y61</f>
        <v>6</v>
      </c>
      <c r="P124" s="308">
        <f>IF($N60="Hourly",'Input Sheet'!G$196*'Fee Breakdown'!$N124*'Fee Breakdown'!H124,'Input Sheet'!G$196*'Fee Breakdown'!$N60*'Fee Breakdown'!H124)</f>
        <v>22003.759675277546</v>
      </c>
      <c r="Q124" s="309">
        <f>IF($N60="Hourly",'Input Sheet'!H$196*'Fee Breakdown'!$N124*'Fee Breakdown'!I124,'Input Sheet'!H$196*'Fee Breakdown'!$N60*'Fee Breakdown'!I124)</f>
        <v>22963.777546629946</v>
      </c>
      <c r="R124" s="309">
        <f>IF($N60="Hourly",'Input Sheet'!I$196*'Fee Breakdown'!$N124*'Fee Breakdown'!J124,'Input Sheet'!I$196*'Fee Breakdown'!$N60*'Fee Breakdown'!J124)</f>
        <v>23741.278222767953</v>
      </c>
      <c r="S124" s="309">
        <f>IF($N60="Hourly",'Input Sheet'!J$196*'Fee Breakdown'!$N124*'Fee Breakdown'!K124,'Input Sheet'!J$196*'Fee Breakdown'!$N60*'Fee Breakdown'!K124)</f>
        <v>24577.639722077038</v>
      </c>
      <c r="T124" s="310">
        <f>IF($N60="Hourly",'Input Sheet'!K$196*'Fee Breakdown'!$N124*'Fee Breakdown'!L124,'Input Sheet'!K$196*'Fee Breakdown'!$N60*'Fee Breakdown'!L124)</f>
        <v>25424.003894044628</v>
      </c>
      <c r="U124" s="311"/>
      <c r="V124" s="308">
        <f>+P124*('Input Sheet'!G$206-1)</f>
        <v>25820.363575509862</v>
      </c>
      <c r="W124" s="309">
        <f>+Q124*('Input Sheet'!H$206-1)</f>
        <v>28934.439627017411</v>
      </c>
      <c r="X124" s="309">
        <f>+R124*('Input Sheet'!I$206-1)</f>
        <v>30176.165614460635</v>
      </c>
      <c r="Y124" s="309">
        <f>+S124*('Input Sheet'!J$206-1)</f>
        <v>31886.442837584764</v>
      </c>
      <c r="Z124" s="310">
        <f>+T124*('Input Sheet'!K$206-1)</f>
        <v>33625.752165418518</v>
      </c>
      <c r="AA124" s="311"/>
      <c r="AB124" s="308">
        <f t="shared" ref="AB124:AB127" si="99">+P124+V124</f>
        <v>47824.123250787408</v>
      </c>
      <c r="AC124" s="309">
        <f t="shared" ref="AC124:AC127" si="100">+Q124+W124</f>
        <v>51898.217173647354</v>
      </c>
      <c r="AD124" s="309">
        <f t="shared" ref="AD124:AD127" si="101">+R124+X124</f>
        <v>53917.443837228588</v>
      </c>
      <c r="AE124" s="309">
        <f t="shared" ref="AE124:AE127" si="102">+S124+Y124</f>
        <v>56464.082559661801</v>
      </c>
      <c r="AF124" s="310">
        <f t="shared" ref="AF124:AF127" si="103">+T124+Z124</f>
        <v>59049.75605946315</v>
      </c>
    </row>
    <row r="125" spans="2:33" s="97" customFormat="1" x14ac:dyDescent="0.2">
      <c r="B125" s="249" t="s">
        <v>127</v>
      </c>
      <c r="C125" s="362">
        <f>+'Input Sheet'!G134</f>
        <v>3</v>
      </c>
      <c r="D125" s="363">
        <f>+'Input Sheet'!H134</f>
        <v>1</v>
      </c>
      <c r="E125" s="363">
        <f>+'Input Sheet'!I134</f>
        <v>2</v>
      </c>
      <c r="F125" s="364">
        <f>+'Input Sheet'!K134</f>
        <v>3</v>
      </c>
      <c r="G125" s="335"/>
      <c r="H125" s="362">
        <f t="shared" si="98"/>
        <v>2</v>
      </c>
      <c r="I125" s="363">
        <f t="shared" si="98"/>
        <v>2</v>
      </c>
      <c r="J125" s="363">
        <f t="shared" si="98"/>
        <v>2</v>
      </c>
      <c r="K125" s="363">
        <f t="shared" si="98"/>
        <v>2</v>
      </c>
      <c r="L125" s="364">
        <f t="shared" si="98"/>
        <v>2</v>
      </c>
      <c r="N125" s="121">
        <f>+'Standard Hour Calcs'!Y62</f>
        <v>8</v>
      </c>
      <c r="P125" s="308">
        <f>IF($N61="Hourly",'Input Sheet'!G$196*'Fee Breakdown'!$N125*'Fee Breakdown'!H125,'Input Sheet'!G$196*'Fee Breakdown'!$N61*'Fee Breakdown'!H125)</f>
        <v>1544.1234859843892</v>
      </c>
      <c r="Q125" s="309">
        <f>IF($N61="Hourly",'Input Sheet'!H$196*'Fee Breakdown'!$N125*'Fee Breakdown'!I125,'Input Sheet'!H$196*'Fee Breakdown'!$N61*'Fee Breakdown'!I125)</f>
        <v>1611.493161167014</v>
      </c>
      <c r="R125" s="309">
        <f>IF($N61="Hourly",'Input Sheet'!I$196*'Fee Breakdown'!$N125*'Fee Breakdown'!J125,'Input Sheet'!I$196*'Fee Breakdown'!$N61*'Fee Breakdown'!J125)</f>
        <v>1666.0546121240668</v>
      </c>
      <c r="S125" s="309">
        <f>IF($N61="Hourly",'Input Sheet'!J$196*'Fee Breakdown'!$N125*'Fee Breakdown'!K125,'Input Sheet'!J$196*'Fee Breakdown'!$N61*'Fee Breakdown'!K125)</f>
        <v>1724.7466471633011</v>
      </c>
      <c r="T125" s="310">
        <f>IF($N61="Hourly",'Input Sheet'!K$196*'Fee Breakdown'!$N125*'Fee Breakdown'!L125,'Input Sheet'!K$196*'Fee Breakdown'!$N61*'Fee Breakdown'!L125)</f>
        <v>1784.1406241434829</v>
      </c>
      <c r="U125" s="311"/>
      <c r="V125" s="308">
        <f>+P125*('Input Sheet'!G$206-1)</f>
        <v>1811.9553386322709</v>
      </c>
      <c r="W125" s="309">
        <f>+Q125*('Input Sheet'!H$206-1)</f>
        <v>2030.4869913696432</v>
      </c>
      <c r="X125" s="309">
        <f>+R125*('Input Sheet'!I$206-1)</f>
        <v>2117.6256571551321</v>
      </c>
      <c r="Y125" s="309">
        <f>+S125*('Input Sheet'!J$206-1)</f>
        <v>2237.6451114094571</v>
      </c>
      <c r="Z125" s="310">
        <f>+T125*('Input Sheet'!K$206-1)</f>
        <v>2359.7019063451598</v>
      </c>
      <c r="AA125" s="311"/>
      <c r="AB125" s="308">
        <f t="shared" si="99"/>
        <v>3356.0788246166603</v>
      </c>
      <c r="AC125" s="309">
        <f t="shared" si="100"/>
        <v>3641.9801525366574</v>
      </c>
      <c r="AD125" s="309">
        <f t="shared" si="101"/>
        <v>3783.6802692791989</v>
      </c>
      <c r="AE125" s="309">
        <f t="shared" si="102"/>
        <v>3962.3917585727581</v>
      </c>
      <c r="AF125" s="310">
        <f t="shared" si="103"/>
        <v>4143.8425304886423</v>
      </c>
    </row>
    <row r="126" spans="2:33" s="97" customFormat="1" x14ac:dyDescent="0.2">
      <c r="B126" s="249" t="s">
        <v>128</v>
      </c>
      <c r="C126" s="362">
        <f>+'Input Sheet'!G135</f>
        <v>17</v>
      </c>
      <c r="D126" s="363">
        <f>+'Input Sheet'!H135</f>
        <v>14</v>
      </c>
      <c r="E126" s="363">
        <f>+'Input Sheet'!I135</f>
        <v>22</v>
      </c>
      <c r="F126" s="364">
        <f>+'Input Sheet'!K135</f>
        <v>16</v>
      </c>
      <c r="G126" s="335"/>
      <c r="H126" s="362">
        <f t="shared" si="98"/>
        <v>17</v>
      </c>
      <c r="I126" s="363">
        <f t="shared" si="98"/>
        <v>17</v>
      </c>
      <c r="J126" s="363">
        <f t="shared" si="98"/>
        <v>17</v>
      </c>
      <c r="K126" s="363">
        <f t="shared" si="98"/>
        <v>17</v>
      </c>
      <c r="L126" s="364">
        <f t="shared" si="98"/>
        <v>17</v>
      </c>
      <c r="N126" s="121">
        <f>+'Standard Hour Calcs'!Y63</f>
        <v>5</v>
      </c>
      <c r="P126" s="308">
        <f>IF($N62="Hourly",'Input Sheet'!G$196*'Fee Breakdown'!$N126*'Fee Breakdown'!H126,'Input Sheet'!G$196*'Fee Breakdown'!$N62*'Fee Breakdown'!H126)</f>
        <v>8203.1560192920679</v>
      </c>
      <c r="Q126" s="309">
        <f>IF($N62="Hourly",'Input Sheet'!H$196*'Fee Breakdown'!$N126*'Fee Breakdown'!I126,'Input Sheet'!H$196*'Fee Breakdown'!$N62*'Fee Breakdown'!I126)</f>
        <v>8561.0574186997619</v>
      </c>
      <c r="R126" s="309">
        <f>IF($N62="Hourly",'Input Sheet'!I$196*'Fee Breakdown'!$N126*'Fee Breakdown'!J126,'Input Sheet'!I$196*'Fee Breakdown'!$N62*'Fee Breakdown'!J126)</f>
        <v>8850.9151269091035</v>
      </c>
      <c r="S126" s="309">
        <f>IF($N62="Hourly",'Input Sheet'!J$196*'Fee Breakdown'!$N126*'Fee Breakdown'!K126,'Input Sheet'!J$196*'Fee Breakdown'!$N62*'Fee Breakdown'!K126)</f>
        <v>9162.7165630550371</v>
      </c>
      <c r="T126" s="310">
        <f>IF($N62="Hourly",'Input Sheet'!K$196*'Fee Breakdown'!$N126*'Fee Breakdown'!L126,'Input Sheet'!K$196*'Fee Breakdown'!$N62*'Fee Breakdown'!L126)</f>
        <v>9478.2470657622544</v>
      </c>
      <c r="U126" s="311"/>
      <c r="V126" s="308">
        <f>+P126*('Input Sheet'!G$206-1)</f>
        <v>9626.0127364839409</v>
      </c>
      <c r="W126" s="309">
        <f>+Q126*('Input Sheet'!H$206-1)</f>
        <v>10786.962141651229</v>
      </c>
      <c r="X126" s="309">
        <f>+R126*('Input Sheet'!I$206-1)</f>
        <v>11249.886303636638</v>
      </c>
      <c r="Y126" s="309">
        <f>+S126*('Input Sheet'!J$206-1)</f>
        <v>11887.489654362742</v>
      </c>
      <c r="Z126" s="310">
        <f>+T126*('Input Sheet'!K$206-1)</f>
        <v>12535.916377458663</v>
      </c>
      <c r="AA126" s="311"/>
      <c r="AB126" s="308">
        <f t="shared" si="99"/>
        <v>17829.168755776009</v>
      </c>
      <c r="AC126" s="309">
        <f t="shared" si="100"/>
        <v>19348.019560350993</v>
      </c>
      <c r="AD126" s="309">
        <f t="shared" si="101"/>
        <v>20100.80143054574</v>
      </c>
      <c r="AE126" s="309">
        <f t="shared" si="102"/>
        <v>21050.206217417777</v>
      </c>
      <c r="AF126" s="310">
        <f t="shared" si="103"/>
        <v>22014.163443220918</v>
      </c>
    </row>
    <row r="127" spans="2:33" s="97" customFormat="1" x14ac:dyDescent="0.2">
      <c r="B127" s="249" t="s">
        <v>129</v>
      </c>
      <c r="C127" s="362">
        <f>+'Input Sheet'!G136</f>
        <v>5</v>
      </c>
      <c r="D127" s="363">
        <f>+'Input Sheet'!H136</f>
        <v>4</v>
      </c>
      <c r="E127" s="363">
        <f>+'Input Sheet'!I136</f>
        <v>1</v>
      </c>
      <c r="F127" s="364">
        <f>+'Input Sheet'!K136</f>
        <v>4</v>
      </c>
      <c r="G127" s="335"/>
      <c r="H127" s="362">
        <f t="shared" si="98"/>
        <v>4</v>
      </c>
      <c r="I127" s="363">
        <f t="shared" si="98"/>
        <v>4</v>
      </c>
      <c r="J127" s="363">
        <f t="shared" si="98"/>
        <v>4</v>
      </c>
      <c r="K127" s="363">
        <f t="shared" si="98"/>
        <v>4</v>
      </c>
      <c r="L127" s="364">
        <f t="shared" si="98"/>
        <v>4</v>
      </c>
      <c r="N127" s="121">
        <f>+'Standard Hour Calcs'!Y64</f>
        <v>6</v>
      </c>
      <c r="P127" s="308">
        <f>IF($N63="Hourly",'Input Sheet'!G$196*'Fee Breakdown'!$N127*'Fee Breakdown'!H127,'Input Sheet'!G$196*'Fee Breakdown'!$N63*'Fee Breakdown'!H127)</f>
        <v>2316.1852289765839</v>
      </c>
      <c r="Q127" s="309">
        <f>IF($N63="Hourly",'Input Sheet'!H$196*'Fee Breakdown'!$N127*'Fee Breakdown'!I127,'Input Sheet'!H$196*'Fee Breakdown'!$N63*'Fee Breakdown'!I127)</f>
        <v>2417.2397417505208</v>
      </c>
      <c r="R127" s="309">
        <f>IF($N63="Hourly",'Input Sheet'!I$196*'Fee Breakdown'!$N127*'Fee Breakdown'!J127,'Input Sheet'!I$196*'Fee Breakdown'!$N63*'Fee Breakdown'!J127)</f>
        <v>2499.0819181861002</v>
      </c>
      <c r="S127" s="309">
        <f>IF($N63="Hourly",'Input Sheet'!J$196*'Fee Breakdown'!$N127*'Fee Breakdown'!K127,'Input Sheet'!J$196*'Fee Breakdown'!$N63*'Fee Breakdown'!K127)</f>
        <v>2587.1199707449514</v>
      </c>
      <c r="T127" s="310">
        <f>IF($N63="Hourly",'Input Sheet'!K$196*'Fee Breakdown'!$N127*'Fee Breakdown'!L127,'Input Sheet'!K$196*'Fee Breakdown'!$N63*'Fee Breakdown'!L127)</f>
        <v>2676.2109362152241</v>
      </c>
      <c r="U127" s="311"/>
      <c r="V127" s="308">
        <f>+P127*('Input Sheet'!G$206-1)</f>
        <v>2717.9330079484066</v>
      </c>
      <c r="W127" s="309">
        <f>+Q127*('Input Sheet'!H$206-1)</f>
        <v>3045.7304870544644</v>
      </c>
      <c r="X127" s="309">
        <f>+R127*('Input Sheet'!I$206-1)</f>
        <v>3176.4384857326982</v>
      </c>
      <c r="Y127" s="309">
        <f>+S127*('Input Sheet'!J$206-1)</f>
        <v>3356.4676671141856</v>
      </c>
      <c r="Z127" s="310">
        <f>+T127*('Input Sheet'!K$206-1)</f>
        <v>3539.5528595177393</v>
      </c>
      <c r="AA127" s="311"/>
      <c r="AB127" s="308">
        <f t="shared" si="99"/>
        <v>5034.1182369249909</v>
      </c>
      <c r="AC127" s="309">
        <f t="shared" si="100"/>
        <v>5462.9702288049848</v>
      </c>
      <c r="AD127" s="309">
        <f t="shared" si="101"/>
        <v>5675.5204039187984</v>
      </c>
      <c r="AE127" s="309">
        <f t="shared" si="102"/>
        <v>5943.5876378591365</v>
      </c>
      <c r="AF127" s="310">
        <f t="shared" si="103"/>
        <v>6215.7637957329634</v>
      </c>
    </row>
    <row r="128" spans="2:33" s="97" customFormat="1" x14ac:dyDescent="0.2">
      <c r="B128" s="249"/>
      <c r="C128" s="362"/>
      <c r="D128" s="363"/>
      <c r="E128" s="363"/>
      <c r="F128" s="364"/>
      <c r="G128" s="335"/>
      <c r="H128" s="362"/>
      <c r="I128" s="363"/>
      <c r="J128" s="363"/>
      <c r="K128" s="363"/>
      <c r="L128" s="364"/>
      <c r="N128" s="121"/>
      <c r="P128" s="308"/>
      <c r="Q128" s="309"/>
      <c r="R128" s="309"/>
      <c r="S128" s="309"/>
      <c r="T128" s="310"/>
      <c r="U128" s="311"/>
      <c r="V128" s="308"/>
      <c r="W128" s="309"/>
      <c r="X128" s="309"/>
      <c r="Y128" s="309"/>
      <c r="Z128" s="310"/>
      <c r="AA128" s="311"/>
      <c r="AB128" s="308"/>
      <c r="AC128" s="309"/>
      <c r="AD128" s="309"/>
      <c r="AE128" s="309"/>
      <c r="AF128" s="310"/>
    </row>
    <row r="129" spans="2:32" s="97" customFormat="1" x14ac:dyDescent="0.2">
      <c r="B129" s="249"/>
      <c r="C129" s="368">
        <f>SUM(C116:C127)</f>
        <v>260</v>
      </c>
      <c r="D129" s="369">
        <f t="shared" ref="D129:F129" si="104">SUM(D116:D127)</f>
        <v>252</v>
      </c>
      <c r="E129" s="369">
        <f t="shared" si="104"/>
        <v>234</v>
      </c>
      <c r="F129" s="370">
        <f t="shared" si="104"/>
        <v>267</v>
      </c>
      <c r="G129" s="335"/>
      <c r="H129" s="368">
        <f>SUM(H116:H127)</f>
        <v>254</v>
      </c>
      <c r="I129" s="369">
        <f t="shared" ref="I129" si="105">SUM(I116:I127)</f>
        <v>254</v>
      </c>
      <c r="J129" s="369">
        <f t="shared" ref="J129" si="106">SUM(J116:J127)</f>
        <v>254</v>
      </c>
      <c r="K129" s="369">
        <f t="shared" ref="K129" si="107">SUM(K116:K127)</f>
        <v>254</v>
      </c>
      <c r="L129" s="370">
        <f t="shared" ref="L129" si="108">SUM(L116:L127)</f>
        <v>254</v>
      </c>
      <c r="N129" s="121"/>
      <c r="P129" s="315">
        <f t="shared" ref="P129" si="109">SUM(P116:P127)</f>
        <v>124108.92518599526</v>
      </c>
      <c r="Q129" s="316">
        <f t="shared" ref="Q129" si="110">SUM(Q116:Q127)</f>
        <v>129523.76282879876</v>
      </c>
      <c r="R129" s="316">
        <f t="shared" ref="R129" si="111">SUM(R116:R127)</f>
        <v>133909.13944947184</v>
      </c>
      <c r="S129" s="316">
        <f t="shared" ref="S129" si="112">SUM(S116:S127)</f>
        <v>138626.5117657503</v>
      </c>
      <c r="T129" s="317">
        <f t="shared" ref="T129" si="113">SUM(T116:T127)</f>
        <v>143400.30266553245</v>
      </c>
      <c r="U129" s="318"/>
      <c r="V129" s="315">
        <f t="shared" ref="V129" si="114">SUM(V116:V127)</f>
        <v>145635.91034256882</v>
      </c>
      <c r="W129" s="316">
        <f t="shared" ref="W129" si="115">SUM(W116:W127)</f>
        <v>163200.39193133506</v>
      </c>
      <c r="X129" s="316">
        <f t="shared" ref="X129" si="116">SUM(X116:X127)</f>
        <v>170204.16219384375</v>
      </c>
      <c r="Y129" s="316">
        <f t="shared" ref="Y129" si="117">SUM(Y116:Y127)</f>
        <v>179850.72582953513</v>
      </c>
      <c r="Z129" s="317">
        <f t="shared" ref="Z129" si="118">SUM(Z116:Z127)</f>
        <v>189661.04072249224</v>
      </c>
      <c r="AA129" s="318"/>
      <c r="AB129" s="315">
        <f t="shared" ref="AB129" si="119">SUM(AB116:AB127)</f>
        <v>269744.835528564</v>
      </c>
      <c r="AC129" s="316">
        <f t="shared" ref="AC129" si="120">SUM(AC116:AC127)</f>
        <v>292724.15476013382</v>
      </c>
      <c r="AD129" s="316">
        <f t="shared" ref="AD129" si="121">SUM(AD116:AD127)</f>
        <v>304113.30164331564</v>
      </c>
      <c r="AE129" s="316">
        <f t="shared" ref="AE129" si="122">SUM(AE116:AE127)</f>
        <v>318477.23759528552</v>
      </c>
      <c r="AF129" s="317">
        <f t="shared" ref="AF129" si="123">SUM(AF116:AF127)</f>
        <v>333061.3433880246</v>
      </c>
    </row>
    <row r="130" spans="2:32" s="97" customFormat="1" x14ac:dyDescent="0.25">
      <c r="B130" s="125"/>
      <c r="C130" s="362"/>
      <c r="D130" s="363"/>
      <c r="E130" s="363"/>
      <c r="F130" s="364"/>
      <c r="G130" s="335"/>
      <c r="H130" s="362"/>
      <c r="I130" s="363"/>
      <c r="J130" s="363"/>
      <c r="K130" s="363"/>
      <c r="L130" s="364"/>
      <c r="N130" s="127"/>
      <c r="P130" s="308"/>
      <c r="Q130" s="309"/>
      <c r="R130" s="309"/>
      <c r="S130" s="309"/>
      <c r="T130" s="310"/>
      <c r="U130" s="311"/>
      <c r="V130" s="308"/>
      <c r="W130" s="309"/>
      <c r="X130" s="309"/>
      <c r="Y130" s="309"/>
      <c r="Z130" s="310"/>
      <c r="AA130" s="311"/>
      <c r="AB130" s="308"/>
      <c r="AC130" s="309"/>
      <c r="AD130" s="309"/>
      <c r="AE130" s="309"/>
      <c r="AF130" s="310"/>
    </row>
    <row r="131" spans="2:32" s="97" customFormat="1" x14ac:dyDescent="0.2">
      <c r="C131" s="381">
        <f>+C129+C113</f>
        <v>1274</v>
      </c>
      <c r="D131" s="382">
        <f t="shared" ref="D131:F131" si="124">+D129+D113</f>
        <v>1082</v>
      </c>
      <c r="E131" s="382">
        <f t="shared" si="124"/>
        <v>1186</v>
      </c>
      <c r="F131" s="383">
        <f t="shared" si="124"/>
        <v>1199</v>
      </c>
      <c r="G131" s="384"/>
      <c r="H131" s="381">
        <f t="shared" ref="H131:L131" si="125">+H129+H113</f>
        <v>1190</v>
      </c>
      <c r="I131" s="382">
        <f t="shared" si="125"/>
        <v>1190</v>
      </c>
      <c r="J131" s="382">
        <f t="shared" si="125"/>
        <v>1190</v>
      </c>
      <c r="K131" s="382">
        <f t="shared" si="125"/>
        <v>1190</v>
      </c>
      <c r="L131" s="383">
        <f t="shared" si="125"/>
        <v>1190</v>
      </c>
      <c r="P131" s="319">
        <f t="shared" ref="P131:AF131" si="126">+P129+P113</f>
        <v>933712.17043118528</v>
      </c>
      <c r="Q131" s="320">
        <f t="shared" si="126"/>
        <v>974449.77089317865</v>
      </c>
      <c r="R131" s="320">
        <f t="shared" si="126"/>
        <v>1007442.3982687717</v>
      </c>
      <c r="S131" s="320">
        <f t="shared" si="126"/>
        <v>1042932.7382065584</v>
      </c>
      <c r="T131" s="321">
        <f t="shared" si="126"/>
        <v>1078847.5336617623</v>
      </c>
      <c r="U131" s="311"/>
      <c r="V131" s="319">
        <f t="shared" si="126"/>
        <v>1095666.7438292017</v>
      </c>
      <c r="W131" s="320">
        <f t="shared" si="126"/>
        <v>1227810.102593831</v>
      </c>
      <c r="X131" s="320">
        <f t="shared" si="126"/>
        <v>1280501.7645609938</v>
      </c>
      <c r="Y131" s="320">
        <f t="shared" si="126"/>
        <v>1353076.0283054062</v>
      </c>
      <c r="Z131" s="321">
        <f t="shared" si="126"/>
        <v>1426882.2464930888</v>
      </c>
      <c r="AA131" s="311"/>
      <c r="AB131" s="319">
        <f t="shared" si="126"/>
        <v>2029378.914260387</v>
      </c>
      <c r="AC131" s="320">
        <f t="shared" si="126"/>
        <v>2202259.8734870101</v>
      </c>
      <c r="AD131" s="320">
        <f t="shared" si="126"/>
        <v>2287944.1628297656</v>
      </c>
      <c r="AE131" s="320">
        <f t="shared" si="126"/>
        <v>2396008.7665119651</v>
      </c>
      <c r="AF131" s="321">
        <f t="shared" si="126"/>
        <v>2505729.7801548513</v>
      </c>
    </row>
    <row r="132" spans="2:32" s="97" customFormat="1" x14ac:dyDescent="0.25">
      <c r="P132" s="29"/>
      <c r="Q132" s="29"/>
      <c r="R132" s="29"/>
      <c r="S132" s="29"/>
      <c r="T132" s="29"/>
      <c r="U132" s="29"/>
      <c r="V132" s="29"/>
      <c r="W132" s="29"/>
      <c r="X132" s="29"/>
      <c r="Y132" s="29"/>
      <c r="Z132" s="29"/>
      <c r="AA132" s="29"/>
      <c r="AB132" s="29"/>
      <c r="AC132" s="29"/>
      <c r="AD132" s="29"/>
      <c r="AE132" s="29"/>
      <c r="AF132" s="29"/>
    </row>
    <row r="133" spans="2:32" s="97" customFormat="1" hidden="1" x14ac:dyDescent="0.25">
      <c r="P133" s="29"/>
      <c r="Q133" s="29"/>
      <c r="R133" s="29"/>
      <c r="S133" s="29"/>
      <c r="T133" s="29"/>
      <c r="U133" s="29"/>
      <c r="V133" s="98"/>
      <c r="W133" s="98"/>
      <c r="X133" s="98"/>
      <c r="Y133" s="98"/>
      <c r="Z133" s="98"/>
      <c r="AA133" s="29"/>
      <c r="AB133" s="29"/>
      <c r="AC133" s="29"/>
      <c r="AD133" s="29"/>
      <c r="AE133" s="29"/>
      <c r="AF133" s="29"/>
    </row>
    <row r="134" spans="2:32" x14ac:dyDescent="0.25">
      <c r="P134" s="29"/>
      <c r="Q134" s="29"/>
      <c r="R134" s="29"/>
      <c r="S134" s="29"/>
      <c r="T134" s="29"/>
      <c r="U134" s="29"/>
      <c r="AA134" s="29"/>
      <c r="AB134" s="29"/>
      <c r="AC134" s="29"/>
      <c r="AD134" s="29"/>
      <c r="AE134" s="29"/>
      <c r="AF134" s="29"/>
    </row>
  </sheetData>
  <mergeCells count="10">
    <mergeCell ref="AB71:AF71"/>
    <mergeCell ref="C71:F71"/>
    <mergeCell ref="H71:L71"/>
    <mergeCell ref="C7:F7"/>
    <mergeCell ref="P7:T7"/>
    <mergeCell ref="H7:L7"/>
    <mergeCell ref="V7:Z7"/>
    <mergeCell ref="P71:T71"/>
    <mergeCell ref="V71:Z71"/>
    <mergeCell ref="AB7:AF7"/>
  </mergeCells>
  <pageMargins left="0.39370078740157483" right="0.39370078740157483" top="0.39370078740157483" bottom="0.39370078740157483" header="0.19685039370078741" footer="0.19685039370078741"/>
  <pageSetup paperSize="8" scale="46" orientation="landscape" r:id="rId1"/>
  <headerFooter>
    <oddFooter>&amp;C&amp;F&amp;R&amp;A</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Input Documents --&gt;</vt:lpstr>
      <vt:lpstr>Input Sheet</vt:lpstr>
      <vt:lpstr>Standard Hour Calcs</vt:lpstr>
      <vt:lpstr>Methodology Statements --&gt;</vt:lpstr>
      <vt:lpstr>AER Summary</vt:lpstr>
      <vt:lpstr>Service Description</vt:lpstr>
      <vt:lpstr>Fee Breakdown</vt:lpstr>
      <vt:lpstr>'AER Summary'!Print_Area</vt:lpstr>
      <vt:lpstr>'Fee Breakdown'!Print_Area</vt:lpstr>
      <vt:lpstr>'Standard Hour Calcs'!Print_Titles</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2014-04-28T01:44:21Z</cp:lastPrinted>
  <dcterms:created xsi:type="dcterms:W3CDTF">2013-06-17T01:25:32Z</dcterms:created>
  <dcterms:modified xsi:type="dcterms:W3CDTF">2015-01-04T23:50:24Z</dcterms:modified>
</cp:coreProperties>
</file>