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irectlink 2020 reset\3 Draft decision\WEB\Models\Directlink updated opex forecast - 21 August 2019\"/>
    </mc:Choice>
  </mc:AlternateContent>
  <bookViews>
    <workbookView xWindow="0" yWindow="0" windowWidth="28800" windowHeight="11700" activeTab="4"/>
  </bookViews>
  <sheets>
    <sheet name="Input│ Historic Opex" sheetId="1" r:id="rId1"/>
    <sheet name="Input│ Other" sheetId="2" r:id="rId2"/>
    <sheet name="Input│ Forecast" sheetId="10" r:id="rId3"/>
    <sheet name="Calc│Forecast" sheetId="4" r:id="rId4"/>
    <sheet name="Outputs│PTRM" sheetId="6" r:id="rId5"/>
    <sheet name="Outputs│Tables" sheetId="7" r:id="rId6"/>
    <sheet name="Outputs│Graphs" sheetId="8" r:id="rId7"/>
  </sheets>
  <externalReferences>
    <externalReference r:id="rId8"/>
  </externalReferences>
  <definedNames>
    <definedName name="CRCP_y1">'[1]Business &amp; other details'!$C$39</definedName>
    <definedName name="CRCP_y2">'[1]Business &amp; other details'!$D$39</definedName>
    <definedName name="CRCP_y3">'[1]Business &amp; other details'!$E$39</definedName>
    <definedName name="CRCP_y4">'[1]Business &amp; other details'!$F$39</definedName>
    <definedName name="CRCP_y5">'[1]Business &amp; other details'!$G$39</definedName>
    <definedName name="dms_DollarReal">'[1]Business &amp; other details'!$C$74</definedName>
    <definedName name="dms_EBSS_status">'[1]Business &amp; other details'!$C$62</definedName>
    <definedName name="dms_PRCP_BaseYear">'[1]7.5 EBSS'!$C$24</definedName>
    <definedName name="dms_RPT">'[1]Business &amp; other details'!$C$66</definedName>
    <definedName name="dms_RPTMonth">'[1]Business &amp; other details'!$C$73</definedName>
    <definedName name="dms_TradingName">'[1]Business &amp; other details'!$C$14</definedName>
    <definedName name="FRCP_y1">'[1]Business &amp; other details'!$C$35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PRCP_y1">'[1]Business &amp; other details'!$C$44</definedName>
    <definedName name="PRCP_y2">'[1]Business &amp; other details'!$D$44</definedName>
    <definedName name="PRCP_y3">'[1]Business &amp; other details'!$E$44</definedName>
    <definedName name="PRCP_y4">'[1]Business &amp; other details'!$F$44</definedName>
    <definedName name="PRCP_y5">'[1]Business &amp; other details'!$G$44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D26" i="1"/>
  <c r="F102" i="7"/>
  <c r="F103" i="7"/>
  <c r="F104" i="7"/>
  <c r="F105" i="7"/>
  <c r="F106" i="7"/>
  <c r="G102" i="7"/>
  <c r="G103" i="7"/>
  <c r="G104" i="7"/>
  <c r="G105" i="7"/>
  <c r="G106" i="7"/>
  <c r="G101" i="7"/>
  <c r="J101" i="7"/>
  <c r="K101" i="7"/>
  <c r="L101" i="7"/>
  <c r="M101" i="7"/>
  <c r="N101" i="7"/>
  <c r="O101" i="7"/>
  <c r="J102" i="7"/>
  <c r="K102" i="7"/>
  <c r="L102" i="7"/>
  <c r="M102" i="7"/>
  <c r="N102" i="7"/>
  <c r="O102" i="7"/>
  <c r="J103" i="7"/>
  <c r="K103" i="7"/>
  <c r="L103" i="7"/>
  <c r="M103" i="7"/>
  <c r="N103" i="7"/>
  <c r="O103" i="7"/>
  <c r="J104" i="7"/>
  <c r="K104" i="7"/>
  <c r="L104" i="7"/>
  <c r="M104" i="7"/>
  <c r="N104" i="7"/>
  <c r="O104" i="7"/>
  <c r="J105" i="7"/>
  <c r="K105" i="7"/>
  <c r="L105" i="7"/>
  <c r="M105" i="7"/>
  <c r="N105" i="7"/>
  <c r="O105" i="7"/>
  <c r="J106" i="7"/>
  <c r="K106" i="7"/>
  <c r="L106" i="7"/>
  <c r="M106" i="7"/>
  <c r="N106" i="7"/>
  <c r="O106" i="7"/>
  <c r="I102" i="7"/>
  <c r="I103" i="7"/>
  <c r="I104" i="7"/>
  <c r="I105" i="7"/>
  <c r="I106" i="7"/>
  <c r="I101" i="7"/>
  <c r="H102" i="7"/>
  <c r="H103" i="7"/>
  <c r="H104" i="7"/>
  <c r="H105" i="7"/>
  <c r="H106" i="7"/>
  <c r="H101" i="7"/>
  <c r="G100" i="7"/>
  <c r="O100" i="7"/>
  <c r="H100" i="7"/>
  <c r="I100" i="7"/>
  <c r="J100" i="7"/>
  <c r="K100" i="7"/>
  <c r="L100" i="7"/>
  <c r="M100" i="7"/>
  <c r="N100" i="7"/>
  <c r="E102" i="7"/>
  <c r="E103" i="7"/>
  <c r="E104" i="7"/>
  <c r="E105" i="7"/>
  <c r="E106" i="7"/>
  <c r="E101" i="7"/>
  <c r="H96" i="7"/>
  <c r="I96" i="7"/>
  <c r="J96" i="7"/>
  <c r="K96" i="7"/>
  <c r="H97" i="7"/>
  <c r="I97" i="7"/>
  <c r="J97" i="7"/>
  <c r="K97" i="7"/>
  <c r="H98" i="7"/>
  <c r="I98" i="7"/>
  <c r="J98" i="7"/>
  <c r="K98" i="7"/>
  <c r="G97" i="7"/>
  <c r="G96" i="7"/>
  <c r="E98" i="7"/>
  <c r="E97" i="7"/>
  <c r="E96" i="7"/>
  <c r="F97" i="7"/>
  <c r="F98" i="7"/>
  <c r="L96" i="7"/>
  <c r="G98" i="7"/>
  <c r="L98" i="7"/>
  <c r="L97" i="7"/>
  <c r="E19" i="10"/>
  <c r="F31" i="4"/>
  <c r="F19" i="10"/>
  <c r="G31" i="4"/>
  <c r="D19" i="10"/>
  <c r="E31" i="4"/>
  <c r="J80" i="1"/>
  <c r="L42" i="7"/>
  <c r="H19" i="10"/>
  <c r="I31" i="4"/>
  <c r="I19" i="10"/>
  <c r="J31" i="4"/>
  <c r="L43" i="7"/>
  <c r="G19" i="10"/>
  <c r="H31" i="4"/>
  <c r="Q55" i="7"/>
  <c r="R55" i="7"/>
  <c r="S55" i="7"/>
  <c r="N55" i="7"/>
  <c r="O55" i="7"/>
  <c r="P55" i="7"/>
  <c r="M55" i="7"/>
  <c r="F36" i="7"/>
  <c r="F37" i="7"/>
  <c r="F70" i="7"/>
  <c r="C19" i="10"/>
  <c r="K55" i="7"/>
  <c r="P14" i="8"/>
  <c r="Q14" i="8"/>
  <c r="J16" i="7"/>
  <c r="J18" i="7"/>
  <c r="C24" i="4"/>
  <c r="D38" i="4"/>
  <c r="D39" i="4"/>
  <c r="G16" i="7"/>
  <c r="I56" i="7"/>
  <c r="G18" i="7"/>
  <c r="J56" i="7"/>
  <c r="I15" i="7"/>
  <c r="I16" i="7"/>
  <c r="K56" i="7"/>
  <c r="I18" i="7"/>
  <c r="G70" i="7"/>
  <c r="E32" i="4"/>
  <c r="E38" i="4"/>
  <c r="E39" i="4"/>
  <c r="E53" i="4"/>
  <c r="I19" i="7"/>
  <c r="H70" i="7"/>
  <c r="F38" i="4"/>
  <c r="F39" i="4"/>
  <c r="I70" i="7"/>
  <c r="G38" i="4"/>
  <c r="G53" i="4"/>
  <c r="G39" i="4"/>
  <c r="G52" i="4"/>
  <c r="P56" i="7"/>
  <c r="J70" i="7"/>
  <c r="H38" i="4"/>
  <c r="H39" i="4"/>
  <c r="K70" i="7"/>
  <c r="I38" i="4"/>
  <c r="I53" i="4"/>
  <c r="I39" i="4"/>
  <c r="L70" i="7"/>
  <c r="J32" i="4"/>
  <c r="J38" i="4"/>
  <c r="J39" i="4"/>
  <c r="I22" i="8"/>
  <c r="I21" i="8"/>
  <c r="I20" i="8"/>
  <c r="B53" i="4"/>
  <c r="A38" i="4"/>
  <c r="A53" i="4"/>
  <c r="C38" i="4"/>
  <c r="C53" i="4"/>
  <c r="C13" i="10"/>
  <c r="D78" i="4"/>
  <c r="E78" i="4"/>
  <c r="F78" i="4"/>
  <c r="G78" i="4"/>
  <c r="H78" i="4"/>
  <c r="I78" i="4"/>
  <c r="J78" i="4"/>
  <c r="C78" i="4"/>
  <c r="D67" i="4"/>
  <c r="E67" i="4"/>
  <c r="F67" i="4"/>
  <c r="G67" i="4"/>
  <c r="H67" i="4"/>
  <c r="I67" i="4"/>
  <c r="J67" i="4"/>
  <c r="C67" i="4"/>
  <c r="A80" i="4"/>
  <c r="A81" i="4"/>
  <c r="A82" i="4"/>
  <c r="A83" i="4"/>
  <c r="A84" i="4"/>
  <c r="A85" i="4"/>
  <c r="A79" i="4"/>
  <c r="G61" i="7"/>
  <c r="I64" i="7"/>
  <c r="I77" i="7"/>
  <c r="B65" i="4"/>
  <c r="B68" i="4"/>
  <c r="B63" i="4"/>
  <c r="B64" i="4"/>
  <c r="A59" i="4"/>
  <c r="B79" i="4"/>
  <c r="B80" i="4"/>
  <c r="B81" i="4"/>
  <c r="B82" i="4"/>
  <c r="B83" i="4"/>
  <c r="B84" i="4"/>
  <c r="B85" i="4"/>
  <c r="F15" i="7"/>
  <c r="B27" i="1"/>
  <c r="A15" i="2"/>
  <c r="E12" i="6"/>
  <c r="B71" i="1"/>
  <c r="B70" i="1"/>
  <c r="B69" i="1"/>
  <c r="B68" i="1"/>
  <c r="B67" i="1"/>
  <c r="B66" i="1"/>
  <c r="C27" i="10"/>
  <c r="D47" i="4"/>
  <c r="I26" i="10"/>
  <c r="A10" i="2"/>
  <c r="A10" i="10"/>
  <c r="I23" i="10"/>
  <c r="H23" i="10"/>
  <c r="G23" i="10"/>
  <c r="F23" i="10"/>
  <c r="E23" i="10"/>
  <c r="D23" i="10"/>
  <c r="C23" i="10"/>
  <c r="D27" i="10"/>
  <c r="E47" i="4"/>
  <c r="E27" i="10"/>
  <c r="F27" i="10"/>
  <c r="F47" i="4"/>
  <c r="G27" i="10"/>
  <c r="G47" i="4"/>
  <c r="H27" i="10"/>
  <c r="H47" i="4"/>
  <c r="I27" i="10"/>
  <c r="J47" i="4"/>
  <c r="I47" i="4"/>
  <c r="A30" i="1"/>
  <c r="I54" i="1"/>
  <c r="H19" i="7"/>
  <c r="K44" i="7"/>
  <c r="K45" i="7"/>
  <c r="H18" i="7"/>
  <c r="K18" i="7"/>
  <c r="C31" i="4"/>
  <c r="H16" i="7"/>
  <c r="K16" i="7"/>
  <c r="G15" i="7"/>
  <c r="A27" i="1"/>
  <c r="A10" i="8"/>
  <c r="M34" i="7"/>
  <c r="G64" i="7"/>
  <c r="G77" i="7"/>
  <c r="F16" i="7"/>
  <c r="F17" i="7"/>
  <c r="F18" i="7"/>
  <c r="F19" i="7"/>
  <c r="A10" i="7"/>
  <c r="A10" i="6"/>
  <c r="C39" i="4"/>
  <c r="B23" i="4"/>
  <c r="C17" i="4"/>
  <c r="B17" i="4"/>
  <c r="B20" i="4"/>
  <c r="B24" i="4"/>
  <c r="B27" i="4"/>
  <c r="B31" i="4"/>
  <c r="B32" i="4"/>
  <c r="B35" i="4"/>
  <c r="B38" i="4"/>
  <c r="A10" i="4"/>
  <c r="F18" i="2"/>
  <c r="A16" i="2"/>
  <c r="D12" i="2"/>
  <c r="B64" i="1"/>
  <c r="A64" i="1"/>
  <c r="A71" i="1"/>
  <c r="B63" i="1"/>
  <c r="A63" i="1"/>
  <c r="A70" i="1"/>
  <c r="B62" i="1"/>
  <c r="A62" i="1"/>
  <c r="A69" i="1"/>
  <c r="B61" i="1"/>
  <c r="A61" i="1"/>
  <c r="A68" i="1"/>
  <c r="B60" i="1"/>
  <c r="A60" i="1"/>
  <c r="B59" i="1"/>
  <c r="A59" i="1"/>
  <c r="A67" i="1"/>
  <c r="A58" i="1"/>
  <c r="A66" i="1"/>
  <c r="B49" i="1"/>
  <c r="B51" i="1"/>
  <c r="B52" i="1"/>
  <c r="B54" i="1"/>
  <c r="B40" i="1"/>
  <c r="H34" i="1"/>
  <c r="G34" i="1"/>
  <c r="F34" i="1"/>
  <c r="E34" i="1"/>
  <c r="D34" i="1"/>
  <c r="B28" i="1"/>
  <c r="B29" i="1"/>
  <c r="B30" i="1"/>
  <c r="I23" i="1"/>
  <c r="A10" i="1"/>
  <c r="H15" i="7"/>
  <c r="J55" i="7"/>
  <c r="L55" i="7"/>
  <c r="B39" i="4"/>
  <c r="B41" i="4"/>
  <c r="E12" i="2"/>
  <c r="B69" i="4"/>
  <c r="B70" i="4"/>
  <c r="B71" i="4"/>
  <c r="B72" i="4"/>
  <c r="B73" i="4"/>
  <c r="B74" i="4"/>
  <c r="B46" i="4"/>
  <c r="F12" i="2"/>
  <c r="B51" i="4"/>
  <c r="B55" i="4"/>
  <c r="B48" i="4"/>
  <c r="B54" i="4"/>
  <c r="B52" i="4"/>
  <c r="G12" i="2"/>
  <c r="H12" i="2"/>
  <c r="I12" i="2"/>
  <c r="J12" i="2"/>
  <c r="K12" i="2"/>
  <c r="L12" i="2"/>
  <c r="M12" i="2"/>
  <c r="N12" i="2"/>
  <c r="O12" i="2"/>
  <c r="D16" i="2"/>
  <c r="J15" i="7"/>
  <c r="I49" i="1"/>
  <c r="K17" i="7"/>
  <c r="I52" i="1"/>
  <c r="H81" i="1"/>
  <c r="H82" i="1"/>
  <c r="K19" i="7"/>
  <c r="I51" i="1"/>
  <c r="G20" i="7"/>
  <c r="I20" i="7"/>
  <c r="F16" i="2"/>
  <c r="U14" i="8"/>
  <c r="J95" i="7"/>
  <c r="T14" i="8"/>
  <c r="I95" i="7"/>
  <c r="S14" i="8"/>
  <c r="H95" i="7"/>
  <c r="V14" i="8"/>
  <c r="K95" i="7"/>
  <c r="R14" i="8"/>
  <c r="G95" i="7"/>
  <c r="I52" i="4"/>
  <c r="R56" i="7"/>
  <c r="F32" i="4"/>
  <c r="E52" i="4"/>
  <c r="N56" i="7"/>
  <c r="G32" i="4"/>
  <c r="D32" i="4"/>
  <c r="D53" i="4"/>
  <c r="H53" i="4"/>
  <c r="I44" i="7"/>
  <c r="I45" i="7"/>
  <c r="G44" i="7"/>
  <c r="J52" i="4"/>
  <c r="S56" i="7"/>
  <c r="I32" i="4"/>
  <c r="D52" i="4"/>
  <c r="M56" i="7"/>
  <c r="H20" i="7"/>
  <c r="J19" i="7"/>
  <c r="J44" i="7"/>
  <c r="J45" i="7"/>
  <c r="H52" i="4"/>
  <c r="Q56" i="7"/>
  <c r="G17" i="7"/>
  <c r="G19" i="7"/>
  <c r="H32" i="4"/>
  <c r="F52" i="4"/>
  <c r="O56" i="7"/>
  <c r="H44" i="7"/>
  <c r="H45" i="7"/>
  <c r="L14" i="8"/>
  <c r="H41" i="7"/>
  <c r="K14" i="8"/>
  <c r="G41" i="7"/>
  <c r="F61" i="7"/>
  <c r="H64" i="7"/>
  <c r="H77" i="7"/>
  <c r="M14" i="8"/>
  <c r="I41" i="7"/>
  <c r="O14" i="8"/>
  <c r="K41" i="7"/>
  <c r="N14" i="8"/>
  <c r="J41" i="7"/>
  <c r="K34" i="7"/>
  <c r="L34" i="7"/>
  <c r="F64" i="7"/>
  <c r="F77" i="7"/>
  <c r="I34" i="7"/>
  <c r="J34" i="7"/>
  <c r="H17" i="7"/>
  <c r="G81" i="1"/>
  <c r="G82" i="1"/>
  <c r="H16" i="2"/>
  <c r="C16" i="2"/>
  <c r="G16" i="2"/>
  <c r="F81" i="1"/>
  <c r="F82" i="1"/>
  <c r="J17" i="7"/>
  <c r="L56" i="7"/>
  <c r="I17" i="7"/>
  <c r="I21" i="7"/>
  <c r="I28" i="7"/>
  <c r="J20" i="7"/>
  <c r="D23" i="1"/>
  <c r="D83" i="1"/>
  <c r="G46" i="7"/>
  <c r="J79" i="1"/>
  <c r="G18" i="2"/>
  <c r="H18" i="2"/>
  <c r="I18" i="2"/>
  <c r="J18" i="2"/>
  <c r="D12" i="10"/>
  <c r="E12" i="10"/>
  <c r="F12" i="10"/>
  <c r="G12" i="10"/>
  <c r="H12" i="10"/>
  <c r="I12" i="10"/>
  <c r="I40" i="1"/>
  <c r="G40" i="1"/>
  <c r="H61" i="7"/>
  <c r="J64" i="7"/>
  <c r="J77" i="7"/>
  <c r="E23" i="1"/>
  <c r="E83" i="1"/>
  <c r="H46" i="7"/>
  <c r="J40" i="1"/>
  <c r="J53" i="4"/>
  <c r="F53" i="4"/>
  <c r="B53" i="1"/>
  <c r="E81" i="1"/>
  <c r="E82" i="1"/>
  <c r="F40" i="1"/>
  <c r="H40" i="1"/>
  <c r="F23" i="1"/>
  <c r="F83" i="1"/>
  <c r="D81" i="1"/>
  <c r="F21" i="7"/>
  <c r="F27" i="7"/>
  <c r="F28" i="7"/>
  <c r="F29" i="7"/>
  <c r="F20" i="7"/>
  <c r="J61" i="7"/>
  <c r="L64" i="7"/>
  <c r="L77" i="7"/>
  <c r="I55" i="7"/>
  <c r="I61" i="7"/>
  <c r="K64" i="7"/>
  <c r="K77" i="7"/>
  <c r="K20" i="7"/>
  <c r="I53" i="1"/>
  <c r="G23" i="1"/>
  <c r="G83" i="1"/>
  <c r="J46" i="7"/>
  <c r="H21" i="7"/>
  <c r="L15" i="8"/>
  <c r="H23" i="1"/>
  <c r="C13" i="4"/>
  <c r="K15" i="7"/>
  <c r="K21" i="7"/>
  <c r="I48" i="1"/>
  <c r="I55" i="1"/>
  <c r="J81" i="1"/>
  <c r="J82" i="1"/>
  <c r="F43" i="1"/>
  <c r="I27" i="7"/>
  <c r="E84" i="1"/>
  <c r="H47" i="7"/>
  <c r="G21" i="7"/>
  <c r="K15" i="8"/>
  <c r="J47" i="7"/>
  <c r="F84" i="1"/>
  <c r="I46" i="7"/>
  <c r="I47" i="7"/>
  <c r="G45" i="7"/>
  <c r="L44" i="7"/>
  <c r="G84" i="1"/>
  <c r="H43" i="1"/>
  <c r="O16" i="8"/>
  <c r="D82" i="1"/>
  <c r="D84" i="1"/>
  <c r="J21" i="7"/>
  <c r="J28" i="7"/>
  <c r="G43" i="1"/>
  <c r="N16" i="8"/>
  <c r="D13" i="10"/>
  <c r="M15" i="8"/>
  <c r="H83" i="1"/>
  <c r="K46" i="7"/>
  <c r="J13" i="2"/>
  <c r="I15" i="2"/>
  <c r="I16" i="2"/>
  <c r="I43" i="1"/>
  <c r="L27" i="7"/>
  <c r="M16" i="8"/>
  <c r="I60" i="1"/>
  <c r="I61" i="1"/>
  <c r="I63" i="1"/>
  <c r="I70" i="1"/>
  <c r="I62" i="1"/>
  <c r="I69" i="1"/>
  <c r="I59" i="1"/>
  <c r="I58" i="1"/>
  <c r="K28" i="7"/>
  <c r="O15" i="8"/>
  <c r="N15" i="8"/>
  <c r="G47" i="7"/>
  <c r="L45" i="7"/>
  <c r="K27" i="7"/>
  <c r="L46" i="7"/>
  <c r="K47" i="7"/>
  <c r="J27" i="7"/>
  <c r="E13" i="10"/>
  <c r="F13" i="10"/>
  <c r="G13" i="10"/>
  <c r="H13" i="10"/>
  <c r="I13" i="10"/>
  <c r="G63" i="4"/>
  <c r="G81" i="7"/>
  <c r="I83" i="7"/>
  <c r="D63" i="4"/>
  <c r="D70" i="4"/>
  <c r="H63" i="4"/>
  <c r="G80" i="7"/>
  <c r="K80" i="7"/>
  <c r="H81" i="7"/>
  <c r="L81" i="7"/>
  <c r="I82" i="7"/>
  <c r="F83" i="7"/>
  <c r="J83" i="7"/>
  <c r="E63" i="4"/>
  <c r="I63" i="4"/>
  <c r="H80" i="7"/>
  <c r="L80" i="7"/>
  <c r="I81" i="7"/>
  <c r="F82" i="7"/>
  <c r="J82" i="7"/>
  <c r="G83" i="7"/>
  <c r="K83" i="7"/>
  <c r="F63" i="4"/>
  <c r="J63" i="4"/>
  <c r="I80" i="7"/>
  <c r="F81" i="7"/>
  <c r="J81" i="7"/>
  <c r="G82" i="7"/>
  <c r="K82" i="7"/>
  <c r="H83" i="7"/>
  <c r="L83" i="7"/>
  <c r="F80" i="7"/>
  <c r="J80" i="7"/>
  <c r="K81" i="7"/>
  <c r="H82" i="7"/>
  <c r="L82" i="7"/>
  <c r="K29" i="7"/>
  <c r="I29" i="7"/>
  <c r="I64" i="1"/>
  <c r="I67" i="1"/>
  <c r="I66" i="1"/>
  <c r="H84" i="1"/>
  <c r="J83" i="1"/>
  <c r="J84" i="1"/>
  <c r="I68" i="1"/>
  <c r="F15" i="2"/>
  <c r="E15" i="2"/>
  <c r="K13" i="2"/>
  <c r="J15" i="2"/>
  <c r="D15" i="2"/>
  <c r="J16" i="2"/>
  <c r="J43" i="1"/>
  <c r="M27" i="7"/>
  <c r="C15" i="2"/>
  <c r="G15" i="2"/>
  <c r="H15" i="2"/>
  <c r="K36" i="7"/>
  <c r="N20" i="8"/>
  <c r="L47" i="7"/>
  <c r="N27" i="7"/>
  <c r="D81" i="4"/>
  <c r="L17" i="7"/>
  <c r="J29" i="7"/>
  <c r="I35" i="7"/>
  <c r="J36" i="7"/>
  <c r="K35" i="7"/>
  <c r="K37" i="7"/>
  <c r="J35" i="7"/>
  <c r="M35" i="7"/>
  <c r="I36" i="7"/>
  <c r="L35" i="7"/>
  <c r="I71" i="1"/>
  <c r="E45" i="4"/>
  <c r="I45" i="4"/>
  <c r="J45" i="4"/>
  <c r="H45" i="4"/>
  <c r="F45" i="4"/>
  <c r="C45" i="4"/>
  <c r="G45" i="4"/>
  <c r="D45" i="4"/>
  <c r="M20" i="8"/>
  <c r="M21" i="8"/>
  <c r="E29" i="1"/>
  <c r="E27" i="1"/>
  <c r="E28" i="1"/>
  <c r="O20" i="8"/>
  <c r="O21" i="8"/>
  <c r="L13" i="2"/>
  <c r="K15" i="2"/>
  <c r="K16" i="2"/>
  <c r="H28" i="1"/>
  <c r="H29" i="1"/>
  <c r="H27" i="1"/>
  <c r="D29" i="1"/>
  <c r="D27" i="1"/>
  <c r="D28" i="1"/>
  <c r="F27" i="1"/>
  <c r="F28" i="1"/>
  <c r="F29" i="1"/>
  <c r="P21" i="8"/>
  <c r="G28" i="1"/>
  <c r="G27" i="1"/>
  <c r="G29" i="1"/>
  <c r="Q21" i="8"/>
  <c r="E70" i="4"/>
  <c r="N21" i="8"/>
  <c r="E81" i="4"/>
  <c r="M17" i="7"/>
  <c r="I37" i="7"/>
  <c r="J37" i="7"/>
  <c r="N35" i="7"/>
  <c r="F30" i="1"/>
  <c r="H30" i="1"/>
  <c r="C20" i="4"/>
  <c r="C27" i="4"/>
  <c r="D27" i="4"/>
  <c r="F65" i="7"/>
  <c r="M13" i="2"/>
  <c r="L15" i="2"/>
  <c r="L16" i="2"/>
  <c r="E30" i="1"/>
  <c r="D30" i="1"/>
  <c r="C32" i="4"/>
  <c r="C52" i="4"/>
  <c r="C63" i="4"/>
  <c r="G30" i="1"/>
  <c r="F70" i="4"/>
  <c r="F81" i="4"/>
  <c r="N17" i="7"/>
  <c r="F78" i="7"/>
  <c r="C35" i="4"/>
  <c r="C41" i="4"/>
  <c r="C46" i="4"/>
  <c r="C48" i="4"/>
  <c r="C54" i="4"/>
  <c r="D35" i="4"/>
  <c r="D41" i="4"/>
  <c r="E27" i="4"/>
  <c r="G65" i="7"/>
  <c r="G70" i="4"/>
  <c r="M15" i="2"/>
  <c r="N13" i="2"/>
  <c r="M16" i="2"/>
  <c r="C70" i="4"/>
  <c r="C81" i="4"/>
  <c r="G81" i="4"/>
  <c r="O17" i="7"/>
  <c r="G78" i="7"/>
  <c r="E35" i="4"/>
  <c r="E41" i="4"/>
  <c r="F27" i="4"/>
  <c r="H65" i="7"/>
  <c r="D46" i="4"/>
  <c r="D48" i="4"/>
  <c r="C51" i="4"/>
  <c r="C55" i="4"/>
  <c r="N15" i="2"/>
  <c r="O13" i="2"/>
  <c r="N16" i="2"/>
  <c r="H70" i="4"/>
  <c r="H81" i="4"/>
  <c r="P17" i="7"/>
  <c r="C59" i="4"/>
  <c r="C64" i="4"/>
  <c r="D54" i="4"/>
  <c r="F66" i="7"/>
  <c r="H78" i="7"/>
  <c r="D51" i="4"/>
  <c r="F35" i="4"/>
  <c r="F41" i="4"/>
  <c r="G27" i="4"/>
  <c r="I65" i="7"/>
  <c r="E46" i="4"/>
  <c r="E48" i="4"/>
  <c r="I70" i="4"/>
  <c r="O15" i="2"/>
  <c r="O16" i="2"/>
  <c r="I81" i="4"/>
  <c r="Q17" i="7"/>
  <c r="D55" i="4"/>
  <c r="F73" i="7"/>
  <c r="C72" i="4"/>
  <c r="C83" i="4"/>
  <c r="C68" i="4"/>
  <c r="C79" i="4"/>
  <c r="C69" i="4"/>
  <c r="C80" i="4"/>
  <c r="C73" i="4"/>
  <c r="C84" i="4"/>
  <c r="C71" i="4"/>
  <c r="C82" i="4"/>
  <c r="C65" i="4"/>
  <c r="E54" i="4"/>
  <c r="G66" i="7"/>
  <c r="I78" i="7"/>
  <c r="F79" i="7"/>
  <c r="F84" i="7"/>
  <c r="F71" i="7"/>
  <c r="E51" i="4"/>
  <c r="G35" i="4"/>
  <c r="G41" i="4"/>
  <c r="H27" i="4"/>
  <c r="J65" i="7"/>
  <c r="F46" i="4"/>
  <c r="F48" i="4"/>
  <c r="J70" i="4"/>
  <c r="D59" i="4"/>
  <c r="D64" i="4"/>
  <c r="D71" i="4"/>
  <c r="D82" i="4"/>
  <c r="L18" i="7"/>
  <c r="J81" i="4"/>
  <c r="R17" i="7"/>
  <c r="F74" i="7"/>
  <c r="F75" i="7"/>
  <c r="C85" i="4"/>
  <c r="C74" i="4"/>
  <c r="C76" i="4"/>
  <c r="F54" i="4"/>
  <c r="H66" i="7"/>
  <c r="J78" i="7"/>
  <c r="G79" i="7"/>
  <c r="G84" i="7"/>
  <c r="G71" i="7"/>
  <c r="E55" i="4"/>
  <c r="F51" i="4"/>
  <c r="H35" i="4"/>
  <c r="H41" i="4"/>
  <c r="I27" i="4"/>
  <c r="K65" i="7"/>
  <c r="G46" i="4"/>
  <c r="G48" i="4"/>
  <c r="D72" i="4"/>
  <c r="D83" i="4"/>
  <c r="L19" i="7"/>
  <c r="D65" i="4"/>
  <c r="F86" i="7"/>
  <c r="F87" i="7"/>
  <c r="F88" i="7"/>
  <c r="D68" i="4"/>
  <c r="D79" i="4"/>
  <c r="L15" i="7"/>
  <c r="D69" i="4"/>
  <c r="D80" i="4"/>
  <c r="L16" i="7"/>
  <c r="D73" i="4"/>
  <c r="D84" i="4"/>
  <c r="L20" i="7"/>
  <c r="F55" i="4"/>
  <c r="H73" i="7"/>
  <c r="G73" i="7"/>
  <c r="G74" i="7"/>
  <c r="G75" i="7"/>
  <c r="E59" i="4"/>
  <c r="E64" i="4"/>
  <c r="G54" i="4"/>
  <c r="I66" i="7"/>
  <c r="H79" i="7"/>
  <c r="H84" i="7"/>
  <c r="H71" i="7"/>
  <c r="K78" i="7"/>
  <c r="G51" i="4"/>
  <c r="J27" i="4"/>
  <c r="I35" i="4"/>
  <c r="I41" i="4"/>
  <c r="H46" i="4"/>
  <c r="H48" i="4"/>
  <c r="D85" i="4"/>
  <c r="L21" i="7"/>
  <c r="P20" i="8"/>
  <c r="D74" i="4"/>
  <c r="D76" i="4"/>
  <c r="F59" i="4"/>
  <c r="F64" i="4"/>
  <c r="F68" i="4"/>
  <c r="F79" i="4"/>
  <c r="N15" i="7"/>
  <c r="G55" i="4"/>
  <c r="G59" i="4"/>
  <c r="G64" i="4"/>
  <c r="E71" i="4"/>
  <c r="E65" i="4"/>
  <c r="G86" i="7"/>
  <c r="G87" i="7"/>
  <c r="G88" i="7"/>
  <c r="E68" i="4"/>
  <c r="E73" i="4"/>
  <c r="E72" i="4"/>
  <c r="E69" i="4"/>
  <c r="I79" i="7"/>
  <c r="I84" i="7"/>
  <c r="I71" i="7"/>
  <c r="J35" i="4"/>
  <c r="J41" i="4"/>
  <c r="J46" i="4"/>
  <c r="J48" i="4"/>
  <c r="L65" i="7"/>
  <c r="H54" i="4"/>
  <c r="J66" i="7"/>
  <c r="H74" i="7"/>
  <c r="H75" i="7"/>
  <c r="H51" i="4"/>
  <c r="I46" i="4"/>
  <c r="I48" i="4"/>
  <c r="F65" i="4"/>
  <c r="H86" i="7"/>
  <c r="H87" i="7"/>
  <c r="H88" i="7"/>
  <c r="L28" i="7"/>
  <c r="L36" i="7"/>
  <c r="I73" i="7"/>
  <c r="I74" i="7"/>
  <c r="I75" i="7"/>
  <c r="H55" i="4"/>
  <c r="J73" i="7"/>
  <c r="F73" i="4"/>
  <c r="F84" i="4"/>
  <c r="N20" i="7"/>
  <c r="F71" i="4"/>
  <c r="F82" i="4"/>
  <c r="N18" i="7"/>
  <c r="F69" i="4"/>
  <c r="F80" i="4"/>
  <c r="F72" i="4"/>
  <c r="F83" i="4"/>
  <c r="N19" i="7"/>
  <c r="G72" i="4"/>
  <c r="G83" i="4"/>
  <c r="O19" i="7"/>
  <c r="G68" i="4"/>
  <c r="G79" i="4"/>
  <c r="G73" i="4"/>
  <c r="G84" i="4"/>
  <c r="O20" i="7"/>
  <c r="G71" i="4"/>
  <c r="G82" i="4"/>
  <c r="O18" i="7"/>
  <c r="G69" i="4"/>
  <c r="G80" i="4"/>
  <c r="O16" i="7"/>
  <c r="G65" i="4"/>
  <c r="I86" i="7"/>
  <c r="J54" i="4"/>
  <c r="L66" i="7"/>
  <c r="L79" i="7"/>
  <c r="E84" i="4"/>
  <c r="M20" i="7"/>
  <c r="E79" i="4"/>
  <c r="E74" i="4"/>
  <c r="E76" i="4"/>
  <c r="J79" i="7"/>
  <c r="J84" i="7"/>
  <c r="J71" i="7"/>
  <c r="E80" i="4"/>
  <c r="M16" i="7"/>
  <c r="I54" i="4"/>
  <c r="K66" i="7"/>
  <c r="L78" i="7"/>
  <c r="E83" i="4"/>
  <c r="M19" i="7"/>
  <c r="E82" i="4"/>
  <c r="M18" i="7"/>
  <c r="J51" i="4"/>
  <c r="I51" i="4"/>
  <c r="L29" i="7"/>
  <c r="H59" i="4"/>
  <c r="H64" i="4"/>
  <c r="H71" i="4"/>
  <c r="H82" i="4"/>
  <c r="P18" i="7"/>
  <c r="J55" i="4"/>
  <c r="L73" i="7"/>
  <c r="L84" i="7"/>
  <c r="F74" i="4"/>
  <c r="G74" i="4"/>
  <c r="H15" i="6"/>
  <c r="I55" i="4"/>
  <c r="K73" i="7"/>
  <c r="L71" i="7"/>
  <c r="I87" i="7"/>
  <c r="I88" i="7"/>
  <c r="F85" i="4"/>
  <c r="R17" i="8"/>
  <c r="M22" i="8"/>
  <c r="K79" i="7"/>
  <c r="K84" i="7"/>
  <c r="K71" i="7"/>
  <c r="J74" i="7"/>
  <c r="J75" i="7"/>
  <c r="E85" i="4"/>
  <c r="M15" i="7"/>
  <c r="M21" i="7"/>
  <c r="N16" i="7"/>
  <c r="N21" i="7"/>
  <c r="F62" i="7"/>
  <c r="L37" i="7"/>
  <c r="G85" i="4"/>
  <c r="S17" i="8"/>
  <c r="N22" i="8"/>
  <c r="O15" i="7"/>
  <c r="O21" i="7"/>
  <c r="G62" i="7"/>
  <c r="H72" i="4"/>
  <c r="H83" i="4"/>
  <c r="P19" i="7"/>
  <c r="H69" i="4"/>
  <c r="H73" i="4"/>
  <c r="H84" i="4"/>
  <c r="P20" i="7"/>
  <c r="H68" i="4"/>
  <c r="H79" i="4"/>
  <c r="P15" i="7"/>
  <c r="H65" i="4"/>
  <c r="J86" i="7"/>
  <c r="J87" i="7"/>
  <c r="J88" i="7"/>
  <c r="J59" i="4"/>
  <c r="J64" i="4"/>
  <c r="J65" i="4"/>
  <c r="L86" i="7"/>
  <c r="G76" i="4"/>
  <c r="I59" i="4"/>
  <c r="I64" i="4"/>
  <c r="I65" i="4"/>
  <c r="K86" i="7"/>
  <c r="L74" i="7"/>
  <c r="L75" i="7"/>
  <c r="F76" i="4"/>
  <c r="G15" i="6"/>
  <c r="K74" i="7"/>
  <c r="K75" i="7"/>
  <c r="Q20" i="8"/>
  <c r="M28" i="7"/>
  <c r="H74" i="4"/>
  <c r="H76" i="4"/>
  <c r="H80" i="4"/>
  <c r="H85" i="4"/>
  <c r="T17" i="8"/>
  <c r="O22" i="8"/>
  <c r="J73" i="4"/>
  <c r="J84" i="4"/>
  <c r="R20" i="7"/>
  <c r="J68" i="4"/>
  <c r="J79" i="4"/>
  <c r="R15" i="7"/>
  <c r="J69" i="4"/>
  <c r="J80" i="4"/>
  <c r="J72" i="4"/>
  <c r="J83" i="4"/>
  <c r="R19" i="7"/>
  <c r="J71" i="4"/>
  <c r="I73" i="4"/>
  <c r="I84" i="4"/>
  <c r="Q20" i="7"/>
  <c r="I72" i="4"/>
  <c r="I83" i="4"/>
  <c r="Q19" i="7"/>
  <c r="I71" i="4"/>
  <c r="I82" i="4"/>
  <c r="Q18" i="7"/>
  <c r="I69" i="4"/>
  <c r="I80" i="4"/>
  <c r="Q16" i="7"/>
  <c r="I68" i="4"/>
  <c r="I79" i="4"/>
  <c r="K87" i="7"/>
  <c r="K88" i="7"/>
  <c r="L87" i="7"/>
  <c r="L88" i="7"/>
  <c r="M29" i="7"/>
  <c r="N28" i="7"/>
  <c r="N29" i="7"/>
  <c r="M36" i="7"/>
  <c r="I15" i="6"/>
  <c r="P16" i="7"/>
  <c r="P21" i="7"/>
  <c r="H62" i="7"/>
  <c r="J74" i="4"/>
  <c r="K15" i="6"/>
  <c r="J82" i="4"/>
  <c r="R18" i="7"/>
  <c r="I74" i="4"/>
  <c r="J15" i="6"/>
  <c r="R16" i="7"/>
  <c r="M37" i="7"/>
  <c r="N36" i="7"/>
  <c r="N37" i="7"/>
  <c r="I85" i="4"/>
  <c r="U17" i="8"/>
  <c r="P22" i="8"/>
  <c r="Q15" i="7"/>
  <c r="Q21" i="7"/>
  <c r="I62" i="7"/>
  <c r="J85" i="4"/>
  <c r="V17" i="8"/>
  <c r="Q22" i="8"/>
  <c r="J76" i="4"/>
  <c r="R21" i="7"/>
  <c r="J62" i="7"/>
  <c r="K62" i="7"/>
  <c r="I76" i="4"/>
  <c r="G25" i="6"/>
  <c r="G29" i="6"/>
  <c r="H25" i="6"/>
  <c r="H29" i="6"/>
  <c r="I25" i="6"/>
  <c r="I29" i="6"/>
  <c r="J25" i="6"/>
  <c r="J29" i="6"/>
  <c r="K25" i="6"/>
  <c r="K29" i="6"/>
</calcChain>
</file>

<file path=xl/sharedStrings.xml><?xml version="1.0" encoding="utf-8"?>
<sst xmlns="http://schemas.openxmlformats.org/spreadsheetml/2006/main" count="294" uniqueCount="151">
  <si>
    <t>Unit</t>
  </si>
  <si>
    <t>2013/14</t>
  </si>
  <si>
    <t>2014/15</t>
  </si>
  <si>
    <t>2015/16</t>
  </si>
  <si>
    <t>2016/17</t>
  </si>
  <si>
    <t>2017/18</t>
  </si>
  <si>
    <t>Historic Opex from Regulatory Accounts</t>
  </si>
  <si>
    <t>$'000 nominal</t>
  </si>
  <si>
    <t>Debt raising costs</t>
  </si>
  <si>
    <t>$ nominal</t>
  </si>
  <si>
    <t>Source: Regulatory Accounts</t>
  </si>
  <si>
    <t>Insurance</t>
  </si>
  <si>
    <t>Other</t>
  </si>
  <si>
    <t>real $2017</t>
  </si>
  <si>
    <t>Growth Opex</t>
  </si>
  <si>
    <t>Operating Expenditure</t>
  </si>
  <si>
    <t>Total Allowance</t>
  </si>
  <si>
    <t>2018/19</t>
  </si>
  <si>
    <t>2019/20</t>
  </si>
  <si>
    <t>2020/21</t>
  </si>
  <si>
    <t>2021/22</t>
  </si>
  <si>
    <t>2022/23</t>
  </si>
  <si>
    <t>2023/24</t>
  </si>
  <si>
    <t>Step changes</t>
  </si>
  <si>
    <t>Total Step Changes</t>
  </si>
  <si>
    <t>AER's Final Decision</t>
  </si>
  <si>
    <t>Total</t>
  </si>
  <si>
    <t>AER Total Operating Expenditure</t>
  </si>
  <si>
    <t>$000 nominal</t>
  </si>
  <si>
    <t>RIN calculation</t>
  </si>
  <si>
    <t>NETWORK OPERATIONS AND MAINTENANCE</t>
  </si>
  <si>
    <t>Operating and maintenance expenses</t>
  </si>
  <si>
    <t>$m nominal</t>
  </si>
  <si>
    <t>Management fees and expenses</t>
  </si>
  <si>
    <t>OTHER COSTS</t>
  </si>
  <si>
    <t>Tax on property and capital</t>
  </si>
  <si>
    <t>Accounting/audit fees</t>
  </si>
  <si>
    <t>TOTAL</t>
  </si>
  <si>
    <t>Proportions</t>
  </si>
  <si>
    <t>Percent</t>
  </si>
  <si>
    <t>2012/13</t>
  </si>
  <si>
    <t>2024/25</t>
  </si>
  <si>
    <t>Inflation Value</t>
  </si>
  <si>
    <t>Date</t>
  </si>
  <si>
    <t>ABS CPI All Australian</t>
  </si>
  <si>
    <t>Index</t>
  </si>
  <si>
    <t>Source: ABS</t>
  </si>
  <si>
    <t>AER</t>
  </si>
  <si>
    <t>AER baseline to real $2012</t>
  </si>
  <si>
    <t>Debt Raising Costs</t>
  </si>
  <si>
    <t>Efficient Base Year</t>
  </si>
  <si>
    <t>Total Operating Expenditure</t>
  </si>
  <si>
    <t>Less one off costs</t>
  </si>
  <si>
    <t>Total one off costs</t>
  </si>
  <si>
    <t>Efficient Base Year Less one off costs</t>
  </si>
  <si>
    <t>Less base year items forecast separately</t>
  </si>
  <si>
    <t>Total items forecast separately</t>
  </si>
  <si>
    <t>Starting Base Year Opex</t>
  </si>
  <si>
    <t>Separate Forecasts</t>
  </si>
  <si>
    <t>Total of Separate Forecasts</t>
  </si>
  <si>
    <t>Baseline forecast Opex</t>
  </si>
  <si>
    <t>Step Changes</t>
  </si>
  <si>
    <t>Total Step changes</t>
  </si>
  <si>
    <t>Total Opex Forecast</t>
  </si>
  <si>
    <t>Allocation in dollars</t>
  </si>
  <si>
    <t>Year</t>
  </si>
  <si>
    <t>Opex</t>
  </si>
  <si>
    <t>Total operating expenditure</t>
  </si>
  <si>
    <t>Total operating expenditure vs AER forecast (nominal $m)</t>
  </si>
  <si>
    <t>AER forecast</t>
  </si>
  <si>
    <t>Directlink Actuals</t>
  </si>
  <si>
    <t>Difference</t>
  </si>
  <si>
    <t>Insurance (nominal $000)</t>
  </si>
  <si>
    <t>Total operating expenditure less debt raising costs</t>
  </si>
  <si>
    <t>Actuals vs AER Forecast</t>
  </si>
  <si>
    <t>Operating Expenditure (actual)</t>
  </si>
  <si>
    <t>AER Forecast</t>
  </si>
  <si>
    <t>Operating Expenditure (forecast)</t>
  </si>
  <si>
    <t>Total operating expenditure actual and forecast</t>
  </si>
  <si>
    <t>Forecast Insurance</t>
  </si>
  <si>
    <t>Labour Escalator</t>
  </si>
  <si>
    <t>Total Opex</t>
  </si>
  <si>
    <t>Labour as percent of Opex</t>
  </si>
  <si>
    <t>Insurance cost</t>
  </si>
  <si>
    <t>Forecast CPI</t>
  </si>
  <si>
    <t>$ real 2017/18</t>
  </si>
  <si>
    <t>CPI</t>
  </si>
  <si>
    <t>Base Year 2017/18</t>
  </si>
  <si>
    <t>Real Cost Escalation</t>
  </si>
  <si>
    <t>Proportion of Labour Opex</t>
  </si>
  <si>
    <t>Labour cost</t>
  </si>
  <si>
    <t>Escalation</t>
  </si>
  <si>
    <t>Labour Cost</t>
  </si>
  <si>
    <t>Non Labour Opex</t>
  </si>
  <si>
    <t>Labour Opex</t>
  </si>
  <si>
    <t>Labour Cost Escalators</t>
  </si>
  <si>
    <t xml:space="preserve">Deloitte Access Economics </t>
  </si>
  <si>
    <t>Source</t>
  </si>
  <si>
    <t>percent</t>
  </si>
  <si>
    <t>index</t>
  </si>
  <si>
    <t>Deloitte AccessEcoonomics, Labour Price Growth Forecasts:Prepared for the Australian Energy Regulator, 19 July 2018, p 40; calculation</t>
  </si>
  <si>
    <t>Total Labour</t>
  </si>
  <si>
    <t>Source: AER - Directlink transmission determination - 2018-19 return on debt update - PTRM - March 2018 - PUBLIC.XLSM</t>
  </si>
  <si>
    <t>Calculation of Forecast Operating Expenditure</t>
  </si>
  <si>
    <t>Non insurance Opex</t>
  </si>
  <si>
    <t>Calculation for Tables</t>
  </si>
  <si>
    <t>Check cell</t>
  </si>
  <si>
    <t>Real $2017/18 '000</t>
  </si>
  <si>
    <t>Historic opex in $2019/20 real</t>
  </si>
  <si>
    <t>Historic Operating Expenditure less debt raising costs ($m nominal)</t>
  </si>
  <si>
    <t>Operating Expenditure in $nominal</t>
  </si>
  <si>
    <t>Total Opex ($000 Real 2019/20)</t>
  </si>
  <si>
    <t>Real $2019/20</t>
  </si>
  <si>
    <t>Insurance Opex</t>
  </si>
  <si>
    <t>Total forecast operating expenditure excluding Debt Raising Costs (real 2019/20 $m)</t>
  </si>
  <si>
    <t>Labour based non O&amp;M</t>
  </si>
  <si>
    <t>Nominal</t>
  </si>
  <si>
    <t>Real 2019/20</t>
  </si>
  <si>
    <t>Year 1</t>
  </si>
  <si>
    <t>Year 2</t>
  </si>
  <si>
    <t>Year 3</t>
  </si>
  <si>
    <t>Year 4</t>
  </si>
  <si>
    <t>Year 5</t>
  </si>
  <si>
    <t>AER Forecast $2014/15</t>
  </si>
  <si>
    <t>Total operating expenditure vs AER forecast ($m real FY20)</t>
  </si>
  <si>
    <t>$m FY18</t>
  </si>
  <si>
    <t>Efficient historic opex</t>
  </si>
  <si>
    <t>Real price changes</t>
  </si>
  <si>
    <t>Output growth</t>
  </si>
  <si>
    <t>Productivity growth</t>
  </si>
  <si>
    <t>Category specific forecasts</t>
  </si>
  <si>
    <t>Check</t>
  </si>
  <si>
    <t>Rin Table 2.16.1 ('000 2017/18)</t>
  </si>
  <si>
    <t>Rin Table 2.16.1 ($m FY20)</t>
  </si>
  <si>
    <t>Contract Labour based O&amp;M</t>
  </si>
  <si>
    <t>Internal Labour Based O&amp;M</t>
  </si>
  <si>
    <t>Contract labour based O&amp;M</t>
  </si>
  <si>
    <t>Internal labour Based O&amp;M</t>
  </si>
  <si>
    <t>Before correction</t>
  </si>
  <si>
    <t>Property Insurance</t>
  </si>
  <si>
    <t>Liability Insurance</t>
  </si>
  <si>
    <t>$000 FY18</t>
  </si>
  <si>
    <t>One off Costs</t>
  </si>
  <si>
    <t>Correction</t>
  </si>
  <si>
    <t>NETWORK OPERATIONS &amp; MAINTENANCE</t>
  </si>
  <si>
    <t>Operating &amp; Maintenance Costs</t>
  </si>
  <si>
    <t xml:space="preserve">Commercial Management Fees </t>
  </si>
  <si>
    <t>Tax on Property &amp; Capital</t>
  </si>
  <si>
    <t>Accounting/Audit Fees</t>
  </si>
  <si>
    <t>Legal fees</t>
  </si>
  <si>
    <t>Total Operating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</si>
</sst>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#,##0_);[Red]\(&quot;$&quot;#,##0\)"/>
    <numFmt numFmtId="165" formatCode="_(* #,##0_);_(* \(#,##0\);_(* &quot;-&quot;_);_(@_)"/>
    <numFmt numFmtId="166" formatCode="_(* #,##0.00_);_(* \(#,##0.00\);_(* &quot;-&quot;??_);_(@_)"/>
    <numFmt numFmtId="167" formatCode="0.0%"/>
    <numFmt numFmtId="168" formatCode="_-* #,##0.0_-;\-* #,##0.0_-;_-* &quot;-&quot;??_-;_-@_-"/>
    <numFmt numFmtId="169" formatCode="_-* #,##0_-;\-* #,##0_-;_-* &quot;-&quot;??_-;_-@_-"/>
    <numFmt numFmtId="170" formatCode="0.0"/>
    <numFmt numFmtId="171" formatCode="0.00000%"/>
  </numFmts>
  <fonts count="22" x14ac:knownFonts="1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entury Gothic"/>
      <family val="2"/>
    </font>
    <font>
      <b/>
      <sz val="14"/>
      <color rgb="FFFFFFFF"/>
      <name val="Arial Narrow"/>
      <family val="2"/>
    </font>
    <font>
      <sz val="14"/>
      <color rgb="FF25282A"/>
      <name val="Century Gothic"/>
      <family val="2"/>
    </font>
    <font>
      <sz val="12"/>
      <color theme="5" tint="-0.24994659260841701"/>
      <name val="Century Gothic"/>
      <family val="2"/>
    </font>
    <font>
      <sz val="11"/>
      <color theme="5" tint="-0.24994659260841701"/>
      <name val="Century Gothic"/>
      <family val="2"/>
    </font>
    <font>
      <sz val="11"/>
      <color rgb="FFFA7D00"/>
      <name val="Century Gothic"/>
      <family val="2"/>
    </font>
    <font>
      <b/>
      <sz val="11"/>
      <color theme="5" tint="0.79998168889431442"/>
      <name val="Century Gothic"/>
      <family val="2"/>
    </font>
    <font>
      <b/>
      <sz val="11"/>
      <color theme="5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5" tint="-0.499984740745262"/>
      <name val="Calibri"/>
      <family val="2"/>
      <scheme val="minor"/>
    </font>
    <font>
      <b/>
      <sz val="18"/>
      <color theme="5" tint="-0.24994659260841701"/>
      <name val="Calibri Light"/>
      <family val="2"/>
      <scheme val="major"/>
    </font>
    <font>
      <b/>
      <sz val="10"/>
      <color theme="5" tint="-0.499984740745262"/>
      <name val="Century Gothic"/>
      <family val="2"/>
    </font>
    <font>
      <i/>
      <sz val="8"/>
      <color theme="1"/>
      <name val="Century Gothic"/>
      <family val="2"/>
    </font>
    <font>
      <b/>
      <sz val="11"/>
      <color rgb="FF7030A0"/>
      <name val="Century Gothic"/>
      <family val="2"/>
    </font>
    <font>
      <sz val="11"/>
      <color theme="0" tint="-0.34998626667073579"/>
      <name val="Century Gothic"/>
      <family val="2"/>
    </font>
    <font>
      <b/>
      <sz val="8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BE7D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thin">
        <color rgb="FFFF8001"/>
      </left>
      <right style="thin">
        <color rgb="FFFF8001"/>
      </right>
      <top style="thin">
        <color rgb="FFFF8001"/>
      </top>
      <bottom style="thin">
        <color rgb="FFFF800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/>
      <bottom style="thick">
        <color theme="5" tint="0.399945066682943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16" fillId="8" borderId="10" applyNumberFormat="0" applyAlignment="0" applyProtection="0"/>
    <xf numFmtId="0" fontId="15" fillId="0" borderId="9" applyNumberFormat="0" applyFill="0" applyAlignment="0" applyProtection="0"/>
    <xf numFmtId="0" fontId="17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10" borderId="5" applyNumberFormat="0" applyAlignment="0" applyProtection="0"/>
    <xf numFmtId="0" fontId="11" fillId="11" borderId="6" applyNumberFormat="0" applyAlignment="0" applyProtection="0"/>
    <xf numFmtId="0" fontId="10" fillId="0" borderId="1" applyNumberFormat="0" applyAlignment="0" applyProtection="0"/>
    <xf numFmtId="0" fontId="18" fillId="5" borderId="2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8" fillId="0" borderId="0"/>
    <xf numFmtId="0" fontId="6" fillId="9" borderId="3">
      <alignment horizontal="left" vertical="center" wrapText="1"/>
    </xf>
    <xf numFmtId="0" fontId="7" fillId="8" borderId="4">
      <alignment horizontal="left" vertical="center" wrapText="1"/>
    </xf>
    <xf numFmtId="166" fontId="7" fillId="8" borderId="4">
      <alignment horizontal="right" vertical="center" wrapText="1"/>
    </xf>
    <xf numFmtId="166" fontId="1" fillId="0" borderId="0" applyFont="0" applyFill="0" applyBorder="0" applyAlignment="0" applyProtection="0"/>
    <xf numFmtId="0" fontId="20" fillId="8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2" borderId="0" applyNumberFormat="0" applyBorder="0" applyAlignment="0" applyProtection="0"/>
    <xf numFmtId="0" fontId="19" fillId="13" borderId="8"/>
    <xf numFmtId="0" fontId="21" fillId="14" borderId="12" applyNumberFormat="0" applyAlignment="0" applyProtection="0"/>
  </cellStyleXfs>
  <cellXfs count="87">
    <xf numFmtId="0" fontId="0" fillId="0" borderId="0" xfId="0"/>
    <xf numFmtId="169" fontId="20" fillId="8" borderId="7" xfId="20" applyNumberFormat="1"/>
    <xf numFmtId="0" fontId="5" fillId="8" borderId="0" xfId="0" applyFont="1" applyFill="1"/>
    <xf numFmtId="0" fontId="16" fillId="0" borderId="10" xfId="2" applyFill="1"/>
    <xf numFmtId="0" fontId="15" fillId="0" borderId="9" xfId="3"/>
    <xf numFmtId="0" fontId="15" fillId="0" borderId="9" xfId="3" applyAlignment="1">
      <alignment horizontal="center"/>
    </xf>
    <xf numFmtId="0" fontId="5" fillId="0" borderId="0" xfId="0" applyFont="1" applyFill="1"/>
    <xf numFmtId="0" fontId="5" fillId="0" borderId="0" xfId="0" applyFont="1"/>
    <xf numFmtId="49" fontId="17" fillId="0" borderId="11" xfId="4" applyNumberFormat="1"/>
    <xf numFmtId="49" fontId="9" fillId="10" borderId="5" xfId="9" applyNumberFormat="1"/>
    <xf numFmtId="0" fontId="9" fillId="10" borderId="5" xfId="9"/>
    <xf numFmtId="165" fontId="9" fillId="10" borderId="5" xfId="9" applyNumberFormat="1"/>
    <xf numFmtId="0" fontId="10" fillId="0" borderId="1" xfId="11"/>
    <xf numFmtId="165" fontId="10" fillId="0" borderId="1" xfId="11" applyNumberFormat="1"/>
    <xf numFmtId="0" fontId="18" fillId="5" borderId="2" xfId="12"/>
    <xf numFmtId="49" fontId="10" fillId="0" borderId="1" xfId="11" applyNumberFormat="1"/>
    <xf numFmtId="164" fontId="9" fillId="10" borderId="5" xfId="9" quotePrefix="1" applyNumberFormat="1"/>
    <xf numFmtId="164" fontId="10" fillId="0" borderId="1" xfId="11" quotePrefix="1" applyNumberFormat="1"/>
    <xf numFmtId="0" fontId="10" fillId="0" borderId="1" xfId="11" applyAlignment="1" applyProtection="1">
      <alignment horizontal="left" vertical="center"/>
      <protection locked="0"/>
    </xf>
    <xf numFmtId="0" fontId="16" fillId="8" borderId="10" xfId="2"/>
    <xf numFmtId="166" fontId="9" fillId="10" borderId="5" xfId="9" applyNumberFormat="1"/>
    <xf numFmtId="0" fontId="9" fillId="10" borderId="5" xfId="9" quotePrefix="1"/>
    <xf numFmtId="166" fontId="10" fillId="0" borderId="1" xfId="11" applyNumberFormat="1"/>
    <xf numFmtId="0" fontId="17" fillId="0" borderId="11" xfId="4"/>
    <xf numFmtId="3" fontId="17" fillId="0" borderId="11" xfId="4" applyNumberFormat="1"/>
    <xf numFmtId="4" fontId="9" fillId="10" borderId="5" xfId="9" applyNumberFormat="1"/>
    <xf numFmtId="3" fontId="10" fillId="0" borderId="1" xfId="11" applyNumberFormat="1"/>
    <xf numFmtId="167" fontId="1" fillId="0" borderId="1" xfId="1" applyNumberFormat="1" applyBorder="1"/>
    <xf numFmtId="14" fontId="17" fillId="0" borderId="11" xfId="4" applyNumberFormat="1"/>
    <xf numFmtId="14" fontId="9" fillId="10" borderId="5" xfId="9" applyNumberFormat="1"/>
    <xf numFmtId="2" fontId="9" fillId="10" borderId="5" xfId="9" applyNumberFormat="1"/>
    <xf numFmtId="2" fontId="10" fillId="0" borderId="1" xfId="11" applyNumberFormat="1"/>
    <xf numFmtId="10" fontId="1" fillId="0" borderId="1" xfId="1" applyNumberFormat="1" applyBorder="1"/>
    <xf numFmtId="164" fontId="10" fillId="0" borderId="1" xfId="11" applyNumberFormat="1"/>
    <xf numFmtId="0" fontId="17" fillId="0" borderId="11" xfId="4" applyAlignment="1">
      <alignment horizontal="left" vertical="center" wrapText="1"/>
    </xf>
    <xf numFmtId="0" fontId="10" fillId="0" borderId="1" xfId="11" applyAlignment="1">
      <alignment horizontal="left" vertical="center" wrapText="1"/>
    </xf>
    <xf numFmtId="0" fontId="11" fillId="11" borderId="6" xfId="10"/>
    <xf numFmtId="165" fontId="11" fillId="11" borderId="6" xfId="10" applyNumberFormat="1"/>
    <xf numFmtId="0" fontId="0" fillId="0" borderId="0" xfId="0"/>
    <xf numFmtId="0" fontId="6" fillId="9" borderId="3" xfId="16">
      <alignment horizontal="left" vertical="center" wrapText="1"/>
    </xf>
    <xf numFmtId="0" fontId="6" fillId="9" borderId="3" xfId="16" applyAlignment="1">
      <alignment horizontal="right" vertical="center" wrapText="1"/>
    </xf>
    <xf numFmtId="0" fontId="7" fillId="8" borderId="4" xfId="17">
      <alignment horizontal="left" vertical="center" wrapText="1"/>
    </xf>
    <xf numFmtId="166" fontId="7" fillId="8" borderId="4" xfId="18">
      <alignment horizontal="right" vertical="center" wrapText="1"/>
    </xf>
    <xf numFmtId="0" fontId="7" fillId="8" borderId="4" xfId="17" applyAlignment="1">
      <alignment horizontal="left" vertical="center"/>
    </xf>
    <xf numFmtId="166" fontId="7" fillId="8" borderId="4" xfId="18" applyAlignment="1">
      <alignment horizontal="right" vertical="center"/>
    </xf>
    <xf numFmtId="0" fontId="16" fillId="8" borderId="10" xfId="2" applyFill="1"/>
    <xf numFmtId="0" fontId="15" fillId="8" borderId="9" xfId="3" applyFill="1"/>
    <xf numFmtId="0" fontId="7" fillId="8" borderId="4" xfId="17" applyFill="1">
      <alignment horizontal="left" vertical="center" wrapText="1"/>
    </xf>
    <xf numFmtId="169" fontId="7" fillId="8" borderId="4" xfId="18" applyNumberFormat="1">
      <alignment horizontal="right" vertical="center" wrapText="1"/>
    </xf>
    <xf numFmtId="168" fontId="5" fillId="0" borderId="0" xfId="0" applyNumberFormat="1" applyFont="1"/>
    <xf numFmtId="0" fontId="15" fillId="0" borderId="9" xfId="3" applyAlignment="1">
      <alignment horizontal="center"/>
    </xf>
    <xf numFmtId="169" fontId="10" fillId="0" borderId="1" xfId="11" applyNumberFormat="1"/>
    <xf numFmtId="0" fontId="0" fillId="0" borderId="0" xfId="0"/>
    <xf numFmtId="0" fontId="15" fillId="0" borderId="9" xfId="3" applyAlignment="1">
      <alignment horizontal="center"/>
    </xf>
    <xf numFmtId="0" fontId="20" fillId="8" borderId="7" xfId="20"/>
    <xf numFmtId="0" fontId="0" fillId="0" borderId="0" xfId="0"/>
    <xf numFmtId="166" fontId="5" fillId="0" borderId="0" xfId="0" applyNumberFormat="1" applyFont="1"/>
    <xf numFmtId="9" fontId="20" fillId="8" borderId="7" xfId="20" applyNumberFormat="1"/>
    <xf numFmtId="169" fontId="10" fillId="0" borderId="1" xfId="19" applyNumberFormat="1" applyFont="1" applyBorder="1"/>
    <xf numFmtId="166" fontId="10" fillId="8" borderId="7" xfId="19" applyFont="1" applyFill="1" applyBorder="1"/>
    <xf numFmtId="167" fontId="1" fillId="0" borderId="0" xfId="1" applyNumberFormat="1" applyBorder="1"/>
    <xf numFmtId="167" fontId="10" fillId="0" borderId="1" xfId="1" applyNumberFormat="1" applyFont="1" applyBorder="1"/>
    <xf numFmtId="0" fontId="21" fillId="14" borderId="12" xfId="25"/>
    <xf numFmtId="165" fontId="20" fillId="8" borderId="7" xfId="20" applyNumberFormat="1"/>
    <xf numFmtId="169" fontId="11" fillId="11" borderId="6" xfId="10" applyNumberFormat="1"/>
    <xf numFmtId="0" fontId="17" fillId="0" borderId="11" xfId="4" applyFill="1"/>
    <xf numFmtId="169" fontId="15" fillId="0" borderId="9" xfId="3" applyNumberFormat="1"/>
    <xf numFmtId="169" fontId="11" fillId="11" borderId="6" xfId="19" applyNumberFormat="1" applyFont="1" applyFill="1" applyBorder="1"/>
    <xf numFmtId="167" fontId="10" fillId="0" borderId="1" xfId="11" applyNumberFormat="1"/>
    <xf numFmtId="0" fontId="0" fillId="0" borderId="0" xfId="0"/>
    <xf numFmtId="166" fontId="7" fillId="8" borderId="4" xfId="18" applyNumberFormat="1" applyFill="1">
      <alignment horizontal="right" vertical="center" wrapText="1"/>
    </xf>
    <xf numFmtId="166" fontId="7" fillId="8" borderId="4" xfId="18" applyNumberFormat="1">
      <alignment horizontal="right" vertical="center" wrapText="1"/>
    </xf>
    <xf numFmtId="10" fontId="9" fillId="10" borderId="5" xfId="9" applyNumberFormat="1"/>
    <xf numFmtId="9" fontId="5" fillId="0" borderId="0" xfId="1" applyFont="1"/>
    <xf numFmtId="0" fontId="0" fillId="0" borderId="0" xfId="0"/>
    <xf numFmtId="168" fontId="7" fillId="8" borderId="4" xfId="18" applyNumberFormat="1">
      <alignment horizontal="right" vertical="center" wrapText="1"/>
    </xf>
    <xf numFmtId="166" fontId="5" fillId="8" borderId="0" xfId="0" applyNumberFormat="1" applyFont="1" applyFill="1"/>
    <xf numFmtId="169" fontId="21" fillId="14" borderId="12" xfId="25" applyNumberFormat="1"/>
    <xf numFmtId="166" fontId="21" fillId="14" borderId="12" xfId="25" applyNumberFormat="1"/>
    <xf numFmtId="166" fontId="5" fillId="8" borderId="0" xfId="19" applyFont="1" applyFill="1"/>
    <xf numFmtId="170" fontId="5" fillId="8" borderId="0" xfId="0" applyNumberFormat="1" applyFont="1" applyFill="1"/>
    <xf numFmtId="9" fontId="7" fillId="8" borderId="4" xfId="1" applyFont="1" applyFill="1" applyBorder="1" applyAlignment="1">
      <alignment horizontal="right" vertical="center" wrapText="1"/>
    </xf>
    <xf numFmtId="0" fontId="7" fillId="8" borderId="4" xfId="17" applyFont="1">
      <alignment horizontal="left" vertical="center" wrapText="1"/>
    </xf>
    <xf numFmtId="169" fontId="7" fillId="8" borderId="4" xfId="18" applyNumberFormat="1" applyFont="1">
      <alignment horizontal="right" vertical="center" wrapText="1"/>
    </xf>
    <xf numFmtId="164" fontId="20" fillId="8" borderId="7" xfId="20" applyNumberFormat="1"/>
    <xf numFmtId="0" fontId="0" fillId="8" borderId="0" xfId="0" applyFill="1"/>
    <xf numFmtId="171" fontId="7" fillId="8" borderId="4" xfId="1" applyNumberFormat="1" applyFont="1" applyFill="1" applyBorder="1" applyAlignment="1">
      <alignment horizontal="right" vertical="center" wrapText="1"/>
    </xf>
  </cellXfs>
  <cellStyles count="26">
    <cellStyle name="20% - Accent1" xfId="13" builtinId="30" hidden="1"/>
    <cellStyle name="20% - Accent2" xfId="23" builtinId="34" hidden="1"/>
    <cellStyle name="40% - Accent2" xfId="14" builtinId="35" hidden="1"/>
    <cellStyle name="Bad" xfId="7" builtinId="27" hidden="1"/>
    <cellStyle name="Calculation" xfId="11" builtinId="22" customBuiltin="1"/>
    <cellStyle name="Check Cell" xfId="25" builtinId="23" customBuiltin="1"/>
    <cellStyle name="Comma" xfId="19" builtinId="3"/>
    <cellStyle name="Explanatory Text" xfId="22" builtinId="53" hidden="1"/>
    <cellStyle name="Good" xfId="6" builtinId="26" hidden="1"/>
    <cellStyle name="Heading 1" xfId="3" builtinId="16" customBuiltin="1"/>
    <cellStyle name="Heading 2" xfId="4" builtinId="17" customBuiltin="1"/>
    <cellStyle name="Heading 4" xfId="5" builtinId="19" customBuiltin="1"/>
    <cellStyle name="Input" xfId="9" builtinId="20" customBuiltin="1"/>
    <cellStyle name="Label" xfId="15"/>
    <cellStyle name="Linked Cell" xfId="20" builtinId="24" customBuiltin="1"/>
    <cellStyle name="Neutral" xfId="8" builtinId="28" hidden="1"/>
    <cellStyle name="Normal" xfId="0" builtinId="0" customBuiltin="1"/>
    <cellStyle name="Note" xfId="12" builtinId="10" customBuiltin="1"/>
    <cellStyle name="Output" xfId="10" builtinId="21" customBuiltin="1"/>
    <cellStyle name="Percent" xfId="1" builtinId="5"/>
    <cellStyle name="Placeholder" xfId="24"/>
    <cellStyle name="Table body number" xfId="18"/>
    <cellStyle name="Table body Text" xfId="17"/>
    <cellStyle name="Table Heading 1" xfId="16"/>
    <cellStyle name="Title" xfId="2" builtinId="15" customBuiltin="1"/>
    <cellStyle name="Warning Text" xfId="21" builtinId="11" hidden="1"/>
  </cellStyles>
  <dxfs count="0"/>
  <tableStyles count="0" defaultTableStyle="TableStyleMedium2" defaultPivotStyle="PivotStyleLight16"/>
  <colors>
    <mruColors>
      <color rgb="FFFFBE7D"/>
      <color rgb="FFF8B278"/>
      <color rgb="FFF48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Outputs│Graphs!$I$20</c:f>
              <c:strCache>
                <c:ptCount val="1"/>
                <c:pt idx="0">
                  <c:v>Operating Expenditure (actual)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Outputs│Graphs!$M$19:$Q$19</c15:sqref>
                  </c15:fullRef>
                </c:ext>
              </c:extLst>
              <c:f>Outputs│Graphs!$M$19:$Q$19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Outputs│Graphs!$M$20:$V$20</c15:sqref>
                  </c15:fullRef>
                </c:ext>
              </c:extLst>
              <c:f>Outputs│Graphs!$M$20:$Q$20</c:f>
              <c:numCache>
                <c:formatCode>_(* #,##0.00_);_(* \(#,##0.00\);_(* "-"??_);_(@_)</c:formatCode>
                <c:ptCount val="5"/>
                <c:pt idx="0">
                  <c:v>4.6043364250266112</c:v>
                </c:pt>
                <c:pt idx="1">
                  <c:v>4.2671013634765176</c:v>
                </c:pt>
                <c:pt idx="2">
                  <c:v>4.664442357133896</c:v>
                </c:pt>
                <c:pt idx="3">
                  <c:v>4.71095782647423</c:v>
                </c:pt>
                <c:pt idx="4">
                  <c:v>4.7241823599317696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5A-4ABC-86F0-0D22AD6B9B64}"/>
            </c:ext>
          </c:extLst>
        </c:ser>
        <c:ser>
          <c:idx val="2"/>
          <c:order val="1"/>
          <c:tx>
            <c:strRef>
              <c:f>Outputs│Graphs!$I$21</c:f>
              <c:strCache>
                <c:ptCount val="1"/>
                <c:pt idx="0">
                  <c:v>AER Forecast</c:v>
                </c:pt>
              </c:strCache>
            </c:strRef>
          </c:tx>
          <c:spPr>
            <a:solidFill>
              <a:srgbClr val="F48C32"/>
            </a:solidFill>
            <a:ln>
              <a:solidFill>
                <a:srgbClr val="F48C32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Outputs│Graphs!$M$19:$Q$19</c15:sqref>
                  </c15:fullRef>
                </c:ext>
              </c:extLst>
              <c:f>Outputs│Graphs!$M$19:$Q$19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Outputs│Graphs!$M$21:$V$21</c15:sqref>
                  </c15:fullRef>
                </c:ext>
              </c:extLst>
              <c:f>Outputs│Graphs!$M$21:$Q$21</c:f>
              <c:numCache>
                <c:formatCode>_(* #,##0.00_);_(* \(#,##0.00\);_(* "-"??_);_(@_)</c:formatCode>
                <c:ptCount val="5"/>
                <c:pt idx="0">
                  <c:v>4.8078174820995621</c:v>
                </c:pt>
                <c:pt idx="1">
                  <c:v>3.9487739602353522</c:v>
                </c:pt>
                <c:pt idx="2">
                  <c:v>4.0648360001325132</c:v>
                </c:pt>
                <c:pt idx="3">
                  <c:v>4.0116098170205454</c:v>
                </c:pt>
                <c:pt idx="4">
                  <c:v>4.0427657519976359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5A-4ABC-86F0-0D22AD6B9B64}"/>
            </c:ext>
          </c:extLst>
        </c:ser>
        <c:ser>
          <c:idx val="0"/>
          <c:order val="2"/>
          <c:tx>
            <c:strRef>
              <c:f>Outputs│Graphs!$I$22</c:f>
              <c:strCache>
                <c:ptCount val="1"/>
                <c:pt idx="0">
                  <c:v>Operating Expenditure (forecast)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Outputs│Graphs!$M$19:$Q$19</c15:sqref>
                  </c15:fullRef>
                </c:ext>
              </c:extLst>
              <c:f>Outputs│Graphs!$M$19:$Q$19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Outputs│Graphs!$M$22:$Q$22</c15:sqref>
                  </c15:fullRef>
                </c:ext>
              </c:extLst>
              <c:f>Outputs│Graphs!$M$22:$Q$22</c:f>
              <c:numCache>
                <c:formatCode>_(* #,##0.00_);_(* \(#,##0.00\);_(* "-"??_);_(@_)</c:formatCode>
                <c:ptCount val="5"/>
                <c:pt idx="0">
                  <c:v>4.8280084787199904</c:v>
                </c:pt>
                <c:pt idx="1">
                  <c:v>4.9316617093957262</c:v>
                </c:pt>
                <c:pt idx="2">
                  <c:v>4.9727667813596375</c:v>
                </c:pt>
                <c:pt idx="3">
                  <c:v>5.0020524703871416</c:v>
                </c:pt>
                <c:pt idx="4">
                  <c:v>5.0162731185941993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5A-4ABC-86F0-0D22AD6B9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9001344"/>
        <c:axId val="149002880"/>
      </c:barChart>
      <c:catAx>
        <c:axId val="14900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002880"/>
        <c:crosses val="autoZero"/>
        <c:auto val="1"/>
        <c:lblAlgn val="ctr"/>
        <c:lblOffset val="100"/>
        <c:noMultiLvlLbl val="0"/>
      </c:catAx>
      <c:valAx>
        <c:axId val="149002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9001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3678160919541"/>
          <c:y val="2.6833336045449997E-2"/>
          <c:w val="0.79314865900383147"/>
          <c:h val="0.735132032186708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Outputs│Graphs!$I$15</c:f>
              <c:strCache>
                <c:ptCount val="1"/>
                <c:pt idx="0">
                  <c:v>Operating Expenditure (actual)</c:v>
                </c:pt>
              </c:strCache>
            </c:strRef>
          </c:tx>
          <c:spPr>
            <a:solidFill>
              <a:srgbClr val="25282A"/>
            </a:solidFill>
            <a:ln w="38100">
              <a:noFill/>
            </a:ln>
          </c:spPr>
          <c:invertIfNegative val="0"/>
          <c:cat>
            <c:strRef>
              <c:f>Outputs│Graphs!$K$14:$O$14</c:f>
              <c:strCache>
                <c:ptCount val="5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</c:strCache>
            </c:strRef>
          </c:cat>
          <c:val>
            <c:numRef>
              <c:f>Outputs│Graphs!$K$15:$O$15</c:f>
              <c:numCache>
                <c:formatCode>_-* #,##0.0_-;\-* #,##0.0_-;_-* "-"??_-;_-@_-</c:formatCode>
                <c:ptCount val="5"/>
                <c:pt idx="0">
                  <c:v>3.9002505599999999</c:v>
                </c:pt>
                <c:pt idx="1">
                  <c:v>3.0898439451767024</c:v>
                </c:pt>
                <c:pt idx="2">
                  <c:v>4.0314148900000006</c:v>
                </c:pt>
                <c:pt idx="3">
                  <c:v>3.8455995700000001</c:v>
                </c:pt>
                <c:pt idx="4">
                  <c:v>4.2595279600000007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7-4C71-9F16-EFAB4008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30720"/>
        <c:axId val="156332032"/>
      </c:barChart>
      <c:lineChart>
        <c:grouping val="standard"/>
        <c:varyColors val="0"/>
        <c:ser>
          <c:idx val="2"/>
          <c:order val="1"/>
          <c:tx>
            <c:strRef>
              <c:f>Outputs│Graphs!$I$16</c:f>
              <c:strCache>
                <c:ptCount val="1"/>
                <c:pt idx="0">
                  <c:v>AER Forecast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Lit>
              <c:ptCount val="5"/>
              <c:pt idx="0">
                <c:v>2015/16</c:v>
              </c:pt>
              <c:pt idx="1">
                <c:v>2016/17</c:v>
              </c:pt>
              <c:pt idx="2">
                <c:v>2017/18</c:v>
              </c:pt>
              <c:pt idx="3">
                <c:v>2018/19</c:v>
              </c:pt>
              <c:pt idx="4">
                <c:v>2019/20</c:v>
              </c:pt>
            </c:strLit>
          </c:cat>
          <c:val>
            <c:numRef>
              <c:f>Outputs│Graphs!$K$16:$O$16</c:f>
              <c:numCache>
                <c:formatCode>_-* #,##0.0_-;\-* #,##0.0_-;_-* "-"??_-;_-@_-</c:formatCode>
                <c:ptCount val="5"/>
                <c:pt idx="2">
                  <c:v>4.2095766244158543</c:v>
                </c:pt>
                <c:pt idx="3">
                  <c:v>3.5587163627011495</c:v>
                </c:pt>
                <c:pt idx="4">
                  <c:v>3.7119726796276478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7-4C71-9F16-EFAB4008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30720"/>
        <c:axId val="156332032"/>
      </c:lineChart>
      <c:catAx>
        <c:axId val="15483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6332032"/>
        <c:crossesAt val="0"/>
        <c:auto val="1"/>
        <c:lblAlgn val="ctr"/>
        <c:lblOffset val="100"/>
        <c:noMultiLvlLbl val="0"/>
      </c:catAx>
      <c:valAx>
        <c:axId val="1563320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aseline="0"/>
                  <a:t>$ million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7.2988505747126438E-3"/>
              <c:y val="0.3234192197205734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54830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0</xdr:col>
      <xdr:colOff>3407431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7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6</xdr:col>
      <xdr:colOff>359431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4</xdr:col>
      <xdr:colOff>2493031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4</xdr:col>
      <xdr:colOff>2493031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  <xdr:twoCellAnchor>
    <xdr:from>
      <xdr:col>4</xdr:col>
      <xdr:colOff>400049</xdr:colOff>
      <xdr:row>32</xdr:row>
      <xdr:rowOff>155330</xdr:rowOff>
    </xdr:from>
    <xdr:to>
      <xdr:col>5</xdr:col>
      <xdr:colOff>375439</xdr:colOff>
      <xdr:row>56</xdr:row>
      <xdr:rowOff>126755</xdr:rowOff>
    </xdr:to>
    <xdr:graphicFrame macro="">
      <xdr:nvGraphicFramePr>
        <xdr:cNvPr id="4" name="Historic and Forecast Op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13</xdr:row>
      <xdr:rowOff>0</xdr:rowOff>
    </xdr:from>
    <xdr:to>
      <xdr:col>4</xdr:col>
      <xdr:colOff>5220000</xdr:colOff>
      <xdr:row>29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hub.apa.com.au/Corporate/Directlink2020/Revenue%20Proposal%20%20Draft%20RIN/Directlink%202021-25%20-%20Draft%20Reset%20RIN%20-%20workbook%203%20-%20EBS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7.5 EBSS"/>
    </sheetNames>
    <sheetDataSet>
      <sheetData sheetId="0" refreshError="1"/>
      <sheetData sheetId="1">
        <row r="3">
          <cell r="B3" t="str">
            <v>2020-21 to 2024-25</v>
          </cell>
        </row>
        <row r="14">
          <cell r="C14" t="str">
            <v>Directlink</v>
          </cell>
        </row>
        <row r="35">
          <cell r="C35" t="str">
            <v>2020-21</v>
          </cell>
          <cell r="D35" t="str">
            <v>2021-22</v>
          </cell>
          <cell r="E35" t="str">
            <v>2022-23</v>
          </cell>
          <cell r="F35" t="str">
            <v>2023-24</v>
          </cell>
          <cell r="G35" t="str">
            <v>2024-25</v>
          </cell>
        </row>
        <row r="39">
          <cell r="C39" t="str">
            <v>2015-16</v>
          </cell>
          <cell r="D39" t="str">
            <v>2016-17</v>
          </cell>
          <cell r="E39" t="str">
            <v>2017-18</v>
          </cell>
          <cell r="F39" t="str">
            <v>2018-19</v>
          </cell>
          <cell r="G39" t="str">
            <v>2019-20</v>
          </cell>
        </row>
        <row r="44">
          <cell r="C44" t="str">
            <v>2010-11</v>
          </cell>
          <cell r="D44" t="str">
            <v>2011-12</v>
          </cell>
          <cell r="E44" t="str">
            <v>2012-13</v>
          </cell>
          <cell r="F44" t="str">
            <v>2013-14</v>
          </cell>
          <cell r="G44" t="str">
            <v>2014-15</v>
          </cell>
        </row>
        <row r="62">
          <cell r="C62" t="str">
            <v>No</v>
          </cell>
        </row>
        <row r="66">
          <cell r="C66" t="str">
            <v>Financial</v>
          </cell>
        </row>
        <row r="73">
          <cell r="C73" t="str">
            <v>June</v>
          </cell>
        </row>
        <row r="74">
          <cell r="C74" t="str">
            <v>June 2020</v>
          </cell>
        </row>
      </sheetData>
      <sheetData sheetId="2">
        <row r="24">
          <cell r="C24" t="str">
            <v>2010-11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43" workbookViewId="0">
      <selection activeCell="E95" sqref="E95"/>
    </sheetView>
  </sheetViews>
  <sheetFormatPr defaultColWidth="14" defaultRowHeight="13.5" x14ac:dyDescent="0.25"/>
  <cols>
    <col min="1" max="1" width="73.375" style="7" customWidth="1"/>
    <col min="2" max="2" width="26.75" style="7" customWidth="1"/>
    <col min="3" max="3" width="0.875" style="7" customWidth="1"/>
    <col min="4" max="4" width="18.5" style="7" customWidth="1"/>
    <col min="5" max="5" width="22.5" style="7" customWidth="1"/>
    <col min="6" max="8" width="20.875" style="7" customWidth="1"/>
    <col min="9" max="9" width="23" style="7" customWidth="1"/>
    <col min="10" max="10" width="16.25" style="7" customWidth="1"/>
    <col min="11" max="11" width="14" style="7"/>
    <col min="12" max="12" width="16.5" style="7" customWidth="1"/>
    <col min="13" max="13" width="13.5" style="7" customWidth="1"/>
    <col min="14" max="14" width="14" style="7"/>
    <col min="15" max="15" width="15.5" style="7" customWidth="1"/>
    <col min="16" max="16384" width="14" style="7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2" customFormat="1" ht="14.25" thickBot="1" x14ac:dyDescent="0.3"/>
    <row r="10" spans="1:10" s="6" customFormat="1" ht="24.75" thickTop="1" thickBot="1" x14ac:dyDescent="0.4">
      <c r="A10" s="19" t="str">
        <f ca="1">RIGHT(CELL("filename",A1),LEN(CELL("filename",A1))-FIND("]",CELL("filename",A1)))</f>
        <v>Input│ Historic Opex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4.25" thickTop="1" x14ac:dyDescent="0.25"/>
    <row r="12" spans="1:10" ht="20.25" thickBot="1" x14ac:dyDescent="0.35">
      <c r="A12" s="4" t="s">
        <v>6</v>
      </c>
      <c r="B12" s="4" t="s">
        <v>0</v>
      </c>
      <c r="C12" s="53" t="s">
        <v>40</v>
      </c>
      <c r="D12" s="5" t="s">
        <v>1</v>
      </c>
      <c r="E12" s="5" t="s">
        <v>2</v>
      </c>
      <c r="F12" s="5" t="s">
        <v>3</v>
      </c>
      <c r="G12" s="5" t="s">
        <v>4</v>
      </c>
      <c r="H12" s="5" t="s">
        <v>5</v>
      </c>
      <c r="I12" s="50" t="s">
        <v>17</v>
      </c>
      <c r="J12" s="50" t="s">
        <v>18</v>
      </c>
    </row>
    <row r="13" spans="1:10" ht="15" thickTop="1" thickBot="1" x14ac:dyDescent="0.3">
      <c r="A13" s="8" t="s">
        <v>144</v>
      </c>
    </row>
    <row r="14" spans="1:10" ht="17.25" thickTop="1" x14ac:dyDescent="0.3">
      <c r="A14" s="9" t="s">
        <v>145</v>
      </c>
      <c r="B14" s="10" t="s">
        <v>7</v>
      </c>
      <c r="C14" s="10"/>
      <c r="D14" s="11">
        <v>2830</v>
      </c>
      <c r="E14" s="11">
        <v>2046.9124751767029</v>
      </c>
      <c r="F14" s="11">
        <v>2897.5744800000002</v>
      </c>
      <c r="G14" s="11">
        <v>2930.9070000000002</v>
      </c>
      <c r="H14" s="11">
        <v>3372.6649000000002</v>
      </c>
    </row>
    <row r="15" spans="1:10" ht="16.5" x14ac:dyDescent="0.3">
      <c r="A15" s="9" t="s">
        <v>146</v>
      </c>
      <c r="B15" s="10" t="s">
        <v>7</v>
      </c>
      <c r="C15" s="10"/>
      <c r="D15" s="11">
        <v>372</v>
      </c>
      <c r="E15" s="11">
        <v>399</v>
      </c>
      <c r="F15" s="11">
        <v>356</v>
      </c>
      <c r="G15" s="11">
        <v>400</v>
      </c>
      <c r="H15" s="11">
        <v>421</v>
      </c>
    </row>
    <row r="16" spans="1:10" ht="14.25" thickBot="1" x14ac:dyDescent="0.3">
      <c r="A16" s="8" t="s">
        <v>34</v>
      </c>
    </row>
    <row r="17" spans="1:9" ht="17.25" thickTop="1" x14ac:dyDescent="0.3">
      <c r="A17" s="9" t="s">
        <v>11</v>
      </c>
      <c r="B17" s="10" t="s">
        <v>7</v>
      </c>
      <c r="C17" s="10"/>
      <c r="D17" s="11">
        <v>664</v>
      </c>
      <c r="E17" s="11">
        <v>625</v>
      </c>
      <c r="F17" s="11">
        <v>754</v>
      </c>
      <c r="G17" s="11">
        <v>488</v>
      </c>
      <c r="H17" s="11">
        <v>409</v>
      </c>
    </row>
    <row r="18" spans="1:9" ht="16.5" x14ac:dyDescent="0.3">
      <c r="A18" s="9" t="s">
        <v>147</v>
      </c>
      <c r="B18" s="10" t="s">
        <v>7</v>
      </c>
      <c r="C18" s="10"/>
      <c r="D18" s="11">
        <v>9</v>
      </c>
      <c r="E18" s="11">
        <v>9</v>
      </c>
      <c r="F18" s="11">
        <v>10</v>
      </c>
      <c r="G18" s="11">
        <v>8</v>
      </c>
      <c r="H18" s="11">
        <v>8</v>
      </c>
    </row>
    <row r="19" spans="1:9" ht="16.5" x14ac:dyDescent="0.3">
      <c r="A19" s="9" t="s">
        <v>148</v>
      </c>
      <c r="B19" s="10" t="s">
        <v>7</v>
      </c>
      <c r="C19" s="10"/>
      <c r="D19" s="11">
        <v>20</v>
      </c>
      <c r="E19" s="11">
        <v>10</v>
      </c>
      <c r="F19" s="11">
        <v>11</v>
      </c>
      <c r="G19" s="11">
        <v>10</v>
      </c>
      <c r="H19" s="11">
        <v>11</v>
      </c>
    </row>
    <row r="20" spans="1:9" ht="16.5" x14ac:dyDescent="0.3">
      <c r="A20" s="9" t="s">
        <v>149</v>
      </c>
      <c r="B20" s="10" t="s">
        <v>7</v>
      </c>
      <c r="C20" s="10"/>
      <c r="D20" s="11">
        <v>5</v>
      </c>
      <c r="E20" s="11">
        <v>0</v>
      </c>
      <c r="F20" s="11">
        <v>3</v>
      </c>
      <c r="G20" s="11">
        <v>0</v>
      </c>
      <c r="H20" s="11">
        <v>0</v>
      </c>
    </row>
    <row r="21" spans="1:9" ht="16.5" x14ac:dyDescent="0.3">
      <c r="A21" s="9" t="s">
        <v>12</v>
      </c>
      <c r="B21" s="10" t="s">
        <v>7</v>
      </c>
      <c r="C21" s="10"/>
      <c r="D21" s="11">
        <v>0.25055999999995038</v>
      </c>
      <c r="E21" s="11">
        <v>-6.8529999999995539E-2</v>
      </c>
      <c r="F21" s="11">
        <v>-0.15959000000000856</v>
      </c>
      <c r="G21" s="11">
        <v>8.6925700000000461</v>
      </c>
      <c r="H21" s="11">
        <v>37.863059999999997</v>
      </c>
    </row>
    <row r="22" spans="1:9" ht="16.5" x14ac:dyDescent="0.3">
      <c r="A22" s="9" t="s">
        <v>8</v>
      </c>
      <c r="B22" s="10" t="s">
        <v>7</v>
      </c>
      <c r="C22" s="10"/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1:9" ht="16.5" x14ac:dyDescent="0.3">
      <c r="A23" s="12" t="s">
        <v>150</v>
      </c>
      <c r="B23" s="12" t="s">
        <v>9</v>
      </c>
      <c r="C23" s="12"/>
      <c r="D23" s="13">
        <f>SUM(D14:D21)</f>
        <v>3900.25056</v>
      </c>
      <c r="E23" s="13">
        <f>SUM(E14:E21)</f>
        <v>3089.8439451767031</v>
      </c>
      <c r="F23" s="13">
        <f>SUM(F14:F21)</f>
        <v>4031.41489</v>
      </c>
      <c r="G23" s="13">
        <f>SUM(G14:G21)</f>
        <v>3845.5995700000003</v>
      </c>
      <c r="H23" s="13">
        <f>SUM(H14:H22)</f>
        <v>4259.5279599999994</v>
      </c>
      <c r="I23" s="13">
        <f>SUM(I19:I21)</f>
        <v>0</v>
      </c>
    </row>
    <row r="24" spans="1:9" x14ac:dyDescent="0.25">
      <c r="A24" s="14" t="s">
        <v>10</v>
      </c>
      <c r="B24" s="14"/>
      <c r="C24" s="14"/>
      <c r="D24" s="14"/>
      <c r="E24" s="14"/>
      <c r="F24" s="14"/>
      <c r="G24" s="14"/>
      <c r="H24" s="14"/>
      <c r="I24" s="14"/>
    </row>
    <row r="26" spans="1:9" ht="20.25" thickBot="1" x14ac:dyDescent="0.35">
      <c r="A26" s="4" t="s">
        <v>108</v>
      </c>
      <c r="B26" s="4"/>
      <c r="C26" s="4"/>
      <c r="D26" s="4" t="str">
        <f>D12</f>
        <v>2013/14</v>
      </c>
      <c r="E26" s="4" t="str">
        <f t="shared" ref="E26:H26" si="0">E12</f>
        <v>2014/15</v>
      </c>
      <c r="F26" s="4" t="str">
        <f t="shared" si="0"/>
        <v>2015/16</v>
      </c>
      <c r="G26" s="4" t="str">
        <f t="shared" si="0"/>
        <v>2016/17</v>
      </c>
      <c r="H26" s="4" t="str">
        <f t="shared" si="0"/>
        <v>2017/18</v>
      </c>
      <c r="I26" s="4"/>
    </row>
    <row r="27" spans="1:9" ht="17.25" thickTop="1" x14ac:dyDescent="0.3">
      <c r="A27" s="15" t="str">
        <f>A13</f>
        <v>NETWORK OPERATIONS &amp; MAINTENANCE</v>
      </c>
      <c r="B27" s="16" t="str">
        <f>"$'000 real $"&amp;J12</f>
        <v>$'000 real $2019/20</v>
      </c>
      <c r="C27" s="16"/>
      <c r="D27" s="17">
        <f>SUM(D14:D15)/'Input│ Other'!D15</f>
        <v>3552.9592504743828</v>
      </c>
      <c r="E27" s="17">
        <f>SUM(E14:E15)/'Input│ Other'!E15</f>
        <v>2678.4230220328027</v>
      </c>
      <c r="F27" s="17">
        <f>SUM(F14:F15)/'Input│ Other'!F15</f>
        <v>3516.7621938280959</v>
      </c>
      <c r="G27" s="17">
        <f>SUM(G14:G15)/'Input│ Other'!G15</f>
        <v>3525.4108680316735</v>
      </c>
      <c r="H27" s="17">
        <f>SUM(H14:H15)/'Input│ Other'!H15</f>
        <v>3940.3072310590583</v>
      </c>
    </row>
    <row r="28" spans="1:9" ht="16.5" x14ac:dyDescent="0.3">
      <c r="A28" s="12" t="s">
        <v>11</v>
      </c>
      <c r="B28" s="16" t="str">
        <f>B27</f>
        <v>$'000 real $2019/20</v>
      </c>
      <c r="C28" s="16"/>
      <c r="D28" s="17">
        <f>D17/'Input│ Other'!D15</f>
        <v>736.77855787476267</v>
      </c>
      <c r="E28" s="17">
        <f>E17/'Input│ Other'!E15</f>
        <v>684.41303838951308</v>
      </c>
      <c r="F28" s="17">
        <f>F17/'Input│ Other'!F15</f>
        <v>814.99246765249529</v>
      </c>
      <c r="G28" s="17">
        <f>G17/'Input│ Other'!G15</f>
        <v>516.496108597285</v>
      </c>
      <c r="H28" s="17">
        <f>H17/'Input│ Other'!H15</f>
        <v>424.80970248667847</v>
      </c>
    </row>
    <row r="29" spans="1:9" ht="16.5" x14ac:dyDescent="0.3">
      <c r="A29" s="12" t="s">
        <v>12</v>
      </c>
      <c r="B29" s="16" t="str">
        <f>B28</f>
        <v>$'000 real $2019/20</v>
      </c>
      <c r="C29" s="16"/>
      <c r="D29" s="17">
        <f>SUM(D18:D21)/'Input│ Other'!D15</f>
        <v>38.004635848197282</v>
      </c>
      <c r="E29" s="17">
        <f>SUM(E18:E21)/'Input│ Other'!E15</f>
        <v>20.73111184620787</v>
      </c>
      <c r="F29" s="17">
        <f>SUM(F18:F21)/'Input│ Other'!F15</f>
        <v>25.768905272874296</v>
      </c>
      <c r="G29" s="17">
        <f>SUM(G18:G21)/'Input│ Other'!G15</f>
        <v>28.251246994796425</v>
      </c>
      <c r="H29" s="17">
        <f>SUM(H18:H21)/'Input│ Other'!H15</f>
        <v>59.061074819271752</v>
      </c>
    </row>
    <row r="30" spans="1:9" ht="16.5" x14ac:dyDescent="0.3">
      <c r="A30" s="12" t="str">
        <f>A23</f>
        <v>Total Operating expenditure</v>
      </c>
      <c r="B30" s="16" t="str">
        <f>B29</f>
        <v>$'000 real $2019/20</v>
      </c>
      <c r="C30" s="16"/>
      <c r="D30" s="17">
        <f>SUM(D27:D29)</f>
        <v>4327.7424441973435</v>
      </c>
      <c r="E30" s="17">
        <f>SUM(E27:E29)</f>
        <v>3383.5671722685238</v>
      </c>
      <c r="F30" s="17">
        <f>SUM(F27:F29)</f>
        <v>4357.5235667534662</v>
      </c>
      <c r="G30" s="17">
        <f>SUM(G27:G29)</f>
        <v>4070.158223623755</v>
      </c>
      <c r="H30" s="17">
        <f>SUM(H27:H29)</f>
        <v>4424.1780083650092</v>
      </c>
    </row>
    <row r="32" spans="1:9" ht="20.25" thickBot="1" x14ac:dyDescent="0.35">
      <c r="A32" s="4" t="s">
        <v>14</v>
      </c>
      <c r="B32" s="4"/>
      <c r="C32" s="4"/>
      <c r="D32" s="4"/>
      <c r="E32" s="4"/>
      <c r="F32" s="4"/>
      <c r="G32" s="4"/>
      <c r="H32" s="4"/>
      <c r="I32" s="4"/>
    </row>
    <row r="33" spans="1:10" ht="17.25" thickTop="1" x14ac:dyDescent="0.3">
      <c r="A33" s="12" t="s">
        <v>15</v>
      </c>
      <c r="B33" s="18"/>
      <c r="C33" s="18"/>
      <c r="D33" s="18"/>
      <c r="E33" s="18"/>
      <c r="F33" s="18"/>
      <c r="G33" s="18"/>
      <c r="H33" s="18"/>
    </row>
    <row r="34" spans="1:10" ht="16.5" x14ac:dyDescent="0.3">
      <c r="A34" s="12" t="s">
        <v>16</v>
      </c>
      <c r="B34" s="12" t="s">
        <v>13</v>
      </c>
      <c r="C34" s="12"/>
      <c r="D34" s="12">
        <f>SUM(D33)</f>
        <v>0</v>
      </c>
      <c r="E34" s="12">
        <f t="shared" ref="E34:H34" si="1">SUM(E33)</f>
        <v>0</v>
      </c>
      <c r="F34" s="12">
        <f t="shared" si="1"/>
        <v>0</v>
      </c>
      <c r="G34" s="12">
        <f t="shared" si="1"/>
        <v>0</v>
      </c>
      <c r="H34" s="12">
        <f t="shared" si="1"/>
        <v>0</v>
      </c>
    </row>
    <row r="35" spans="1:10" x14ac:dyDescent="0.25">
      <c r="A35" s="14" t="s">
        <v>10</v>
      </c>
      <c r="B35" s="14"/>
      <c r="C35" s="14"/>
      <c r="D35" s="14"/>
      <c r="E35" s="14"/>
      <c r="F35" s="14"/>
      <c r="G35" s="14"/>
      <c r="H35" s="14"/>
      <c r="I35" s="14"/>
    </row>
    <row r="37" spans="1:10" ht="20.25" thickBot="1" x14ac:dyDescent="0.35">
      <c r="A37" s="4" t="s">
        <v>25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ht="17.25" thickTop="1" x14ac:dyDescent="0.3">
      <c r="A38" s="10" t="s">
        <v>15</v>
      </c>
      <c r="B38" s="10" t="s">
        <v>123</v>
      </c>
      <c r="C38" s="10"/>
      <c r="D38" s="10"/>
      <c r="E38" s="10"/>
      <c r="F38" s="20">
        <v>4085.2121870860519</v>
      </c>
      <c r="G38" s="20">
        <v>3368.4340725042739</v>
      </c>
      <c r="H38" s="20">
        <v>3451.5261631512399</v>
      </c>
      <c r="I38" s="20">
        <v>3406.4410707566444</v>
      </c>
      <c r="J38" s="20">
        <v>3421.9848571897392</v>
      </c>
    </row>
    <row r="39" spans="1:10" ht="16.5" x14ac:dyDescent="0.3">
      <c r="A39" s="20" t="s">
        <v>8</v>
      </c>
      <c r="B39" s="10" t="s">
        <v>123</v>
      </c>
      <c r="C39" s="10"/>
      <c r="D39" s="21"/>
      <c r="E39" s="10"/>
      <c r="F39" s="20">
        <v>69.896717605381966</v>
      </c>
      <c r="G39" s="20">
        <v>71.121651807787217</v>
      </c>
      <c r="H39" s="20">
        <v>69.243660865036759</v>
      </c>
      <c r="I39" s="20">
        <v>67.496780566085832</v>
      </c>
      <c r="J39" s="20">
        <v>66.148569544281656</v>
      </c>
    </row>
    <row r="40" spans="1:10" ht="16.5" x14ac:dyDescent="0.3">
      <c r="A40" s="22" t="s">
        <v>26</v>
      </c>
      <c r="B40" s="12" t="str">
        <f>B39</f>
        <v>AER Forecast $2014/15</v>
      </c>
      <c r="C40" s="12"/>
      <c r="D40" s="12"/>
      <c r="E40" s="12"/>
      <c r="F40" s="22">
        <f>SUM(F38:F39)</f>
        <v>4155.108904691434</v>
      </c>
      <c r="G40" s="22">
        <f t="shared" ref="G40:J40" si="2">SUM(G38:G39)</f>
        <v>3439.5557243120611</v>
      </c>
      <c r="H40" s="22">
        <f t="shared" si="2"/>
        <v>3520.7698240162767</v>
      </c>
      <c r="I40" s="22">
        <f t="shared" si="2"/>
        <v>3473.9378513227302</v>
      </c>
      <c r="J40" s="22">
        <f t="shared" si="2"/>
        <v>3488.1334267340208</v>
      </c>
    </row>
    <row r="41" spans="1:10" x14ac:dyDescent="0.25">
      <c r="A41" s="14" t="s">
        <v>102</v>
      </c>
      <c r="B41" s="14"/>
      <c r="C41" s="14"/>
      <c r="D41" s="14"/>
      <c r="E41" s="14"/>
      <c r="F41" s="14"/>
      <c r="G41" s="14"/>
      <c r="H41" s="14"/>
      <c r="I41" s="14"/>
      <c r="J41" s="14"/>
    </row>
    <row r="43" spans="1:10" ht="16.5" x14ac:dyDescent="0.3">
      <c r="A43" s="12" t="s">
        <v>27</v>
      </c>
      <c r="B43" s="12" t="s">
        <v>28</v>
      </c>
      <c r="C43" s="12"/>
      <c r="D43" s="12"/>
      <c r="E43" s="12"/>
      <c r="F43" s="22">
        <f>F40*'Input│ Other'!F16</f>
        <v>4209.576624415854</v>
      </c>
      <c r="G43" s="22">
        <f>G40*'Input│ Other'!G16</f>
        <v>3558.7163627011496</v>
      </c>
      <c r="H43" s="22">
        <f>H40*'Input│ Other'!H16</f>
        <v>3711.9726796276477</v>
      </c>
      <c r="I43" s="22">
        <f>I40*'Input│ Other'!I16</f>
        <v>3711.3886595123922</v>
      </c>
      <c r="J43" s="22">
        <f>J40*'Input│ Other'!J16</f>
        <v>3819.7183950384883</v>
      </c>
    </row>
    <row r="46" spans="1:10" ht="20.25" thickBot="1" x14ac:dyDescent="0.35">
      <c r="A46" s="4" t="s">
        <v>29</v>
      </c>
      <c r="B46" s="4"/>
      <c r="C46" s="4"/>
      <c r="D46" s="4"/>
      <c r="E46" s="4"/>
      <c r="F46" s="4"/>
      <c r="G46" s="4"/>
      <c r="H46" s="4"/>
      <c r="I46" s="4"/>
      <c r="J46" s="4"/>
    </row>
    <row r="47" spans="1:10" ht="15" thickTop="1" thickBot="1" x14ac:dyDescent="0.3">
      <c r="A47" s="23" t="s">
        <v>30</v>
      </c>
      <c r="B47" s="23"/>
      <c r="C47" s="23"/>
      <c r="D47" s="23"/>
      <c r="E47" s="23"/>
      <c r="F47" s="23"/>
      <c r="G47" s="23"/>
      <c r="H47" s="23"/>
      <c r="I47" s="24"/>
      <c r="J47" s="23"/>
    </row>
    <row r="48" spans="1:10" ht="17.25" thickTop="1" x14ac:dyDescent="0.3">
      <c r="A48" s="10" t="s">
        <v>31</v>
      </c>
      <c r="B48" s="10" t="s">
        <v>32</v>
      </c>
      <c r="C48" s="10"/>
      <c r="I48" s="25">
        <f>H14/1000</f>
        <v>3.3726649000000002</v>
      </c>
    </row>
    <row r="49" spans="1:10" ht="16.5" x14ac:dyDescent="0.3">
      <c r="A49" s="10" t="s">
        <v>33</v>
      </c>
      <c r="B49" s="10" t="str">
        <f>B48</f>
        <v>$m nominal</v>
      </c>
      <c r="C49" s="10"/>
      <c r="I49" s="25">
        <f>H15/1000</f>
        <v>0.42099999999999999</v>
      </c>
    </row>
    <row r="50" spans="1:10" ht="14.25" thickBot="1" x14ac:dyDescent="0.3">
      <c r="A50" s="23" t="s">
        <v>34</v>
      </c>
      <c r="B50" s="23"/>
      <c r="C50" s="23"/>
      <c r="D50" s="23"/>
      <c r="E50" s="23"/>
      <c r="F50" s="23"/>
      <c r="G50" s="23"/>
      <c r="H50" s="23"/>
      <c r="I50" s="24"/>
      <c r="J50" s="23"/>
    </row>
    <row r="51" spans="1:10" ht="17.25" thickTop="1" x14ac:dyDescent="0.3">
      <c r="A51" s="10" t="s">
        <v>11</v>
      </c>
      <c r="B51" s="10" t="str">
        <f>B49</f>
        <v>$m nominal</v>
      </c>
      <c r="C51" s="10"/>
      <c r="D51" s="52"/>
      <c r="E51" s="52"/>
      <c r="F51" s="52"/>
      <c r="G51" s="52"/>
      <c r="H51" s="52"/>
      <c r="I51" s="25">
        <f>H17/1000</f>
        <v>0.40899999999999997</v>
      </c>
    </row>
    <row r="52" spans="1:10" ht="16.5" x14ac:dyDescent="0.3">
      <c r="A52" s="10" t="s">
        <v>35</v>
      </c>
      <c r="B52" s="10" t="str">
        <f>B51</f>
        <v>$m nominal</v>
      </c>
      <c r="C52" s="10"/>
      <c r="D52" s="52"/>
      <c r="E52" s="52"/>
      <c r="F52" s="52"/>
      <c r="G52" s="52"/>
      <c r="H52" s="52"/>
      <c r="I52" s="25">
        <f>H18/1000</f>
        <v>8.0000000000000002E-3</v>
      </c>
    </row>
    <row r="53" spans="1:10" ht="16.5" x14ac:dyDescent="0.3">
      <c r="A53" s="10" t="s">
        <v>36</v>
      </c>
      <c r="B53" s="10" t="str">
        <f t="shared" ref="B53:B54" si="3">B51</f>
        <v>$m nominal</v>
      </c>
      <c r="C53" s="10"/>
      <c r="D53" s="52"/>
      <c r="E53" s="52"/>
      <c r="F53" s="52"/>
      <c r="G53" s="52"/>
      <c r="H53" s="52"/>
      <c r="I53" s="25">
        <f>H19/1000</f>
        <v>1.0999999999999999E-2</v>
      </c>
    </row>
    <row r="54" spans="1:10" ht="16.5" x14ac:dyDescent="0.3">
      <c r="A54" s="10" t="s">
        <v>12</v>
      </c>
      <c r="B54" s="10" t="str">
        <f t="shared" si="3"/>
        <v>$m nominal</v>
      </c>
      <c r="C54" s="10"/>
      <c r="D54" s="52"/>
      <c r="E54" s="52"/>
      <c r="F54" s="52"/>
      <c r="G54" s="52"/>
      <c r="H54" s="52"/>
      <c r="I54" s="25">
        <f>H21/1000</f>
        <v>3.7863059999999997E-2</v>
      </c>
    </row>
    <row r="55" spans="1:10" ht="16.5" x14ac:dyDescent="0.3">
      <c r="A55" s="12" t="s">
        <v>37</v>
      </c>
      <c r="B55" s="12"/>
      <c r="C55" s="12"/>
      <c r="D55" s="52"/>
      <c r="E55" s="52"/>
      <c r="F55" s="52"/>
      <c r="G55" s="52"/>
      <c r="H55" s="52"/>
      <c r="I55" s="26">
        <f>SUM(I48:I54)</f>
        <v>4.2595279600000007</v>
      </c>
    </row>
    <row r="57" spans="1:10" ht="14.25" thickBot="1" x14ac:dyDescent="0.3">
      <c r="A57" s="23" t="s">
        <v>38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 ht="17.25" thickTop="1" x14ac:dyDescent="0.3">
      <c r="A58" s="12" t="str">
        <f>A48</f>
        <v>Operating and maintenance expenses</v>
      </c>
      <c r="B58" s="12" t="s">
        <v>39</v>
      </c>
      <c r="C58" s="12"/>
      <c r="D58" s="52"/>
      <c r="E58" s="52"/>
      <c r="F58" s="52"/>
      <c r="G58" s="52"/>
      <c r="H58" s="52"/>
      <c r="I58" s="27">
        <f>I48/$I$55</f>
        <v>0.79179311221142912</v>
      </c>
    </row>
    <row r="59" spans="1:10" ht="16.5" x14ac:dyDescent="0.3">
      <c r="A59" s="12" t="str">
        <f>A49</f>
        <v>Management fees and expenses</v>
      </c>
      <c r="B59" s="12" t="str">
        <f>$B$58</f>
        <v>Percent</v>
      </c>
      <c r="C59" s="12"/>
      <c r="D59" s="52"/>
      <c r="E59" s="52"/>
      <c r="F59" s="52"/>
      <c r="G59" s="52"/>
      <c r="H59" s="52"/>
      <c r="I59" s="27">
        <f>I49/$I$55</f>
        <v>9.8837242988774734E-2</v>
      </c>
    </row>
    <row r="60" spans="1:10" ht="16.5" x14ac:dyDescent="0.3">
      <c r="A60" s="12" t="str">
        <f>A51</f>
        <v>Insurance</v>
      </c>
      <c r="B60" s="12" t="str">
        <f t="shared" ref="B60:B71" si="4">$B$58</f>
        <v>Percent</v>
      </c>
      <c r="C60" s="12"/>
      <c r="D60" s="52"/>
      <c r="E60" s="52"/>
      <c r="F60" s="52"/>
      <c r="G60" s="52"/>
      <c r="H60" s="52"/>
      <c r="I60" s="27">
        <f>I51/$I$55</f>
        <v>9.6020029411897537E-2</v>
      </c>
    </row>
    <row r="61" spans="1:10" ht="16.5" x14ac:dyDescent="0.3">
      <c r="A61" s="12" t="str">
        <f>A52</f>
        <v>Tax on property and capital</v>
      </c>
      <c r="B61" s="12" t="str">
        <f t="shared" si="4"/>
        <v>Percent</v>
      </c>
      <c r="C61" s="12"/>
      <c r="D61" s="52"/>
      <c r="E61" s="52"/>
      <c r="F61" s="52"/>
      <c r="G61" s="52"/>
      <c r="H61" s="52"/>
      <c r="I61" s="27">
        <f>I52/$I$55</f>
        <v>1.878142384584793E-3</v>
      </c>
    </row>
    <row r="62" spans="1:10" ht="16.5" x14ac:dyDescent="0.3">
      <c r="A62" s="12" t="str">
        <f>A53</f>
        <v>Accounting/audit fees</v>
      </c>
      <c r="B62" s="12" t="str">
        <f t="shared" si="4"/>
        <v>Percent</v>
      </c>
      <c r="C62" s="12"/>
      <c r="D62" s="52"/>
      <c r="E62" s="52"/>
      <c r="F62" s="52"/>
      <c r="G62" s="52"/>
      <c r="H62" s="52"/>
      <c r="I62" s="27">
        <f>I53/$I$55</f>
        <v>2.5824457788040903E-3</v>
      </c>
    </row>
    <row r="63" spans="1:10" ht="16.5" x14ac:dyDescent="0.3">
      <c r="A63" s="12" t="str">
        <f>A54</f>
        <v>Other</v>
      </c>
      <c r="B63" s="12" t="str">
        <f t="shared" si="4"/>
        <v>Percent</v>
      </c>
      <c r="C63" s="12"/>
      <c r="D63" s="52"/>
      <c r="E63" s="52"/>
      <c r="F63" s="52"/>
      <c r="G63" s="52"/>
      <c r="H63" s="52"/>
      <c r="I63" s="27">
        <f>I54/$I$55</f>
        <v>8.8890272245096356E-3</v>
      </c>
    </row>
    <row r="64" spans="1:10" ht="16.5" x14ac:dyDescent="0.3">
      <c r="A64" s="12" t="str">
        <f t="shared" ref="A64" si="5">A55</f>
        <v>TOTAL</v>
      </c>
      <c r="B64" s="12" t="str">
        <f t="shared" si="4"/>
        <v>Percent</v>
      </c>
      <c r="C64" s="12"/>
      <c r="D64" s="52"/>
      <c r="E64" s="52"/>
      <c r="F64" s="52"/>
      <c r="G64" s="52"/>
      <c r="H64" s="52"/>
      <c r="I64" s="27">
        <f>SUM(I58:I63)</f>
        <v>1</v>
      </c>
    </row>
    <row r="65" spans="1:10" ht="16.5" x14ac:dyDescent="0.3">
      <c r="A65" s="38"/>
      <c r="B65" s="38"/>
      <c r="C65" s="74"/>
      <c r="D65" s="38"/>
      <c r="E65" s="38"/>
      <c r="F65" s="38"/>
      <c r="G65" s="38"/>
      <c r="H65" s="38"/>
      <c r="I65" s="60"/>
    </row>
    <row r="66" spans="1:10" ht="16.5" x14ac:dyDescent="0.3">
      <c r="A66" s="12" t="str">
        <f>A58</f>
        <v>Operating and maintenance expenses</v>
      </c>
      <c r="B66" s="12" t="str">
        <f t="shared" si="4"/>
        <v>Percent</v>
      </c>
      <c r="C66" s="12"/>
      <c r="D66" s="38"/>
      <c r="E66" s="38"/>
      <c r="F66" s="38"/>
      <c r="G66" s="38"/>
      <c r="H66" s="38"/>
      <c r="I66" s="68">
        <f>I58/SUM($I$58:$I$59,$I$61:$I$63)</f>
        <v>0.87589674326115008</v>
      </c>
    </row>
    <row r="67" spans="1:10" ht="16.5" x14ac:dyDescent="0.3">
      <c r="A67" s="12" t="str">
        <f t="shared" ref="A67" si="6">A59</f>
        <v>Management fees and expenses</v>
      </c>
      <c r="B67" s="12" t="str">
        <f t="shared" si="4"/>
        <v>Percent</v>
      </c>
      <c r="C67" s="12"/>
      <c r="D67" s="38"/>
      <c r="E67" s="38"/>
      <c r="F67" s="38"/>
      <c r="G67" s="38"/>
      <c r="H67" s="38"/>
      <c r="I67" s="68">
        <f t="shared" ref="I67" si="7">I59/SUM($I$58:$I$59,$I$61:$I$63)</f>
        <v>0.1093356558823689</v>
      </c>
    </row>
    <row r="68" spans="1:10" ht="16.5" x14ac:dyDescent="0.3">
      <c r="A68" s="12" t="str">
        <f>A61</f>
        <v>Tax on property and capital</v>
      </c>
      <c r="B68" s="12" t="str">
        <f t="shared" si="4"/>
        <v>Percent</v>
      </c>
      <c r="C68" s="12"/>
      <c r="D68" s="38"/>
      <c r="E68" s="38"/>
      <c r="F68" s="38"/>
      <c r="G68" s="38"/>
      <c r="H68" s="38"/>
      <c r="I68" s="68">
        <f>I61/SUM($I$58:$I$59,$I$61:$I$63)</f>
        <v>2.0776371664108107E-3</v>
      </c>
    </row>
    <row r="69" spans="1:10" ht="16.5" x14ac:dyDescent="0.3">
      <c r="A69" s="12" t="str">
        <f>A62</f>
        <v>Accounting/audit fees</v>
      </c>
      <c r="B69" s="12" t="str">
        <f t="shared" si="4"/>
        <v>Percent</v>
      </c>
      <c r="C69" s="12"/>
      <c r="D69" s="38"/>
      <c r="E69" s="38"/>
      <c r="F69" s="38"/>
      <c r="G69" s="38"/>
      <c r="H69" s="38"/>
      <c r="I69" s="68">
        <f t="shared" ref="I69:I70" si="8">I62/SUM($I$58:$I$59,$I$61:$I$63)</f>
        <v>2.8567511038148645E-3</v>
      </c>
    </row>
    <row r="70" spans="1:10" ht="16.5" x14ac:dyDescent="0.3">
      <c r="A70" s="12" t="str">
        <f>A63</f>
        <v>Other</v>
      </c>
      <c r="B70" s="12" t="str">
        <f t="shared" si="4"/>
        <v>Percent</v>
      </c>
      <c r="C70" s="12"/>
      <c r="D70" s="38"/>
      <c r="E70" s="38"/>
      <c r="F70" s="38"/>
      <c r="G70" s="38"/>
      <c r="H70" s="38"/>
      <c r="I70" s="68">
        <f t="shared" si="8"/>
        <v>9.8332125862553126E-3</v>
      </c>
    </row>
    <row r="71" spans="1:10" ht="16.5" x14ac:dyDescent="0.3">
      <c r="A71" s="12" t="str">
        <f>A64</f>
        <v>TOTAL</v>
      </c>
      <c r="B71" s="12" t="str">
        <f t="shared" si="4"/>
        <v>Percent</v>
      </c>
      <c r="C71" s="12"/>
      <c r="D71" s="38"/>
      <c r="E71" s="38"/>
      <c r="F71" s="38"/>
      <c r="G71" s="38"/>
      <c r="H71" s="38"/>
      <c r="I71" s="68">
        <f>SUM(I66:I70)</f>
        <v>1</v>
      </c>
    </row>
    <row r="72" spans="1:10" ht="16.5" x14ac:dyDescent="0.3">
      <c r="A72" s="38"/>
      <c r="B72" s="38"/>
      <c r="C72" s="74"/>
      <c r="D72" s="38"/>
      <c r="E72" s="38"/>
      <c r="F72" s="38"/>
      <c r="G72" s="38"/>
      <c r="H72" s="38"/>
      <c r="I72" s="60"/>
    </row>
    <row r="73" spans="1:10" ht="16.5" x14ac:dyDescent="0.3">
      <c r="A73" s="38"/>
      <c r="B73" s="38"/>
      <c r="C73" s="74"/>
      <c r="D73" s="38"/>
      <c r="E73" s="38"/>
      <c r="F73" s="38"/>
      <c r="G73" s="38"/>
      <c r="H73" s="38"/>
      <c r="I73" s="60"/>
    </row>
    <row r="74" spans="1:10" ht="16.5" x14ac:dyDescent="0.3">
      <c r="A74" s="38"/>
      <c r="B74" s="38"/>
      <c r="C74" s="74"/>
      <c r="D74" s="38"/>
      <c r="E74" s="38"/>
      <c r="F74" s="38"/>
      <c r="G74" s="38"/>
      <c r="H74" s="38"/>
      <c r="I74" s="60"/>
    </row>
    <row r="75" spans="1:10" ht="16.5" x14ac:dyDescent="0.3">
      <c r="A75" s="38"/>
      <c r="B75" s="38"/>
      <c r="C75" s="74"/>
      <c r="D75" s="38"/>
      <c r="E75" s="38"/>
      <c r="F75" s="38"/>
      <c r="G75" s="38"/>
      <c r="H75" s="38"/>
      <c r="I75" s="60"/>
    </row>
    <row r="76" spans="1:10" ht="16.5" x14ac:dyDescent="0.3">
      <c r="A76" s="38"/>
      <c r="B76" s="38"/>
      <c r="C76" s="74"/>
      <c r="D76" s="38"/>
      <c r="E76" s="38"/>
      <c r="F76" s="38"/>
      <c r="G76" s="38"/>
      <c r="H76" s="38"/>
      <c r="I76" s="60"/>
    </row>
    <row r="78" spans="1:10" ht="20.25" thickBot="1" x14ac:dyDescent="0.35">
      <c r="A78" s="4" t="s">
        <v>80</v>
      </c>
      <c r="J78" s="7" t="s">
        <v>26</v>
      </c>
    </row>
    <row r="79" spans="1:10" ht="17.25" thickTop="1" x14ac:dyDescent="0.3">
      <c r="A79" s="10" t="s">
        <v>134</v>
      </c>
      <c r="B79" s="10" t="s">
        <v>9</v>
      </c>
      <c r="C79" s="10"/>
      <c r="D79" s="11">
        <v>1071291.4101704119</v>
      </c>
      <c r="E79" s="11">
        <v>674124.27345378941</v>
      </c>
      <c r="F79" s="11">
        <v>866970.21908144781</v>
      </c>
      <c r="G79" s="11">
        <v>1045868.0467500002</v>
      </c>
      <c r="H79" s="11">
        <v>1097983.5599999998</v>
      </c>
      <c r="J79" s="13">
        <f>SUM(D79:H79)</f>
        <v>4756237.5094556492</v>
      </c>
    </row>
    <row r="80" spans="1:10" ht="16.5" x14ac:dyDescent="0.3">
      <c r="A80" s="10" t="s">
        <v>135</v>
      </c>
      <c r="B80" s="10" t="s">
        <v>9</v>
      </c>
      <c r="C80" s="10"/>
      <c r="D80" s="11">
        <v>859422.14947378181</v>
      </c>
      <c r="E80" s="11">
        <v>645680.18270286312</v>
      </c>
      <c r="F80" s="11">
        <v>791203.72880904982</v>
      </c>
      <c r="G80" s="11">
        <v>855961.60225</v>
      </c>
      <c r="H80" s="11">
        <v>765972.35999999987</v>
      </c>
      <c r="J80" s="13">
        <f>SUM(D80:H80)</f>
        <v>3918240.0232356945</v>
      </c>
    </row>
    <row r="81" spans="1:10" ht="16.5" x14ac:dyDescent="0.3">
      <c r="A81" s="54" t="s">
        <v>115</v>
      </c>
      <c r="B81" s="54" t="s">
        <v>9</v>
      </c>
      <c r="C81" s="54"/>
      <c r="D81" s="63">
        <f>(D19+D20)*1000</f>
        <v>25000</v>
      </c>
      <c r="E81" s="63">
        <f t="shared" ref="E81:H81" si="9">(E19+E20)*1000</f>
        <v>10000</v>
      </c>
      <c r="F81" s="63">
        <f t="shared" si="9"/>
        <v>14000</v>
      </c>
      <c r="G81" s="63">
        <f t="shared" si="9"/>
        <v>10000</v>
      </c>
      <c r="H81" s="63">
        <f t="shared" si="9"/>
        <v>11000</v>
      </c>
      <c r="J81" s="13">
        <f>SUM(D81:H81)</f>
        <v>70000</v>
      </c>
    </row>
    <row r="82" spans="1:10" ht="16.5" x14ac:dyDescent="0.3">
      <c r="A82" s="12" t="s">
        <v>101</v>
      </c>
      <c r="B82" s="12" t="s">
        <v>9</v>
      </c>
      <c r="C82" s="12"/>
      <c r="D82" s="51">
        <f>SUM(D79:D81)</f>
        <v>1955713.5596441939</v>
      </c>
      <c r="E82" s="51">
        <f t="shared" ref="E82:J82" si="10">SUM(E79:E81)</f>
        <v>1329804.4561566524</v>
      </c>
      <c r="F82" s="51">
        <f t="shared" si="10"/>
        <v>1672173.9478904977</v>
      </c>
      <c r="G82" s="51">
        <f t="shared" si="10"/>
        <v>1911829.6490000002</v>
      </c>
      <c r="H82" s="51">
        <f t="shared" si="10"/>
        <v>1874955.9199999997</v>
      </c>
      <c r="J82" s="51">
        <f t="shared" si="10"/>
        <v>8744477.5326913446</v>
      </c>
    </row>
    <row r="83" spans="1:10" ht="16.5" x14ac:dyDescent="0.3">
      <c r="A83" s="54" t="s">
        <v>81</v>
      </c>
      <c r="B83" s="54" t="s">
        <v>9</v>
      </c>
      <c r="C83" s="54"/>
      <c r="D83" s="1">
        <f>D23*1000</f>
        <v>3900250.56</v>
      </c>
      <c r="E83" s="1">
        <f>E23*1000</f>
        <v>3089843.9451767029</v>
      </c>
      <c r="F83" s="1">
        <f>F23*1000</f>
        <v>4031414.89</v>
      </c>
      <c r="G83" s="1">
        <f>G23*1000</f>
        <v>3845599.5700000003</v>
      </c>
      <c r="H83" s="1">
        <f>H23*1000</f>
        <v>4259527.959999999</v>
      </c>
      <c r="J83" s="1">
        <f>SUM(D83:I83)</f>
        <v>19126636.925176702</v>
      </c>
    </row>
    <row r="84" spans="1:10" ht="16.5" x14ac:dyDescent="0.3">
      <c r="A84" s="12" t="s">
        <v>82</v>
      </c>
      <c r="B84" s="12" t="s">
        <v>98</v>
      </c>
      <c r="C84" s="12"/>
      <c r="D84" s="61">
        <f>D82/D83</f>
        <v>0.50143280016456016</v>
      </c>
      <c r="E84" s="61">
        <f t="shared" ref="E84:J84" si="11">E82/E83</f>
        <v>0.43037916469292858</v>
      </c>
      <c r="F84" s="61">
        <f t="shared" si="11"/>
        <v>0.41478587382270093</v>
      </c>
      <c r="G84" s="61">
        <f t="shared" si="11"/>
        <v>0.4971473535399839</v>
      </c>
      <c r="H84" s="61">
        <f t="shared" si="11"/>
        <v>0.44017927282252189</v>
      </c>
      <c r="J84" s="61">
        <f t="shared" si="11"/>
        <v>0.45718845225638421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B1" workbookViewId="0">
      <selection activeCell="G31" sqref="G31"/>
    </sheetView>
  </sheetViews>
  <sheetFormatPr defaultColWidth="14" defaultRowHeight="13.5" x14ac:dyDescent="0.25"/>
  <cols>
    <col min="1" max="1" width="73.375" style="7" customWidth="1"/>
    <col min="2" max="3" width="17.75" style="7" customWidth="1"/>
    <col min="4" max="4" width="18.5" style="7" customWidth="1"/>
    <col min="5" max="5" width="22.5" style="7" customWidth="1"/>
    <col min="6" max="8" width="20.875" style="7" customWidth="1"/>
    <col min="9" max="9" width="22.5" style="7" customWidth="1"/>
    <col min="10" max="10" width="16.25" style="7" customWidth="1"/>
    <col min="11" max="11" width="14" style="7"/>
    <col min="12" max="12" width="16.5" style="7" customWidth="1"/>
    <col min="13" max="14" width="14" style="7"/>
    <col min="15" max="15" width="15.5" style="7" customWidth="1"/>
    <col min="16" max="16384" width="14" style="7"/>
  </cols>
  <sheetData>
    <row r="1" spans="1:15" s="2" customFormat="1" x14ac:dyDescent="0.25"/>
    <row r="2" spans="1:15" s="2" customFormat="1" x14ac:dyDescent="0.25"/>
    <row r="3" spans="1:15" s="2" customFormat="1" x14ac:dyDescent="0.25"/>
    <row r="4" spans="1:15" s="2" customFormat="1" x14ac:dyDescent="0.25"/>
    <row r="5" spans="1:15" s="2" customFormat="1" x14ac:dyDescent="0.25"/>
    <row r="6" spans="1:15" s="2" customFormat="1" x14ac:dyDescent="0.25"/>
    <row r="7" spans="1:15" s="2" customFormat="1" x14ac:dyDescent="0.25"/>
    <row r="8" spans="1:15" s="2" customFormat="1" x14ac:dyDescent="0.25"/>
    <row r="9" spans="1:15" s="2" customFormat="1" ht="14.25" thickBot="1" x14ac:dyDescent="0.3"/>
    <row r="10" spans="1:15" s="6" customFormat="1" ht="24.75" thickTop="1" thickBot="1" x14ac:dyDescent="0.4">
      <c r="A10" s="19" t="str">
        <f ca="1">RIGHT(CELL("filename",A1),LEN(CELL("filename",A1))-FIND("]",CELL("filename",A1)))</f>
        <v>Input│ Other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5" ht="21" thickTop="1" thickBot="1" x14ac:dyDescent="0.35">
      <c r="A11" s="4" t="s">
        <v>42</v>
      </c>
      <c r="B11" s="4" t="s">
        <v>0</v>
      </c>
      <c r="C11" s="5" t="s">
        <v>40</v>
      </c>
      <c r="D11" s="5" t="s">
        <v>1</v>
      </c>
      <c r="E11" s="5" t="s">
        <v>2</v>
      </c>
      <c r="F11" s="5" t="s">
        <v>3</v>
      </c>
      <c r="G11" s="5" t="s">
        <v>4</v>
      </c>
      <c r="H11" s="5" t="s">
        <v>5</v>
      </c>
      <c r="I11" s="5" t="s">
        <v>17</v>
      </c>
      <c r="J11" s="5" t="s">
        <v>18</v>
      </c>
      <c r="K11" s="5" t="s">
        <v>19</v>
      </c>
      <c r="L11" s="5" t="s">
        <v>20</v>
      </c>
      <c r="M11" s="5" t="s">
        <v>21</v>
      </c>
      <c r="N11" s="5" t="s">
        <v>22</v>
      </c>
      <c r="O11" s="5" t="s">
        <v>41</v>
      </c>
    </row>
    <row r="12" spans="1:15" ht="17.25" thickTop="1" x14ac:dyDescent="0.3">
      <c r="A12" s="10" t="s">
        <v>43</v>
      </c>
      <c r="B12" s="10" t="s">
        <v>43</v>
      </c>
      <c r="C12" s="29">
        <v>41334</v>
      </c>
      <c r="D12" s="29">
        <f t="shared" ref="D12:J12" si="0">DATE(YEAR(C12)+1,MONTH(C12),DAY(C12))</f>
        <v>41699</v>
      </c>
      <c r="E12" s="29">
        <f t="shared" si="0"/>
        <v>42064</v>
      </c>
      <c r="F12" s="29">
        <f t="shared" si="0"/>
        <v>42430</v>
      </c>
      <c r="G12" s="29">
        <f t="shared" si="0"/>
        <v>42795</v>
      </c>
      <c r="H12" s="29">
        <f t="shared" si="0"/>
        <v>43160</v>
      </c>
      <c r="I12" s="29">
        <f t="shared" si="0"/>
        <v>43525</v>
      </c>
      <c r="J12" s="29">
        <f t="shared" si="0"/>
        <v>43891</v>
      </c>
      <c r="K12" s="29">
        <f t="shared" ref="K12:O12" si="1">DATE(YEAR(J12)+1,MONTH(J12),DAY(J12))</f>
        <v>44256</v>
      </c>
      <c r="L12" s="29">
        <f t="shared" si="1"/>
        <v>44621</v>
      </c>
      <c r="M12" s="29">
        <f t="shared" si="1"/>
        <v>44986</v>
      </c>
      <c r="N12" s="29">
        <f t="shared" si="1"/>
        <v>45352</v>
      </c>
      <c r="O12" s="29">
        <f t="shared" si="1"/>
        <v>45717</v>
      </c>
    </row>
    <row r="13" spans="1:15" ht="16.5" x14ac:dyDescent="0.3">
      <c r="A13" s="10" t="s">
        <v>44</v>
      </c>
      <c r="B13" s="10" t="s">
        <v>45</v>
      </c>
      <c r="C13" s="30">
        <v>102.4</v>
      </c>
      <c r="D13" s="30">
        <v>105.4</v>
      </c>
      <c r="E13" s="30">
        <v>106.8</v>
      </c>
      <c r="F13" s="30">
        <v>108.2</v>
      </c>
      <c r="G13" s="30">
        <v>110.5</v>
      </c>
      <c r="H13" s="30">
        <v>112.6</v>
      </c>
      <c r="I13" s="30">
        <v>114.1</v>
      </c>
      <c r="J13" s="31">
        <f>I13*1.025</f>
        <v>116.95249999999999</v>
      </c>
      <c r="K13" s="31">
        <f t="shared" ref="K13:O13" si="2">J13*1.025</f>
        <v>119.87631249999997</v>
      </c>
      <c r="L13" s="31">
        <f t="shared" si="2"/>
        <v>122.87322031249995</v>
      </c>
      <c r="M13" s="31">
        <f t="shared" si="2"/>
        <v>125.94505082031245</v>
      </c>
      <c r="N13" s="31">
        <f t="shared" si="2"/>
        <v>129.09367709082025</v>
      </c>
      <c r="O13" s="31">
        <f t="shared" si="2"/>
        <v>132.32101901809074</v>
      </c>
    </row>
    <row r="14" spans="1:15" x14ac:dyDescent="0.25">
      <c r="A14" s="14" t="s">
        <v>46</v>
      </c>
    </row>
    <row r="15" spans="1:15" ht="16.5" x14ac:dyDescent="0.3">
      <c r="A15" s="12" t="str">
        <f>"Inflation Index (base "&amp;J11&amp;")"</f>
        <v>Inflation Index (base 2019/20)</v>
      </c>
      <c r="B15" s="12" t="s">
        <v>45</v>
      </c>
      <c r="C15" s="31">
        <f t="shared" ref="C15:I15" si="3">C13/$J$13</f>
        <v>0.87556914131805663</v>
      </c>
      <c r="D15" s="31">
        <f t="shared" si="3"/>
        <v>0.90122058100510904</v>
      </c>
      <c r="E15" s="31">
        <f t="shared" si="3"/>
        <v>0.91319125285906677</v>
      </c>
      <c r="F15" s="31">
        <f t="shared" si="3"/>
        <v>0.92516192471302461</v>
      </c>
      <c r="G15" s="31">
        <f t="shared" si="3"/>
        <v>0.94482802847309821</v>
      </c>
      <c r="H15" s="31">
        <f t="shared" si="3"/>
        <v>0.96278403625403486</v>
      </c>
      <c r="I15" s="31">
        <f t="shared" si="3"/>
        <v>0.97560975609756106</v>
      </c>
      <c r="J15" s="31">
        <f>J13/$J$13</f>
        <v>1</v>
      </c>
      <c r="K15" s="31">
        <f t="shared" ref="K15:O15" si="4">K13/$J$13</f>
        <v>1.0249999999999999</v>
      </c>
      <c r="L15" s="31">
        <f t="shared" si="4"/>
        <v>1.0506249999999997</v>
      </c>
      <c r="M15" s="31">
        <f t="shared" si="4"/>
        <v>1.0768906249999997</v>
      </c>
      <c r="N15" s="31">
        <f t="shared" si="4"/>
        <v>1.1038128906249995</v>
      </c>
      <c r="O15" s="31">
        <f t="shared" si="4"/>
        <v>1.1314082128906244</v>
      </c>
    </row>
    <row r="16" spans="1:15" ht="16.5" x14ac:dyDescent="0.3">
      <c r="A16" s="12" t="str">
        <f>"Inflation Index (base "&amp;E11&amp;")"</f>
        <v>Inflation Index (base 2014/15)</v>
      </c>
      <c r="B16" s="12" t="s">
        <v>45</v>
      </c>
      <c r="C16" s="31">
        <f>C13/$E$13</f>
        <v>0.95880149812734095</v>
      </c>
      <c r="D16" s="31">
        <f>D13/$E$13</f>
        <v>0.98689138576779034</v>
      </c>
      <c r="E16" s="30">
        <v>1</v>
      </c>
      <c r="F16" s="31">
        <f>F13/$E$13</f>
        <v>1.0131086142322099</v>
      </c>
      <c r="G16" s="31">
        <f>G13/$E$13</f>
        <v>1.0346441947565543</v>
      </c>
      <c r="H16" s="31">
        <f>H13/$E$13</f>
        <v>1.0543071161048689</v>
      </c>
      <c r="I16" s="31">
        <f>I13/$E$13</f>
        <v>1.0683520599250935</v>
      </c>
      <c r="J16" s="31">
        <f>J13/$E$13</f>
        <v>1.0950608614232209</v>
      </c>
      <c r="K16" s="31">
        <f t="shared" ref="K16:O16" si="5">K13/$E$13</f>
        <v>1.1224373829588012</v>
      </c>
      <c r="L16" s="31">
        <f t="shared" si="5"/>
        <v>1.1504983175327712</v>
      </c>
      <c r="M16" s="31">
        <f t="shared" si="5"/>
        <v>1.1792607754710904</v>
      </c>
      <c r="N16" s="31">
        <f t="shared" si="5"/>
        <v>1.2087422948578674</v>
      </c>
      <c r="O16" s="31">
        <f t="shared" si="5"/>
        <v>1.2389608522293141</v>
      </c>
    </row>
    <row r="17" spans="1:10" ht="16.5" x14ac:dyDescent="0.3">
      <c r="A17" s="12" t="s">
        <v>47</v>
      </c>
      <c r="B17" s="12" t="s">
        <v>39</v>
      </c>
      <c r="C17" s="12"/>
      <c r="D17" s="12"/>
      <c r="E17" s="31"/>
      <c r="F17" s="32">
        <v>2.5499999999999998E-2</v>
      </c>
      <c r="G17" s="32">
        <v>2.5499999999999998E-2</v>
      </c>
      <c r="H17" s="32">
        <v>2.5499999999999998E-2</v>
      </c>
      <c r="I17" s="32">
        <v>2.5499999999999998E-2</v>
      </c>
      <c r="J17" s="32">
        <v>2.5499999999999998E-2</v>
      </c>
    </row>
    <row r="18" spans="1:10" ht="16.5" x14ac:dyDescent="0.3">
      <c r="A18" s="12" t="s">
        <v>48</v>
      </c>
      <c r="B18" s="12" t="s">
        <v>45</v>
      </c>
      <c r="C18" s="12"/>
      <c r="D18" s="12"/>
      <c r="E18" s="30">
        <v>1</v>
      </c>
      <c r="F18" s="31">
        <f>E18*(1+F17)</f>
        <v>1.0255000000000001</v>
      </c>
      <c r="G18" s="31">
        <f>F18*(1+G17)</f>
        <v>1.0516502500000002</v>
      </c>
      <c r="H18" s="31">
        <f>G18*(1+H17)</f>
        <v>1.0784673313750004</v>
      </c>
      <c r="I18" s="31">
        <f>H18*(1+I17)</f>
        <v>1.105968248325063</v>
      </c>
      <c r="J18" s="31">
        <f>I18*(1+J17)</f>
        <v>1.1341704386573521</v>
      </c>
    </row>
    <row r="19" spans="1:10" ht="14.25" thickBot="1" x14ac:dyDescent="0.3">
      <c r="I19" s="28"/>
      <c r="J19" s="28"/>
    </row>
    <row r="20" spans="1:10" ht="14.2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K22" sqref="K22"/>
    </sheetView>
  </sheetViews>
  <sheetFormatPr defaultRowHeight="16.5" x14ac:dyDescent="0.3"/>
  <cols>
    <col min="1" max="1" width="23.875" customWidth="1"/>
    <col min="2" max="2" width="14.5" customWidth="1"/>
    <col min="3" max="8" width="11" customWidth="1"/>
    <col min="9" max="9" width="13.625" customWidth="1"/>
  </cols>
  <sheetData>
    <row r="1" spans="1:10" s="55" customFormat="1" x14ac:dyDescent="0.3"/>
    <row r="2" spans="1:10" s="55" customFormat="1" x14ac:dyDescent="0.3"/>
    <row r="3" spans="1:10" s="55" customFormat="1" x14ac:dyDescent="0.3"/>
    <row r="4" spans="1:10" s="55" customFormat="1" x14ac:dyDescent="0.3"/>
    <row r="5" spans="1:10" s="55" customFormat="1" x14ac:dyDescent="0.3"/>
    <row r="6" spans="1:10" s="55" customFormat="1" x14ac:dyDescent="0.3"/>
    <row r="9" spans="1:10" s="55" customFormat="1" ht="17.25" thickBot="1" x14ac:dyDescent="0.35"/>
    <row r="10" spans="1:10" s="55" customFormat="1" ht="24.75" thickTop="1" thickBot="1" x14ac:dyDescent="0.4">
      <c r="A10" s="19" t="str">
        <f ca="1">RIGHT(CELL("filename",A1),LEN(CELL("filename",A1))-FIND("]",CELL("filename",A1)))</f>
        <v>Input│ Forecast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s="55" customFormat="1" ht="21" thickTop="1" thickBot="1" x14ac:dyDescent="0.35">
      <c r="A11" s="4" t="s">
        <v>84</v>
      </c>
      <c r="B11" s="4"/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 s="4" t="s">
        <v>22</v>
      </c>
      <c r="I11" s="4" t="s">
        <v>41</v>
      </c>
    </row>
    <row r="12" spans="1:10" s="55" customFormat="1" ht="17.25" thickTop="1" x14ac:dyDescent="0.3">
      <c r="A12" s="10" t="s">
        <v>86</v>
      </c>
      <c r="C12" s="72">
        <v>2.4123693250902134E-2</v>
      </c>
      <c r="D12" s="72">
        <f>C12</f>
        <v>2.4123693250902134E-2</v>
      </c>
      <c r="E12" s="72">
        <f t="shared" ref="E12:I12" si="0">D12</f>
        <v>2.4123693250902134E-2</v>
      </c>
      <c r="F12" s="72">
        <f t="shared" si="0"/>
        <v>2.4123693250902134E-2</v>
      </c>
      <c r="G12" s="72">
        <f t="shared" si="0"/>
        <v>2.4123693250902134E-2</v>
      </c>
      <c r="H12" s="72">
        <f t="shared" si="0"/>
        <v>2.4123693250902134E-2</v>
      </c>
      <c r="I12" s="72">
        <f t="shared" si="0"/>
        <v>2.4123693250902134E-2</v>
      </c>
    </row>
    <row r="13" spans="1:10" s="55" customFormat="1" x14ac:dyDescent="0.3">
      <c r="A13" s="12" t="s">
        <v>87</v>
      </c>
      <c r="B13" s="12">
        <v>1</v>
      </c>
      <c r="C13" s="12">
        <f>B13*(1+C12)</f>
        <v>1.0241236932509021</v>
      </c>
      <c r="D13" s="12">
        <f>C13*(1+D12)</f>
        <v>1.0488293390778678</v>
      </c>
      <c r="E13" s="12">
        <f t="shared" ref="E13:I13" si="1">D13*(1+E12)</f>
        <v>1.0741309763263287</v>
      </c>
      <c r="F13" s="12">
        <f t="shared" si="1"/>
        <v>1.1000429825105171</v>
      </c>
      <c r="G13" s="12">
        <f t="shared" si="1"/>
        <v>1.1265800819834084</v>
      </c>
      <c r="H13" s="12">
        <f t="shared" si="1"/>
        <v>1.1537573543037523</v>
      </c>
      <c r="I13" s="12">
        <f t="shared" si="1"/>
        <v>1.1815902428049483</v>
      </c>
    </row>
    <row r="14" spans="1:10" x14ac:dyDescent="0.3">
      <c r="A14" s="55"/>
      <c r="B14" s="55"/>
      <c r="C14" s="55"/>
      <c r="D14" s="74"/>
      <c r="E14" s="55"/>
      <c r="F14" s="55"/>
      <c r="G14" s="55"/>
      <c r="H14" s="55"/>
      <c r="I14" s="38"/>
      <c r="J14" s="55"/>
    </row>
    <row r="15" spans="1:10" s="7" customFormat="1" x14ac:dyDescent="0.3">
      <c r="A15"/>
      <c r="B15"/>
      <c r="C15"/>
      <c r="D15"/>
      <c r="E15"/>
      <c r="F15"/>
      <c r="G15"/>
      <c r="H15"/>
      <c r="I15" s="38"/>
      <c r="J15"/>
    </row>
    <row r="16" spans="1:10" s="7" customFormat="1" ht="20.25" thickBot="1" x14ac:dyDescent="0.35">
      <c r="A16" s="4" t="s">
        <v>79</v>
      </c>
      <c r="B16" s="4"/>
      <c r="C16" s="4"/>
      <c r="D16" s="4"/>
      <c r="E16" s="4"/>
      <c r="F16" s="4"/>
      <c r="G16" s="4"/>
      <c r="H16" s="4"/>
      <c r="I16" s="4"/>
    </row>
    <row r="17" spans="1:13" s="7" customFormat="1" ht="17.25" thickTop="1" x14ac:dyDescent="0.3">
      <c r="A17" s="54" t="s">
        <v>139</v>
      </c>
      <c r="B17" s="54" t="s">
        <v>85</v>
      </c>
      <c r="C17" s="54"/>
      <c r="D17" s="54">
        <v>388856.72150924028</v>
      </c>
      <c r="E17" s="54">
        <v>418020.97562243324</v>
      </c>
      <c r="F17" s="54">
        <v>449372.54879411572</v>
      </c>
      <c r="G17" s="54">
        <v>471841.17623382155</v>
      </c>
      <c r="H17" s="54">
        <v>483637.20563966699</v>
      </c>
      <c r="I17" s="54">
        <v>483637.20563966699</v>
      </c>
    </row>
    <row r="18" spans="1:13" s="7" customFormat="1" ht="20.25" thickBot="1" x14ac:dyDescent="0.35">
      <c r="A18" s="10" t="s">
        <v>140</v>
      </c>
      <c r="B18" s="10" t="s">
        <v>85</v>
      </c>
      <c r="C18" s="4"/>
      <c r="D18" s="10">
        <v>56489</v>
      </c>
      <c r="E18" s="10">
        <v>59313</v>
      </c>
      <c r="F18" s="10">
        <v>62279</v>
      </c>
      <c r="G18" s="10">
        <v>63836</v>
      </c>
      <c r="H18" s="10">
        <v>65432</v>
      </c>
      <c r="I18" s="10">
        <v>65432</v>
      </c>
    </row>
    <row r="19" spans="1:13" s="7" customFormat="1" ht="17.25" thickTop="1" x14ac:dyDescent="0.3">
      <c r="A19" s="12" t="s">
        <v>83</v>
      </c>
      <c r="B19" s="12" t="s">
        <v>85</v>
      </c>
      <c r="C19" s="33">
        <f>D19/(E19/D19)</f>
        <v>415501.14132974524</v>
      </c>
      <c r="D19" s="33">
        <f>SUM(D17:D18)</f>
        <v>445345.72150924028</v>
      </c>
      <c r="E19" s="33">
        <f t="shared" ref="E19:I19" si="2">SUM(E17:E18)</f>
        <v>477333.97562243324</v>
      </c>
      <c r="F19" s="33">
        <f t="shared" si="2"/>
        <v>511651.54879411572</v>
      </c>
      <c r="G19" s="33">
        <f t="shared" si="2"/>
        <v>535677.17623382155</v>
      </c>
      <c r="H19" s="33">
        <f t="shared" si="2"/>
        <v>549069.20563966699</v>
      </c>
      <c r="I19" s="33">
        <f t="shared" si="2"/>
        <v>549069.20563966699</v>
      </c>
      <c r="M19" s="73"/>
    </row>
    <row r="20" spans="1:13" s="7" customFormat="1" ht="13.5" x14ac:dyDescent="0.25"/>
    <row r="21" spans="1:13" s="7" customFormat="1" ht="20.25" thickBot="1" x14ac:dyDescent="0.35">
      <c r="A21" s="4" t="s">
        <v>23</v>
      </c>
      <c r="B21" s="4"/>
      <c r="C21" s="4"/>
      <c r="D21" s="4"/>
      <c r="E21" s="4"/>
      <c r="F21" s="4"/>
      <c r="G21" s="4"/>
      <c r="H21" s="4"/>
      <c r="I21" s="4"/>
    </row>
    <row r="22" spans="1:13" s="7" customFormat="1" ht="17.25" thickTop="1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13" x14ac:dyDescent="0.3">
      <c r="A23" s="12" t="s">
        <v>24</v>
      </c>
      <c r="B23" s="12"/>
      <c r="C23" s="12">
        <f t="shared" ref="C23:I23" si="3">SUM(C22)</f>
        <v>0</v>
      </c>
      <c r="D23" s="12">
        <f t="shared" si="3"/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7"/>
    </row>
    <row r="24" spans="1:13" x14ac:dyDescent="0.3">
      <c r="A24" s="38"/>
      <c r="B24" s="38"/>
      <c r="C24" s="38"/>
      <c r="D24" s="38"/>
      <c r="E24" s="38"/>
      <c r="F24" s="38"/>
      <c r="G24" s="38"/>
      <c r="H24" s="38"/>
      <c r="I24" s="38"/>
    </row>
    <row r="25" spans="1:13" ht="20.25" thickBot="1" x14ac:dyDescent="0.35">
      <c r="A25" s="4" t="s">
        <v>95</v>
      </c>
      <c r="B25" s="4"/>
      <c r="C25" s="4"/>
      <c r="D25" s="4"/>
      <c r="E25" s="4"/>
      <c r="F25" s="4"/>
      <c r="G25" s="4"/>
      <c r="H25" s="4"/>
      <c r="I25" s="4"/>
    </row>
    <row r="26" spans="1:13" ht="17.25" thickTop="1" x14ac:dyDescent="0.3">
      <c r="A26" s="10" t="s">
        <v>96</v>
      </c>
      <c r="B26" s="10" t="s">
        <v>98</v>
      </c>
      <c r="C26" s="10">
        <v>-0.1</v>
      </c>
      <c r="D26" s="10">
        <v>0</v>
      </c>
      <c r="E26" s="10">
        <v>0.1</v>
      </c>
      <c r="F26" s="10">
        <v>0.6</v>
      </c>
      <c r="G26" s="10">
        <v>0.8</v>
      </c>
      <c r="H26" s="10">
        <v>0.8</v>
      </c>
      <c r="I26" s="12">
        <f>H26</f>
        <v>0.8</v>
      </c>
    </row>
    <row r="27" spans="1:13" x14ac:dyDescent="0.3">
      <c r="A27" s="12" t="s">
        <v>45</v>
      </c>
      <c r="B27" s="12"/>
      <c r="C27" s="12">
        <f>1*(1+C26%)</f>
        <v>0.999</v>
      </c>
      <c r="D27" s="12">
        <f>C27*(1+D26%)</f>
        <v>0.999</v>
      </c>
      <c r="E27" s="12">
        <f t="shared" ref="E27:I27" si="4">D27*(1+E26%)</f>
        <v>0.99999899999999986</v>
      </c>
      <c r="F27" s="12">
        <f t="shared" si="4"/>
        <v>1.0059989939999998</v>
      </c>
      <c r="G27" s="12">
        <f t="shared" si="4"/>
        <v>1.0140469859519998</v>
      </c>
      <c r="H27" s="12">
        <f t="shared" si="4"/>
        <v>1.0221593618396159</v>
      </c>
      <c r="I27" s="12">
        <f t="shared" si="4"/>
        <v>1.0303366367343327</v>
      </c>
    </row>
    <row r="28" spans="1:13" x14ac:dyDescent="0.3">
      <c r="A28" s="14" t="s">
        <v>97</v>
      </c>
      <c r="B28" s="14" t="s">
        <v>100</v>
      </c>
      <c r="C28" s="14"/>
      <c r="D28" s="14"/>
      <c r="E28" s="14"/>
      <c r="F28" s="14"/>
      <c r="G28" s="14"/>
      <c r="H28" s="14"/>
      <c r="I28" s="14"/>
      <c r="J28" s="14"/>
    </row>
    <row r="30" spans="1:13" s="7" customFormat="1" ht="20.25" thickBot="1" x14ac:dyDescent="0.35">
      <c r="A30" s="4" t="s">
        <v>49</v>
      </c>
    </row>
    <row r="31" spans="1:13" s="7" customFormat="1" ht="17.25" thickTop="1" x14ac:dyDescent="0.3">
      <c r="A31" s="10" t="s">
        <v>49</v>
      </c>
      <c r="E31" s="20">
        <v>7.1660416233532559E-2</v>
      </c>
      <c r="F31" s="20">
        <v>7.4066481086730362E-2</v>
      </c>
      <c r="G31" s="20">
        <v>7.4584928384068952E-2</v>
      </c>
      <c r="H31" s="20">
        <v>7.4395707144171402E-2</v>
      </c>
      <c r="I31" s="20">
        <v>7.4713812559699083E-2</v>
      </c>
    </row>
    <row r="32" spans="1:13" x14ac:dyDescent="0.3">
      <c r="C32" s="7"/>
      <c r="D32" s="7"/>
    </row>
    <row r="33" spans="3:4" x14ac:dyDescent="0.3">
      <c r="C33" s="7"/>
      <c r="D33" s="7"/>
    </row>
    <row r="34" spans="3:4" x14ac:dyDescent="0.3">
      <c r="C34" s="7"/>
      <c r="D34" s="7"/>
    </row>
    <row r="35" spans="3:4" x14ac:dyDescent="0.3">
      <c r="C35" s="7"/>
      <c r="D35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A49" workbookViewId="0">
      <selection activeCell="L49" sqref="L49"/>
    </sheetView>
  </sheetViews>
  <sheetFormatPr defaultColWidth="14" defaultRowHeight="13.5" x14ac:dyDescent="0.25"/>
  <cols>
    <col min="1" max="1" width="50.75" style="7" bestFit="1" customWidth="1"/>
    <col min="2" max="2" width="14.5" style="7" bestFit="1" customWidth="1"/>
    <col min="3" max="10" width="9.75" style="7" bestFit="1" customWidth="1"/>
    <col min="11" max="12" width="14" style="7"/>
    <col min="13" max="13" width="15.5" style="7" customWidth="1"/>
    <col min="14" max="16384" width="14" style="7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2" customFormat="1" ht="14.25" thickBot="1" x14ac:dyDescent="0.3"/>
    <row r="10" spans="1:10" s="6" customFormat="1" ht="24.75" thickTop="1" thickBot="1" x14ac:dyDescent="0.4">
      <c r="A10" s="19" t="str">
        <f ca="1">RIGHT(CELL("filename",A1),LEN(CELL("filename",A1))-FIND("]",CELL("filename",A1)))</f>
        <v>Calc│Forecast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1" thickTop="1" thickBot="1" x14ac:dyDescent="0.35">
      <c r="A11" s="4" t="s">
        <v>103</v>
      </c>
      <c r="B11" s="4" t="s">
        <v>0</v>
      </c>
      <c r="C11" s="53" t="s">
        <v>5</v>
      </c>
      <c r="D11" s="53" t="s">
        <v>17</v>
      </c>
      <c r="E11" s="53" t="s">
        <v>18</v>
      </c>
      <c r="F11" s="53" t="s">
        <v>19</v>
      </c>
      <c r="G11" s="53" t="s">
        <v>20</v>
      </c>
      <c r="H11" s="53" t="s">
        <v>21</v>
      </c>
      <c r="I11" s="53" t="s">
        <v>22</v>
      </c>
      <c r="J11" s="53" t="s">
        <v>41</v>
      </c>
    </row>
    <row r="12" spans="1:10" ht="15" thickTop="1" thickBot="1" x14ac:dyDescent="0.3">
      <c r="A12" s="23" t="s">
        <v>50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7.25" thickTop="1" x14ac:dyDescent="0.3">
      <c r="A13" s="12" t="s">
        <v>51</v>
      </c>
      <c r="B13" s="17" t="s">
        <v>107</v>
      </c>
      <c r="C13" s="13">
        <f>'Input│ Historic Opex'!H23</f>
        <v>4259.5279599999994</v>
      </c>
    </row>
    <row r="14" spans="1:10" ht="14.25" thickBot="1" x14ac:dyDescent="0.3"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5" thickTop="1" thickBot="1" x14ac:dyDescent="0.3">
      <c r="A15" s="34" t="s">
        <v>52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7.25" thickTop="1" x14ac:dyDescent="0.3">
      <c r="A16" s="35" t="s">
        <v>142</v>
      </c>
      <c r="B16" s="17"/>
      <c r="C16" s="54"/>
    </row>
    <row r="17" spans="1:10" ht="16.5" x14ac:dyDescent="0.3">
      <c r="A17" s="12" t="s">
        <v>53</v>
      </c>
      <c r="B17" s="33" t="str">
        <f>B13</f>
        <v>Real $2017/18 '000</v>
      </c>
      <c r="C17" s="13">
        <f>SUM(C16)</f>
        <v>0</v>
      </c>
    </row>
    <row r="19" spans="1:10" ht="14.25" thickBot="1" x14ac:dyDescent="0.3">
      <c r="A19" s="23" t="s">
        <v>54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7.25" thickTop="1" x14ac:dyDescent="0.3">
      <c r="A20" s="12" t="s">
        <v>51</v>
      </c>
      <c r="B20" s="33" t="str">
        <f>B17</f>
        <v>Real $2017/18 '000</v>
      </c>
      <c r="C20" s="13">
        <f>C13-C17</f>
        <v>4259.5279599999994</v>
      </c>
    </row>
    <row r="22" spans="1:10" ht="14.25" thickBot="1" x14ac:dyDescent="0.3">
      <c r="A22" s="23" t="s">
        <v>55</v>
      </c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17.25" thickTop="1" x14ac:dyDescent="0.3">
      <c r="A23" s="35" t="s">
        <v>11</v>
      </c>
      <c r="B23" s="33" t="str">
        <f>B13</f>
        <v>Real $2017/18 '000</v>
      </c>
      <c r="C23" s="13">
        <v>409.33417799999995</v>
      </c>
    </row>
    <row r="24" spans="1:10" ht="16.5" x14ac:dyDescent="0.3">
      <c r="A24" s="12" t="s">
        <v>56</v>
      </c>
      <c r="B24" s="33" t="str">
        <f>B20</f>
        <v>Real $2017/18 '000</v>
      </c>
      <c r="C24" s="13">
        <f>SUM(C23)</f>
        <v>409.33417799999995</v>
      </c>
    </row>
    <row r="26" spans="1:10" ht="14.25" thickBot="1" x14ac:dyDescent="0.3">
      <c r="A26" s="23" t="s">
        <v>57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17.25" thickTop="1" x14ac:dyDescent="0.3">
      <c r="A27" s="12" t="s">
        <v>51</v>
      </c>
      <c r="B27" s="33" t="str">
        <f>B24</f>
        <v>Real $2017/18 '000</v>
      </c>
      <c r="C27" s="13">
        <f>C20-C24</f>
        <v>3850.1937819999994</v>
      </c>
      <c r="D27" s="13">
        <f>C27</f>
        <v>3850.1937819999994</v>
      </c>
      <c r="E27" s="13">
        <f t="shared" ref="E27:J27" si="0">D27</f>
        <v>3850.1937819999994</v>
      </c>
      <c r="F27" s="13">
        <f t="shared" si="0"/>
        <v>3850.1937819999994</v>
      </c>
      <c r="G27" s="13">
        <f t="shared" si="0"/>
        <v>3850.1937819999994</v>
      </c>
      <c r="H27" s="13">
        <f t="shared" si="0"/>
        <v>3850.1937819999994</v>
      </c>
      <c r="I27" s="13">
        <f t="shared" si="0"/>
        <v>3850.1937819999994</v>
      </c>
      <c r="J27" s="13">
        <f t="shared" si="0"/>
        <v>3850.1937819999994</v>
      </c>
    </row>
    <row r="30" spans="1:10" ht="14.25" thickBot="1" x14ac:dyDescent="0.3">
      <c r="A30" s="23" t="s">
        <v>58</v>
      </c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17.25" thickTop="1" x14ac:dyDescent="0.3">
      <c r="A31" s="54" t="s">
        <v>11</v>
      </c>
      <c r="B31" s="84" t="str">
        <f>B27</f>
        <v>Real $2017/18 '000</v>
      </c>
      <c r="C31" s="63">
        <f>'Input│ Historic Opex'!H17</f>
        <v>409</v>
      </c>
      <c r="D31" s="11">
        <v>445.34532150924025</v>
      </c>
      <c r="E31" s="84">
        <f>'Input│ Forecast'!D19/1000</f>
        <v>445.34572150924026</v>
      </c>
      <c r="F31" s="84">
        <f>'Input│ Forecast'!E19/1000</f>
        <v>477.33397562243323</v>
      </c>
      <c r="G31" s="84">
        <f>'Input│ Forecast'!F19/1000</f>
        <v>511.65154879411574</v>
      </c>
      <c r="H31" s="84">
        <f>'Input│ Forecast'!G19/1000</f>
        <v>535.67717623382157</v>
      </c>
      <c r="I31" s="84">
        <f>'Input│ Forecast'!H19/1000</f>
        <v>549.06920563966696</v>
      </c>
      <c r="J31" s="84">
        <f>'Input│ Forecast'!I19/1000</f>
        <v>549.06920563966696</v>
      </c>
    </row>
    <row r="32" spans="1:10" ht="16.5" x14ac:dyDescent="0.3">
      <c r="A32" s="12" t="s">
        <v>59</v>
      </c>
      <c r="B32" s="33" t="str">
        <f>B31</f>
        <v>Real $2017/18 '000</v>
      </c>
      <c r="C32" s="13">
        <f t="shared" ref="C32:J32" si="1">SUM(C31:C31)</f>
        <v>409</v>
      </c>
      <c r="D32" s="13">
        <f t="shared" si="1"/>
        <v>445.34532150924025</v>
      </c>
      <c r="E32" s="13">
        <f t="shared" si="1"/>
        <v>445.34572150924026</v>
      </c>
      <c r="F32" s="13">
        <f t="shared" si="1"/>
        <v>477.33397562243323</v>
      </c>
      <c r="G32" s="13">
        <f t="shared" si="1"/>
        <v>511.65154879411574</v>
      </c>
      <c r="H32" s="13">
        <f t="shared" si="1"/>
        <v>535.67717623382157</v>
      </c>
      <c r="I32" s="13">
        <f t="shared" si="1"/>
        <v>549.06920563966696</v>
      </c>
      <c r="J32" s="13">
        <f t="shared" si="1"/>
        <v>549.06920563966696</v>
      </c>
    </row>
    <row r="34" spans="1:10" ht="14.25" thickBot="1" x14ac:dyDescent="0.3">
      <c r="A34" s="23" t="s">
        <v>60</v>
      </c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17.25" thickTop="1" x14ac:dyDescent="0.3">
      <c r="A35" s="12" t="s">
        <v>51</v>
      </c>
      <c r="B35" s="33" t="str">
        <f>B32</f>
        <v>Real $2017/18 '000</v>
      </c>
      <c r="C35" s="13">
        <f t="shared" ref="C35:J35" si="2">C27+C32</f>
        <v>4259.1937819999994</v>
      </c>
      <c r="D35" s="13">
        <f t="shared" si="2"/>
        <v>4295.5391035092398</v>
      </c>
      <c r="E35" s="13">
        <f t="shared" si="2"/>
        <v>4295.5395035092397</v>
      </c>
      <c r="F35" s="13">
        <f t="shared" si="2"/>
        <v>4327.5277576224325</v>
      </c>
      <c r="G35" s="13">
        <f t="shared" si="2"/>
        <v>4361.8453307941154</v>
      </c>
      <c r="H35" s="13">
        <f t="shared" si="2"/>
        <v>4385.8709582338206</v>
      </c>
      <c r="I35" s="13">
        <f t="shared" si="2"/>
        <v>4399.2629876396659</v>
      </c>
      <c r="J35" s="13">
        <f t="shared" si="2"/>
        <v>4399.2629876396659</v>
      </c>
    </row>
    <row r="37" spans="1:10" ht="14.25" thickBot="1" x14ac:dyDescent="0.3">
      <c r="A37" s="23" t="s">
        <v>61</v>
      </c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17.25" thickTop="1" x14ac:dyDescent="0.3">
      <c r="A38" s="12" t="str">
        <f>A16</f>
        <v>One off Costs</v>
      </c>
      <c r="B38" s="33" t="str">
        <f>B35</f>
        <v>Real $2017/18 '000</v>
      </c>
      <c r="C38" s="13">
        <f>C16</f>
        <v>0</v>
      </c>
      <c r="D38" s="13">
        <f>'Input│ Forecast'!C22/1000</f>
        <v>0</v>
      </c>
      <c r="E38" s="13">
        <f>'Input│ Forecast'!D22/1000</f>
        <v>0</v>
      </c>
      <c r="F38" s="13">
        <f>'Input│ Forecast'!E22/1000</f>
        <v>0</v>
      </c>
      <c r="G38" s="13">
        <f>'Input│ Forecast'!F22/1000</f>
        <v>0</v>
      </c>
      <c r="H38" s="13">
        <f>'Input│ Forecast'!G22/1000</f>
        <v>0</v>
      </c>
      <c r="I38" s="13">
        <f>'Input│ Forecast'!H22/1000</f>
        <v>0</v>
      </c>
      <c r="J38" s="13">
        <f>'Input│ Forecast'!I22/1000</f>
        <v>0</v>
      </c>
    </row>
    <row r="39" spans="1:10" ht="16.5" x14ac:dyDescent="0.3">
      <c r="A39" s="12" t="s">
        <v>62</v>
      </c>
      <c r="B39" s="33" t="str">
        <f>B35</f>
        <v>Real $2017/18 '000</v>
      </c>
      <c r="C39" s="13">
        <f t="shared" ref="C39:J39" si="3">SUM(C38:C38)</f>
        <v>0</v>
      </c>
      <c r="D39" s="13">
        <f t="shared" si="3"/>
        <v>0</v>
      </c>
      <c r="E39" s="13">
        <f t="shared" si="3"/>
        <v>0</v>
      </c>
      <c r="F39" s="13">
        <f t="shared" si="3"/>
        <v>0</v>
      </c>
      <c r="G39" s="13">
        <f t="shared" si="3"/>
        <v>0</v>
      </c>
      <c r="H39" s="13">
        <f t="shared" si="3"/>
        <v>0</v>
      </c>
      <c r="I39" s="13">
        <f t="shared" si="3"/>
        <v>0</v>
      </c>
      <c r="J39" s="13">
        <f t="shared" si="3"/>
        <v>0</v>
      </c>
    </row>
    <row r="41" spans="1:10" ht="16.5" x14ac:dyDescent="0.3">
      <c r="A41" s="12" t="s">
        <v>63</v>
      </c>
      <c r="B41" s="12" t="str">
        <f>B39</f>
        <v>Real $2017/18 '000</v>
      </c>
      <c r="C41" s="13">
        <f t="shared" ref="C41:J41" si="4">C35+C39</f>
        <v>4259.1937819999994</v>
      </c>
      <c r="D41" s="13">
        <f t="shared" si="4"/>
        <v>4295.5391035092398</v>
      </c>
      <c r="E41" s="13">
        <f t="shared" si="4"/>
        <v>4295.5395035092397</v>
      </c>
      <c r="F41" s="13">
        <f t="shared" si="4"/>
        <v>4327.5277576224325</v>
      </c>
      <c r="G41" s="13">
        <f t="shared" si="4"/>
        <v>4361.8453307941154</v>
      </c>
      <c r="H41" s="13">
        <f t="shared" si="4"/>
        <v>4385.8709582338206</v>
      </c>
      <c r="I41" s="13">
        <f t="shared" si="4"/>
        <v>4399.2629876396659</v>
      </c>
      <c r="J41" s="13">
        <f t="shared" si="4"/>
        <v>4399.2629876396659</v>
      </c>
    </row>
    <row r="43" spans="1:10" ht="14.25" thickBot="1" x14ac:dyDescent="0.3">
      <c r="A43" s="23" t="s">
        <v>88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5" thickTop="1" thickBot="1" x14ac:dyDescent="0.3">
      <c r="A44" s="23" t="s">
        <v>94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7.25" thickTop="1" x14ac:dyDescent="0.3">
      <c r="A45" s="54" t="s">
        <v>89</v>
      </c>
      <c r="B45" s="54" t="s">
        <v>98</v>
      </c>
      <c r="C45" s="57">
        <f>'Input│ Historic Opex'!$J$84</f>
        <v>0.45718845225638421</v>
      </c>
      <c r="D45" s="57">
        <f>'Input│ Historic Opex'!$J$84</f>
        <v>0.45718845225638421</v>
      </c>
      <c r="E45" s="57">
        <f>'Input│ Historic Opex'!$J$84</f>
        <v>0.45718845225638421</v>
      </c>
      <c r="F45" s="57">
        <f>'Input│ Historic Opex'!$J$84</f>
        <v>0.45718845225638421</v>
      </c>
      <c r="G45" s="57">
        <f>'Input│ Historic Opex'!$J$84</f>
        <v>0.45718845225638421</v>
      </c>
      <c r="H45" s="57">
        <f>'Input│ Historic Opex'!$J$84</f>
        <v>0.45718845225638421</v>
      </c>
      <c r="I45" s="57">
        <f>'Input│ Historic Opex'!$J$84</f>
        <v>0.45718845225638421</v>
      </c>
      <c r="J45" s="57">
        <f>'Input│ Historic Opex'!$J$84</f>
        <v>0.45718845225638421</v>
      </c>
    </row>
    <row r="46" spans="1:10" ht="16.5" x14ac:dyDescent="0.3">
      <c r="A46" s="12" t="s">
        <v>90</v>
      </c>
      <c r="B46" s="12" t="str">
        <f>B41</f>
        <v>Real $2017/18 '000</v>
      </c>
      <c r="C46" s="51">
        <f>C41*C45</f>
        <v>1947.2542130525953</v>
      </c>
      <c r="D46" s="51">
        <f t="shared" ref="D46:J46" si="5">D41*D45</f>
        <v>1963.8708743401655</v>
      </c>
      <c r="E46" s="51">
        <f t="shared" si="5"/>
        <v>1963.8710572155464</v>
      </c>
      <c r="F46" s="51">
        <f t="shared" si="5"/>
        <v>1978.4957176039409</v>
      </c>
      <c r="G46" s="51">
        <f t="shared" si="5"/>
        <v>1994.1853157674977</v>
      </c>
      <c r="H46" s="51">
        <f t="shared" si="5"/>
        <v>2005.1695551911453</v>
      </c>
      <c r="I46" s="51">
        <f t="shared" si="5"/>
        <v>2011.2922363877756</v>
      </c>
      <c r="J46" s="51">
        <f t="shared" si="5"/>
        <v>2011.2922363877756</v>
      </c>
    </row>
    <row r="47" spans="1:10" ht="16.5" x14ac:dyDescent="0.3">
      <c r="A47" s="54" t="s">
        <v>91</v>
      </c>
      <c r="B47" s="54" t="s">
        <v>99</v>
      </c>
      <c r="C47" s="59">
        <v>1</v>
      </c>
      <c r="D47" s="59">
        <f>'Input│ Forecast'!C27</f>
        <v>0.999</v>
      </c>
      <c r="E47" s="59">
        <f>'Input│ Forecast'!D27</f>
        <v>0.999</v>
      </c>
      <c r="F47" s="59">
        <f>'Input│ Forecast'!E27</f>
        <v>0.99999899999999986</v>
      </c>
      <c r="G47" s="59">
        <f>'Input│ Forecast'!F27</f>
        <v>1.0059989939999998</v>
      </c>
      <c r="H47" s="59">
        <f>'Input│ Forecast'!G27</f>
        <v>1.0140469859519998</v>
      </c>
      <c r="I47" s="59">
        <f>'Input│ Forecast'!H27</f>
        <v>1.0221593618396159</v>
      </c>
      <c r="J47" s="59">
        <f>'Input│ Forecast'!I27</f>
        <v>1.0303366367343327</v>
      </c>
    </row>
    <row r="48" spans="1:10" ht="16.5" x14ac:dyDescent="0.3">
      <c r="A48" s="12" t="s">
        <v>92</v>
      </c>
      <c r="B48" s="12" t="str">
        <f>$B$46</f>
        <v>Real $2017/18 '000</v>
      </c>
      <c r="C48" s="51">
        <f>C46*C47</f>
        <v>1947.2542130525953</v>
      </c>
      <c r="D48" s="51">
        <f t="shared" ref="D48:J48" si="6">D46*D47</f>
        <v>1961.9070034658253</v>
      </c>
      <c r="E48" s="51">
        <f t="shared" si="6"/>
        <v>1961.9071861583309</v>
      </c>
      <c r="F48" s="51">
        <f t="shared" si="6"/>
        <v>1978.4937391082231</v>
      </c>
      <c r="G48" s="51">
        <f t="shared" si="6"/>
        <v>2006.1484215116748</v>
      </c>
      <c r="H48" s="51">
        <f t="shared" si="6"/>
        <v>2033.336143764293</v>
      </c>
      <c r="I48" s="51">
        <f t="shared" si="6"/>
        <v>2055.8611888191026</v>
      </c>
      <c r="J48" s="51">
        <f t="shared" si="6"/>
        <v>2072.308078329655</v>
      </c>
    </row>
    <row r="50" spans="1:11" ht="14.25" thickBot="1" x14ac:dyDescent="0.3">
      <c r="A50" s="23" t="s">
        <v>81</v>
      </c>
      <c r="B50" s="23"/>
      <c r="C50" s="23"/>
      <c r="D50" s="23"/>
      <c r="E50" s="23"/>
      <c r="F50" s="23"/>
      <c r="G50" s="23"/>
      <c r="H50" s="23"/>
      <c r="I50" s="23"/>
      <c r="J50" s="23"/>
    </row>
    <row r="51" spans="1:11" ht="17.25" thickTop="1" x14ac:dyDescent="0.3">
      <c r="A51" s="12" t="s">
        <v>93</v>
      </c>
      <c r="B51" s="12" t="str">
        <f>$B$46</f>
        <v>Real $2017/18 '000</v>
      </c>
      <c r="C51" s="51">
        <f>C41-C46-C31-C38</f>
        <v>1902.939568947404</v>
      </c>
      <c r="D51" s="51">
        <f t="shared" ref="D51:J51" si="7">D41-D46-D31-D38</f>
        <v>1886.3229076598338</v>
      </c>
      <c r="E51" s="51">
        <f t="shared" si="7"/>
        <v>1886.3227247844529</v>
      </c>
      <c r="F51" s="51">
        <f t="shared" si="7"/>
        <v>1871.6980643960587</v>
      </c>
      <c r="G51" s="51">
        <f t="shared" si="7"/>
        <v>1856.0084662325019</v>
      </c>
      <c r="H51" s="51">
        <f t="shared" si="7"/>
        <v>1845.0242268088537</v>
      </c>
      <c r="I51" s="51">
        <f t="shared" si="7"/>
        <v>1838.9015456122233</v>
      </c>
      <c r="J51" s="51">
        <f t="shared" si="7"/>
        <v>1838.9015456122233</v>
      </c>
    </row>
    <row r="52" spans="1:11" ht="16.5" x14ac:dyDescent="0.3">
      <c r="A52" s="12" t="s">
        <v>11</v>
      </c>
      <c r="B52" s="12" t="str">
        <f>$B$46</f>
        <v>Real $2017/18 '000</v>
      </c>
      <c r="C52" s="51">
        <f>C31</f>
        <v>409</v>
      </c>
      <c r="D52" s="51">
        <f t="shared" ref="D52:J52" si="8">D31</f>
        <v>445.34532150924025</v>
      </c>
      <c r="E52" s="51">
        <f t="shared" si="8"/>
        <v>445.34572150924026</v>
      </c>
      <c r="F52" s="51">
        <f t="shared" si="8"/>
        <v>477.33397562243323</v>
      </c>
      <c r="G52" s="51">
        <f t="shared" si="8"/>
        <v>511.65154879411574</v>
      </c>
      <c r="H52" s="51">
        <f t="shared" si="8"/>
        <v>535.67717623382157</v>
      </c>
      <c r="I52" s="51">
        <f t="shared" si="8"/>
        <v>549.06920563966696</v>
      </c>
      <c r="J52" s="51">
        <f t="shared" si="8"/>
        <v>549.06920563966696</v>
      </c>
    </row>
    <row r="53" spans="1:11" ht="16.5" x14ac:dyDescent="0.3">
      <c r="A53" s="12" t="str">
        <f>A38</f>
        <v>One off Costs</v>
      </c>
      <c r="B53" s="12" t="str">
        <f>$B$46</f>
        <v>Real $2017/18 '000</v>
      </c>
      <c r="C53" s="51">
        <f>C38</f>
        <v>0</v>
      </c>
      <c r="D53" s="51">
        <f t="shared" ref="D53:J53" si="9">D38</f>
        <v>0</v>
      </c>
      <c r="E53" s="51">
        <f t="shared" si="9"/>
        <v>0</v>
      </c>
      <c r="F53" s="51">
        <f t="shared" si="9"/>
        <v>0</v>
      </c>
      <c r="G53" s="51">
        <f t="shared" si="9"/>
        <v>0</v>
      </c>
      <c r="H53" s="51">
        <f t="shared" si="9"/>
        <v>0</v>
      </c>
      <c r="I53" s="51">
        <f t="shared" si="9"/>
        <v>0</v>
      </c>
      <c r="J53" s="51">
        <f t="shared" si="9"/>
        <v>0</v>
      </c>
    </row>
    <row r="54" spans="1:11" ht="17.25" thickBot="1" x14ac:dyDescent="0.35">
      <c r="A54" s="12" t="s">
        <v>94</v>
      </c>
      <c r="B54" s="12" t="str">
        <f>$B$46</f>
        <v>Real $2017/18 '000</v>
      </c>
      <c r="C54" s="58">
        <f>C48</f>
        <v>1947.2542130525953</v>
      </c>
      <c r="D54" s="58">
        <f t="shared" ref="D54:J54" si="10">D48</f>
        <v>1961.9070034658253</v>
      </c>
      <c r="E54" s="58">
        <f t="shared" si="10"/>
        <v>1961.9071861583309</v>
      </c>
      <c r="F54" s="58">
        <f t="shared" si="10"/>
        <v>1978.4937391082231</v>
      </c>
      <c r="G54" s="58">
        <f t="shared" si="10"/>
        <v>2006.1484215116748</v>
      </c>
      <c r="H54" s="58">
        <f t="shared" si="10"/>
        <v>2033.336143764293</v>
      </c>
      <c r="I54" s="58">
        <f t="shared" si="10"/>
        <v>2055.8611888191026</v>
      </c>
      <c r="J54" s="58">
        <f t="shared" si="10"/>
        <v>2072.308078329655</v>
      </c>
    </row>
    <row r="55" spans="1:11" ht="15.75" thickBot="1" x14ac:dyDescent="0.3">
      <c r="A55" s="36" t="s">
        <v>81</v>
      </c>
      <c r="B55" s="36" t="str">
        <f>$B$46</f>
        <v>Real $2017/18 '000</v>
      </c>
      <c r="C55" s="64">
        <f>SUM(C51:C54)</f>
        <v>4259.1937819999994</v>
      </c>
      <c r="D55" s="64">
        <f t="shared" ref="D55:J55" si="11">SUM(D51:D54)</f>
        <v>4293.5752326348993</v>
      </c>
      <c r="E55" s="64">
        <f t="shared" si="11"/>
        <v>4293.5756324520244</v>
      </c>
      <c r="F55" s="64">
        <f t="shared" si="11"/>
        <v>4327.525779126715</v>
      </c>
      <c r="G55" s="64">
        <f t="shared" si="11"/>
        <v>4373.8084365382929</v>
      </c>
      <c r="H55" s="64">
        <f t="shared" si="11"/>
        <v>4414.0375468069687</v>
      </c>
      <c r="I55" s="64">
        <f t="shared" si="11"/>
        <v>4443.8319400709934</v>
      </c>
      <c r="J55" s="64">
        <f t="shared" si="11"/>
        <v>4460.2788295815453</v>
      </c>
    </row>
    <row r="58" spans="1:11" ht="20.25" thickBot="1" x14ac:dyDescent="0.35">
      <c r="A58" s="4" t="s">
        <v>111</v>
      </c>
      <c r="B58" s="4"/>
      <c r="C58" s="4"/>
      <c r="D58" s="4"/>
      <c r="E58" s="4"/>
      <c r="F58" s="4"/>
      <c r="G58" s="4"/>
      <c r="H58" s="4"/>
      <c r="I58" s="4"/>
      <c r="J58" s="4"/>
    </row>
    <row r="59" spans="1:11" ht="16.5" thickTop="1" thickBot="1" x14ac:dyDescent="0.3">
      <c r="A59" s="36" t="str">
        <f>A55</f>
        <v>Total Opex</v>
      </c>
      <c r="B59" s="36" t="s">
        <v>112</v>
      </c>
      <c r="C59" s="64">
        <f>C55*'Input│ Forecast'!$D$13</f>
        <v>4467.167399379623</v>
      </c>
      <c r="D59" s="64">
        <f>D55*'Input│ Forecast'!$D$13</f>
        <v>4503.2276735255637</v>
      </c>
      <c r="E59" s="64">
        <f>E55*'Input│ Forecast'!$D$13</f>
        <v>4503.2280928654945</v>
      </c>
      <c r="F59" s="64">
        <f>F55*'Input│ Forecast'!$D$13</f>
        <v>4538.8360027639073</v>
      </c>
      <c r="G59" s="64">
        <f>G55*'Input│ Forecast'!$D$13</f>
        <v>4587.3786117476602</v>
      </c>
      <c r="H59" s="64">
        <f>H55*'Input│ Forecast'!$D$13</f>
        <v>4629.572082882446</v>
      </c>
      <c r="I59" s="64">
        <f>I55*'Input│ Forecast'!$D$13</f>
        <v>4660.8213166777787</v>
      </c>
      <c r="J59" s="64">
        <f>J55*'Input│ Forecast'!$D$13</f>
        <v>4678.0712969330179</v>
      </c>
    </row>
    <row r="60" spans="1:11" ht="16.5" x14ac:dyDescent="0.3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</row>
    <row r="61" spans="1:11" ht="20.25" thickBot="1" x14ac:dyDescent="0.35">
      <c r="A61" s="4" t="s">
        <v>105</v>
      </c>
      <c r="B61" s="4"/>
      <c r="C61" s="66"/>
      <c r="D61" s="66"/>
      <c r="E61" s="66"/>
      <c r="F61" s="66"/>
      <c r="G61" s="66"/>
      <c r="H61" s="66"/>
      <c r="I61" s="66"/>
      <c r="J61" s="66"/>
    </row>
    <row r="62" spans="1:11" ht="18" thickTop="1" thickBot="1" x14ac:dyDescent="0.35">
      <c r="A62" s="65" t="s">
        <v>104</v>
      </c>
      <c r="B62" s="23"/>
      <c r="C62" s="23"/>
      <c r="D62" s="23"/>
      <c r="E62" s="23"/>
      <c r="F62" s="23"/>
      <c r="G62" s="23"/>
      <c r="H62" s="23"/>
      <c r="I62" s="23"/>
      <c r="J62" s="23"/>
      <c r="K62" s="55"/>
    </row>
    <row r="63" spans="1:11" ht="17.25" thickTop="1" x14ac:dyDescent="0.3">
      <c r="A63" s="12" t="s">
        <v>113</v>
      </c>
      <c r="B63" s="12" t="str">
        <f>B59</f>
        <v>Real $2019/20</v>
      </c>
      <c r="C63" s="51">
        <f>C52*'Input│ Forecast'!$D$13</f>
        <v>428.97119968284795</v>
      </c>
      <c r="D63" s="51">
        <f>D52*'Input│ Forecast'!$D$13</f>
        <v>467.091239219957</v>
      </c>
      <c r="E63" s="51">
        <f>E52*'Input│ Forecast'!$D$13</f>
        <v>467.09165875169265</v>
      </c>
      <c r="F63" s="51">
        <f>F52*'Input│ Forecast'!$D$13</f>
        <v>500.64187817148769</v>
      </c>
      <c r="G63" s="51">
        <f>G52*'Input│ Forecast'!$D$13</f>
        <v>536.63515575989982</v>
      </c>
      <c r="H63" s="51">
        <f>H52*'Input│ Forecast'!$D$13</f>
        <v>561.83393870841758</v>
      </c>
      <c r="I63" s="51">
        <f>I52*'Input│ Forecast'!$D$13</f>
        <v>575.87989205906183</v>
      </c>
      <c r="J63" s="51">
        <f>J52*'Input│ Forecast'!$D$13</f>
        <v>575.87989205906183</v>
      </c>
      <c r="K63" s="69"/>
    </row>
    <row r="64" spans="1:11" ht="16.5" x14ac:dyDescent="0.3">
      <c r="A64" s="12" t="s">
        <v>104</v>
      </c>
      <c r="B64" s="12" t="str">
        <f>B59</f>
        <v>Real $2019/20</v>
      </c>
      <c r="C64" s="51">
        <f>C59-C63</f>
        <v>4038.1961996967752</v>
      </c>
      <c r="D64" s="51">
        <f t="shared" ref="D64:J64" si="12">D59-D63</f>
        <v>4036.1364343056066</v>
      </c>
      <c r="E64" s="51">
        <f t="shared" si="12"/>
        <v>4036.1364341138019</v>
      </c>
      <c r="F64" s="51">
        <f t="shared" si="12"/>
        <v>4038.1941245924195</v>
      </c>
      <c r="G64" s="51">
        <f t="shared" si="12"/>
        <v>4050.7434559877602</v>
      </c>
      <c r="H64" s="51">
        <f t="shared" si="12"/>
        <v>4067.7381441740285</v>
      </c>
      <c r="I64" s="51">
        <f t="shared" si="12"/>
        <v>4084.9414246187171</v>
      </c>
      <c r="J64" s="51">
        <f t="shared" si="12"/>
        <v>4102.1914048739563</v>
      </c>
      <c r="K64" s="55"/>
    </row>
    <row r="65" spans="1:11" ht="16.5" x14ac:dyDescent="0.3">
      <c r="A65" s="12" t="s">
        <v>26</v>
      </c>
      <c r="B65" s="12" t="str">
        <f>B64</f>
        <v>Real $2019/20</v>
      </c>
      <c r="C65" s="51">
        <f>SUM(C63:C64)</f>
        <v>4467.167399379623</v>
      </c>
      <c r="D65" s="51">
        <f t="shared" ref="D65:J65" si="13">SUM(D63:D64)</f>
        <v>4503.2276735255637</v>
      </c>
      <c r="E65" s="51">
        <f t="shared" si="13"/>
        <v>4503.2280928654945</v>
      </c>
      <c r="F65" s="51">
        <f t="shared" si="13"/>
        <v>4538.8360027639073</v>
      </c>
      <c r="G65" s="51">
        <f t="shared" si="13"/>
        <v>4587.3786117476602</v>
      </c>
      <c r="H65" s="51">
        <f t="shared" si="13"/>
        <v>4629.572082882446</v>
      </c>
      <c r="I65" s="51">
        <f t="shared" si="13"/>
        <v>4660.8213166777787</v>
      </c>
      <c r="J65" s="51">
        <f t="shared" si="13"/>
        <v>4678.0712969330179</v>
      </c>
      <c r="K65" s="69"/>
    </row>
    <row r="66" spans="1:11" ht="16.5" x14ac:dyDescent="0.3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7" spans="1:11" ht="20.25" thickBot="1" x14ac:dyDescent="0.35">
      <c r="A67" s="23" t="s">
        <v>64</v>
      </c>
      <c r="C67" s="4" t="str">
        <f>C11</f>
        <v>2017/18</v>
      </c>
      <c r="D67" s="4" t="str">
        <f t="shared" ref="D67:J67" si="14">D11</f>
        <v>2018/19</v>
      </c>
      <c r="E67" s="4" t="str">
        <f t="shared" si="14"/>
        <v>2019/20</v>
      </c>
      <c r="F67" s="4" t="str">
        <f t="shared" si="14"/>
        <v>2020/21</v>
      </c>
      <c r="G67" s="4" t="str">
        <f t="shared" si="14"/>
        <v>2021/22</v>
      </c>
      <c r="H67" s="4" t="str">
        <f t="shared" si="14"/>
        <v>2022/23</v>
      </c>
      <c r="I67" s="4" t="str">
        <f t="shared" si="14"/>
        <v>2023/24</v>
      </c>
      <c r="J67" s="4" t="str">
        <f t="shared" si="14"/>
        <v>2024/25</v>
      </c>
    </row>
    <row r="68" spans="1:11" ht="16.5" thickTop="1" thickBot="1" x14ac:dyDescent="0.3">
      <c r="A68" s="36" t="s">
        <v>31</v>
      </c>
      <c r="B68" s="36" t="str">
        <f>B65</f>
        <v>Real $2019/20</v>
      </c>
      <c r="C68" s="64">
        <f>C$64*'Input│ Historic Opex'!$I66</f>
        <v>3537.0428999639585</v>
      </c>
      <c r="D68" s="64">
        <f>D$64*'Input│ Historic Opex'!$I66</f>
        <v>3535.2387581659518</v>
      </c>
      <c r="E68" s="64">
        <f>E$64*'Input│ Historic Opex'!$I66</f>
        <v>3535.2387579979504</v>
      </c>
      <c r="F68" s="64">
        <f>F$64*'Input│ Historic Opex'!$I66</f>
        <v>3537.041082386811</v>
      </c>
      <c r="G68" s="64">
        <f>G$64*'Input│ Historic Opex'!$I66</f>
        <v>3548.0330008860951</v>
      </c>
      <c r="H68" s="64">
        <f>H$64*'Input│ Historic Opex'!$I66</f>
        <v>3562.9185929211862</v>
      </c>
      <c r="I68" s="64">
        <f>I$64*'Input│ Historic Opex'!$I66</f>
        <v>3577.9868902360972</v>
      </c>
      <c r="J68" s="64">
        <f>J$64*'Input│ Historic Opex'!$I66</f>
        <v>3593.0960917629804</v>
      </c>
    </row>
    <row r="69" spans="1:11" ht="15.75" thickBot="1" x14ac:dyDescent="0.3">
      <c r="A69" s="36" t="s">
        <v>33</v>
      </c>
      <c r="B69" s="36" t="str">
        <f>B68</f>
        <v>Real $2019/20</v>
      </c>
      <c r="C69" s="64">
        <f>C$64*'Input│ Historic Opex'!$I67</f>
        <v>441.51883007553647</v>
      </c>
      <c r="D69" s="64">
        <f>D$64*'Input│ Historic Opex'!$I67</f>
        <v>441.29362427552923</v>
      </c>
      <c r="E69" s="64">
        <f>E$64*'Input│ Historic Opex'!$I67</f>
        <v>441.29362425455815</v>
      </c>
      <c r="F69" s="64">
        <f>F$64*'Input│ Historic Opex'!$I67</f>
        <v>441.51860319264074</v>
      </c>
      <c r="G69" s="64">
        <f>G$64*'Input│ Historic Opex'!$I67</f>
        <v>442.8906925716355</v>
      </c>
      <c r="H69" s="64">
        <f>H$64*'Input│ Historic Opex'!$I67</f>
        <v>444.74881795099748</v>
      </c>
      <c r="I69" s="64">
        <f>I$64*'Input│ Historic Opex'!$I67</f>
        <v>446.62974990174587</v>
      </c>
      <c r="J69" s="64">
        <f>J$64*'Input│ Historic Opex'!$I67</f>
        <v>448.51578780691034</v>
      </c>
    </row>
    <row r="70" spans="1:11" ht="15.75" thickBot="1" x14ac:dyDescent="0.3">
      <c r="A70" s="36" t="s">
        <v>11</v>
      </c>
      <c r="B70" s="36" t="str">
        <f t="shared" ref="B70:B74" si="15">B69</f>
        <v>Real $2019/20</v>
      </c>
      <c r="C70" s="64">
        <f>C63</f>
        <v>428.97119968284795</v>
      </c>
      <c r="D70" s="64">
        <f t="shared" ref="D70:J70" si="16">D63</f>
        <v>467.091239219957</v>
      </c>
      <c r="E70" s="64">
        <f t="shared" si="16"/>
        <v>467.09165875169265</v>
      </c>
      <c r="F70" s="64">
        <f t="shared" si="16"/>
        <v>500.64187817148769</v>
      </c>
      <c r="G70" s="64">
        <f t="shared" si="16"/>
        <v>536.63515575989982</v>
      </c>
      <c r="H70" s="64">
        <f t="shared" si="16"/>
        <v>561.83393870841758</v>
      </c>
      <c r="I70" s="64">
        <f t="shared" si="16"/>
        <v>575.87989205906183</v>
      </c>
      <c r="J70" s="64">
        <f t="shared" si="16"/>
        <v>575.87989205906183</v>
      </c>
    </row>
    <row r="71" spans="1:11" ht="15.75" thickBot="1" x14ac:dyDescent="0.3">
      <c r="A71" s="36" t="s">
        <v>35</v>
      </c>
      <c r="B71" s="36" t="str">
        <f t="shared" si="15"/>
        <v>Real $2019/20</v>
      </c>
      <c r="C71" s="67">
        <f>C$64*'Input│ Historic Opex'!$I68</f>
        <v>8.3899065097489132</v>
      </c>
      <c r="D71" s="67">
        <f>D$64*'Input│ Historic Opex'!$I68</f>
        <v>8.3856270646181343</v>
      </c>
      <c r="E71" s="67">
        <f>E$64*'Input│ Historic Opex'!$I68</f>
        <v>8.3856270642196336</v>
      </c>
      <c r="F71" s="67">
        <f>F$64*'Input│ Historic Opex'!$I68</f>
        <v>8.389902198434978</v>
      </c>
      <c r="G71" s="67">
        <f>G$64*'Input│ Historic Opex'!$I68</f>
        <v>8.4159751557555449</v>
      </c>
      <c r="H71" s="67">
        <f>H$64*'Input│ Historic Opex'!$I68</f>
        <v>8.4512839515628979</v>
      </c>
      <c r="I71" s="67">
        <f>I$64*'Input│ Historic Opex'!$I68</f>
        <v>8.4870261263989715</v>
      </c>
      <c r="J71" s="67">
        <f>J$64*'Input│ Historic Opex'!$I68</f>
        <v>8.5228653264971097</v>
      </c>
    </row>
    <row r="72" spans="1:11" ht="15.75" thickBot="1" x14ac:dyDescent="0.3">
      <c r="A72" s="36" t="s">
        <v>36</v>
      </c>
      <c r="B72" s="36" t="str">
        <f t="shared" si="15"/>
        <v>Real $2019/20</v>
      </c>
      <c r="C72" s="67">
        <f>C$64*'Input│ Historic Opex'!$I69</f>
        <v>11.536121450904753</v>
      </c>
      <c r="D72" s="67">
        <f>D$64*'Input│ Historic Opex'!$I69</f>
        <v>11.530237213849933</v>
      </c>
      <c r="E72" s="67">
        <f>E$64*'Input│ Historic Opex'!$I69</f>
        <v>11.530237213301994</v>
      </c>
      <c r="F72" s="67">
        <f>F$64*'Input│ Historic Opex'!$I69</f>
        <v>11.536115522848094</v>
      </c>
      <c r="G72" s="67">
        <f>G$64*'Input│ Historic Opex'!$I69</f>
        <v>11.571965839163873</v>
      </c>
      <c r="H72" s="67">
        <f>H$64*'Input│ Historic Opex'!$I69</f>
        <v>11.620515433398985</v>
      </c>
      <c r="I72" s="67">
        <f>I$64*'Input│ Historic Opex'!$I69</f>
        <v>11.669660923798585</v>
      </c>
      <c r="J72" s="67">
        <f>J$64*'Input│ Historic Opex'!$I69</f>
        <v>11.718939823933525</v>
      </c>
    </row>
    <row r="73" spans="1:11" ht="15.75" thickBot="1" x14ac:dyDescent="0.3">
      <c r="A73" s="36" t="s">
        <v>12</v>
      </c>
      <c r="B73" s="36" t="str">
        <f t="shared" si="15"/>
        <v>Real $2019/20</v>
      </c>
      <c r="C73" s="67">
        <f>C$64*'Input│ Historic Opex'!$I70</f>
        <v>39.7084416966267</v>
      </c>
      <c r="D73" s="67">
        <f>D$64*'Input│ Historic Opex'!$I70</f>
        <v>39.688187585657531</v>
      </c>
      <c r="E73" s="67">
        <f>E$64*'Input│ Historic Opex'!$I70</f>
        <v>39.688187583771473</v>
      </c>
      <c r="F73" s="67">
        <f>F$64*'Input│ Historic Opex'!$I70</f>
        <v>39.708421291684431</v>
      </c>
      <c r="G73" s="67">
        <f>G$64*'Input│ Historic Opex'!$I70</f>
        <v>39.831821535110187</v>
      </c>
      <c r="H73" s="67">
        <f>H$64*'Input│ Historic Opex'!$I70</f>
        <v>39.998933916882883</v>
      </c>
      <c r="I73" s="67">
        <f>I$64*'Input│ Historic Opex'!$I70</f>
        <v>40.168097430676475</v>
      </c>
      <c r="J73" s="67">
        <f>J$64*'Input│ Historic Opex'!$I70</f>
        <v>40.337720153634947</v>
      </c>
    </row>
    <row r="74" spans="1:11" ht="15.75" thickBot="1" x14ac:dyDescent="0.3">
      <c r="A74" s="36" t="s">
        <v>37</v>
      </c>
      <c r="B74" s="36" t="str">
        <f t="shared" si="15"/>
        <v>Real $2019/20</v>
      </c>
      <c r="C74" s="37">
        <f>SUM(C68:C73)</f>
        <v>4467.167399379623</v>
      </c>
      <c r="D74" s="37">
        <f t="shared" ref="D74:J74" si="17">SUM(D68:D73)</f>
        <v>4503.2276735255646</v>
      </c>
      <c r="E74" s="37">
        <f t="shared" si="17"/>
        <v>4503.2280928654945</v>
      </c>
      <c r="F74" s="37">
        <f t="shared" si="17"/>
        <v>4538.8360027639073</v>
      </c>
      <c r="G74" s="37">
        <f t="shared" si="17"/>
        <v>4587.3786117476593</v>
      </c>
      <c r="H74" s="37">
        <f t="shared" si="17"/>
        <v>4629.5720828824469</v>
      </c>
      <c r="I74" s="37">
        <f t="shared" si="17"/>
        <v>4660.8213166777787</v>
      </c>
      <c r="J74" s="37">
        <f t="shared" si="17"/>
        <v>4678.0712969330179</v>
      </c>
    </row>
    <row r="75" spans="1:11" ht="14.25" thickBot="1" x14ac:dyDescent="0.3"/>
    <row r="76" spans="1:11" ht="15" thickTop="1" thickBot="1" x14ac:dyDescent="0.3">
      <c r="A76" s="62" t="s">
        <v>106</v>
      </c>
      <c r="B76" s="62"/>
      <c r="C76" s="62" t="b">
        <f>C59=C74</f>
        <v>1</v>
      </c>
      <c r="D76" s="62" t="b">
        <f t="shared" ref="D76:J76" si="18">D59=D74</f>
        <v>1</v>
      </c>
      <c r="E76" s="62" t="b">
        <f t="shared" si="18"/>
        <v>1</v>
      </c>
      <c r="F76" s="62" t="b">
        <f t="shared" si="18"/>
        <v>1</v>
      </c>
      <c r="G76" s="62" t="b">
        <f t="shared" si="18"/>
        <v>1</v>
      </c>
      <c r="H76" s="62" t="b">
        <f t="shared" si="18"/>
        <v>1</v>
      </c>
      <c r="I76" s="62" t="b">
        <f t="shared" si="18"/>
        <v>1</v>
      </c>
      <c r="J76" s="62" t="b">
        <f t="shared" si="18"/>
        <v>1</v>
      </c>
    </row>
    <row r="77" spans="1:11" ht="14.25" thickTop="1" x14ac:dyDescent="0.25"/>
    <row r="78" spans="1:11" ht="20.25" thickBot="1" x14ac:dyDescent="0.35">
      <c r="A78" s="4" t="s">
        <v>110</v>
      </c>
      <c r="B78" s="4" t="s">
        <v>28</v>
      </c>
      <c r="C78" s="4" t="str">
        <f>C67</f>
        <v>2017/18</v>
      </c>
      <c r="D78" s="4" t="str">
        <f t="shared" ref="D78:J78" si="19">D67</f>
        <v>2018/19</v>
      </c>
      <c r="E78" s="4" t="str">
        <f t="shared" si="19"/>
        <v>2019/20</v>
      </c>
      <c r="F78" s="4" t="str">
        <f t="shared" si="19"/>
        <v>2020/21</v>
      </c>
      <c r="G78" s="4" t="str">
        <f t="shared" si="19"/>
        <v>2021/22</v>
      </c>
      <c r="H78" s="4" t="str">
        <f t="shared" si="19"/>
        <v>2022/23</v>
      </c>
      <c r="I78" s="4" t="str">
        <f t="shared" si="19"/>
        <v>2023/24</v>
      </c>
      <c r="J78" s="4" t="str">
        <f t="shared" si="19"/>
        <v>2024/25</v>
      </c>
    </row>
    <row r="79" spans="1:11" ht="16.5" thickTop="1" thickBot="1" x14ac:dyDescent="0.3">
      <c r="A79" s="36" t="str">
        <f>A68</f>
        <v>Operating and maintenance expenses</v>
      </c>
      <c r="B79" s="36" t="str">
        <f>B78</f>
        <v>$000 nominal</v>
      </c>
      <c r="C79" s="64">
        <f>C68/'Input│ Forecast'!$D$13*'Input│ Forecast'!B$13</f>
        <v>3372.3721945781299</v>
      </c>
      <c r="D79" s="64">
        <f>D68/'Input│ Forecast'!$D$13*'Input│ Forecast'!C$13</f>
        <v>3451.964622499801</v>
      </c>
      <c r="E79" s="64">
        <f>E68/'Input│ Forecast'!$D$13*'Input│ Forecast'!D$13</f>
        <v>3535.2387579979504</v>
      </c>
      <c r="F79" s="64">
        <f>F68/'Input│ Forecast'!$D$13*'Input│ Forecast'!E$13</f>
        <v>3622.3675764741492</v>
      </c>
      <c r="G79" s="64">
        <f>G68/'Input│ Forecast'!$D$13*'Input│ Forecast'!F$13</f>
        <v>3721.2811073458279</v>
      </c>
      <c r="H79" s="64">
        <f>H68/'Input│ Forecast'!$D$13*'Input│ Forecast'!G$13</f>
        <v>3827.0412267856641</v>
      </c>
      <c r="I79" s="64">
        <f>I68/'Input│ Forecast'!$D$13*'Input│ Forecast'!H$13</f>
        <v>3935.9393701188469</v>
      </c>
      <c r="J79" s="64">
        <f>J68/'Input│ Forecast'!$D$13*'Input│ Forecast'!I$13</f>
        <v>4047.9104896326025</v>
      </c>
    </row>
    <row r="80" spans="1:11" ht="15.75" thickBot="1" x14ac:dyDescent="0.3">
      <c r="A80" s="36" t="str">
        <f t="shared" ref="A80:A85" si="20">A69</f>
        <v>Management fees and expenses</v>
      </c>
      <c r="B80" s="36" t="str">
        <f t="shared" ref="B80:B85" si="21">B79</f>
        <v>$000 nominal</v>
      </c>
      <c r="C80" s="64">
        <f>C69/'Input│ Forecast'!$D$13*'Input│ Forecast'!B$13</f>
        <v>420.96346242918838</v>
      </c>
      <c r="D80" s="64">
        <f>D69/'Input│ Forecast'!$D$13*'Input│ Forecast'!C$13</f>
        <v>430.89875489035859</v>
      </c>
      <c r="E80" s="64">
        <f>E69/'Input│ Forecast'!$D$13*'Input│ Forecast'!D$13</f>
        <v>441.29362425455815</v>
      </c>
      <c r="F80" s="64">
        <f>F69/'Input│ Forecast'!$D$13*'Input│ Forecast'!E$13</f>
        <v>452.1696625406268</v>
      </c>
      <c r="G80" s="64">
        <f>G69/'Input│ Forecast'!$D$13*'Input│ Forecast'!F$13</f>
        <v>464.51675237364765</v>
      </c>
      <c r="H80" s="64">
        <f>H69/'Input│ Forecast'!$D$13*'Input│ Forecast'!G$13</f>
        <v>477.71848204568562</v>
      </c>
      <c r="I80" s="64">
        <f>I69/'Input│ Forecast'!$D$13*'Input│ Forecast'!H$13</f>
        <v>491.31192215984294</v>
      </c>
      <c r="J80" s="64">
        <f>J69/'Input│ Forecast'!$D$13*'Input│ Forecast'!I$13</f>
        <v>505.28895299836205</v>
      </c>
    </row>
    <row r="81" spans="1:10" ht="15.75" thickBot="1" x14ac:dyDescent="0.3">
      <c r="A81" s="36" t="str">
        <f t="shared" si="20"/>
        <v>Insurance</v>
      </c>
      <c r="B81" s="36" t="str">
        <f t="shared" si="21"/>
        <v>$000 nominal</v>
      </c>
      <c r="C81" s="64">
        <f>C70/'Input│ Forecast'!$D$13*'Input│ Forecast'!B$13</f>
        <v>409</v>
      </c>
      <c r="D81" s="64">
        <f>D70/'Input│ Forecast'!$D$13*'Input│ Forecast'!C$13</f>
        <v>456.08869543605357</v>
      </c>
      <c r="E81" s="64">
        <f>E70/'Input│ Forecast'!$D$13*'Input│ Forecast'!D$13</f>
        <v>467.09165875169265</v>
      </c>
      <c r="F81" s="64">
        <f>F70/'Input│ Forecast'!$D$13*'Input│ Forecast'!E$13</f>
        <v>512.71920926905216</v>
      </c>
      <c r="G81" s="64">
        <f>G70/'Input│ Forecast'!$D$13*'Input│ Forecast'!F$13</f>
        <v>562.83869574160451</v>
      </c>
      <c r="H81" s="64">
        <f>H70/'Input│ Forecast'!$D$13*'Input│ Forecast'!G$13</f>
        <v>603.48323711813941</v>
      </c>
      <c r="I81" s="64">
        <f>I70/'Input│ Forecast'!$D$13*'Input│ Forecast'!H$13</f>
        <v>633.49263402848499</v>
      </c>
      <c r="J81" s="64">
        <f>J70/'Input│ Forecast'!$D$13*'Input│ Forecast'!I$13</f>
        <v>648.77481600849421</v>
      </c>
    </row>
    <row r="82" spans="1:10" ht="15.75" thickBot="1" x14ac:dyDescent="0.3">
      <c r="A82" s="36" t="str">
        <f t="shared" si="20"/>
        <v>Tax on property and capital</v>
      </c>
      <c r="B82" s="36" t="str">
        <f t="shared" si="21"/>
        <v>$000 nominal</v>
      </c>
      <c r="C82" s="64">
        <f>C71/'Input│ Forecast'!$D$13*'Input│ Forecast'!B$13</f>
        <v>7.9993056993670013</v>
      </c>
      <c r="D82" s="64">
        <f>D71/'Input│ Forecast'!$D$13*'Input│ Forecast'!C$13</f>
        <v>8.1880998553987396</v>
      </c>
      <c r="E82" s="64">
        <f>E71/'Input│ Forecast'!$D$13*'Input│ Forecast'!D$13</f>
        <v>8.3856270642196336</v>
      </c>
      <c r="F82" s="64">
        <f>F71/'Input│ Forecast'!$D$13*'Input│ Forecast'!E$13</f>
        <v>8.5922976254750925</v>
      </c>
      <c r="G82" s="64">
        <f>G71/'Input│ Forecast'!$D$13*'Input│ Forecast'!F$13</f>
        <v>8.8269216603068443</v>
      </c>
      <c r="H82" s="64">
        <f>H71/'Input│ Forecast'!$D$13*'Input│ Forecast'!G$13</f>
        <v>9.0777858821032904</v>
      </c>
      <c r="I82" s="64">
        <f>I71/'Input│ Forecast'!$D$13*'Input│ Forecast'!H$13</f>
        <v>9.3360935327286079</v>
      </c>
      <c r="J82" s="64">
        <f>J71/'Input│ Forecast'!$D$13*'Input│ Forecast'!I$13</f>
        <v>9.6016903182586617</v>
      </c>
    </row>
    <row r="83" spans="1:10" ht="15.75" thickBot="1" x14ac:dyDescent="0.3">
      <c r="A83" s="36" t="str">
        <f t="shared" si="20"/>
        <v>Accounting/audit fees</v>
      </c>
      <c r="B83" s="36" t="str">
        <f t="shared" si="21"/>
        <v>$000 nominal</v>
      </c>
      <c r="C83" s="64">
        <f>C72/'Input│ Forecast'!$D$13*'Input│ Forecast'!B$13</f>
        <v>10.999045336629624</v>
      </c>
      <c r="D83" s="64">
        <f>D72/'Input│ Forecast'!$D$13*'Input│ Forecast'!C$13</f>
        <v>11.258637301173266</v>
      </c>
      <c r="E83" s="64">
        <f>E72/'Input│ Forecast'!$D$13*'Input│ Forecast'!D$13</f>
        <v>11.530237213301994</v>
      </c>
      <c r="F83" s="64">
        <f>F72/'Input│ Forecast'!$D$13*'Input│ Forecast'!E$13</f>
        <v>11.814409235028252</v>
      </c>
      <c r="G83" s="64">
        <f>G72/'Input│ Forecast'!$D$13*'Input│ Forecast'!F$13</f>
        <v>12.13701728292191</v>
      </c>
      <c r="H83" s="64">
        <f>H72/'Input│ Forecast'!$D$13*'Input│ Forecast'!G$13</f>
        <v>12.481955587892026</v>
      </c>
      <c r="I83" s="64">
        <f>I72/'Input│ Forecast'!$D$13*'Input│ Forecast'!H$13</f>
        <v>12.837128607501832</v>
      </c>
      <c r="J83" s="64">
        <f>J72/'Input│ Forecast'!$D$13*'Input│ Forecast'!I$13</f>
        <v>13.20232418760566</v>
      </c>
    </row>
    <row r="84" spans="1:10" ht="15.75" thickBot="1" x14ac:dyDescent="0.3">
      <c r="A84" s="36" t="str">
        <f t="shared" si="20"/>
        <v>Other</v>
      </c>
      <c r="B84" s="36" t="str">
        <f t="shared" si="21"/>
        <v>$000 nominal</v>
      </c>
      <c r="C84" s="64">
        <f>C73/'Input│ Forecast'!$D$13*'Input│ Forecast'!B$13</f>
        <v>37.859773956684329</v>
      </c>
      <c r="D84" s="64">
        <f>D73/'Input│ Forecast'!$D$13*'Input│ Forecast'!C$13</f>
        <v>38.753314513869221</v>
      </c>
      <c r="E84" s="64">
        <f>E73/'Input│ Forecast'!$D$13*'Input│ Forecast'!D$13</f>
        <v>39.688187583771473</v>
      </c>
      <c r="F84" s="64">
        <f>F73/'Input│ Forecast'!$D$13*'Input│ Forecast'!E$13</f>
        <v>40.666335066402617</v>
      </c>
      <c r="G84" s="64">
        <f>G73/'Input│ Forecast'!$D$13*'Input│ Forecast'!F$13</f>
        <v>41.776783054937205</v>
      </c>
      <c r="H84" s="64">
        <f>H73/'Input│ Forecast'!$D$13*'Input│ Forecast'!G$13</f>
        <v>42.964093940153731</v>
      </c>
      <c r="I84" s="64">
        <f>I73/'Input│ Forecast'!$D$13*'Input│ Forecast'!H$13</f>
        <v>44.186633699414394</v>
      </c>
      <c r="J84" s="64">
        <f>J73/'Input│ Forecast'!$D$13*'Input│ Forecast'!I$13</f>
        <v>45.443672077705841</v>
      </c>
    </row>
    <row r="85" spans="1:10" ht="15.75" thickBot="1" x14ac:dyDescent="0.3">
      <c r="A85" s="36" t="str">
        <f t="shared" si="20"/>
        <v>TOTAL</v>
      </c>
      <c r="B85" s="36" t="str">
        <f t="shared" si="21"/>
        <v>$000 nominal</v>
      </c>
      <c r="C85" s="64">
        <f>SUM(C79:C84)</f>
        <v>4259.1937819999994</v>
      </c>
      <c r="D85" s="64">
        <f t="shared" ref="D85:J85" si="22">SUM(D79:D84)</f>
        <v>4397.1521244966552</v>
      </c>
      <c r="E85" s="64">
        <f t="shared" si="22"/>
        <v>4503.2280928654945</v>
      </c>
      <c r="F85" s="64">
        <f t="shared" si="22"/>
        <v>4648.3294902107345</v>
      </c>
      <c r="G85" s="64">
        <f t="shared" si="22"/>
        <v>4811.3772774592453</v>
      </c>
      <c r="H85" s="64">
        <f t="shared" si="22"/>
        <v>4972.7667813596372</v>
      </c>
      <c r="I85" s="64">
        <f t="shared" si="22"/>
        <v>5127.103782146819</v>
      </c>
      <c r="J85" s="64">
        <f t="shared" si="22"/>
        <v>5270.2219452230293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31" zoomScale="130" zoomScaleNormal="130" workbookViewId="0">
      <selection activeCell="M16" sqref="M16"/>
    </sheetView>
  </sheetViews>
  <sheetFormatPr defaultColWidth="14" defaultRowHeight="13.5" x14ac:dyDescent="0.25"/>
  <cols>
    <col min="1" max="1" width="2.25" style="7" customWidth="1"/>
    <col min="2" max="2" width="1.625" style="7" customWidth="1"/>
    <col min="3" max="4" width="1.75" style="7" customWidth="1"/>
    <col min="5" max="6" width="14" style="7"/>
    <col min="7" max="7" width="20.625" style="7" customWidth="1"/>
    <col min="8" max="9" width="14" style="7"/>
    <col min="10" max="10" width="16.5" style="7" customWidth="1"/>
    <col min="11" max="12" width="14" style="7"/>
    <col min="13" max="13" width="15.5" style="7" customWidth="1"/>
    <col min="14" max="16384" width="14" style="7"/>
  </cols>
  <sheetData>
    <row r="1" spans="1:11" s="2" customFormat="1" x14ac:dyDescent="0.25"/>
    <row r="2" spans="1:11" s="2" customFormat="1" x14ac:dyDescent="0.25"/>
    <row r="3" spans="1:11" s="2" customFormat="1" x14ac:dyDescent="0.25"/>
    <row r="4" spans="1:11" s="2" customFormat="1" x14ac:dyDescent="0.25"/>
    <row r="5" spans="1:11" s="2" customFormat="1" x14ac:dyDescent="0.25"/>
    <row r="6" spans="1:11" s="2" customFormat="1" x14ac:dyDescent="0.25"/>
    <row r="7" spans="1:11" s="2" customFormat="1" x14ac:dyDescent="0.25"/>
    <row r="8" spans="1:11" s="2" customFormat="1" x14ac:dyDescent="0.25"/>
    <row r="9" spans="1:11" s="2" customFormat="1" ht="14.25" thickBot="1" x14ac:dyDescent="0.3"/>
    <row r="10" spans="1:11" s="6" customFormat="1" ht="24.75" thickTop="1" thickBot="1" x14ac:dyDescent="0.4">
      <c r="A10" s="3" t="str">
        <f ca="1">RIGHT(CELL("filename",A1),LEN(CELL("filename",A1))-FIND("]",CELL("filename",A1)))</f>
        <v>Outputs│PTRM</v>
      </c>
    </row>
    <row r="11" spans="1:11" ht="15" thickTop="1" thickBot="1" x14ac:dyDescent="0.3"/>
    <row r="12" spans="1:11" ht="24.75" thickTop="1" thickBot="1" x14ac:dyDescent="0.4">
      <c r="E12" s="19" t="str">
        <f>"Forecast Operating Expenditure ($m Real 2019/20)"</f>
        <v>Forecast Operating Expenditure ($m Real 2019/20)</v>
      </c>
    </row>
    <row r="13" spans="1:11" ht="15" thickTop="1" thickBot="1" x14ac:dyDescent="0.3"/>
    <row r="14" spans="1:11" ht="18.75" thickBot="1" x14ac:dyDescent="0.3">
      <c r="E14" s="39" t="s">
        <v>65</v>
      </c>
      <c r="F14" s="39"/>
      <c r="G14" s="40" t="s">
        <v>19</v>
      </c>
      <c r="H14" s="40" t="s">
        <v>20</v>
      </c>
      <c r="I14" s="40" t="s">
        <v>21</v>
      </c>
      <c r="J14" s="40" t="s">
        <v>22</v>
      </c>
      <c r="K14" s="40" t="s">
        <v>41</v>
      </c>
    </row>
    <row r="15" spans="1:11" ht="18.75" thickBot="1" x14ac:dyDescent="0.3">
      <c r="E15" s="41" t="s">
        <v>66</v>
      </c>
      <c r="F15" s="42"/>
      <c r="G15" s="42">
        <f>Calc│Forecast!F74/1000</f>
        <v>4.5388360027639072</v>
      </c>
      <c r="H15" s="42">
        <f>Calc│Forecast!G74/1000</f>
        <v>4.5873786117476589</v>
      </c>
      <c r="I15" s="42">
        <f>Calc│Forecast!H74/1000</f>
        <v>4.6295720828824471</v>
      </c>
      <c r="J15" s="42">
        <f>Calc│Forecast!I74/1000</f>
        <v>4.6608213166777785</v>
      </c>
      <c r="K15" s="42">
        <f>Calc│Forecast!J74/1000</f>
        <v>4.6780712969330178</v>
      </c>
    </row>
    <row r="16" spans="1:11" ht="18.75" thickBot="1" x14ac:dyDescent="0.3">
      <c r="E16" s="41"/>
      <c r="F16" s="42"/>
      <c r="G16" s="42"/>
      <c r="H16" s="42"/>
      <c r="I16" s="42"/>
      <c r="J16" s="42"/>
      <c r="K16" s="42"/>
    </row>
    <row r="17" spans="5:11" ht="18.75" thickBot="1" x14ac:dyDescent="0.3">
      <c r="E17" s="41"/>
      <c r="F17" s="42"/>
      <c r="G17" s="42"/>
      <c r="H17" s="42"/>
      <c r="I17" s="42"/>
      <c r="J17" s="42"/>
      <c r="K17" s="42"/>
    </row>
    <row r="18" spans="5:11" ht="18.75" thickBot="1" x14ac:dyDescent="0.3">
      <c r="E18" s="41"/>
      <c r="F18" s="42"/>
      <c r="G18" s="42"/>
      <c r="H18" s="42"/>
      <c r="I18" s="42"/>
      <c r="J18" s="42"/>
      <c r="K18" s="42"/>
    </row>
    <row r="19" spans="5:11" ht="18.75" thickBot="1" x14ac:dyDescent="0.3">
      <c r="E19" s="41"/>
      <c r="F19" s="42"/>
      <c r="G19" s="42"/>
      <c r="H19" s="42"/>
      <c r="I19" s="42"/>
      <c r="J19" s="42"/>
      <c r="K19" s="42"/>
    </row>
    <row r="20" spans="5:11" ht="18.75" thickBot="1" x14ac:dyDescent="0.3">
      <c r="E20" s="41"/>
      <c r="F20" s="42"/>
      <c r="G20" s="42"/>
      <c r="H20" s="42"/>
      <c r="I20" s="42"/>
      <c r="J20" s="42"/>
      <c r="K20" s="42"/>
    </row>
    <row r="21" spans="5:11" ht="18.75" thickBot="1" x14ac:dyDescent="0.3">
      <c r="E21" s="41"/>
      <c r="F21" s="42"/>
      <c r="G21" s="42"/>
      <c r="H21" s="42"/>
      <c r="I21" s="42"/>
      <c r="J21" s="42"/>
      <c r="K21" s="42"/>
    </row>
    <row r="22" spans="5:11" ht="18.75" thickBot="1" x14ac:dyDescent="0.3">
      <c r="E22" s="41"/>
      <c r="F22" s="42"/>
      <c r="G22" s="42"/>
      <c r="H22" s="42"/>
      <c r="I22" s="42"/>
      <c r="J22" s="42"/>
      <c r="K22" s="42"/>
    </row>
    <row r="23" spans="5:11" ht="18.75" thickBot="1" x14ac:dyDescent="0.3">
      <c r="E23" s="41"/>
      <c r="F23" s="42"/>
      <c r="G23" s="42"/>
      <c r="H23" s="42"/>
      <c r="I23" s="42"/>
      <c r="J23" s="42"/>
      <c r="K23" s="42"/>
    </row>
    <row r="24" spans="5:11" ht="18.75" thickBot="1" x14ac:dyDescent="0.3">
      <c r="E24" s="43" t="s">
        <v>8</v>
      </c>
      <c r="F24" s="44"/>
      <c r="G24" s="42">
        <v>7.1660416233532559E-2</v>
      </c>
      <c r="H24" s="42">
        <v>7.4066481086730362E-2</v>
      </c>
      <c r="I24" s="42">
        <v>7.4584928384068952E-2</v>
      </c>
      <c r="J24" s="42">
        <v>7.4395707144171402E-2</v>
      </c>
      <c r="K24" s="42">
        <v>7.4713812559699083E-2</v>
      </c>
    </row>
    <row r="25" spans="5:11" ht="18.75" thickBot="1" x14ac:dyDescent="0.3">
      <c r="E25" s="41" t="s">
        <v>26</v>
      </c>
      <c r="F25" s="42"/>
      <c r="G25" s="42">
        <f t="shared" ref="G25:K25" si="0">SUM(G15:G24)</f>
        <v>4.6104964189974398</v>
      </c>
      <c r="H25" s="42">
        <f t="shared" si="0"/>
        <v>4.6614450928343896</v>
      </c>
      <c r="I25" s="42">
        <f t="shared" si="0"/>
        <v>4.7041570112665161</v>
      </c>
      <c r="J25" s="42">
        <f t="shared" si="0"/>
        <v>4.7352170238219502</v>
      </c>
      <c r="K25" s="42">
        <f t="shared" si="0"/>
        <v>4.7527851094927165</v>
      </c>
    </row>
    <row r="27" spans="5:11" x14ac:dyDescent="0.25">
      <c r="G27" s="56"/>
      <c r="H27" s="56"/>
      <c r="I27" s="56"/>
      <c r="J27" s="56"/>
      <c r="K27" s="56"/>
    </row>
    <row r="28" spans="5:11" x14ac:dyDescent="0.25">
      <c r="E28" s="7" t="s">
        <v>138</v>
      </c>
      <c r="G28" s="56">
        <v>4.8574179123757935</v>
      </c>
      <c r="H28" s="56">
        <v>4.9133618616797179</v>
      </c>
      <c r="I28" s="56">
        <v>4.9601248304706766</v>
      </c>
      <c r="J28" s="56">
        <v>4.995436993431194</v>
      </c>
      <c r="K28" s="56">
        <v>5.0168564284371078</v>
      </c>
    </row>
    <row r="29" spans="5:11" x14ac:dyDescent="0.25">
      <c r="E29" s="7" t="s">
        <v>143</v>
      </c>
      <c r="G29" s="56">
        <f>G25-G28</f>
        <v>-0.24692149337835367</v>
      </c>
      <c r="H29" s="56">
        <f t="shared" ref="H29:K29" si="1">H25-H28</f>
        <v>-0.25191676884532832</v>
      </c>
      <c r="I29" s="56">
        <f t="shared" si="1"/>
        <v>-0.25596781920416056</v>
      </c>
      <c r="J29" s="56">
        <f t="shared" si="1"/>
        <v>-0.26021996960924376</v>
      </c>
      <c r="K29" s="56">
        <f t="shared" si="1"/>
        <v>-0.26407131894439129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opLeftCell="E30" workbookViewId="0">
      <selection activeCell="P104" sqref="P104"/>
    </sheetView>
  </sheetViews>
  <sheetFormatPr defaultColWidth="14" defaultRowHeight="13.5" x14ac:dyDescent="0.25"/>
  <cols>
    <col min="1" max="1" width="2.25" style="2" customWidth="1"/>
    <col min="2" max="2" width="1.625" style="2" customWidth="1"/>
    <col min="3" max="4" width="1.75" style="2" customWidth="1"/>
    <col min="5" max="5" width="80.375" style="2" customWidth="1"/>
    <col min="6" max="6" width="24" style="2" customWidth="1"/>
    <col min="7" max="7" width="14.75" style="2" bestFit="1" customWidth="1"/>
    <col min="8" max="11" width="13.875" style="2" customWidth="1"/>
    <col min="12" max="12" width="15.5" style="2" bestFit="1" customWidth="1"/>
    <col min="13" max="13" width="13.875" style="2" customWidth="1"/>
    <col min="14" max="14" width="15.5" style="2" bestFit="1" customWidth="1"/>
    <col min="15" max="15" width="14.75" style="7" bestFit="1" customWidth="1"/>
    <col min="16" max="18" width="13.875" style="7" customWidth="1"/>
    <col min="19" max="16384" width="14" style="7"/>
  </cols>
  <sheetData>
    <row r="1" spans="1:18" s="2" customFormat="1" x14ac:dyDescent="0.25"/>
    <row r="2" spans="1:18" s="2" customFormat="1" x14ac:dyDescent="0.25"/>
    <row r="3" spans="1:18" s="2" customFormat="1" x14ac:dyDescent="0.25"/>
    <row r="4" spans="1:18" s="2" customFormat="1" x14ac:dyDescent="0.25"/>
    <row r="5" spans="1:18" s="2" customFormat="1" x14ac:dyDescent="0.25"/>
    <row r="6" spans="1:18" s="2" customFormat="1" x14ac:dyDescent="0.25"/>
    <row r="7" spans="1:18" s="2" customFormat="1" x14ac:dyDescent="0.25"/>
    <row r="8" spans="1:18" s="2" customFormat="1" x14ac:dyDescent="0.25"/>
    <row r="9" spans="1:18" s="2" customFormat="1" ht="14.25" thickBot="1" x14ac:dyDescent="0.3"/>
    <row r="10" spans="1:18" s="6" customFormat="1" ht="24.75" thickTop="1" thickBot="1" x14ac:dyDescent="0.4">
      <c r="A10" s="45" t="str">
        <f ca="1">RIGHT(CELL("filename",A1),LEN(CELL("filename",A1))-FIND("]",CELL("filename",A1)))</f>
        <v>Outputs│Tables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8" ht="14.25" thickTop="1" x14ac:dyDescent="0.25"/>
    <row r="12" spans="1:18" ht="20.25" thickBot="1" x14ac:dyDescent="0.35">
      <c r="E12" s="46" t="s">
        <v>109</v>
      </c>
    </row>
    <row r="13" spans="1:18" ht="15" thickTop="1" thickBot="1" x14ac:dyDescent="0.3"/>
    <row r="14" spans="1:18" ht="18.75" thickBot="1" x14ac:dyDescent="0.3">
      <c r="E14" s="39"/>
      <c r="F14" s="39"/>
      <c r="G14" s="40" t="s">
        <v>1</v>
      </c>
      <c r="H14" s="40" t="s">
        <v>2</v>
      </c>
      <c r="I14" s="40" t="s">
        <v>3</v>
      </c>
      <c r="J14" s="40" t="s">
        <v>4</v>
      </c>
      <c r="K14" s="40" t="s">
        <v>5</v>
      </c>
      <c r="L14" s="40" t="s">
        <v>17</v>
      </c>
      <c r="M14" s="40" t="s">
        <v>18</v>
      </c>
      <c r="N14" s="40" t="s">
        <v>19</v>
      </c>
      <c r="O14" s="40" t="s">
        <v>20</v>
      </c>
      <c r="P14" s="40" t="s">
        <v>21</v>
      </c>
      <c r="Q14" s="40" t="s">
        <v>22</v>
      </c>
      <c r="R14" s="40" t="s">
        <v>41</v>
      </c>
    </row>
    <row r="15" spans="1:18" ht="18.75" thickBot="1" x14ac:dyDescent="0.3">
      <c r="E15" s="47" t="s">
        <v>31</v>
      </c>
      <c r="F15" s="47" t="str">
        <f>LEFT(RIGHT(E12,11),10)</f>
        <v>$m nominal</v>
      </c>
      <c r="G15" s="70">
        <f>'Input│ Historic Opex'!D14/1000</f>
        <v>2.83</v>
      </c>
      <c r="H15" s="70">
        <f>'Input│ Historic Opex'!E14/1000</f>
        <v>2.0469124751767027</v>
      </c>
      <c r="I15" s="70">
        <f>'Input│ Historic Opex'!F14/1000</f>
        <v>2.8975744800000003</v>
      </c>
      <c r="J15" s="70">
        <f>'Input│ Historic Opex'!G14/1000</f>
        <v>2.9309070000000004</v>
      </c>
      <c r="K15" s="70">
        <f>'Input│ Historic Opex'!H14/1000</f>
        <v>3.3726649000000002</v>
      </c>
      <c r="L15" s="70">
        <f>Calc│Forecast!D79/1000</f>
        <v>3.4519646224998008</v>
      </c>
      <c r="M15" s="70">
        <f>Calc│Forecast!E79/1000</f>
        <v>3.5352387579979503</v>
      </c>
      <c r="N15" s="70">
        <f>Calc│Forecast!F79/1000</f>
        <v>3.6223675764741494</v>
      </c>
      <c r="O15" s="70">
        <f>Calc│Forecast!G79/1000</f>
        <v>3.7212811073458281</v>
      </c>
      <c r="P15" s="70">
        <f>Calc│Forecast!H79/1000</f>
        <v>3.8270412267856639</v>
      </c>
      <c r="Q15" s="70">
        <f>Calc│Forecast!I79/1000</f>
        <v>3.935939370118847</v>
      </c>
      <c r="R15" s="70">
        <f>Calc│Forecast!J79/1000</f>
        <v>4.0479104896326028</v>
      </c>
    </row>
    <row r="16" spans="1:18" ht="18.75" thickBot="1" x14ac:dyDescent="0.3">
      <c r="E16" s="47" t="s">
        <v>33</v>
      </c>
      <c r="F16" s="47" t="str">
        <f>F15</f>
        <v>$m nominal</v>
      </c>
      <c r="G16" s="70">
        <f>'Input│ Historic Opex'!D15/1000</f>
        <v>0.372</v>
      </c>
      <c r="H16" s="70">
        <f>'Input│ Historic Opex'!E15/1000</f>
        <v>0.39900000000000002</v>
      </c>
      <c r="I16" s="70">
        <f>'Input│ Historic Opex'!F15/1000</f>
        <v>0.35599999999999998</v>
      </c>
      <c r="J16" s="70">
        <f>'Input│ Historic Opex'!G15/1000</f>
        <v>0.4</v>
      </c>
      <c r="K16" s="70">
        <f>'Input│ Historic Opex'!H15/1000</f>
        <v>0.42099999999999999</v>
      </c>
      <c r="L16" s="70">
        <f>Calc│Forecast!D80/1000</f>
        <v>0.43089875489035862</v>
      </c>
      <c r="M16" s="70">
        <f>Calc│Forecast!E80/1000</f>
        <v>0.44129362425455815</v>
      </c>
      <c r="N16" s="70">
        <f>Calc│Forecast!F80/1000</f>
        <v>0.45216966254062679</v>
      </c>
      <c r="O16" s="70">
        <f>Calc│Forecast!G80/1000</f>
        <v>0.46451675237364765</v>
      </c>
      <c r="P16" s="70">
        <f>Calc│Forecast!H80/1000</f>
        <v>0.47771848204568562</v>
      </c>
      <c r="Q16" s="70">
        <f>Calc│Forecast!I80/1000</f>
        <v>0.49131192215984293</v>
      </c>
      <c r="R16" s="70">
        <f>Calc│Forecast!J80/1000</f>
        <v>0.50528895299836207</v>
      </c>
    </row>
    <row r="17" spans="5:18" ht="18.75" thickBot="1" x14ac:dyDescent="0.3">
      <c r="E17" s="47" t="s">
        <v>11</v>
      </c>
      <c r="F17" s="47" t="str">
        <f t="shared" ref="F17:F20" si="0">F16</f>
        <v>$m nominal</v>
      </c>
      <c r="G17" s="70">
        <f>'Input│ Historic Opex'!D17/1000</f>
        <v>0.66400000000000003</v>
      </c>
      <c r="H17" s="70">
        <f>'Input│ Historic Opex'!E17/1000</f>
        <v>0.625</v>
      </c>
      <c r="I17" s="70">
        <f>'Input│ Historic Opex'!F17/1000</f>
        <v>0.754</v>
      </c>
      <c r="J17" s="70">
        <f>'Input│ Historic Opex'!G17/1000</f>
        <v>0.48799999999999999</v>
      </c>
      <c r="K17" s="70">
        <f>'Input│ Historic Opex'!H17/1000</f>
        <v>0.40899999999999997</v>
      </c>
      <c r="L17" s="70">
        <f>Calc│Forecast!D81/1000</f>
        <v>0.45608869543605357</v>
      </c>
      <c r="M17" s="70">
        <f>Calc│Forecast!E81/1000</f>
        <v>0.46709165875169267</v>
      </c>
      <c r="N17" s="70">
        <f>Calc│Forecast!F81/1000</f>
        <v>0.51271920926905212</v>
      </c>
      <c r="O17" s="70">
        <f>Calc│Forecast!G81/1000</f>
        <v>0.5628386957416045</v>
      </c>
      <c r="P17" s="70">
        <f>Calc│Forecast!H81/1000</f>
        <v>0.60348323711813945</v>
      </c>
      <c r="Q17" s="70">
        <f>Calc│Forecast!I81/1000</f>
        <v>0.63349263402848499</v>
      </c>
      <c r="R17" s="70">
        <f>Calc│Forecast!J81/1000</f>
        <v>0.64877481600849418</v>
      </c>
    </row>
    <row r="18" spans="5:18" ht="18.75" thickBot="1" x14ac:dyDescent="0.3">
      <c r="E18" s="47" t="s">
        <v>35</v>
      </c>
      <c r="F18" s="47" t="str">
        <f t="shared" si="0"/>
        <v>$m nominal</v>
      </c>
      <c r="G18" s="70">
        <f>'Input│ Historic Opex'!D18/1000</f>
        <v>8.9999999999999993E-3</v>
      </c>
      <c r="H18" s="70">
        <f>'Input│ Historic Opex'!E18/1000</f>
        <v>8.9999999999999993E-3</v>
      </c>
      <c r="I18" s="70">
        <f>'Input│ Historic Opex'!F18/1000</f>
        <v>0.01</v>
      </c>
      <c r="J18" s="70">
        <f>'Input│ Historic Opex'!G18/1000</f>
        <v>8.0000000000000002E-3</v>
      </c>
      <c r="K18" s="70">
        <f>'Input│ Historic Opex'!H18/1000</f>
        <v>8.0000000000000002E-3</v>
      </c>
      <c r="L18" s="70">
        <f>Calc│Forecast!D82/1000</f>
        <v>8.1880998553987405E-3</v>
      </c>
      <c r="M18" s="70">
        <f>Calc│Forecast!E82/1000</f>
        <v>8.3856270642196327E-3</v>
      </c>
      <c r="N18" s="70">
        <f>Calc│Forecast!F82/1000</f>
        <v>8.5922976254750923E-3</v>
      </c>
      <c r="O18" s="70">
        <f>Calc│Forecast!G82/1000</f>
        <v>8.8269216603068437E-3</v>
      </c>
      <c r="P18" s="70">
        <f>Calc│Forecast!H82/1000</f>
        <v>9.0777858821032911E-3</v>
      </c>
      <c r="Q18" s="70">
        <f>Calc│Forecast!I82/1000</f>
        <v>9.3360935327286079E-3</v>
      </c>
      <c r="R18" s="70">
        <f>Calc│Forecast!J82/1000</f>
        <v>9.601690318258662E-3</v>
      </c>
    </row>
    <row r="19" spans="5:18" ht="18.75" thickBot="1" x14ac:dyDescent="0.3">
      <c r="E19" s="47" t="s">
        <v>36</v>
      </c>
      <c r="F19" s="47" t="str">
        <f t="shared" si="0"/>
        <v>$m nominal</v>
      </c>
      <c r="G19" s="70">
        <f>'Input│ Historic Opex'!D19/1000</f>
        <v>0.02</v>
      </c>
      <c r="H19" s="70">
        <f>'Input│ Historic Opex'!E19/1000</f>
        <v>0.01</v>
      </c>
      <c r="I19" s="70">
        <f>'Input│ Historic Opex'!F19/1000</f>
        <v>1.0999999999999999E-2</v>
      </c>
      <c r="J19" s="70">
        <f>'Input│ Historic Opex'!G19/1000</f>
        <v>0.01</v>
      </c>
      <c r="K19" s="70">
        <f>'Input│ Historic Opex'!H19/1000</f>
        <v>1.0999999999999999E-2</v>
      </c>
      <c r="L19" s="70">
        <f>Calc│Forecast!D83/1000</f>
        <v>1.1258637301173265E-2</v>
      </c>
      <c r="M19" s="70">
        <f>Calc│Forecast!E83/1000</f>
        <v>1.1530237213301995E-2</v>
      </c>
      <c r="N19" s="70">
        <f>Calc│Forecast!F83/1000</f>
        <v>1.1814409235028252E-2</v>
      </c>
      <c r="O19" s="70">
        <f>Calc│Forecast!G83/1000</f>
        <v>1.213701728292191E-2</v>
      </c>
      <c r="P19" s="70">
        <f>Calc│Forecast!H83/1000</f>
        <v>1.2481955587892026E-2</v>
      </c>
      <c r="Q19" s="70">
        <f>Calc│Forecast!I83/1000</f>
        <v>1.2837128607501832E-2</v>
      </c>
      <c r="R19" s="70">
        <f>Calc│Forecast!J83/1000</f>
        <v>1.320232418760566E-2</v>
      </c>
    </row>
    <row r="20" spans="5:18" ht="18.75" thickBot="1" x14ac:dyDescent="0.3">
      <c r="E20" s="47" t="s">
        <v>12</v>
      </c>
      <c r="F20" s="47" t="str">
        <f t="shared" si="0"/>
        <v>$m nominal</v>
      </c>
      <c r="G20" s="70">
        <f>SUM('Input│ Historic Opex'!D20:D21)/1000</f>
        <v>5.2505599999999502E-3</v>
      </c>
      <c r="H20" s="70">
        <f>SUM('Input│ Historic Opex'!E20:E21)/1000</f>
        <v>-6.8529999999995537E-5</v>
      </c>
      <c r="I20" s="70">
        <f>SUM('Input│ Historic Opex'!F20:F21)/1000</f>
        <v>2.8404099999999916E-3</v>
      </c>
      <c r="J20" s="70">
        <f>SUM('Input│ Historic Opex'!G20:G21)/1000</f>
        <v>8.6925700000000453E-3</v>
      </c>
      <c r="K20" s="70">
        <f>SUM('Input│ Historic Opex'!H20:H21)/1000</f>
        <v>3.7863059999999997E-2</v>
      </c>
      <c r="L20" s="70">
        <f>Calc│Forecast!D84/1000</f>
        <v>3.8753314513869222E-2</v>
      </c>
      <c r="M20" s="70">
        <f>Calc│Forecast!E84/1000</f>
        <v>3.9688187583771475E-2</v>
      </c>
      <c r="N20" s="70">
        <f>Calc│Forecast!F84/1000</f>
        <v>4.0666335066402617E-2</v>
      </c>
      <c r="O20" s="70">
        <f>Calc│Forecast!G84/1000</f>
        <v>4.1776783054937205E-2</v>
      </c>
      <c r="P20" s="70">
        <f>Calc│Forecast!H84/1000</f>
        <v>4.2964093940153728E-2</v>
      </c>
      <c r="Q20" s="70">
        <f>Calc│Forecast!I84/1000</f>
        <v>4.418663369941439E-2</v>
      </c>
      <c r="R20" s="70">
        <f>Calc│Forecast!J84/1000</f>
        <v>4.5443672077705839E-2</v>
      </c>
    </row>
    <row r="21" spans="5:18" ht="18.75" thickBot="1" x14ac:dyDescent="0.3">
      <c r="E21" s="47" t="s">
        <v>67</v>
      </c>
      <c r="F21" s="47" t="str">
        <f>F19</f>
        <v>$m nominal</v>
      </c>
      <c r="G21" s="70">
        <f>SUM(G15:G20)</f>
        <v>3.9002505599999999</v>
      </c>
      <c r="H21" s="70">
        <f t="shared" ref="H21:K21" si="1">SUM(H15:H20)</f>
        <v>3.0898439451767024</v>
      </c>
      <c r="I21" s="70">
        <f t="shared" si="1"/>
        <v>4.0314148900000006</v>
      </c>
      <c r="J21" s="70">
        <f t="shared" si="1"/>
        <v>3.8455995700000001</v>
      </c>
      <c r="K21" s="70">
        <f t="shared" si="1"/>
        <v>4.2595279600000007</v>
      </c>
      <c r="L21" s="70">
        <f t="shared" ref="L21:R21" si="2">SUM(L15:L19)</f>
        <v>4.3583988099827859</v>
      </c>
      <c r="M21" s="70">
        <f t="shared" si="2"/>
        <v>4.4635399052817224</v>
      </c>
      <c r="N21" s="70">
        <f t="shared" si="2"/>
        <v>4.6076631551443326</v>
      </c>
      <c r="O21" s="70">
        <f t="shared" si="2"/>
        <v>4.76960049440431</v>
      </c>
      <c r="P21" s="70">
        <f t="shared" si="2"/>
        <v>4.9298026874194836</v>
      </c>
      <c r="Q21" s="70">
        <f t="shared" si="2"/>
        <v>5.0829171484474056</v>
      </c>
      <c r="R21" s="70">
        <f t="shared" si="2"/>
        <v>5.2247782731453229</v>
      </c>
    </row>
    <row r="24" spans="5:18" ht="20.25" thickBot="1" x14ac:dyDescent="0.35">
      <c r="E24" s="46" t="s">
        <v>68</v>
      </c>
    </row>
    <row r="25" spans="5:18" ht="15" thickTop="1" thickBot="1" x14ac:dyDescent="0.3"/>
    <row r="26" spans="5:18" ht="18.75" thickBot="1" x14ac:dyDescent="0.3">
      <c r="E26" s="39"/>
      <c r="F26" s="39"/>
      <c r="I26" s="40" t="s">
        <v>3</v>
      </c>
      <c r="J26" s="40" t="s">
        <v>4</v>
      </c>
      <c r="K26" s="40" t="s">
        <v>5</v>
      </c>
      <c r="L26" s="40" t="s">
        <v>17</v>
      </c>
      <c r="M26" s="40" t="s">
        <v>18</v>
      </c>
      <c r="N26" s="40" t="s">
        <v>26</v>
      </c>
    </row>
    <row r="27" spans="5:18" ht="18.75" thickBot="1" x14ac:dyDescent="0.3">
      <c r="E27" s="41" t="s">
        <v>69</v>
      </c>
      <c r="F27" s="41" t="str">
        <f>F21</f>
        <v>$m nominal</v>
      </c>
      <c r="I27" s="71">
        <f>'Input│ Historic Opex'!F43/1000</f>
        <v>4.2095766244158543</v>
      </c>
      <c r="J27" s="71">
        <f>'Input│ Historic Opex'!G43/1000</f>
        <v>3.5587163627011495</v>
      </c>
      <c r="K27" s="71">
        <f>'Input│ Historic Opex'!H43/1000</f>
        <v>3.7119726796276478</v>
      </c>
      <c r="L27" s="71">
        <f>'Input│ Historic Opex'!I43/1000</f>
        <v>3.7113886595123922</v>
      </c>
      <c r="M27" s="71">
        <f>'Input│ Historic Opex'!J43/1000</f>
        <v>3.8197183950384885</v>
      </c>
      <c r="N27" s="71">
        <f>SUM(I27:M27)</f>
        <v>19.011372721295533</v>
      </c>
    </row>
    <row r="28" spans="5:18" ht="18.75" thickBot="1" x14ac:dyDescent="0.3">
      <c r="E28" s="41" t="s">
        <v>70</v>
      </c>
      <c r="F28" s="41" t="str">
        <f>F27</f>
        <v>$m nominal</v>
      </c>
      <c r="I28" s="71">
        <f>I21</f>
        <v>4.0314148900000006</v>
      </c>
      <c r="J28" s="71">
        <f t="shared" ref="J28:M28" si="3">J21</f>
        <v>3.8455995700000001</v>
      </c>
      <c r="K28" s="71">
        <f t="shared" si="3"/>
        <v>4.2595279600000007</v>
      </c>
      <c r="L28" s="71">
        <f t="shared" si="3"/>
        <v>4.3583988099827859</v>
      </c>
      <c r="M28" s="71">
        <f t="shared" si="3"/>
        <v>4.4635399052817224</v>
      </c>
      <c r="N28" s="71">
        <f>SUM(I28:M28)</f>
        <v>20.958481135264506</v>
      </c>
    </row>
    <row r="29" spans="5:18" ht="18.75" thickBot="1" x14ac:dyDescent="0.3">
      <c r="E29" s="41" t="s">
        <v>71</v>
      </c>
      <c r="F29" s="41" t="str">
        <f>F28</f>
        <v>$m nominal</v>
      </c>
      <c r="I29" s="71">
        <f>I28-I27</f>
        <v>-0.1781617344158537</v>
      </c>
      <c r="J29" s="71">
        <f t="shared" ref="J29:N29" si="4">J28-J27</f>
        <v>0.28688320729885053</v>
      </c>
      <c r="K29" s="71">
        <f t="shared" si="4"/>
        <v>0.5475552803723529</v>
      </c>
      <c r="L29" s="71">
        <f t="shared" si="4"/>
        <v>0.64701015047039379</v>
      </c>
      <c r="M29" s="71">
        <f t="shared" si="4"/>
        <v>0.64382151024323386</v>
      </c>
      <c r="N29" s="71">
        <f t="shared" si="4"/>
        <v>1.9471084139689729</v>
      </c>
    </row>
    <row r="32" spans="5:18" ht="20.25" thickBot="1" x14ac:dyDescent="0.35">
      <c r="E32" s="46" t="s">
        <v>124</v>
      </c>
    </row>
    <row r="33" spans="5:14" ht="15" thickTop="1" thickBot="1" x14ac:dyDescent="0.3"/>
    <row r="34" spans="5:14" ht="18.75" thickBot="1" x14ac:dyDescent="0.3">
      <c r="E34" s="39"/>
      <c r="F34" s="39"/>
      <c r="I34" s="40" t="str">
        <f>I26</f>
        <v>2015/16</v>
      </c>
      <c r="J34" s="40" t="str">
        <f t="shared" ref="J34:M34" si="5">J26</f>
        <v>2016/17</v>
      </c>
      <c r="K34" s="40" t="str">
        <f t="shared" si="5"/>
        <v>2017/18</v>
      </c>
      <c r="L34" s="40" t="str">
        <f t="shared" si="5"/>
        <v>2018/19</v>
      </c>
      <c r="M34" s="40" t="str">
        <f t="shared" si="5"/>
        <v>2019/20</v>
      </c>
      <c r="N34" s="40" t="s">
        <v>26</v>
      </c>
    </row>
    <row r="35" spans="5:14" ht="18.75" thickBot="1" x14ac:dyDescent="0.3">
      <c r="E35" s="41" t="s">
        <v>69</v>
      </c>
      <c r="F35" s="41" t="s">
        <v>125</v>
      </c>
      <c r="I35" s="75">
        <f>I27/'Input│ Other'!F$15*'Input│ Other'!$H$15</f>
        <v>4.3807608864068879</v>
      </c>
      <c r="J35" s="75">
        <f>J27/'Input│ Other'!G$15*'Input│ Other'!$H$15</f>
        <v>3.6263480763814426</v>
      </c>
      <c r="K35" s="75">
        <f>K27/'Input│ Other'!H$15*'Input│ Other'!$H$15</f>
        <v>3.7119726796276478</v>
      </c>
      <c r="L35" s="75">
        <f>L27/'Input│ Other'!I$15*'Input│ Other'!$H$15</f>
        <v>3.6625973975556123</v>
      </c>
      <c r="M35" s="75">
        <f>M27/'Input│ Other'!J$15*'Input│ Other'!$H$15</f>
        <v>3.6775638937289399</v>
      </c>
      <c r="N35" s="75">
        <f>SUM(I35:M35)</f>
        <v>19.059242933700531</v>
      </c>
    </row>
    <row r="36" spans="5:14" ht="18.75" thickBot="1" x14ac:dyDescent="0.3">
      <c r="E36" s="41" t="s">
        <v>70</v>
      </c>
      <c r="F36" s="41" t="str">
        <f>F35</f>
        <v>$m FY18</v>
      </c>
      <c r="I36" s="75">
        <f>I28/'Input│ Other'!F$15*'Input│ Other'!$H$15</f>
        <v>4.1953541276709805</v>
      </c>
      <c r="J36" s="75">
        <f>J28/'Input│ Other'!G$15*'Input│ Other'!$H$15</f>
        <v>3.9186833627330317</v>
      </c>
      <c r="K36" s="75">
        <f>K28/'Input│ Other'!H$15*'Input│ Other'!$H$15</f>
        <v>4.2595279600000007</v>
      </c>
      <c r="L36" s="75">
        <f>L28/'Input│ Other'!I$15*'Input│ Other'!$H$15</f>
        <v>4.3011017178270086</v>
      </c>
      <c r="M36" s="75">
        <f>M28/'Input│ Other'!J$15*'Input│ Other'!$H$15</f>
        <v>4.297424965988089</v>
      </c>
      <c r="N36" s="75">
        <f>SUM(I36:M36)</f>
        <v>20.97209213421911</v>
      </c>
    </row>
    <row r="37" spans="5:14" ht="18.75" thickBot="1" x14ac:dyDescent="0.3">
      <c r="E37" s="41" t="s">
        <v>71</v>
      </c>
      <c r="F37" s="41" t="str">
        <f>F36</f>
        <v>$m FY18</v>
      </c>
      <c r="I37" s="75">
        <f>I36-I35</f>
        <v>-0.1854067587359074</v>
      </c>
      <c r="J37" s="75">
        <f t="shared" ref="J37" si="6">J36-J35</f>
        <v>0.29233528635158912</v>
      </c>
      <c r="K37" s="75">
        <f t="shared" ref="K37" si="7">K36-K35</f>
        <v>0.5475552803723529</v>
      </c>
      <c r="L37" s="75">
        <f t="shared" ref="L37" si="8">L36-L35</f>
        <v>0.63850432027139625</v>
      </c>
      <c r="M37" s="75">
        <f t="shared" ref="M37" si="9">M36-M35</f>
        <v>0.6198610722591491</v>
      </c>
      <c r="N37" s="75">
        <f t="shared" ref="N37" si="10">N36-N35</f>
        <v>1.9128492005185791</v>
      </c>
    </row>
    <row r="39" spans="5:14" ht="20.25" thickBot="1" x14ac:dyDescent="0.35">
      <c r="E39" s="4" t="s">
        <v>80</v>
      </c>
    </row>
    <row r="40" spans="5:14" ht="15" thickTop="1" thickBot="1" x14ac:dyDescent="0.3"/>
    <row r="41" spans="5:14" ht="18.75" thickBot="1" x14ac:dyDescent="0.3">
      <c r="E41" s="39"/>
      <c r="F41" s="39"/>
      <c r="G41" s="40" t="str">
        <f>G14</f>
        <v>2013/14</v>
      </c>
      <c r="H41" s="40" t="str">
        <f>H14</f>
        <v>2014/15</v>
      </c>
      <c r="I41" s="40" t="str">
        <f>I14</f>
        <v>2015/16</v>
      </c>
      <c r="J41" s="40" t="str">
        <f>J14</f>
        <v>2016/17</v>
      </c>
      <c r="K41" s="40" t="str">
        <f>K14</f>
        <v>2017/18</v>
      </c>
      <c r="L41" s="40" t="s">
        <v>26</v>
      </c>
    </row>
    <row r="42" spans="5:14" ht="18.75" thickBot="1" x14ac:dyDescent="0.3">
      <c r="E42" s="41" t="s">
        <v>136</v>
      </c>
      <c r="F42" s="41" t="s">
        <v>9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f>SUM(G42:K42)</f>
        <v>0</v>
      </c>
    </row>
    <row r="43" spans="5:14" ht="18.75" thickBot="1" x14ac:dyDescent="0.3">
      <c r="E43" s="41" t="s">
        <v>137</v>
      </c>
      <c r="F43" s="41" t="s">
        <v>9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f t="shared" ref="L43:L46" si="11">SUM(G43:K43)</f>
        <v>0</v>
      </c>
    </row>
    <row r="44" spans="5:14" ht="18.75" thickBot="1" x14ac:dyDescent="0.3">
      <c r="E44" s="41" t="s">
        <v>115</v>
      </c>
      <c r="F44" s="41" t="s">
        <v>9</v>
      </c>
      <c r="G44" s="48">
        <f>('Input│ Historic Opex'!D19+'Input│ Historic Opex'!D20)*1000</f>
        <v>25000</v>
      </c>
      <c r="H44" s="48">
        <f>('Input│ Historic Opex'!E19+'Input│ Historic Opex'!E20)*1000</f>
        <v>10000</v>
      </c>
      <c r="I44" s="48">
        <f>('Input│ Historic Opex'!F19+'Input│ Historic Opex'!F20)*1000</f>
        <v>14000</v>
      </c>
      <c r="J44" s="48">
        <f>('Input│ Historic Opex'!G19+'Input│ Historic Opex'!G20)*1000</f>
        <v>10000</v>
      </c>
      <c r="K44" s="48">
        <f>('Input│ Historic Opex'!H19+'Input│ Historic Opex'!H20)*1000</f>
        <v>11000</v>
      </c>
      <c r="L44" s="48">
        <f t="shared" si="11"/>
        <v>70000</v>
      </c>
    </row>
    <row r="45" spans="5:14" ht="18.75" thickBot="1" x14ac:dyDescent="0.3">
      <c r="E45" s="82" t="s">
        <v>101</v>
      </c>
      <c r="F45" s="82" t="s">
        <v>9</v>
      </c>
      <c r="G45" s="83">
        <f>SUM(G42:G44)</f>
        <v>25000</v>
      </c>
      <c r="H45" s="83">
        <f t="shared" ref="H45:K45" si="12">SUM(H42:H44)</f>
        <v>10000</v>
      </c>
      <c r="I45" s="83">
        <f t="shared" si="12"/>
        <v>14000</v>
      </c>
      <c r="J45" s="83">
        <f t="shared" si="12"/>
        <v>10000</v>
      </c>
      <c r="K45" s="83">
        <f t="shared" si="12"/>
        <v>11000</v>
      </c>
      <c r="L45" s="83">
        <f t="shared" si="11"/>
        <v>70000</v>
      </c>
    </row>
    <row r="46" spans="5:14" ht="18.75" thickBot="1" x14ac:dyDescent="0.3">
      <c r="E46" s="41" t="s">
        <v>81</v>
      </c>
      <c r="F46" s="41" t="s">
        <v>9</v>
      </c>
      <c r="G46" s="48">
        <f>'Input│ Historic Opex'!D83</f>
        <v>3900250.56</v>
      </c>
      <c r="H46" s="48">
        <f>'Input│ Historic Opex'!E83</f>
        <v>3089843.9451767029</v>
      </c>
      <c r="I46" s="48">
        <f>'Input│ Historic Opex'!F83</f>
        <v>4031414.89</v>
      </c>
      <c r="J46" s="48">
        <f>'Input│ Historic Opex'!G83</f>
        <v>3845599.5700000003</v>
      </c>
      <c r="K46" s="48">
        <f>'Input│ Historic Opex'!H83</f>
        <v>4259527.959999999</v>
      </c>
      <c r="L46" s="48">
        <f t="shared" si="11"/>
        <v>19126636.925176702</v>
      </c>
    </row>
    <row r="47" spans="5:14" ht="18.75" thickBot="1" x14ac:dyDescent="0.3">
      <c r="E47" s="41" t="s">
        <v>82</v>
      </c>
      <c r="F47" s="41" t="s">
        <v>98</v>
      </c>
      <c r="G47" s="81">
        <f>G45/G46</f>
        <v>6.4098446023939546E-3</v>
      </c>
      <c r="H47" s="81">
        <f t="shared" ref="H47:L47" si="13">H45/H46</f>
        <v>3.2364094036561827E-3</v>
      </c>
      <c r="I47" s="81">
        <f t="shared" si="13"/>
        <v>3.4727261723240792E-3</v>
      </c>
      <c r="J47" s="81">
        <f t="shared" si="13"/>
        <v>2.6003747446851307E-3</v>
      </c>
      <c r="K47" s="81">
        <f t="shared" si="13"/>
        <v>2.5824457788040911E-3</v>
      </c>
      <c r="L47" s="81">
        <f t="shared" si="13"/>
        <v>3.6598174720333539E-3</v>
      </c>
    </row>
    <row r="53" spans="5:19" ht="20.25" thickBot="1" x14ac:dyDescent="0.35">
      <c r="E53" s="4" t="s">
        <v>72</v>
      </c>
    </row>
    <row r="54" spans="5:19" ht="15" thickTop="1" thickBot="1" x14ac:dyDescent="0.3"/>
    <row r="55" spans="5:19" ht="18.75" thickBot="1" x14ac:dyDescent="0.3">
      <c r="E55" s="39"/>
      <c r="F55" s="39"/>
      <c r="I55" s="40" t="str">
        <f>H$14</f>
        <v>2014/15</v>
      </c>
      <c r="J55" s="40" t="str">
        <f>I$14</f>
        <v>2015/16</v>
      </c>
      <c r="K55" s="40" t="str">
        <f>J$14</f>
        <v>2016/17</v>
      </c>
      <c r="L55" s="40" t="str">
        <f>K$14</f>
        <v>2017/18</v>
      </c>
      <c r="M55" s="40" t="str">
        <f>Calc│Forecast!D11</f>
        <v>2018/19</v>
      </c>
      <c r="N55" s="40" t="str">
        <f>Calc│Forecast!E11</f>
        <v>2019/20</v>
      </c>
      <c r="O55" s="40" t="str">
        <f>Calc│Forecast!F11</f>
        <v>2020/21</v>
      </c>
      <c r="P55" s="40" t="str">
        <f>Calc│Forecast!G11</f>
        <v>2021/22</v>
      </c>
      <c r="Q55" s="40" t="str">
        <f>Calc│Forecast!H11</f>
        <v>2022/23</v>
      </c>
      <c r="R55" s="40" t="str">
        <f>Calc│Forecast!I11</f>
        <v>2023/24</v>
      </c>
      <c r="S55" s="40" t="str">
        <f>Calc│Forecast!J11</f>
        <v>2024/25</v>
      </c>
    </row>
    <row r="56" spans="5:19" ht="18.75" thickBot="1" x14ac:dyDescent="0.3">
      <c r="E56" s="41" t="s">
        <v>11</v>
      </c>
      <c r="F56" s="41"/>
      <c r="I56" s="48">
        <f>'Input│ Historic Opex'!D17*1000</f>
        <v>664000</v>
      </c>
      <c r="J56" s="48">
        <f>'Input│ Historic Opex'!E17*1000</f>
        <v>625000</v>
      </c>
      <c r="K56" s="48">
        <f>'Input│ Historic Opex'!F17*1000</f>
        <v>754000</v>
      </c>
      <c r="L56" s="48">
        <f>'Input│ Historic Opex'!G17*1000</f>
        <v>488000</v>
      </c>
      <c r="M56" s="48">
        <f>Calc│Forecast!D52*1000</f>
        <v>445345.32150924025</v>
      </c>
      <c r="N56" s="48">
        <f>Calc│Forecast!E52*1000</f>
        <v>445345.72150924028</v>
      </c>
      <c r="O56" s="48">
        <f>Calc│Forecast!F52*1000</f>
        <v>477333.97562243324</v>
      </c>
      <c r="P56" s="48">
        <f>Calc│Forecast!G52*1000</f>
        <v>511651.54879411572</v>
      </c>
      <c r="Q56" s="48">
        <f>Calc│Forecast!H52*1000</f>
        <v>535677.17623382155</v>
      </c>
      <c r="R56" s="48">
        <f>Calc│Forecast!I52*1000</f>
        <v>549069.20563966699</v>
      </c>
      <c r="S56" s="48">
        <f>Calc│Forecast!J52*1000</f>
        <v>549069.20563966699</v>
      </c>
    </row>
    <row r="58" spans="5:19" ht="18.75" thickBot="1" x14ac:dyDescent="0.3">
      <c r="E58" s="41"/>
      <c r="F58" s="48"/>
      <c r="G58" s="48"/>
      <c r="H58" s="48"/>
      <c r="I58" s="48"/>
      <c r="J58" s="48"/>
      <c r="K58" s="48"/>
    </row>
    <row r="59" spans="5:19" ht="20.25" thickBot="1" x14ac:dyDescent="0.35">
      <c r="E59" s="4" t="s">
        <v>114</v>
      </c>
    </row>
    <row r="60" spans="5:19" ht="15" thickTop="1" thickBot="1" x14ac:dyDescent="0.3"/>
    <row r="61" spans="5:19" ht="18.75" thickBot="1" x14ac:dyDescent="0.3">
      <c r="E61" s="39"/>
      <c r="F61" s="40" t="str">
        <f>N14</f>
        <v>2020/21</v>
      </c>
      <c r="G61" s="40" t="str">
        <f t="shared" ref="G61:J61" si="14">O14</f>
        <v>2021/22</v>
      </c>
      <c r="H61" s="40" t="str">
        <f t="shared" si="14"/>
        <v>2022/23</v>
      </c>
      <c r="I61" s="40" t="str">
        <f t="shared" si="14"/>
        <v>2023/24</v>
      </c>
      <c r="J61" s="40" t="str">
        <f t="shared" si="14"/>
        <v>2024/25</v>
      </c>
      <c r="K61" s="40" t="s">
        <v>26</v>
      </c>
    </row>
    <row r="62" spans="5:19" ht="18.75" thickBot="1" x14ac:dyDescent="0.3">
      <c r="E62" s="41" t="s">
        <v>73</v>
      </c>
      <c r="F62" s="75">
        <f>N21</f>
        <v>4.6076631551443326</v>
      </c>
      <c r="G62" s="75">
        <f t="shared" ref="G62:J62" si="15">O21</f>
        <v>4.76960049440431</v>
      </c>
      <c r="H62" s="75">
        <f t="shared" si="15"/>
        <v>4.9298026874194836</v>
      </c>
      <c r="I62" s="75">
        <f t="shared" si="15"/>
        <v>5.0829171484474056</v>
      </c>
      <c r="J62" s="75">
        <f t="shared" si="15"/>
        <v>5.2247782731453229</v>
      </c>
      <c r="K62" s="75">
        <f>SUM(F62:J62)</f>
        <v>24.614761758560853</v>
      </c>
    </row>
    <row r="64" spans="5:19" ht="20.25" thickBot="1" x14ac:dyDescent="0.35">
      <c r="E64" s="4" t="s">
        <v>132</v>
      </c>
      <c r="F64" s="4" t="str">
        <f>L34</f>
        <v>2018/19</v>
      </c>
      <c r="G64" s="4" t="str">
        <f>M34</f>
        <v>2019/20</v>
      </c>
      <c r="H64" s="4" t="str">
        <f>F61</f>
        <v>2020/21</v>
      </c>
      <c r="I64" s="4" t="str">
        <f t="shared" ref="I64:L64" si="16">G61</f>
        <v>2021/22</v>
      </c>
      <c r="J64" s="4" t="str">
        <f t="shared" si="16"/>
        <v>2022/23</v>
      </c>
      <c r="K64" s="4" t="str">
        <f t="shared" si="16"/>
        <v>2023/24</v>
      </c>
      <c r="L64" s="4" t="str">
        <f t="shared" si="16"/>
        <v>2024/25</v>
      </c>
    </row>
    <row r="65" spans="5:12" ht="17.25" thickTop="1" x14ac:dyDescent="0.3">
      <c r="E65" s="2" t="s">
        <v>126</v>
      </c>
      <c r="F65" s="51">
        <f>Calc│Forecast!D27</f>
        <v>3850.1937819999994</v>
      </c>
      <c r="G65" s="51">
        <f>Calc│Forecast!E27</f>
        <v>3850.1937819999994</v>
      </c>
      <c r="H65" s="51">
        <f>Calc│Forecast!F27</f>
        <v>3850.1937819999994</v>
      </c>
      <c r="I65" s="51">
        <f>Calc│Forecast!G27</f>
        <v>3850.1937819999994</v>
      </c>
      <c r="J65" s="51">
        <f>Calc│Forecast!H27</f>
        <v>3850.1937819999994</v>
      </c>
      <c r="K65" s="51">
        <f>Calc│Forecast!I27</f>
        <v>3850.1937819999994</v>
      </c>
      <c r="L65" s="51">
        <f>Calc│Forecast!J27</f>
        <v>3850.1937819999994</v>
      </c>
    </row>
    <row r="66" spans="5:12" ht="16.5" x14ac:dyDescent="0.3">
      <c r="E66" s="2" t="s">
        <v>127</v>
      </c>
      <c r="F66" s="51">
        <f>Calc│Forecast!D48-Calc│Forecast!D46</f>
        <v>-1.9638708743402731</v>
      </c>
      <c r="G66" s="51">
        <f>Calc│Forecast!E48-Calc│Forecast!E46</f>
        <v>-1.963871057215556</v>
      </c>
      <c r="H66" s="51">
        <f>Calc│Forecast!F48-Calc│Forecast!F46</f>
        <v>-1.9784957178217155E-3</v>
      </c>
      <c r="I66" s="51">
        <f>Calc│Forecast!G48-Calc│Forecast!G46</f>
        <v>11.963105744177028</v>
      </c>
      <c r="J66" s="51">
        <f>Calc│Forecast!H48-Calc│Forecast!H46</f>
        <v>28.166588573147692</v>
      </c>
      <c r="K66" s="51">
        <f>Calc│Forecast!I48-Calc│Forecast!I46</f>
        <v>44.568952431327034</v>
      </c>
      <c r="L66" s="51">
        <f>Calc│Forecast!J48-Calc│Forecast!J46</f>
        <v>61.015841941879444</v>
      </c>
    </row>
    <row r="67" spans="5:12" ht="16.5" x14ac:dyDescent="0.3">
      <c r="E67" s="2" t="s">
        <v>128</v>
      </c>
      <c r="F67" s="51"/>
      <c r="G67" s="51"/>
      <c r="H67" s="51"/>
      <c r="I67" s="51"/>
      <c r="J67" s="51"/>
      <c r="K67" s="51"/>
      <c r="L67" s="51"/>
    </row>
    <row r="68" spans="5:12" ht="16.5" x14ac:dyDescent="0.3">
      <c r="E68" s="2" t="s">
        <v>129</v>
      </c>
      <c r="F68" s="51"/>
      <c r="G68" s="51"/>
      <c r="H68" s="51"/>
      <c r="I68" s="51"/>
      <c r="J68" s="51"/>
      <c r="K68" s="51"/>
      <c r="L68" s="51"/>
    </row>
    <row r="69" spans="5:12" ht="16.5" x14ac:dyDescent="0.3">
      <c r="E69" s="2" t="s">
        <v>23</v>
      </c>
      <c r="F69" s="51"/>
      <c r="G69" s="51"/>
      <c r="H69" s="51"/>
      <c r="I69" s="51"/>
      <c r="J69" s="51"/>
      <c r="K69" s="51"/>
      <c r="L69" s="51"/>
    </row>
    <row r="70" spans="5:12" ht="16.5" x14ac:dyDescent="0.3">
      <c r="E70" s="2" t="s">
        <v>130</v>
      </c>
      <c r="F70" s="51">
        <f>Calc│Forecast!D31</f>
        <v>445.34532150924025</v>
      </c>
      <c r="G70" s="51">
        <f>Calc│Forecast!E31</f>
        <v>445.34572150924026</v>
      </c>
      <c r="H70" s="51">
        <f>Calc│Forecast!F31</f>
        <v>477.33397562243323</v>
      </c>
      <c r="I70" s="51">
        <f>Calc│Forecast!G31</f>
        <v>511.65154879411574</v>
      </c>
      <c r="J70" s="51">
        <f>Calc│Forecast!H31</f>
        <v>535.67717623382157</v>
      </c>
      <c r="K70" s="51">
        <f>Calc│Forecast!I31</f>
        <v>549.06920563966696</v>
      </c>
      <c r="L70" s="51">
        <f>Calc│Forecast!J31</f>
        <v>549.06920563966696</v>
      </c>
    </row>
    <row r="71" spans="5:12" ht="16.5" x14ac:dyDescent="0.3">
      <c r="E71" s="2" t="s">
        <v>37</v>
      </c>
      <c r="F71" s="51">
        <f>SUM(F65:F70)</f>
        <v>4293.5752326348993</v>
      </c>
      <c r="G71" s="51">
        <f t="shared" ref="G71:L71" si="17">SUM(G65:G70)</f>
        <v>4293.5756324520244</v>
      </c>
      <c r="H71" s="51">
        <f t="shared" si="17"/>
        <v>4327.525779126715</v>
      </c>
      <c r="I71" s="51">
        <f t="shared" si="17"/>
        <v>4373.808436538292</v>
      </c>
      <c r="J71" s="51">
        <f t="shared" si="17"/>
        <v>4414.0375468069687</v>
      </c>
      <c r="K71" s="51">
        <f t="shared" si="17"/>
        <v>4443.8319400709934</v>
      </c>
      <c r="L71" s="51">
        <f t="shared" si="17"/>
        <v>4460.2788295815462</v>
      </c>
    </row>
    <row r="72" spans="5:12" ht="14.25" thickBot="1" x14ac:dyDescent="0.3"/>
    <row r="73" spans="5:12" ht="15" thickTop="1" thickBot="1" x14ac:dyDescent="0.3">
      <c r="E73" s="2" t="s">
        <v>131</v>
      </c>
      <c r="F73" s="62">
        <f>Calc│Forecast!D55</f>
        <v>4293.5752326348993</v>
      </c>
      <c r="G73" s="62">
        <f>Calc│Forecast!E55</f>
        <v>4293.5756324520244</v>
      </c>
      <c r="H73" s="62">
        <f>Calc│Forecast!F55</f>
        <v>4327.525779126715</v>
      </c>
      <c r="I73" s="62">
        <f>Calc│Forecast!G55</f>
        <v>4373.8084365382929</v>
      </c>
      <c r="J73" s="62">
        <f>Calc│Forecast!H55</f>
        <v>4414.0375468069687</v>
      </c>
      <c r="K73" s="62">
        <f>Calc│Forecast!I55</f>
        <v>4443.8319400709934</v>
      </c>
      <c r="L73" s="62">
        <f>Calc│Forecast!J55</f>
        <v>4460.2788295815453</v>
      </c>
    </row>
    <row r="74" spans="5:12" ht="15" thickTop="1" thickBot="1" x14ac:dyDescent="0.3">
      <c r="F74" s="77">
        <f>F71-F73</f>
        <v>0</v>
      </c>
      <c r="G74" s="77">
        <f t="shared" ref="G74:L74" si="18">G71-G73</f>
        <v>0</v>
      </c>
      <c r="H74" s="77">
        <f t="shared" si="18"/>
        <v>0</v>
      </c>
      <c r="I74" s="77">
        <f t="shared" si="18"/>
        <v>0</v>
      </c>
      <c r="J74" s="77">
        <f t="shared" si="18"/>
        <v>0</v>
      </c>
      <c r="K74" s="77">
        <f t="shared" si="18"/>
        <v>0</v>
      </c>
      <c r="L74" s="77">
        <f t="shared" si="18"/>
        <v>0</v>
      </c>
    </row>
    <row r="75" spans="5:12" ht="15" thickTop="1" thickBot="1" x14ac:dyDescent="0.3">
      <c r="F75" s="78">
        <f>F74/'Input│ Forecast'!$D$13</f>
        <v>0</v>
      </c>
      <c r="G75" s="78">
        <f>G74/'Input│ Forecast'!$D$13</f>
        <v>0</v>
      </c>
      <c r="H75" s="78">
        <f>H74/'Input│ Forecast'!$D$13</f>
        <v>0</v>
      </c>
      <c r="I75" s="78">
        <f>I74/'Input│ Forecast'!$D$13</f>
        <v>0</v>
      </c>
      <c r="J75" s="78">
        <f>J74/'Input│ Forecast'!$D$13</f>
        <v>0</v>
      </c>
      <c r="K75" s="78">
        <f>K74/'Input│ Forecast'!$D$13</f>
        <v>0</v>
      </c>
      <c r="L75" s="78">
        <f>L74/'Input│ Forecast'!$D$13</f>
        <v>0</v>
      </c>
    </row>
    <row r="76" spans="5:12" ht="14.25" thickTop="1" x14ac:dyDescent="0.25">
      <c r="F76" s="76"/>
      <c r="G76" s="76"/>
      <c r="H76" s="76"/>
      <c r="I76" s="76"/>
      <c r="J76" s="76"/>
      <c r="K76" s="76"/>
      <c r="L76" s="76"/>
    </row>
    <row r="77" spans="5:12" ht="20.25" thickBot="1" x14ac:dyDescent="0.35">
      <c r="E77" s="4" t="s">
        <v>133</v>
      </c>
      <c r="F77" s="4" t="str">
        <f>F64</f>
        <v>2018/19</v>
      </c>
      <c r="G77" s="4" t="str">
        <f t="shared" ref="G77:L77" si="19">G64</f>
        <v>2019/20</v>
      </c>
      <c r="H77" s="4" t="str">
        <f t="shared" si="19"/>
        <v>2020/21</v>
      </c>
      <c r="I77" s="4" t="str">
        <f t="shared" si="19"/>
        <v>2021/22</v>
      </c>
      <c r="J77" s="4" t="str">
        <f t="shared" si="19"/>
        <v>2022/23</v>
      </c>
      <c r="K77" s="4" t="str">
        <f t="shared" si="19"/>
        <v>2023/24</v>
      </c>
      <c r="L77" s="4" t="str">
        <f t="shared" si="19"/>
        <v>2024/25</v>
      </c>
    </row>
    <row r="78" spans="5:12" ht="17.25" thickTop="1" x14ac:dyDescent="0.3">
      <c r="E78" s="2" t="s">
        <v>126</v>
      </c>
      <c r="F78" s="22">
        <f>F65*'Input│ Forecast'!$D$13*1000</f>
        <v>4038196.1996967755</v>
      </c>
      <c r="G78" s="22">
        <f>G65*'Input│ Forecast'!$D$13*1000</f>
        <v>4038196.1996967755</v>
      </c>
      <c r="H78" s="22">
        <f>H65*'Input│ Forecast'!$D$13*1000</f>
        <v>4038196.1996967755</v>
      </c>
      <c r="I78" s="22">
        <f>I65*'Input│ Forecast'!$D$13*1000</f>
        <v>4038196.1996967755</v>
      </c>
      <c r="J78" s="22">
        <f>J65*'Input│ Forecast'!$D$13*1000</f>
        <v>4038196.1996967755</v>
      </c>
      <c r="K78" s="22">
        <f>K65*'Input│ Forecast'!$D$13*1000</f>
        <v>4038196.1996967755</v>
      </c>
      <c r="L78" s="22">
        <f>L65*'Input│ Forecast'!$D$13*1000</f>
        <v>4038196.1996967755</v>
      </c>
    </row>
    <row r="79" spans="5:12" ht="16.5" x14ac:dyDescent="0.3">
      <c r="E79" s="2" t="s">
        <v>127</v>
      </c>
      <c r="F79" s="22">
        <f>F66*'Input│ Forecast'!$D$13*1000</f>
        <v>-2059.7653911685829</v>
      </c>
      <c r="G79" s="22">
        <f>G66*'Input│ Forecast'!$D$13*1000</f>
        <v>-2059.765582973545</v>
      </c>
      <c r="H79" s="22">
        <f>H66*'Input│ Forecast'!$D$13*1000</f>
        <v>-2.0751043560913418</v>
      </c>
      <c r="I79" s="22">
        <f>I66*'Input│ Forecast'!$D$13*1000</f>
        <v>12547.256290983836</v>
      </c>
      <c r="J79" s="22">
        <f>J66*'Input│ Forecast'!$D$13*1000</f>
        <v>29541.944477252717</v>
      </c>
      <c r="K79" s="22">
        <f>K66*'Input│ Forecast'!$D$13*1000</f>
        <v>46745.224921941663</v>
      </c>
      <c r="L79" s="22">
        <f>L66*'Input│ Forecast'!$D$13*1000</f>
        <v>63995.205177181066</v>
      </c>
    </row>
    <row r="80" spans="5:12" ht="16.5" x14ac:dyDescent="0.3">
      <c r="E80" s="2" t="s">
        <v>128</v>
      </c>
      <c r="F80" s="22">
        <f>F67*'Input│ Forecast'!$D$13*1000</f>
        <v>0</v>
      </c>
      <c r="G80" s="22">
        <f>G67*'Input│ Forecast'!$D$13*1000</f>
        <v>0</v>
      </c>
      <c r="H80" s="22">
        <f>H67*'Input│ Forecast'!$D$13*1000</f>
        <v>0</v>
      </c>
      <c r="I80" s="22">
        <f>I67*'Input│ Forecast'!$D$13*1000</f>
        <v>0</v>
      </c>
      <c r="J80" s="22">
        <f>J67*'Input│ Forecast'!$D$13*1000</f>
        <v>0</v>
      </c>
      <c r="K80" s="22">
        <f>K67*'Input│ Forecast'!$D$13*1000</f>
        <v>0</v>
      </c>
      <c r="L80" s="22">
        <f>L67*'Input│ Forecast'!$D$13*1000</f>
        <v>0</v>
      </c>
    </row>
    <row r="81" spans="5:17" ht="16.5" x14ac:dyDescent="0.3">
      <c r="E81" s="2" t="s">
        <v>129</v>
      </c>
      <c r="F81" s="22">
        <f>F68*'Input│ Forecast'!$D$13*1000</f>
        <v>0</v>
      </c>
      <c r="G81" s="22">
        <f>G68*'Input│ Forecast'!$D$13*1000</f>
        <v>0</v>
      </c>
      <c r="H81" s="22">
        <f>H68*'Input│ Forecast'!$D$13*1000</f>
        <v>0</v>
      </c>
      <c r="I81" s="22">
        <f>I68*'Input│ Forecast'!$D$13*1000</f>
        <v>0</v>
      </c>
      <c r="J81" s="22">
        <f>J68*'Input│ Forecast'!$D$13*1000</f>
        <v>0</v>
      </c>
      <c r="K81" s="22">
        <f>K68*'Input│ Forecast'!$D$13*1000</f>
        <v>0</v>
      </c>
      <c r="L81" s="22">
        <f>L68*'Input│ Forecast'!$D$13*1000</f>
        <v>0</v>
      </c>
    </row>
    <row r="82" spans="5:17" ht="16.5" x14ac:dyDescent="0.3">
      <c r="E82" s="2" t="s">
        <v>23</v>
      </c>
      <c r="F82" s="22">
        <f>F69*'Input│ Forecast'!$D$13*1000</f>
        <v>0</v>
      </c>
      <c r="G82" s="22">
        <f>G69*'Input│ Forecast'!$D$13*1000</f>
        <v>0</v>
      </c>
      <c r="H82" s="22">
        <f>H69*'Input│ Forecast'!$D$13*1000</f>
        <v>0</v>
      </c>
      <c r="I82" s="22">
        <f>I69*'Input│ Forecast'!$D$13*1000</f>
        <v>0</v>
      </c>
      <c r="J82" s="22">
        <f>J69*'Input│ Forecast'!$D$13*1000</f>
        <v>0</v>
      </c>
      <c r="K82" s="22">
        <f>K69*'Input│ Forecast'!$D$13*1000</f>
        <v>0</v>
      </c>
      <c r="L82" s="22">
        <f>L69*'Input│ Forecast'!$D$13*1000</f>
        <v>0</v>
      </c>
    </row>
    <row r="83" spans="5:17" ht="16.5" x14ac:dyDescent="0.3">
      <c r="E83" s="2" t="s">
        <v>130</v>
      </c>
      <c r="F83" s="22">
        <f>F70*'Input│ Forecast'!$D$13*1000</f>
        <v>467091.23921995703</v>
      </c>
      <c r="G83" s="22">
        <f>G70*'Input│ Forecast'!$D$13*1000</f>
        <v>467091.65875169262</v>
      </c>
      <c r="H83" s="22">
        <f>H70*'Input│ Forecast'!$D$13*1000</f>
        <v>500641.87817148771</v>
      </c>
      <c r="I83" s="22">
        <f>I70*'Input│ Forecast'!$D$13*1000</f>
        <v>536635.15575989976</v>
      </c>
      <c r="J83" s="22">
        <f>J70*'Input│ Forecast'!$D$13*1000</f>
        <v>561833.93870841758</v>
      </c>
      <c r="K83" s="22">
        <f>K70*'Input│ Forecast'!$D$13*1000</f>
        <v>575879.89205906179</v>
      </c>
      <c r="L83" s="22">
        <f>L70*'Input│ Forecast'!$D$13*1000</f>
        <v>575879.89205906179</v>
      </c>
    </row>
    <row r="84" spans="5:17" ht="16.5" x14ac:dyDescent="0.3">
      <c r="E84" s="2" t="s">
        <v>37</v>
      </c>
      <c r="F84" s="51">
        <f>SUM(F78:F83)</f>
        <v>4503227.6735255644</v>
      </c>
      <c r="G84" s="51">
        <f t="shared" ref="G84" si="20">SUM(G78:G83)</f>
        <v>4503228.092865495</v>
      </c>
      <c r="H84" s="51">
        <f t="shared" ref="H84" si="21">SUM(H78:H83)</f>
        <v>4538836.0027639065</v>
      </c>
      <c r="I84" s="51">
        <f t="shared" ref="I84" si="22">SUM(I78:I83)</f>
        <v>4587378.6117476588</v>
      </c>
      <c r="J84" s="51">
        <f t="shared" ref="J84" si="23">SUM(J78:J83)</f>
        <v>4629572.0828824453</v>
      </c>
      <c r="K84" s="51">
        <f t="shared" ref="K84" si="24">SUM(K78:K83)</f>
        <v>4660821.316677779</v>
      </c>
      <c r="L84" s="51">
        <f t="shared" ref="L84" si="25">SUM(L78:L83)</f>
        <v>4678071.2969330186</v>
      </c>
    </row>
    <row r="85" spans="5:17" ht="14.25" thickBot="1" x14ac:dyDescent="0.3"/>
    <row r="86" spans="5:17" ht="15" thickTop="1" thickBot="1" x14ac:dyDescent="0.3">
      <c r="E86" s="2" t="s">
        <v>131</v>
      </c>
      <c r="F86" s="62">
        <f>Calc│Forecast!D65*1000</f>
        <v>4503227.6735255634</v>
      </c>
      <c r="G86" s="62">
        <f>Calc│Forecast!E65*1000</f>
        <v>4503228.092865495</v>
      </c>
      <c r="H86" s="62">
        <f>Calc│Forecast!F65*1000</f>
        <v>4538836.0027639074</v>
      </c>
      <c r="I86" s="62">
        <f>Calc│Forecast!G65*1000</f>
        <v>4587378.6117476607</v>
      </c>
      <c r="J86" s="62">
        <f>Calc│Forecast!H65*1000</f>
        <v>4629572.0828824462</v>
      </c>
      <c r="K86" s="62">
        <f>Calc│Forecast!I65*1000</f>
        <v>4660821.316677779</v>
      </c>
      <c r="L86" s="62">
        <f>Calc│Forecast!J65*1000</f>
        <v>4678071.2969330177</v>
      </c>
    </row>
    <row r="87" spans="5:17" ht="15" thickTop="1" thickBot="1" x14ac:dyDescent="0.3">
      <c r="F87" s="77">
        <f>F84-F86</f>
        <v>0</v>
      </c>
      <c r="G87" s="77">
        <f t="shared" ref="G87" si="26">G84-G86</f>
        <v>0</v>
      </c>
      <c r="H87" s="77">
        <f t="shared" ref="H87" si="27">H84-H86</f>
        <v>0</v>
      </c>
      <c r="I87" s="77">
        <f t="shared" ref="I87" si="28">I84-I86</f>
        <v>0</v>
      </c>
      <c r="J87" s="77">
        <f t="shared" ref="J87" si="29">J84-J86</f>
        <v>0</v>
      </c>
      <c r="K87" s="77">
        <f t="shared" ref="K87" si="30">K84-K86</f>
        <v>0</v>
      </c>
      <c r="L87" s="77">
        <f t="shared" ref="L87" si="31">L84-L86</f>
        <v>0</v>
      </c>
    </row>
    <row r="88" spans="5:17" ht="15" thickTop="1" thickBot="1" x14ac:dyDescent="0.3">
      <c r="F88" s="78">
        <f>F87/'Input│ Forecast'!$D$13</f>
        <v>0</v>
      </c>
      <c r="G88" s="78">
        <f>G87/'Input│ Forecast'!$D$13</f>
        <v>0</v>
      </c>
      <c r="H88" s="78">
        <f>H87/'Input│ Forecast'!$D$13</f>
        <v>0</v>
      </c>
      <c r="I88" s="78">
        <f>I87/'Input│ Forecast'!$D$13</f>
        <v>0</v>
      </c>
      <c r="J88" s="78">
        <f>J87/'Input│ Forecast'!$D$13</f>
        <v>0</v>
      </c>
      <c r="K88" s="78">
        <f>K87/'Input│ Forecast'!$D$13</f>
        <v>0</v>
      </c>
      <c r="L88" s="78">
        <f>L87/'Input│ Forecast'!$D$13</f>
        <v>0</v>
      </c>
    </row>
    <row r="89" spans="5:17" ht="14.25" thickTop="1" x14ac:dyDescent="0.25"/>
    <row r="92" spans="5:17" x14ac:dyDescent="0.25">
      <c r="H92" s="79"/>
      <c r="I92" s="79"/>
      <c r="J92" s="79"/>
      <c r="K92" s="79"/>
      <c r="L92" s="79"/>
    </row>
    <row r="94" spans="5:17" ht="14.25" thickBot="1" x14ac:dyDescent="0.3">
      <c r="H94" s="80"/>
      <c r="I94" s="80"/>
      <c r="J94" s="80"/>
      <c r="K94" s="80"/>
      <c r="L94" s="80"/>
      <c r="O94" s="2"/>
      <c r="P94" s="2"/>
      <c r="Q94" s="2"/>
    </row>
    <row r="95" spans="5:17" ht="18.75" thickBot="1" x14ac:dyDescent="0.35">
      <c r="E95" s="39"/>
      <c r="F95" s="39"/>
      <c r="G95" s="40" t="str">
        <f>N14</f>
        <v>2020/21</v>
      </c>
      <c r="H95" s="40" t="str">
        <f t="shared" ref="H95:K95" si="32">O14</f>
        <v>2021/22</v>
      </c>
      <c r="I95" s="40" t="str">
        <f t="shared" si="32"/>
        <v>2022/23</v>
      </c>
      <c r="J95" s="40" t="str">
        <f t="shared" si="32"/>
        <v>2023/24</v>
      </c>
      <c r="K95" s="40" t="str">
        <f t="shared" si="32"/>
        <v>2024/25</v>
      </c>
      <c r="L95" s="40" t="s">
        <v>26</v>
      </c>
      <c r="M95" s="85"/>
      <c r="N95" s="85"/>
      <c r="O95" s="2"/>
      <c r="P95" s="2"/>
      <c r="Q95" s="2"/>
    </row>
    <row r="96" spans="5:17" ht="18.75" thickBot="1" x14ac:dyDescent="0.35">
      <c r="E96" s="41" t="str">
        <f>'Input│ Forecast'!A17</f>
        <v>Property Insurance</v>
      </c>
      <c r="F96" s="41" t="s">
        <v>125</v>
      </c>
      <c r="G96" s="71">
        <f>'Input│ Forecast'!E17/1000000</f>
        <v>0.41802097562243323</v>
      </c>
      <c r="H96" s="71">
        <f>'Input│ Forecast'!F17/1000000</f>
        <v>0.4493725487941157</v>
      </c>
      <c r="I96" s="71">
        <f>'Input│ Forecast'!G17/1000000</f>
        <v>0.47184117623382155</v>
      </c>
      <c r="J96" s="71">
        <f>'Input│ Forecast'!H17/1000000</f>
        <v>0.483637205639667</v>
      </c>
      <c r="K96" s="71">
        <f>'Input│ Forecast'!I17/1000000</f>
        <v>0.483637205639667</v>
      </c>
      <c r="L96" s="71">
        <f>SUM(G96:K96)</f>
        <v>2.3065091119297043</v>
      </c>
      <c r="M96" s="85"/>
      <c r="N96" s="85"/>
      <c r="O96" s="2"/>
      <c r="P96" s="2"/>
      <c r="Q96" s="2"/>
    </row>
    <row r="97" spans="5:18" ht="18.75" thickBot="1" x14ac:dyDescent="0.35">
      <c r="E97" s="41" t="str">
        <f>'Input│ Forecast'!A18</f>
        <v>Liability Insurance</v>
      </c>
      <c r="F97" s="41" t="str">
        <f>F96</f>
        <v>$m FY18</v>
      </c>
      <c r="G97" s="71">
        <f>'Input│ Forecast'!E18/1000000</f>
        <v>5.9312999999999998E-2</v>
      </c>
      <c r="H97" s="71">
        <f>'Input│ Forecast'!F18/1000000</f>
        <v>6.2279000000000001E-2</v>
      </c>
      <c r="I97" s="71">
        <f>'Input│ Forecast'!G18/1000000</f>
        <v>6.3836000000000004E-2</v>
      </c>
      <c r="J97" s="71">
        <f>'Input│ Forecast'!H18/1000000</f>
        <v>6.5432000000000004E-2</v>
      </c>
      <c r="K97" s="71">
        <f>'Input│ Forecast'!I18/1000000</f>
        <v>6.5432000000000004E-2</v>
      </c>
      <c r="L97" s="71">
        <f>SUM(G97:K97)</f>
        <v>0.31629200000000002</v>
      </c>
      <c r="M97" s="85"/>
      <c r="N97" s="85"/>
      <c r="O97" s="2"/>
      <c r="P97" s="2"/>
      <c r="Q97" s="2"/>
    </row>
    <row r="98" spans="5:18" ht="18.75" thickBot="1" x14ac:dyDescent="0.35">
      <c r="E98" s="41" t="str">
        <f>'Input│ Forecast'!A19</f>
        <v>Insurance cost</v>
      </c>
      <c r="F98" s="41" t="str">
        <f>F97</f>
        <v>$m FY18</v>
      </c>
      <c r="G98" s="71">
        <f>SUM(G96:G97)</f>
        <v>0.47733397562243324</v>
      </c>
      <c r="H98" s="71">
        <f t="shared" ref="H98:K98" si="33">SUM(H96:H97)</f>
        <v>0.51165154879411567</v>
      </c>
      <c r="I98" s="71">
        <f t="shared" si="33"/>
        <v>0.53567717623382149</v>
      </c>
      <c r="J98" s="71">
        <f t="shared" si="33"/>
        <v>0.54906920563966699</v>
      </c>
      <c r="K98" s="71">
        <f t="shared" si="33"/>
        <v>0.54906920563966699</v>
      </c>
      <c r="L98" s="71">
        <f>SUM(G98:K98)</f>
        <v>2.6228011119297041</v>
      </c>
      <c r="M98" s="85"/>
      <c r="N98" s="85"/>
      <c r="O98" s="2"/>
      <c r="P98" s="2"/>
      <c r="Q98" s="2"/>
    </row>
    <row r="99" spans="5:18" ht="17.25" thickBot="1" x14ac:dyDescent="0.35">
      <c r="M99" s="85"/>
      <c r="N99" s="85"/>
      <c r="O99" s="2"/>
      <c r="P99" s="2"/>
      <c r="Q99" s="2"/>
    </row>
    <row r="100" spans="5:18" ht="18.75" thickBot="1" x14ac:dyDescent="0.3">
      <c r="E100" s="39"/>
      <c r="F100" s="39"/>
      <c r="G100" s="40" t="e">
        <f>#REF!&amp;" ($m)"</f>
        <v>#REF!</v>
      </c>
      <c r="H100" s="40" t="e">
        <f>#REF!</f>
        <v>#REF!</v>
      </c>
      <c r="I100" s="40" t="e">
        <f>#REF!</f>
        <v>#REF!</v>
      </c>
      <c r="J100" s="40" t="e">
        <f>#REF!</f>
        <v>#REF!</v>
      </c>
      <c r="K100" s="40" t="e">
        <f>#REF!</f>
        <v>#REF!</v>
      </c>
      <c r="L100" s="40" t="e">
        <f>#REF!</f>
        <v>#REF!</v>
      </c>
      <c r="M100" s="40" t="e">
        <f>#REF!</f>
        <v>#REF!</v>
      </c>
      <c r="N100" s="40" t="e">
        <f>#REF!</f>
        <v>#REF!</v>
      </c>
      <c r="O100" s="40" t="e">
        <f>#REF!</f>
        <v>#REF!</v>
      </c>
      <c r="P100" s="2"/>
      <c r="Q100" s="2"/>
    </row>
    <row r="101" spans="5:18" ht="18.75" thickBot="1" x14ac:dyDescent="0.3">
      <c r="E101" s="41" t="e">
        <f>#REF!</f>
        <v>#REF!</v>
      </c>
      <c r="F101" s="41" t="s">
        <v>141</v>
      </c>
      <c r="G101" s="48" t="e">
        <f>#REF!/1000</f>
        <v>#REF!</v>
      </c>
      <c r="H101" s="86" t="e">
        <f>#REF!</f>
        <v>#REF!</v>
      </c>
      <c r="I101" s="48" t="e">
        <f>#REF!/1000</f>
        <v>#REF!</v>
      </c>
      <c r="J101" s="48" t="e">
        <f>#REF!/1000</f>
        <v>#REF!</v>
      </c>
      <c r="K101" s="48" t="e">
        <f>#REF!/1000</f>
        <v>#REF!</v>
      </c>
      <c r="L101" s="48" t="e">
        <f>#REF!/1000</f>
        <v>#REF!</v>
      </c>
      <c r="M101" s="48" t="e">
        <f>#REF!/1000</f>
        <v>#REF!</v>
      </c>
      <c r="N101" s="48" t="e">
        <f>#REF!/1000</f>
        <v>#REF!</v>
      </c>
      <c r="O101" s="48" t="e">
        <f>#REF!/1000</f>
        <v>#REF!</v>
      </c>
      <c r="P101" s="2"/>
      <c r="Q101" s="2"/>
    </row>
    <row r="102" spans="5:18" ht="18.75" thickBot="1" x14ac:dyDescent="0.3">
      <c r="E102" s="41" t="e">
        <f>#REF!</f>
        <v>#REF!</v>
      </c>
      <c r="F102" s="41" t="str">
        <f>F101</f>
        <v>$000 FY18</v>
      </c>
      <c r="G102" s="48" t="e">
        <f>#REF!/1000</f>
        <v>#REF!</v>
      </c>
      <c r="H102" s="86" t="e">
        <f>#REF!</f>
        <v>#REF!</v>
      </c>
      <c r="I102" s="48" t="e">
        <f>#REF!/1000</f>
        <v>#REF!</v>
      </c>
      <c r="J102" s="48" t="e">
        <f>#REF!/1000</f>
        <v>#REF!</v>
      </c>
      <c r="K102" s="48" t="e">
        <f>#REF!/1000</f>
        <v>#REF!</v>
      </c>
      <c r="L102" s="48" t="e">
        <f>#REF!/1000</f>
        <v>#REF!</v>
      </c>
      <c r="M102" s="48" t="e">
        <f>#REF!/1000</f>
        <v>#REF!</v>
      </c>
      <c r="N102" s="48" t="e">
        <f>#REF!/1000</f>
        <v>#REF!</v>
      </c>
      <c r="O102" s="48" t="e">
        <f>#REF!/1000</f>
        <v>#REF!</v>
      </c>
      <c r="P102" s="2"/>
      <c r="Q102" s="2"/>
    </row>
    <row r="103" spans="5:18" ht="18.75" thickBot="1" x14ac:dyDescent="0.3">
      <c r="E103" s="41" t="e">
        <f>#REF!</f>
        <v>#REF!</v>
      </c>
      <c r="F103" s="41" t="str">
        <f t="shared" ref="F103:F106" si="34">F102</f>
        <v>$000 FY18</v>
      </c>
      <c r="G103" s="48" t="e">
        <f>#REF!/1000</f>
        <v>#REF!</v>
      </c>
      <c r="H103" s="86" t="e">
        <f>#REF!</f>
        <v>#REF!</v>
      </c>
      <c r="I103" s="48" t="e">
        <f>#REF!/1000</f>
        <v>#REF!</v>
      </c>
      <c r="J103" s="48" t="e">
        <f>#REF!/1000</f>
        <v>#REF!</v>
      </c>
      <c r="K103" s="48" t="e">
        <f>#REF!/1000</f>
        <v>#REF!</v>
      </c>
      <c r="L103" s="48" t="e">
        <f>#REF!/1000</f>
        <v>#REF!</v>
      </c>
      <c r="M103" s="48" t="e">
        <f>#REF!/1000</f>
        <v>#REF!</v>
      </c>
      <c r="N103" s="48" t="e">
        <f>#REF!/1000</f>
        <v>#REF!</v>
      </c>
      <c r="O103" s="48" t="e">
        <f>#REF!/1000</f>
        <v>#REF!</v>
      </c>
      <c r="P103" s="2"/>
      <c r="Q103" s="2"/>
    </row>
    <row r="104" spans="5:18" ht="18.75" thickBot="1" x14ac:dyDescent="0.3">
      <c r="E104" s="41" t="e">
        <f>#REF!</f>
        <v>#REF!</v>
      </c>
      <c r="F104" s="41" t="str">
        <f t="shared" si="34"/>
        <v>$000 FY18</v>
      </c>
      <c r="G104" s="48" t="e">
        <f>#REF!/1000</f>
        <v>#REF!</v>
      </c>
      <c r="H104" s="86" t="e">
        <f>#REF!</f>
        <v>#REF!</v>
      </c>
      <c r="I104" s="48" t="e">
        <f>#REF!/1000</f>
        <v>#REF!</v>
      </c>
      <c r="J104" s="48" t="e">
        <f>#REF!/1000</f>
        <v>#REF!</v>
      </c>
      <c r="K104" s="48" t="e">
        <f>#REF!/1000</f>
        <v>#REF!</v>
      </c>
      <c r="L104" s="48" t="e">
        <f>#REF!/1000</f>
        <v>#REF!</v>
      </c>
      <c r="M104" s="48" t="e">
        <f>#REF!/1000</f>
        <v>#REF!</v>
      </c>
      <c r="N104" s="48" t="e">
        <f>#REF!/1000</f>
        <v>#REF!</v>
      </c>
      <c r="O104" s="48" t="e">
        <f>#REF!/1000</f>
        <v>#REF!</v>
      </c>
      <c r="P104" s="2"/>
      <c r="Q104" s="2"/>
    </row>
    <row r="105" spans="5:18" ht="18.75" thickBot="1" x14ac:dyDescent="0.3">
      <c r="E105" s="41" t="e">
        <f>#REF!</f>
        <v>#REF!</v>
      </c>
      <c r="F105" s="41" t="str">
        <f t="shared" si="34"/>
        <v>$000 FY18</v>
      </c>
      <c r="G105" s="48" t="e">
        <f>#REF!/1000</f>
        <v>#REF!</v>
      </c>
      <c r="H105" s="86" t="e">
        <f>#REF!</f>
        <v>#REF!</v>
      </c>
      <c r="I105" s="48" t="e">
        <f>#REF!/1000</f>
        <v>#REF!</v>
      </c>
      <c r="J105" s="48" t="e">
        <f>#REF!/1000</f>
        <v>#REF!</v>
      </c>
      <c r="K105" s="48" t="e">
        <f>#REF!/1000</f>
        <v>#REF!</v>
      </c>
      <c r="L105" s="48" t="e">
        <f>#REF!/1000</f>
        <v>#REF!</v>
      </c>
      <c r="M105" s="48" t="e">
        <f>#REF!/1000</f>
        <v>#REF!</v>
      </c>
      <c r="N105" s="48" t="e">
        <f>#REF!/1000</f>
        <v>#REF!</v>
      </c>
      <c r="O105" s="48" t="e">
        <f>#REF!/1000</f>
        <v>#REF!</v>
      </c>
      <c r="P105" s="2"/>
      <c r="Q105" s="2"/>
    </row>
    <row r="106" spans="5:18" ht="18.75" thickBot="1" x14ac:dyDescent="0.3">
      <c r="E106" s="41" t="e">
        <f>#REF!</f>
        <v>#REF!</v>
      </c>
      <c r="F106" s="41" t="str">
        <f t="shared" si="34"/>
        <v>$000 FY18</v>
      </c>
      <c r="G106" s="48" t="e">
        <f>#REF!/1000</f>
        <v>#REF!</v>
      </c>
      <c r="H106" s="86" t="e">
        <f>#REF!</f>
        <v>#REF!</v>
      </c>
      <c r="I106" s="48" t="e">
        <f>#REF!/1000</f>
        <v>#REF!</v>
      </c>
      <c r="J106" s="48" t="e">
        <f>#REF!/1000</f>
        <v>#REF!</v>
      </c>
      <c r="K106" s="48" t="e">
        <f>#REF!/1000</f>
        <v>#REF!</v>
      </c>
      <c r="L106" s="48" t="e">
        <f>#REF!/1000</f>
        <v>#REF!</v>
      </c>
      <c r="M106" s="48" t="e">
        <f>#REF!/1000</f>
        <v>#REF!</v>
      </c>
      <c r="N106" s="48" t="e">
        <f>#REF!/1000</f>
        <v>#REF!</v>
      </c>
      <c r="O106" s="48" t="e">
        <f>#REF!/1000</f>
        <v>#REF!</v>
      </c>
      <c r="P106" s="2"/>
      <c r="Q106" s="2"/>
    </row>
    <row r="107" spans="5:18" x14ac:dyDescent="0.25">
      <c r="O107" s="2"/>
      <c r="P107" s="2"/>
      <c r="Q107" s="2"/>
    </row>
    <row r="108" spans="5:18" x14ac:dyDescent="0.25">
      <c r="O108" s="2"/>
      <c r="P108" s="2"/>
      <c r="Q108" s="2"/>
      <c r="R108" s="2"/>
    </row>
    <row r="109" spans="5:18" x14ac:dyDescent="0.25">
      <c r="O109" s="2"/>
      <c r="P109" s="2"/>
      <c r="Q109" s="2"/>
      <c r="R109" s="2"/>
    </row>
    <row r="110" spans="5:18" x14ac:dyDescent="0.25">
      <c r="O110" s="2"/>
      <c r="P110" s="2"/>
      <c r="Q110" s="2"/>
      <c r="R110" s="2"/>
    </row>
    <row r="111" spans="5:18" x14ac:dyDescent="0.25">
      <c r="O111" s="2"/>
      <c r="P111" s="2"/>
      <c r="Q111" s="2"/>
      <c r="R111" s="2"/>
    </row>
    <row r="112" spans="5:18" x14ac:dyDescent="0.25">
      <c r="O112" s="2"/>
      <c r="P112" s="2"/>
      <c r="Q112" s="2"/>
      <c r="R112" s="2"/>
    </row>
    <row r="113" spans="15:18" x14ac:dyDescent="0.25">
      <c r="O113" s="2"/>
      <c r="P113" s="2"/>
      <c r="Q113" s="2"/>
      <c r="R113" s="2"/>
    </row>
    <row r="114" spans="15:18" x14ac:dyDescent="0.25">
      <c r="O114" s="2"/>
      <c r="P114" s="2"/>
      <c r="Q114" s="2"/>
      <c r="R114" s="2"/>
    </row>
    <row r="115" spans="15:18" x14ac:dyDescent="0.25">
      <c r="O115" s="2"/>
      <c r="P115" s="2"/>
      <c r="Q115" s="2"/>
      <c r="R115" s="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H40" sqref="H40"/>
    </sheetView>
  </sheetViews>
  <sheetFormatPr defaultColWidth="14" defaultRowHeight="13.5" x14ac:dyDescent="0.25"/>
  <cols>
    <col min="1" max="1" width="2.25" style="2" customWidth="1"/>
    <col min="2" max="2" width="1.625" style="2" customWidth="1"/>
    <col min="3" max="4" width="1.75" style="2" customWidth="1"/>
    <col min="5" max="5" width="78.625" style="2" customWidth="1"/>
    <col min="6" max="6" width="16.25" style="2" customWidth="1"/>
    <col min="7" max="7" width="20.625" style="2" customWidth="1"/>
    <col min="8" max="8" width="14" style="2"/>
    <col min="9" max="9" width="41.5" style="7" bestFit="1" customWidth="1"/>
    <col min="10" max="12" width="41.5" style="7" customWidth="1"/>
    <col min="13" max="13" width="16.5" style="7" customWidth="1"/>
    <col min="14" max="15" width="14" style="7"/>
    <col min="16" max="16" width="15.5" style="7" customWidth="1"/>
    <col min="17" max="16384" width="14" style="7"/>
  </cols>
  <sheetData>
    <row r="1" spans="1:22" s="2" customFormat="1" x14ac:dyDescent="0.25"/>
    <row r="2" spans="1:22" s="2" customFormat="1" x14ac:dyDescent="0.25"/>
    <row r="3" spans="1:22" s="2" customFormat="1" x14ac:dyDescent="0.25"/>
    <row r="4" spans="1:22" s="2" customFormat="1" x14ac:dyDescent="0.25"/>
    <row r="5" spans="1:22" s="2" customFormat="1" x14ac:dyDescent="0.25"/>
    <row r="6" spans="1:22" s="2" customFormat="1" x14ac:dyDescent="0.25"/>
    <row r="7" spans="1:22" s="2" customFormat="1" x14ac:dyDescent="0.25"/>
    <row r="8" spans="1:22" s="2" customFormat="1" x14ac:dyDescent="0.25"/>
    <row r="9" spans="1:22" s="2" customFormat="1" ht="14.25" thickBot="1" x14ac:dyDescent="0.3"/>
    <row r="10" spans="1:22" s="6" customFormat="1" ht="24.75" thickTop="1" thickBot="1" x14ac:dyDescent="0.4">
      <c r="A10" s="45" t="str">
        <f ca="1">RIGHT(CELL("filename",A1),LEN(CELL("filename",A1))-FIND("]",CELL("filename",A1)))</f>
        <v>Outputs│Graphs</v>
      </c>
      <c r="B10" s="2"/>
      <c r="C10" s="2"/>
      <c r="D10" s="2"/>
      <c r="E10" s="2"/>
      <c r="F10" s="2"/>
      <c r="G10" s="2"/>
      <c r="H10" s="2"/>
    </row>
    <row r="11" spans="1:22" ht="14.25" thickTop="1" x14ac:dyDescent="0.25"/>
    <row r="12" spans="1:22" ht="20.25" thickBot="1" x14ac:dyDescent="0.35">
      <c r="E12" s="46" t="s">
        <v>74</v>
      </c>
    </row>
    <row r="13" spans="1:22" ht="14.25" thickTop="1" x14ac:dyDescent="0.25"/>
    <row r="14" spans="1:22" ht="20.25" thickBot="1" x14ac:dyDescent="0.35">
      <c r="I14" s="4" t="s">
        <v>15</v>
      </c>
      <c r="J14" s="4"/>
      <c r="K14" s="23" t="str">
        <f>Outputs│Tables!G14</f>
        <v>2013/14</v>
      </c>
      <c r="L14" s="23" t="str">
        <f>Outputs│Tables!H14</f>
        <v>2014/15</v>
      </c>
      <c r="M14" s="23" t="str">
        <f>Outputs│Tables!I14</f>
        <v>2015/16</v>
      </c>
      <c r="N14" s="23" t="str">
        <f>Outputs│Tables!J14</f>
        <v>2016/17</v>
      </c>
      <c r="O14" s="23" t="str">
        <f>Outputs│Tables!K14</f>
        <v>2017/18</v>
      </c>
      <c r="P14" s="23" t="str">
        <f>Outputs│Tables!L14</f>
        <v>2018/19</v>
      </c>
      <c r="Q14" s="23" t="str">
        <f>Outputs│Tables!M14</f>
        <v>2019/20</v>
      </c>
      <c r="R14" s="23" t="str">
        <f>Outputs│Tables!N14</f>
        <v>2020/21</v>
      </c>
      <c r="S14" s="23" t="str">
        <f>Outputs│Tables!O14</f>
        <v>2021/22</v>
      </c>
      <c r="T14" s="23" t="str">
        <f>Outputs│Tables!P14</f>
        <v>2022/23</v>
      </c>
      <c r="U14" s="23" t="str">
        <f>Outputs│Tables!Q14</f>
        <v>2023/24</v>
      </c>
      <c r="V14" s="23" t="str">
        <f>Outputs│Tables!R14</f>
        <v>2024/25</v>
      </c>
    </row>
    <row r="15" spans="1:22" ht="14.25" thickTop="1" x14ac:dyDescent="0.25">
      <c r="I15" s="7" t="s">
        <v>75</v>
      </c>
      <c r="J15" s="7" t="s">
        <v>116</v>
      </c>
      <c r="K15" s="49">
        <f>Outputs│Tables!G21</f>
        <v>3.9002505599999999</v>
      </c>
      <c r="L15" s="49">
        <f>Outputs│Tables!H21</f>
        <v>3.0898439451767024</v>
      </c>
      <c r="M15" s="49">
        <f>Outputs│Tables!I21</f>
        <v>4.0314148900000006</v>
      </c>
      <c r="N15" s="49">
        <f>Outputs│Tables!J21</f>
        <v>3.8455995700000001</v>
      </c>
      <c r="O15" s="49">
        <f>Outputs│Tables!K21</f>
        <v>4.2595279600000007</v>
      </c>
      <c r="P15" s="49"/>
      <c r="Q15" s="49"/>
      <c r="R15" s="49"/>
      <c r="S15" s="49"/>
      <c r="T15" s="49"/>
      <c r="U15" s="49"/>
      <c r="V15" s="49"/>
    </row>
    <row r="16" spans="1:22" x14ac:dyDescent="0.25">
      <c r="I16" s="7" t="s">
        <v>76</v>
      </c>
      <c r="J16" s="7" t="s">
        <v>116</v>
      </c>
      <c r="K16" s="49"/>
      <c r="L16" s="49"/>
      <c r="M16" s="49">
        <f>'Input│ Historic Opex'!F43/1000</f>
        <v>4.2095766244158543</v>
      </c>
      <c r="N16" s="49">
        <f>'Input│ Historic Opex'!G43/1000</f>
        <v>3.5587163627011495</v>
      </c>
      <c r="O16" s="49">
        <f>'Input│ Historic Opex'!H43/1000</f>
        <v>3.7119726796276478</v>
      </c>
      <c r="P16" s="49"/>
      <c r="Q16" s="49"/>
    </row>
    <row r="17" spans="5:22" x14ac:dyDescent="0.25">
      <c r="I17" s="7" t="s">
        <v>77</v>
      </c>
      <c r="J17" s="7" t="s">
        <v>116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49">
        <f>Calc│Forecast!F85/1000</f>
        <v>4.6483294902107346</v>
      </c>
      <c r="S17" s="49">
        <f>Calc│Forecast!G85/1000</f>
        <v>4.8113772774592451</v>
      </c>
      <c r="T17" s="49">
        <f>Calc│Forecast!H85/1000</f>
        <v>4.9727667813596375</v>
      </c>
      <c r="U17" s="49">
        <f>Calc│Forecast!I85/1000</f>
        <v>5.1271037821468193</v>
      </c>
      <c r="V17" s="49">
        <f>Calc│Forecast!J85/1000</f>
        <v>5.270221945223029</v>
      </c>
    </row>
    <row r="19" spans="5:22" x14ac:dyDescent="0.25">
      <c r="M19" s="7" t="s">
        <v>118</v>
      </c>
      <c r="N19" s="7" t="s">
        <v>119</v>
      </c>
      <c r="O19" s="7" t="s">
        <v>120</v>
      </c>
      <c r="P19" s="7" t="s">
        <v>121</v>
      </c>
      <c r="Q19" s="7" t="s">
        <v>122</v>
      </c>
    </row>
    <row r="20" spans="5:22" x14ac:dyDescent="0.25">
      <c r="I20" s="7" t="str">
        <f>I15</f>
        <v>Operating Expenditure (actual)</v>
      </c>
      <c r="J20" s="7" t="s">
        <v>117</v>
      </c>
      <c r="M20" s="56">
        <f>M15/'Input│ Other'!C$15</f>
        <v>4.6043364250266112</v>
      </c>
      <c r="N20" s="56">
        <f>N15/'Input│ Other'!D$15</f>
        <v>4.2671013634765176</v>
      </c>
      <c r="O20" s="56">
        <f>O15/'Input│ Other'!E$15</f>
        <v>4.664442357133896</v>
      </c>
      <c r="P20" s="56">
        <f>Outputs│Tables!L21/'Input│ Other'!F$15</f>
        <v>4.71095782647423</v>
      </c>
      <c r="Q20" s="56">
        <f>Outputs│Tables!M21/'Input│ Other'!G$15</f>
        <v>4.7241823599317696</v>
      </c>
      <c r="R20" s="56"/>
      <c r="S20" s="56"/>
      <c r="T20" s="56"/>
      <c r="U20" s="56"/>
      <c r="V20" s="56"/>
    </row>
    <row r="21" spans="5:22" x14ac:dyDescent="0.25">
      <c r="I21" s="7" t="str">
        <f>I16</f>
        <v>AER Forecast</v>
      </c>
      <c r="J21" s="7" t="s">
        <v>117</v>
      </c>
      <c r="M21" s="56">
        <f>M16/'Input│ Other'!C$15</f>
        <v>4.8078174820995621</v>
      </c>
      <c r="N21" s="56">
        <f>N16/'Input│ Other'!D$15</f>
        <v>3.9487739602353522</v>
      </c>
      <c r="O21" s="56">
        <f>O16/'Input│ Other'!E$15</f>
        <v>4.0648360001325132</v>
      </c>
      <c r="P21" s="56">
        <f>'Input│ Historic Opex'!I43/1000/'Input│ Other'!F$15</f>
        <v>4.0116098170205454</v>
      </c>
      <c r="Q21" s="56">
        <f>'Input│ Historic Opex'!J43/1000/'Input│ Other'!G$15</f>
        <v>4.0427657519976359</v>
      </c>
      <c r="R21" s="56"/>
      <c r="S21" s="56"/>
      <c r="T21" s="56"/>
      <c r="U21" s="56"/>
      <c r="V21" s="56"/>
    </row>
    <row r="22" spans="5:22" x14ac:dyDescent="0.25">
      <c r="I22" s="7" t="str">
        <f>I17</f>
        <v>Operating Expenditure (forecast)</v>
      </c>
      <c r="J22" s="7" t="s">
        <v>117</v>
      </c>
      <c r="M22" s="56">
        <f>R17/'Input│ Other'!H$15</f>
        <v>4.8280084787199904</v>
      </c>
      <c r="N22" s="56">
        <f>S17/'Input│ Other'!I$15</f>
        <v>4.9316617093957262</v>
      </c>
      <c r="O22" s="56">
        <f>T17/'Input│ Other'!J$15</f>
        <v>4.9727667813596375</v>
      </c>
      <c r="P22" s="56">
        <f>U17/'Input│ Other'!K$15</f>
        <v>5.0020524703871416</v>
      </c>
      <c r="Q22" s="56">
        <f>V17/'Input│ Other'!L$15</f>
        <v>5.0162731185941993</v>
      </c>
    </row>
    <row r="32" spans="5:22" ht="20.25" thickBot="1" x14ac:dyDescent="0.35">
      <c r="E32" s="4" t="s">
        <v>78</v>
      </c>
    </row>
    <row r="33" ht="14.2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4B46AD9923F141B6D4D98BCB7CEDE0" ma:contentTypeVersion="0" ma:contentTypeDescription="Create a new document." ma:contentTypeScope="" ma:versionID="156a1260fc3728b0e688e51d714d86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4C9033-BEA0-4CF3-AFD4-58B5CD206D4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B81270-FC22-45F0-9490-308D6B946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76A333-00C1-4980-8914-34D28F0E11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Input│ Historic Opex</vt:lpstr>
      <vt:lpstr>Input│ Other</vt:lpstr>
      <vt:lpstr>Input│ Forecast</vt:lpstr>
      <vt:lpstr>Calc│Forecast</vt:lpstr>
      <vt:lpstr>Outputs│PTRM</vt:lpstr>
      <vt:lpstr>Outputs│Tables</vt:lpstr>
      <vt:lpstr>Outputs│Graphs</vt:lpstr>
    </vt:vector>
  </TitlesOfParts>
  <Company>APA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Mark</dc:creator>
  <cp:lastModifiedBy>Jane Kelly</cp:lastModifiedBy>
  <dcterms:created xsi:type="dcterms:W3CDTF">2018-10-03T00:58:45Z</dcterms:created>
  <dcterms:modified xsi:type="dcterms:W3CDTF">2019-09-17T05:43:39Z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0x010100034B46AD9923F141B6D4D98BCB7CEDE0</vt:lpwstr>
  </property>
  <property fmtid="{D5CDD505-2E9C-101B-9397-08002B2CF9AE}" pid="3" name="_MarkAsFinal">
    <vt:bool>true</vt:bool>
  </property>
</Properties>
</file>