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ER\Directlink 2020 reset\1 Proposal\WEB\"/>
    </mc:Choice>
  </mc:AlternateContent>
  <bookViews>
    <workbookView xWindow="0" yWindow="0" windowWidth="20490" windowHeight="5865" activeTab="1"/>
  </bookViews>
  <sheets>
    <sheet name="Data" sheetId="6" r:id="rId1"/>
    <sheet name="Forecast Capex" sheetId="5" r:id="rId2"/>
    <sheet name="Projects by size" sheetId="10" r:id="rId3"/>
    <sheet name="IGBTs" sheetId="12" r:id="rId4"/>
    <sheet name="VCU" sheetId="14" r:id="rId5"/>
    <sheet name="Recl &amp; Rest" sheetId="13" r:id="rId6"/>
    <sheet name="Replacement k" sheetId="16" r:id="rId7"/>
    <sheet name="RAB" sheetId="7" r:id="rId8"/>
    <sheet name="PTRM" sheetId="8" r:id="rId9"/>
    <sheet name="Tables" sheetId="11" r:id="rId10"/>
  </sheets>
  <definedNames>
    <definedName name="_xlnm._FilterDatabase" localSheetId="1" hidden="1">'Forecast Capex'!$A$6:$N$113</definedName>
    <definedName name="_Ref345583960" localSheetId="9">Tables!$M$20</definedName>
    <definedName name="_Toc535872142" localSheetId="9">Tables!$M$25</definedName>
    <definedName name="Asset1">Data!$G$7</definedName>
    <definedName name="Asset2">Data!$G$8</definedName>
    <definedName name="Asset3">Data!$G$9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2" l="1"/>
  <c r="S27" i="11" l="1"/>
  <c r="B17" i="7" l="1"/>
  <c r="B15" i="7"/>
  <c r="B16" i="7"/>
  <c r="B14" i="7"/>
  <c r="C40" i="12" l="1"/>
  <c r="O40" i="12" l="1"/>
  <c r="P40" i="12" s="1"/>
  <c r="Q40" i="12" s="1"/>
  <c r="R40" i="12" s="1"/>
  <c r="S40" i="12" s="1"/>
  <c r="T40" i="12" s="1"/>
  <c r="U40" i="12" s="1"/>
  <c r="V40" i="12" s="1"/>
  <c r="W40" i="12" s="1"/>
  <c r="X40" i="12" s="1"/>
  <c r="Y40" i="12" s="1"/>
  <c r="B42" i="12"/>
  <c r="B41" i="12"/>
  <c r="B40" i="12"/>
  <c r="B39" i="12"/>
  <c r="B38" i="12"/>
  <c r="F98" i="12" l="1"/>
  <c r="J98" i="12"/>
  <c r="N98" i="12"/>
  <c r="R98" i="12"/>
  <c r="V98" i="12"/>
  <c r="E99" i="12"/>
  <c r="I99" i="12"/>
  <c r="M99" i="12"/>
  <c r="Q99" i="12"/>
  <c r="U99" i="12"/>
  <c r="Y99" i="12"/>
  <c r="E101" i="12"/>
  <c r="F101" i="12"/>
  <c r="G101" i="12"/>
  <c r="I101" i="12"/>
  <c r="J101" i="12"/>
  <c r="K101" i="12"/>
  <c r="M101" i="12"/>
  <c r="N101" i="12"/>
  <c r="O101" i="12"/>
  <c r="Q101" i="12"/>
  <c r="R101" i="12"/>
  <c r="S101" i="12"/>
  <c r="U101" i="12"/>
  <c r="V101" i="12"/>
  <c r="W101" i="12"/>
  <c r="Y101" i="12"/>
  <c r="E102" i="12"/>
  <c r="H102" i="12"/>
  <c r="I102" i="12"/>
  <c r="L102" i="12"/>
  <c r="M102" i="12"/>
  <c r="P102" i="12"/>
  <c r="Q102" i="12"/>
  <c r="T102" i="12"/>
  <c r="U102" i="12"/>
  <c r="X102" i="12"/>
  <c r="Y102" i="12"/>
  <c r="D99" i="12"/>
  <c r="A46" i="12"/>
  <c r="A47" i="12"/>
  <c r="A48" i="12"/>
  <c r="A49" i="12"/>
  <c r="A45" i="12"/>
  <c r="M40" i="12"/>
  <c r="M100" i="12" s="1"/>
  <c r="N40" i="12"/>
  <c r="N100" i="12" s="1"/>
  <c r="O100" i="12"/>
  <c r="P100" i="12"/>
  <c r="Q100" i="12"/>
  <c r="R100" i="12"/>
  <c r="S100" i="12"/>
  <c r="T100" i="12"/>
  <c r="U100" i="12"/>
  <c r="V100" i="12"/>
  <c r="W100" i="12"/>
  <c r="X100" i="12"/>
  <c r="Y100" i="12"/>
  <c r="B89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D47" i="12"/>
  <c r="E40" i="12"/>
  <c r="E100" i="12" s="1"/>
  <c r="F40" i="12"/>
  <c r="F100" i="12" s="1"/>
  <c r="G40" i="12"/>
  <c r="G100" i="12" s="1"/>
  <c r="H40" i="12"/>
  <c r="H100" i="12" s="1"/>
  <c r="I40" i="12"/>
  <c r="I100" i="12" s="1"/>
  <c r="J40" i="12"/>
  <c r="J100" i="12" s="1"/>
  <c r="K40" i="12"/>
  <c r="K100" i="12" s="1"/>
  <c r="L40" i="12"/>
  <c r="L100" i="12" s="1"/>
  <c r="D40" i="12"/>
  <c r="D100" i="12" s="1"/>
  <c r="E91" i="12"/>
  <c r="F91" i="12"/>
  <c r="G91" i="12"/>
  <c r="H91" i="12"/>
  <c r="I91" i="12"/>
  <c r="J91" i="12"/>
  <c r="K91" i="12"/>
  <c r="L91" i="12"/>
  <c r="M91" i="12"/>
  <c r="N91" i="12"/>
  <c r="O91" i="12"/>
  <c r="P91" i="12"/>
  <c r="Q91" i="12"/>
  <c r="R91" i="12"/>
  <c r="S91" i="12"/>
  <c r="T91" i="12"/>
  <c r="U91" i="12"/>
  <c r="V91" i="12"/>
  <c r="W91" i="12"/>
  <c r="X91" i="12"/>
  <c r="Y91" i="12"/>
  <c r="E92" i="12"/>
  <c r="F92" i="12"/>
  <c r="G92" i="12"/>
  <c r="G93" i="12" s="1"/>
  <c r="H92" i="12"/>
  <c r="I92" i="12"/>
  <c r="J92" i="12"/>
  <c r="K92" i="12"/>
  <c r="K93" i="12" s="1"/>
  <c r="L92" i="12"/>
  <c r="L93" i="12" s="1"/>
  <c r="M92" i="12"/>
  <c r="N92" i="12"/>
  <c r="O92" i="12"/>
  <c r="O93" i="12" s="1"/>
  <c r="P92" i="12"/>
  <c r="P93" i="12" s="1"/>
  <c r="Q92" i="12"/>
  <c r="R92" i="12"/>
  <c r="S92" i="12"/>
  <c r="S93" i="12" s="1"/>
  <c r="T92" i="12"/>
  <c r="T93" i="12" s="1"/>
  <c r="U92" i="12"/>
  <c r="V92" i="12"/>
  <c r="W92" i="12"/>
  <c r="W93" i="12" s="1"/>
  <c r="X92" i="12"/>
  <c r="Y92" i="12"/>
  <c r="E93" i="12"/>
  <c r="F93" i="12"/>
  <c r="H93" i="12"/>
  <c r="I93" i="12"/>
  <c r="J93" i="12"/>
  <c r="M93" i="12"/>
  <c r="Q93" i="12"/>
  <c r="R93" i="12"/>
  <c r="U93" i="12"/>
  <c r="V93" i="12"/>
  <c r="X93" i="12"/>
  <c r="Y93" i="12"/>
  <c r="E94" i="12"/>
  <c r="F94" i="12"/>
  <c r="G94" i="12"/>
  <c r="H94" i="12"/>
  <c r="I94" i="12"/>
  <c r="J94" i="12"/>
  <c r="K94" i="12"/>
  <c r="L94" i="12"/>
  <c r="M94" i="12"/>
  <c r="N94" i="12"/>
  <c r="O94" i="12"/>
  <c r="P94" i="12"/>
  <c r="Q94" i="12"/>
  <c r="R94" i="12"/>
  <c r="S94" i="12"/>
  <c r="T94" i="12"/>
  <c r="U94" i="12"/>
  <c r="V94" i="12"/>
  <c r="W94" i="12"/>
  <c r="X94" i="12"/>
  <c r="Y94" i="12"/>
  <c r="E95" i="12"/>
  <c r="F95" i="12"/>
  <c r="G95" i="12"/>
  <c r="H95" i="12"/>
  <c r="I95" i="12"/>
  <c r="J95" i="12"/>
  <c r="K95" i="12"/>
  <c r="L95" i="12"/>
  <c r="M95" i="12"/>
  <c r="N95" i="12"/>
  <c r="O95" i="12"/>
  <c r="P95" i="12"/>
  <c r="Q95" i="12"/>
  <c r="R95" i="12"/>
  <c r="S95" i="12"/>
  <c r="T95" i="12"/>
  <c r="U95" i="12"/>
  <c r="V95" i="12"/>
  <c r="W95" i="12"/>
  <c r="X95" i="12"/>
  <c r="Y95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D48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D49" i="12"/>
  <c r="D46" i="12"/>
  <c r="D45" i="12"/>
  <c r="E38" i="12"/>
  <c r="E98" i="12" s="1"/>
  <c r="F38" i="12"/>
  <c r="G38" i="12"/>
  <c r="G98" i="12" s="1"/>
  <c r="H38" i="12"/>
  <c r="H98" i="12" s="1"/>
  <c r="I38" i="12"/>
  <c r="I98" i="12" s="1"/>
  <c r="J38" i="12"/>
  <c r="K38" i="12"/>
  <c r="K98" i="12" s="1"/>
  <c r="L38" i="12"/>
  <c r="L98" i="12" s="1"/>
  <c r="M38" i="12"/>
  <c r="M98" i="12" s="1"/>
  <c r="N38" i="12"/>
  <c r="O38" i="12"/>
  <c r="O98" i="12" s="1"/>
  <c r="P38" i="12"/>
  <c r="P98" i="12" s="1"/>
  <c r="Q38" i="12"/>
  <c r="Q98" i="12" s="1"/>
  <c r="R38" i="12"/>
  <c r="S38" i="12"/>
  <c r="S98" i="12" s="1"/>
  <c r="T38" i="12"/>
  <c r="T98" i="12" s="1"/>
  <c r="U38" i="12"/>
  <c r="U98" i="12" s="1"/>
  <c r="V38" i="12"/>
  <c r="W38" i="12"/>
  <c r="W98" i="12" s="1"/>
  <c r="X38" i="12"/>
  <c r="X98" i="12" s="1"/>
  <c r="Y38" i="12"/>
  <c r="Y98" i="12" s="1"/>
  <c r="E39" i="12"/>
  <c r="F39" i="12"/>
  <c r="F99" i="12" s="1"/>
  <c r="G39" i="12"/>
  <c r="G99" i="12" s="1"/>
  <c r="H39" i="12"/>
  <c r="H99" i="12" s="1"/>
  <c r="I39" i="12"/>
  <c r="J39" i="12"/>
  <c r="J99" i="12" s="1"/>
  <c r="K39" i="12"/>
  <c r="K99" i="12" s="1"/>
  <c r="L39" i="12"/>
  <c r="L99" i="12" s="1"/>
  <c r="M39" i="12"/>
  <c r="N39" i="12"/>
  <c r="N99" i="12" s="1"/>
  <c r="O39" i="12"/>
  <c r="O99" i="12" s="1"/>
  <c r="P39" i="12"/>
  <c r="P99" i="12" s="1"/>
  <c r="Q39" i="12"/>
  <c r="R39" i="12"/>
  <c r="R99" i="12" s="1"/>
  <c r="S39" i="12"/>
  <c r="S99" i="12" s="1"/>
  <c r="T39" i="12"/>
  <c r="T99" i="12" s="1"/>
  <c r="U39" i="12"/>
  <c r="V39" i="12"/>
  <c r="V99" i="12" s="1"/>
  <c r="W39" i="12"/>
  <c r="W99" i="12" s="1"/>
  <c r="X39" i="12"/>
  <c r="X99" i="12" s="1"/>
  <c r="Y39" i="12"/>
  <c r="E41" i="12"/>
  <c r="F41" i="12"/>
  <c r="G41" i="12"/>
  <c r="H41" i="12"/>
  <c r="H101" i="12" s="1"/>
  <c r="I41" i="12"/>
  <c r="J41" i="12"/>
  <c r="K41" i="12"/>
  <c r="L41" i="12"/>
  <c r="L101" i="12" s="1"/>
  <c r="M41" i="12"/>
  <c r="N41" i="12"/>
  <c r="O41" i="12"/>
  <c r="P41" i="12"/>
  <c r="P101" i="12" s="1"/>
  <c r="Q41" i="12"/>
  <c r="R41" i="12"/>
  <c r="S41" i="12"/>
  <c r="T41" i="12"/>
  <c r="T101" i="12" s="1"/>
  <c r="U41" i="12"/>
  <c r="V41" i="12"/>
  <c r="W41" i="12"/>
  <c r="X41" i="12"/>
  <c r="X101" i="12" s="1"/>
  <c r="Y41" i="12"/>
  <c r="E42" i="12"/>
  <c r="F42" i="12"/>
  <c r="F102" i="12" s="1"/>
  <c r="G42" i="12"/>
  <c r="G102" i="12" s="1"/>
  <c r="H42" i="12"/>
  <c r="I42" i="12"/>
  <c r="J42" i="12"/>
  <c r="J102" i="12" s="1"/>
  <c r="K42" i="12"/>
  <c r="K102" i="12" s="1"/>
  <c r="L42" i="12"/>
  <c r="M42" i="12"/>
  <c r="N42" i="12"/>
  <c r="N102" i="12" s="1"/>
  <c r="O42" i="12"/>
  <c r="O102" i="12" s="1"/>
  <c r="P42" i="12"/>
  <c r="Q42" i="12"/>
  <c r="R42" i="12"/>
  <c r="R102" i="12" s="1"/>
  <c r="S42" i="12"/>
  <c r="S102" i="12" s="1"/>
  <c r="T42" i="12"/>
  <c r="U42" i="12"/>
  <c r="V42" i="12"/>
  <c r="V102" i="12" s="1"/>
  <c r="W42" i="12"/>
  <c r="W102" i="12" s="1"/>
  <c r="X42" i="12"/>
  <c r="Y42" i="12"/>
  <c r="D42" i="12"/>
  <c r="D102" i="12" s="1"/>
  <c r="D41" i="12"/>
  <c r="D101" i="12" s="1"/>
  <c r="D39" i="12"/>
  <c r="D38" i="12"/>
  <c r="N93" i="12" l="1"/>
  <c r="A116" i="12"/>
  <c r="A123" i="12" s="1"/>
  <c r="A93" i="12"/>
  <c r="B30" i="12"/>
  <c r="B31" i="12" s="1"/>
  <c r="B33" i="12" s="1"/>
  <c r="B20" i="12"/>
  <c r="A102" i="12"/>
  <c r="A109" i="12" s="1"/>
  <c r="A9" i="12" s="1"/>
  <c r="A31" i="14" s="1"/>
  <c r="A95" i="12"/>
  <c r="A84" i="12"/>
  <c r="A78" i="12"/>
  <c r="A77" i="12"/>
  <c r="A76" i="12"/>
  <c r="A75" i="12"/>
  <c r="A60" i="12"/>
  <c r="A66" i="12" s="1"/>
  <c r="A72" i="12" s="1"/>
  <c r="B22" i="12" l="1"/>
  <c r="B13" i="12" l="1"/>
  <c r="B27" i="12"/>
  <c r="B35" i="12"/>
  <c r="B16" i="12" l="1"/>
  <c r="C33" i="12" s="1"/>
  <c r="D5" i="16" l="1"/>
  <c r="E5" i="16" s="1"/>
  <c r="F5" i="16" s="1"/>
  <c r="G5" i="16" s="1"/>
  <c r="H5" i="16" s="1"/>
  <c r="I5" i="16" s="1"/>
  <c r="J5" i="16" s="1"/>
  <c r="K5" i="16" s="1"/>
  <c r="L5" i="16" s="1"/>
  <c r="M5" i="16" s="1"/>
  <c r="N5" i="16" s="1"/>
  <c r="O5" i="16" s="1"/>
  <c r="P5" i="16" s="1"/>
  <c r="Q5" i="16" s="1"/>
  <c r="R5" i="16" s="1"/>
  <c r="S5" i="16" s="1"/>
  <c r="T5" i="16" s="1"/>
  <c r="U5" i="16" s="1"/>
  <c r="V5" i="16" s="1"/>
  <c r="W5" i="16" s="1"/>
  <c r="X5" i="16" s="1"/>
  <c r="Y5" i="16" s="1"/>
  <c r="D4" i="16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V4" i="16" s="1"/>
  <c r="W4" i="16" s="1"/>
  <c r="X4" i="16" s="1"/>
  <c r="Y4" i="16" s="1"/>
  <c r="E2" i="16" l="1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U1" i="16"/>
  <c r="V1" i="16"/>
  <c r="W1" i="16"/>
  <c r="X1" i="16"/>
  <c r="Y1" i="16"/>
  <c r="F2" i="16" l="1"/>
  <c r="G2" i="16"/>
  <c r="M23" i="11"/>
  <c r="M22" i="11"/>
  <c r="H2" i="16" l="1"/>
  <c r="I2" i="16" l="1"/>
  <c r="N16" i="11"/>
  <c r="N18" i="11" s="1"/>
  <c r="B3" i="13" s="1"/>
  <c r="N14" i="11"/>
  <c r="J2" i="16" l="1"/>
  <c r="K2" i="16" l="1"/>
  <c r="L2" i="16" l="1"/>
  <c r="M2" i="16" l="1"/>
  <c r="B8" i="8"/>
  <c r="N2" i="16" l="1"/>
  <c r="B3" i="8"/>
  <c r="O2" i="16" l="1"/>
  <c r="P2" i="16" l="1"/>
  <c r="Q2" i="16" l="1"/>
  <c r="B7" i="8"/>
  <c r="R2" i="16" l="1"/>
  <c r="S2" i="16" l="1"/>
  <c r="T2" i="16" l="1"/>
  <c r="U2" i="16" l="1"/>
  <c r="V2" i="16" l="1"/>
  <c r="W2" i="16" l="1"/>
  <c r="X2" i="16" l="1"/>
  <c r="A59" i="12"/>
  <c r="A65" i="12" s="1"/>
  <c r="A71" i="12" s="1"/>
  <c r="A58" i="12"/>
  <c r="A64" i="12" s="1"/>
  <c r="A70" i="12" s="1"/>
  <c r="A57" i="12"/>
  <c r="A63" i="12" s="1"/>
  <c r="A69" i="12" s="1"/>
  <c r="B5" i="14"/>
  <c r="E1" i="14"/>
  <c r="F1" i="14"/>
  <c r="G1" i="14"/>
  <c r="H1" i="14"/>
  <c r="I1" i="14"/>
  <c r="J1" i="14"/>
  <c r="K1" i="14"/>
  <c r="L1" i="14"/>
  <c r="M1" i="14"/>
  <c r="N1" i="14"/>
  <c r="O1" i="14"/>
  <c r="P1" i="14"/>
  <c r="Q1" i="14"/>
  <c r="R1" i="14"/>
  <c r="S1" i="14"/>
  <c r="T1" i="14"/>
  <c r="U1" i="14"/>
  <c r="V1" i="14"/>
  <c r="W1" i="14"/>
  <c r="X1" i="14"/>
  <c r="Y1" i="14"/>
  <c r="D1" i="14"/>
  <c r="Y2" i="16" l="1"/>
  <c r="A113" i="12" l="1"/>
  <c r="A120" i="12" s="1"/>
  <c r="A114" i="12"/>
  <c r="A121" i="12" s="1"/>
  <c r="A115" i="12"/>
  <c r="A122" i="12" s="1"/>
  <c r="A112" i="12"/>
  <c r="A119" i="12" s="1"/>
  <c r="J15" i="10" l="1"/>
  <c r="J12" i="10"/>
  <c r="J5" i="10"/>
  <c r="J13" i="10"/>
  <c r="J8" i="10"/>
  <c r="J19" i="10"/>
  <c r="J20" i="10"/>
  <c r="J21" i="10"/>
  <c r="A8" i="11"/>
  <c r="A10" i="11" s="1"/>
  <c r="J4" i="10"/>
  <c r="J6" i="10"/>
  <c r="J7" i="10"/>
  <c r="J11" i="10"/>
  <c r="J14" i="10"/>
  <c r="A94" i="12"/>
  <c r="A100" i="12"/>
  <c r="A107" i="12" s="1"/>
  <c r="A7" i="12" s="1"/>
  <c r="A101" i="12"/>
  <c r="A108" i="12" s="1"/>
  <c r="A8" i="12" s="1"/>
  <c r="A99" i="12"/>
  <c r="A106" i="12" s="1"/>
  <c r="A6" i="12" s="1"/>
  <c r="A98" i="12"/>
  <c r="A105" i="12" s="1"/>
  <c r="A5" i="12" s="1"/>
  <c r="D15" i="13"/>
  <c r="E12" i="13"/>
  <c r="F12" i="13" s="1"/>
  <c r="Y1" i="13"/>
  <c r="E1" i="13"/>
  <c r="F1" i="13"/>
  <c r="G1" i="13"/>
  <c r="H1" i="13"/>
  <c r="I1" i="13"/>
  <c r="J1" i="13"/>
  <c r="K1" i="13"/>
  <c r="L1" i="13"/>
  <c r="M1" i="13"/>
  <c r="N1" i="13"/>
  <c r="O1" i="13"/>
  <c r="P1" i="13"/>
  <c r="Q1" i="13"/>
  <c r="R1" i="13"/>
  <c r="S1" i="13"/>
  <c r="T1" i="13"/>
  <c r="U1" i="13"/>
  <c r="V1" i="13"/>
  <c r="W1" i="13"/>
  <c r="X1" i="13"/>
  <c r="D1" i="13"/>
  <c r="A92" i="12"/>
  <c r="A91" i="12"/>
  <c r="D54" i="12"/>
  <c r="E54" i="12" s="1"/>
  <c r="F54" i="12" s="1"/>
  <c r="D53" i="12"/>
  <c r="E53" i="12" s="1"/>
  <c r="D52" i="12"/>
  <c r="A81" i="12"/>
  <c r="A82" i="12"/>
  <c r="A83" i="12"/>
  <c r="A80" i="12"/>
  <c r="G16" i="11"/>
  <c r="G21" i="11" s="1"/>
  <c r="G26" i="11" s="1"/>
  <c r="G31" i="11" s="1"/>
  <c r="G36" i="11" s="1"/>
  <c r="G41" i="11" s="1"/>
  <c r="G46" i="11" s="1"/>
  <c r="G51" i="11" s="1"/>
  <c r="G56" i="11" s="1"/>
  <c r="G61" i="11" s="1"/>
  <c r="G66" i="11" s="1"/>
  <c r="G71" i="11" s="1"/>
  <c r="G76" i="11" s="1"/>
  <c r="F16" i="11"/>
  <c r="F21" i="11" s="1"/>
  <c r="F26" i="11" s="1"/>
  <c r="F31" i="11" s="1"/>
  <c r="F36" i="11" s="1"/>
  <c r="F41" i="11" s="1"/>
  <c r="F46" i="11" s="1"/>
  <c r="F51" i="11" s="1"/>
  <c r="F56" i="11" s="1"/>
  <c r="F61" i="11" s="1"/>
  <c r="F66" i="11" s="1"/>
  <c r="F71" i="11" s="1"/>
  <c r="F76" i="11" s="1"/>
  <c r="E16" i="11"/>
  <c r="E21" i="11" s="1"/>
  <c r="E26" i="11" s="1"/>
  <c r="E31" i="11" s="1"/>
  <c r="E36" i="11" s="1"/>
  <c r="E41" i="11" s="1"/>
  <c r="E46" i="11" s="1"/>
  <c r="E51" i="11" s="1"/>
  <c r="E56" i="11" s="1"/>
  <c r="E61" i="11" s="1"/>
  <c r="E66" i="11" s="1"/>
  <c r="E71" i="11" s="1"/>
  <c r="E76" i="11" s="1"/>
  <c r="D16" i="11"/>
  <c r="D21" i="11" s="1"/>
  <c r="D26" i="11" s="1"/>
  <c r="D31" i="11" s="1"/>
  <c r="D36" i="11" s="1"/>
  <c r="D41" i="11" s="1"/>
  <c r="D46" i="11" s="1"/>
  <c r="D51" i="11" s="1"/>
  <c r="D56" i="11" s="1"/>
  <c r="D61" i="11" s="1"/>
  <c r="D66" i="11" s="1"/>
  <c r="D71" i="11" s="1"/>
  <c r="D76" i="11" s="1"/>
  <c r="C16" i="11"/>
  <c r="C21" i="11" s="1"/>
  <c r="C26" i="11" s="1"/>
  <c r="C31" i="11" s="1"/>
  <c r="C36" i="11" s="1"/>
  <c r="C41" i="11" s="1"/>
  <c r="C46" i="11" s="1"/>
  <c r="C51" i="11" s="1"/>
  <c r="C56" i="11" s="1"/>
  <c r="C61" i="11" s="1"/>
  <c r="C66" i="11" s="1"/>
  <c r="C71" i="11" s="1"/>
  <c r="C76" i="11" s="1"/>
  <c r="C6" i="5"/>
  <c r="D6" i="5"/>
  <c r="E6" i="5"/>
  <c r="F6" i="5"/>
  <c r="G6" i="5"/>
  <c r="H6" i="5"/>
  <c r="B6" i="5"/>
  <c r="H46" i="11"/>
  <c r="H16" i="11"/>
  <c r="H21" i="11" s="1"/>
  <c r="H26" i="11" s="1"/>
  <c r="H31" i="11" s="1"/>
  <c r="H36" i="11" s="1"/>
  <c r="B2" i="11"/>
  <c r="N7" i="11"/>
  <c r="B5" i="7"/>
  <c r="B4" i="8"/>
  <c r="B9" i="7"/>
  <c r="B10" i="7"/>
  <c r="B4" i="7" s="1"/>
  <c r="B8" i="7"/>
  <c r="B2" i="8"/>
  <c r="B2" i="7"/>
  <c r="B3" i="7"/>
  <c r="A15" i="11" l="1"/>
  <c r="D17" i="13"/>
  <c r="A9" i="14"/>
  <c r="A13" i="14"/>
  <c r="A25" i="14"/>
  <c r="A19" i="14"/>
  <c r="D84" i="12"/>
  <c r="G12" i="13"/>
  <c r="F15" i="13"/>
  <c r="E15" i="13"/>
  <c r="J16" i="10"/>
  <c r="N8" i="11"/>
  <c r="N9" i="11" s="1"/>
  <c r="N10" i="11" s="1"/>
  <c r="A20" i="11"/>
  <c r="A25" i="11" s="1"/>
  <c r="E52" i="12"/>
  <c r="F53" i="12"/>
  <c r="J3" i="5"/>
  <c r="J10" i="10"/>
  <c r="J9" i="10"/>
  <c r="J3" i="10"/>
  <c r="D80" i="12"/>
  <c r="D81" i="12"/>
  <c r="D82" i="12"/>
  <c r="D34" i="14" s="1"/>
  <c r="G54" i="12"/>
  <c r="H54" i="12" s="1"/>
  <c r="I54" i="12" s="1"/>
  <c r="J54" i="12" s="1"/>
  <c r="K54" i="12" s="1"/>
  <c r="L54" i="12" s="1"/>
  <c r="M54" i="12" s="1"/>
  <c r="N54" i="12" s="1"/>
  <c r="O54" i="12" s="1"/>
  <c r="P54" i="12" s="1"/>
  <c r="Q54" i="12" s="1"/>
  <c r="R54" i="12" s="1"/>
  <c r="S54" i="12" s="1"/>
  <c r="T54" i="12" s="1"/>
  <c r="U54" i="12" s="1"/>
  <c r="V54" i="12" s="1"/>
  <c r="W54" i="12" s="1"/>
  <c r="X54" i="12" s="1"/>
  <c r="Y54" i="12" s="1"/>
  <c r="E81" i="12" l="1"/>
  <c r="E80" i="12"/>
  <c r="A30" i="11"/>
  <c r="E121" i="12"/>
  <c r="E7" i="12"/>
  <c r="E84" i="12"/>
  <c r="F52" i="12"/>
  <c r="E82" i="12"/>
  <c r="E34" i="14" s="1"/>
  <c r="H12" i="13"/>
  <c r="G15" i="13"/>
  <c r="J17" i="10"/>
  <c r="J18" i="10"/>
  <c r="G53" i="12"/>
  <c r="F80" i="12" l="1"/>
  <c r="F81" i="12"/>
  <c r="A35" i="11"/>
  <c r="A40" i="11" s="1"/>
  <c r="A45" i="11" s="1"/>
  <c r="F34" i="14"/>
  <c r="F84" i="12"/>
  <c r="F82" i="12"/>
  <c r="G52" i="12"/>
  <c r="I12" i="13"/>
  <c r="H15" i="13"/>
  <c r="H53" i="12"/>
  <c r="G80" i="12" l="1"/>
  <c r="G81" i="12"/>
  <c r="A50" i="11"/>
  <c r="A55" i="11" s="1"/>
  <c r="G34" i="14"/>
  <c r="H52" i="12"/>
  <c r="G84" i="12"/>
  <c r="G82" i="12"/>
  <c r="J4" i="5"/>
  <c r="J12" i="13"/>
  <c r="I15" i="13"/>
  <c r="I53" i="12"/>
  <c r="H80" i="12" l="1"/>
  <c r="H81" i="12"/>
  <c r="A60" i="11"/>
  <c r="A65" i="11" s="1"/>
  <c r="A70" i="11" s="1"/>
  <c r="A75" i="11" s="1"/>
  <c r="H82" i="12"/>
  <c r="H34" i="14"/>
  <c r="I52" i="12"/>
  <c r="H84" i="12"/>
  <c r="K12" i="13"/>
  <c r="J15" i="13"/>
  <c r="J53" i="12"/>
  <c r="I82" i="12" l="1"/>
  <c r="I81" i="12"/>
  <c r="I80" i="12"/>
  <c r="I34" i="14"/>
  <c r="J34" i="14" s="1"/>
  <c r="K34" i="14" s="1"/>
  <c r="J52" i="12"/>
  <c r="I84" i="12"/>
  <c r="L12" i="13"/>
  <c r="K15" i="13"/>
  <c r="K53" i="12"/>
  <c r="J82" i="12" l="1"/>
  <c r="J80" i="12"/>
  <c r="J81" i="12"/>
  <c r="L34" i="14"/>
  <c r="M34" i="14" s="1"/>
  <c r="N34" i="14" s="1"/>
  <c r="O34" i="14" s="1"/>
  <c r="K52" i="12"/>
  <c r="J84" i="12"/>
  <c r="M12" i="13"/>
  <c r="L15" i="13"/>
  <c r="L53" i="12"/>
  <c r="K80" i="12" l="1"/>
  <c r="K81" i="12"/>
  <c r="P34" i="14"/>
  <c r="Q34" i="14" s="1"/>
  <c r="R34" i="14" s="1"/>
  <c r="S34" i="14" s="1"/>
  <c r="T34" i="14" s="1"/>
  <c r="U34" i="14" s="1"/>
  <c r="V34" i="14" s="1"/>
  <c r="W34" i="14" s="1"/>
  <c r="X34" i="14" s="1"/>
  <c r="Y34" i="14" s="1"/>
  <c r="L52" i="12"/>
  <c r="K84" i="12"/>
  <c r="K82" i="12"/>
  <c r="N12" i="13"/>
  <c r="M15" i="13"/>
  <c r="M53" i="12"/>
  <c r="L80" i="12" l="1"/>
  <c r="L81" i="12"/>
  <c r="L82" i="12"/>
  <c r="M52" i="12"/>
  <c r="L84" i="12"/>
  <c r="O12" i="13"/>
  <c r="N15" i="13"/>
  <c r="N53" i="12"/>
  <c r="M81" i="12" l="1"/>
  <c r="M80" i="12"/>
  <c r="N52" i="12"/>
  <c r="M84" i="12"/>
  <c r="M82" i="12"/>
  <c r="O15" i="13"/>
  <c r="P12" i="13"/>
  <c r="O53" i="12"/>
  <c r="N80" i="12" l="1"/>
  <c r="N81" i="12"/>
  <c r="N82" i="12"/>
  <c r="O52" i="12"/>
  <c r="N84" i="12"/>
  <c r="Q12" i="13"/>
  <c r="P15" i="13"/>
  <c r="P53" i="12"/>
  <c r="O80" i="12" l="1"/>
  <c r="O81" i="12"/>
  <c r="P52" i="12"/>
  <c r="O84" i="12"/>
  <c r="O82" i="12"/>
  <c r="R12" i="13"/>
  <c r="Q15" i="13"/>
  <c r="Q53" i="12"/>
  <c r="P80" i="12" l="1"/>
  <c r="P81" i="12"/>
  <c r="P82" i="12"/>
  <c r="Q52" i="12"/>
  <c r="P84" i="12"/>
  <c r="S12" i="13"/>
  <c r="R15" i="13"/>
  <c r="R53" i="12"/>
  <c r="Q81" i="12" l="1"/>
  <c r="Q80" i="12"/>
  <c r="R52" i="12"/>
  <c r="Q84" i="12"/>
  <c r="Q82" i="12"/>
  <c r="S15" i="13"/>
  <c r="T12" i="13"/>
  <c r="S53" i="12"/>
  <c r="R80" i="12" l="1"/>
  <c r="R81" i="12"/>
  <c r="R82" i="12"/>
  <c r="S52" i="12"/>
  <c r="R84" i="12"/>
  <c r="U12" i="13"/>
  <c r="T15" i="13"/>
  <c r="T53" i="12"/>
  <c r="S80" i="12" l="1"/>
  <c r="S81" i="12"/>
  <c r="T52" i="12"/>
  <c r="S84" i="12"/>
  <c r="S82" i="12"/>
  <c r="V12" i="13"/>
  <c r="U15" i="13"/>
  <c r="U53" i="12"/>
  <c r="T80" i="12" l="1"/>
  <c r="T81" i="12"/>
  <c r="T82" i="12"/>
  <c r="U52" i="12"/>
  <c r="T84" i="12"/>
  <c r="W12" i="13"/>
  <c r="V15" i="13"/>
  <c r="V53" i="12"/>
  <c r="U82" i="12" l="1"/>
  <c r="U81" i="12"/>
  <c r="U80" i="12"/>
  <c r="V52" i="12"/>
  <c r="U84" i="12"/>
  <c r="W15" i="13"/>
  <c r="X12" i="13"/>
  <c r="W53" i="12"/>
  <c r="V82" i="12" l="1"/>
  <c r="V80" i="12"/>
  <c r="V81" i="12"/>
  <c r="W52" i="12"/>
  <c r="V84" i="12"/>
  <c r="Y12" i="13"/>
  <c r="Y15" i="13" s="1"/>
  <c r="X15" i="13"/>
  <c r="W82" i="12"/>
  <c r="X53" i="12"/>
  <c r="W80" i="12" l="1"/>
  <c r="W81" i="12"/>
  <c r="X52" i="12"/>
  <c r="W84" i="12"/>
  <c r="Y53" i="12"/>
  <c r="X80" i="12" l="1"/>
  <c r="X81" i="12"/>
  <c r="X82" i="12"/>
  <c r="Y52" i="12"/>
  <c r="X84" i="12"/>
  <c r="Y84" i="12" l="1"/>
  <c r="Y81" i="12"/>
  <c r="Y80" i="12"/>
  <c r="Y82" i="12"/>
  <c r="H5" i="11" l="1"/>
  <c r="C66" i="12" l="1"/>
  <c r="C45" i="12"/>
  <c r="C69" i="12" s="1"/>
  <c r="C65" i="12" l="1"/>
  <c r="C63" i="12"/>
  <c r="C64" i="12"/>
  <c r="C46" i="12"/>
  <c r="C49" i="12" l="1"/>
  <c r="C72" i="12" s="1"/>
  <c r="D78" i="12" s="1"/>
  <c r="D95" i="12" s="1"/>
  <c r="C70" i="12"/>
  <c r="D76" i="12" s="1"/>
  <c r="C48" i="12"/>
  <c r="C71" i="12" s="1"/>
  <c r="D77" i="12" s="1"/>
  <c r="D26" i="14" s="1"/>
  <c r="D75" i="12"/>
  <c r="D32" i="14" l="1"/>
  <c r="D60" i="12"/>
  <c r="D66" i="12" s="1"/>
  <c r="D14" i="14"/>
  <c r="D69" i="12"/>
  <c r="D71" i="12"/>
  <c r="D72" i="12"/>
  <c r="D83" i="12"/>
  <c r="D94" i="12"/>
  <c r="D91" i="12"/>
  <c r="D98" i="12" s="1"/>
  <c r="D70" i="12"/>
  <c r="D92" i="12"/>
  <c r="D57" i="12"/>
  <c r="D63" i="12" s="1"/>
  <c r="D10" i="14"/>
  <c r="D58" i="12"/>
  <c r="D64" i="12" s="1"/>
  <c r="D16" i="14"/>
  <c r="D93" i="12" l="1"/>
  <c r="E76" i="12"/>
  <c r="E78" i="12"/>
  <c r="E16" i="14"/>
  <c r="F16" i="14" s="1"/>
  <c r="E75" i="12"/>
  <c r="E69" i="12" l="1"/>
  <c r="E60" i="12"/>
  <c r="E32" i="14"/>
  <c r="E14" i="14"/>
  <c r="E70" i="12"/>
  <c r="E72" i="12"/>
  <c r="E66" i="12"/>
  <c r="D28" i="14"/>
  <c r="D59" i="12"/>
  <c r="E58" i="12"/>
  <c r="E64" i="12" s="1"/>
  <c r="G16" i="14"/>
  <c r="H16" i="14" s="1"/>
  <c r="E57" i="12"/>
  <c r="E63" i="12" s="1"/>
  <c r="E10" i="14"/>
  <c r="F76" i="12" l="1"/>
  <c r="F14" i="14"/>
  <c r="D65" i="12"/>
  <c r="E77" i="12" s="1"/>
  <c r="F78" i="12"/>
  <c r="E28" i="14"/>
  <c r="F28" i="14" s="1"/>
  <c r="F75" i="12"/>
  <c r="I16" i="14"/>
  <c r="J16" i="14" s="1"/>
  <c r="F69" i="12" l="1"/>
  <c r="E26" i="14"/>
  <c r="F60" i="12"/>
  <c r="F66" i="12" s="1"/>
  <c r="F72" i="12"/>
  <c r="F32" i="14"/>
  <c r="F70" i="12"/>
  <c r="E59" i="12"/>
  <c r="E65" i="12" s="1"/>
  <c r="F58" i="12"/>
  <c r="F64" i="12" s="1"/>
  <c r="F57" i="12"/>
  <c r="F63" i="12" s="1"/>
  <c r="F10" i="14"/>
  <c r="G28" i="14"/>
  <c r="H28" i="14" s="1"/>
  <c r="K16" i="14"/>
  <c r="E83" i="12" l="1"/>
  <c r="E71" i="12"/>
  <c r="G76" i="12"/>
  <c r="G78" i="12"/>
  <c r="I28" i="14"/>
  <c r="L16" i="14"/>
  <c r="G75" i="12"/>
  <c r="G69" i="12" l="1"/>
  <c r="G60" i="12"/>
  <c r="F77" i="12"/>
  <c r="F26" i="14" s="1"/>
  <c r="G32" i="14"/>
  <c r="G14" i="14"/>
  <c r="G72" i="12"/>
  <c r="G70" i="12"/>
  <c r="F83" i="12"/>
  <c r="J28" i="14"/>
  <c r="G58" i="12"/>
  <c r="G64" i="12" s="1"/>
  <c r="M16" i="14"/>
  <c r="G57" i="12"/>
  <c r="G63" i="12" s="1"/>
  <c r="G10" i="14"/>
  <c r="H76" i="12" l="1"/>
  <c r="F71" i="12"/>
  <c r="F59" i="12"/>
  <c r="F65" i="12" s="1"/>
  <c r="G66" i="12"/>
  <c r="H78" i="12" s="1"/>
  <c r="K28" i="14"/>
  <c r="L28" i="14" s="1"/>
  <c r="N16" i="14"/>
  <c r="H75" i="12"/>
  <c r="G77" i="12" l="1"/>
  <c r="H14" i="14"/>
  <c r="H69" i="12"/>
  <c r="H60" i="12"/>
  <c r="H66" i="12" s="1"/>
  <c r="G59" i="12"/>
  <c r="G65" i="12" s="1"/>
  <c r="H32" i="14"/>
  <c r="G71" i="12"/>
  <c r="H72" i="12"/>
  <c r="H70" i="12"/>
  <c r="M28" i="14"/>
  <c r="N28" i="14" s="1"/>
  <c r="O16" i="14"/>
  <c r="H58" i="12"/>
  <c r="H64" i="12" s="1"/>
  <c r="I76" i="12" s="1"/>
  <c r="H57" i="12"/>
  <c r="H63" i="12" s="1"/>
  <c r="H10" i="14"/>
  <c r="H77" i="12" l="1"/>
  <c r="H26" i="14" s="1"/>
  <c r="G26" i="14"/>
  <c r="G83" i="12"/>
  <c r="I14" i="14"/>
  <c r="I78" i="12"/>
  <c r="I75" i="12"/>
  <c r="P16" i="14"/>
  <c r="O28" i="14"/>
  <c r="I69" i="12" l="1"/>
  <c r="I60" i="12"/>
  <c r="I32" i="14"/>
  <c r="H83" i="12"/>
  <c r="H71" i="12"/>
  <c r="H59" i="12"/>
  <c r="I72" i="12"/>
  <c r="I70" i="12"/>
  <c r="I58" i="12"/>
  <c r="I64" i="12" s="1"/>
  <c r="P28" i="14"/>
  <c r="Q16" i="14"/>
  <c r="I57" i="12"/>
  <c r="I63" i="12" s="1"/>
  <c r="I10" i="14"/>
  <c r="J76" i="12" l="1"/>
  <c r="H65" i="12"/>
  <c r="I77" i="12" s="1"/>
  <c r="I66" i="12"/>
  <c r="J78" i="12" s="1"/>
  <c r="J75" i="12"/>
  <c r="Q28" i="14"/>
  <c r="R16" i="14"/>
  <c r="J14" i="14" l="1"/>
  <c r="J69" i="12"/>
  <c r="J60" i="12"/>
  <c r="J66" i="12" s="1"/>
  <c r="J32" i="14"/>
  <c r="J72" i="12"/>
  <c r="I26" i="14"/>
  <c r="J70" i="12"/>
  <c r="J58" i="12"/>
  <c r="J64" i="12" s="1"/>
  <c r="R28" i="14"/>
  <c r="S16" i="14"/>
  <c r="J57" i="12"/>
  <c r="J63" i="12" s="1"/>
  <c r="J10" i="14"/>
  <c r="K76" i="12" l="1"/>
  <c r="K78" i="12"/>
  <c r="I71" i="12"/>
  <c r="I83" i="12"/>
  <c r="I59" i="12"/>
  <c r="S28" i="14"/>
  <c r="T16" i="14"/>
  <c r="K75" i="12"/>
  <c r="K69" i="12" l="1"/>
  <c r="K60" i="12"/>
  <c r="K32" i="14"/>
  <c r="K14" i="14"/>
  <c r="I65" i="12"/>
  <c r="J77" i="12" s="1"/>
  <c r="K72" i="12"/>
  <c r="K70" i="12"/>
  <c r="K58" i="12"/>
  <c r="K64" i="12" s="1"/>
  <c r="T28" i="14"/>
  <c r="U16" i="14"/>
  <c r="K57" i="12"/>
  <c r="K63" i="12" s="1"/>
  <c r="K10" i="14"/>
  <c r="L76" i="12" l="1"/>
  <c r="K66" i="12"/>
  <c r="L78" i="12" s="1"/>
  <c r="J26" i="14"/>
  <c r="U28" i="14"/>
  <c r="L75" i="12"/>
  <c r="V16" i="14"/>
  <c r="L69" i="12" l="1"/>
  <c r="L60" i="12"/>
  <c r="L32" i="14"/>
  <c r="L14" i="14"/>
  <c r="L66" i="12"/>
  <c r="L72" i="12"/>
  <c r="J83" i="12"/>
  <c r="J71" i="12"/>
  <c r="J59" i="12"/>
  <c r="L70" i="12"/>
  <c r="L58" i="12"/>
  <c r="L64" i="12" s="1"/>
  <c r="L10" i="14"/>
  <c r="L57" i="12"/>
  <c r="L63" i="12" s="1"/>
  <c r="W16" i="14"/>
  <c r="V28" i="14"/>
  <c r="M76" i="12" l="1"/>
  <c r="M78" i="12"/>
  <c r="J65" i="12"/>
  <c r="K77" i="12" s="1"/>
  <c r="W28" i="14"/>
  <c r="X16" i="14"/>
  <c r="M75" i="12"/>
  <c r="M69" i="12" l="1"/>
  <c r="M60" i="12"/>
  <c r="M66" i="12" s="1"/>
  <c r="K26" i="14"/>
  <c r="M32" i="14"/>
  <c r="M14" i="14"/>
  <c r="M72" i="12"/>
  <c r="M70" i="12"/>
  <c r="M58" i="12"/>
  <c r="M64" i="12" s="1"/>
  <c r="Y16" i="14"/>
  <c r="M57" i="12"/>
  <c r="M63" i="12" s="1"/>
  <c r="M10" i="14"/>
  <c r="X28" i="14"/>
  <c r="K59" i="12" l="1"/>
  <c r="K65" i="12" s="1"/>
  <c r="K83" i="12"/>
  <c r="K71" i="12"/>
  <c r="N76" i="12"/>
  <c r="N14" i="14"/>
  <c r="N78" i="12"/>
  <c r="N75" i="12"/>
  <c r="Y28" i="14"/>
  <c r="N69" i="12" l="1"/>
  <c r="N60" i="12"/>
  <c r="L77" i="12"/>
  <c r="N32" i="14"/>
  <c r="N66" i="12"/>
  <c r="N72" i="12"/>
  <c r="N70" i="12"/>
  <c r="N10" i="14"/>
  <c r="N57" i="12"/>
  <c r="N63" i="12" s="1"/>
  <c r="N58" i="12"/>
  <c r="N64" i="12" s="1"/>
  <c r="L83" i="12" l="1"/>
  <c r="L59" i="12"/>
  <c r="L65" i="12" s="1"/>
  <c r="L26" i="14"/>
  <c r="L71" i="12"/>
  <c r="O76" i="12"/>
  <c r="O78" i="12"/>
  <c r="O75" i="12"/>
  <c r="O69" i="12" l="1"/>
  <c r="M77" i="12"/>
  <c r="M26" i="14" s="1"/>
  <c r="O60" i="12"/>
  <c r="O66" i="12" s="1"/>
  <c r="O32" i="14"/>
  <c r="O14" i="14"/>
  <c r="O72" i="12"/>
  <c r="O70" i="12"/>
  <c r="O58" i="12"/>
  <c r="O64" i="12" s="1"/>
  <c r="O10" i="14"/>
  <c r="O57" i="12"/>
  <c r="O63" i="12" s="1"/>
  <c r="M59" i="12" l="1"/>
  <c r="M65" i="12" s="1"/>
  <c r="M71" i="12"/>
  <c r="M83" i="12"/>
  <c r="P76" i="12"/>
  <c r="P78" i="12"/>
  <c r="P75" i="12"/>
  <c r="N77" i="12" l="1"/>
  <c r="N26" i="14" s="1"/>
  <c r="P69" i="12"/>
  <c r="P14" i="14"/>
  <c r="P60" i="12"/>
  <c r="P32" i="14"/>
  <c r="N83" i="12"/>
  <c r="N71" i="12"/>
  <c r="N59" i="12"/>
  <c r="N65" i="12" s="1"/>
  <c r="P66" i="12"/>
  <c r="P72" i="12"/>
  <c r="P70" i="12"/>
  <c r="P10" i="14"/>
  <c r="P57" i="12"/>
  <c r="P63" i="12" s="1"/>
  <c r="P58" i="12"/>
  <c r="P64" i="12" s="1"/>
  <c r="O77" i="12" l="1"/>
  <c r="O26" i="14" s="1"/>
  <c r="Q76" i="12"/>
  <c r="Q78" i="12"/>
  <c r="Q75" i="12"/>
  <c r="Q69" i="12" l="1"/>
  <c r="Q60" i="12"/>
  <c r="Q14" i="14"/>
  <c r="Q32" i="14"/>
  <c r="Q66" i="12"/>
  <c r="Q72" i="12"/>
  <c r="O83" i="12"/>
  <c r="O71" i="12"/>
  <c r="O59" i="12"/>
  <c r="Q70" i="12"/>
  <c r="Q58" i="12"/>
  <c r="Q64" i="12" s="1"/>
  <c r="Q57" i="12"/>
  <c r="Q63" i="12" s="1"/>
  <c r="Q10" i="14"/>
  <c r="R76" i="12" l="1"/>
  <c r="O65" i="12"/>
  <c r="P77" i="12" s="1"/>
  <c r="R78" i="12"/>
  <c r="R75" i="12"/>
  <c r="R69" i="12" l="1"/>
  <c r="R60" i="12"/>
  <c r="R14" i="14"/>
  <c r="P26" i="14"/>
  <c r="R32" i="14"/>
  <c r="R72" i="12"/>
  <c r="R66" i="12"/>
  <c r="R70" i="12"/>
  <c r="R58" i="12"/>
  <c r="R64" i="12" s="1"/>
  <c r="R10" i="14"/>
  <c r="R57" i="12"/>
  <c r="R63" i="12" s="1"/>
  <c r="P59" i="12" l="1"/>
  <c r="P65" i="12" s="1"/>
  <c r="P83" i="12"/>
  <c r="P71" i="12"/>
  <c r="S76" i="12"/>
  <c r="S78" i="12"/>
  <c r="S75" i="12"/>
  <c r="S69" i="12" l="1"/>
  <c r="S60" i="12"/>
  <c r="S66" i="12" s="1"/>
  <c r="Q77" i="12"/>
  <c r="Q59" i="12" s="1"/>
  <c r="S32" i="14"/>
  <c r="S14" i="14"/>
  <c r="S72" i="12"/>
  <c r="S70" i="12"/>
  <c r="S58" i="12"/>
  <c r="S64" i="12" s="1"/>
  <c r="S57" i="12"/>
  <c r="S63" i="12" s="1"/>
  <c r="S10" i="14"/>
  <c r="Q71" i="12" l="1"/>
  <c r="Q26" i="14"/>
  <c r="Q83" i="12"/>
  <c r="T76" i="12"/>
  <c r="T78" i="12"/>
  <c r="Q65" i="12"/>
  <c r="R77" i="12" s="1"/>
  <c r="T75" i="12"/>
  <c r="T69" i="12" l="1"/>
  <c r="T60" i="12"/>
  <c r="T66" i="12" s="1"/>
  <c r="T32" i="14"/>
  <c r="T14" i="14"/>
  <c r="R26" i="14"/>
  <c r="T72" i="12"/>
  <c r="T70" i="12"/>
  <c r="T58" i="12"/>
  <c r="T64" i="12" s="1"/>
  <c r="T10" i="14"/>
  <c r="T57" i="12"/>
  <c r="T63" i="12" s="1"/>
  <c r="U76" i="12" l="1"/>
  <c r="R83" i="12"/>
  <c r="R71" i="12"/>
  <c r="R59" i="12"/>
  <c r="R65" i="12" s="1"/>
  <c r="S77" i="12" s="1"/>
  <c r="U78" i="12"/>
  <c r="U75" i="12"/>
  <c r="U69" i="12" l="1"/>
  <c r="U60" i="12"/>
  <c r="U66" i="12" s="1"/>
  <c r="U32" i="14"/>
  <c r="U14" i="14"/>
  <c r="S26" i="14"/>
  <c r="U72" i="12"/>
  <c r="U70" i="12"/>
  <c r="U57" i="12"/>
  <c r="U63" i="12" s="1"/>
  <c r="U10" i="14"/>
  <c r="U58" i="12"/>
  <c r="U64" i="12" s="1"/>
  <c r="V76" i="12" l="1"/>
  <c r="V78" i="12"/>
  <c r="S83" i="12"/>
  <c r="S71" i="12"/>
  <c r="S59" i="12"/>
  <c r="V75" i="12"/>
  <c r="V14" i="14" l="1"/>
  <c r="V69" i="12"/>
  <c r="V60" i="12"/>
  <c r="V32" i="14"/>
  <c r="S65" i="12"/>
  <c r="T77" i="12" s="1"/>
  <c r="V72" i="12"/>
  <c r="V70" i="12"/>
  <c r="V58" i="12"/>
  <c r="V64" i="12" s="1"/>
  <c r="W76" i="12" s="1"/>
  <c r="V57" i="12"/>
  <c r="V63" i="12" s="1"/>
  <c r="V10" i="14"/>
  <c r="T71" i="12" l="1"/>
  <c r="W14" i="14"/>
  <c r="V66" i="12"/>
  <c r="W78" i="12" s="1"/>
  <c r="W75" i="12"/>
  <c r="W69" i="12" l="1"/>
  <c r="W60" i="12"/>
  <c r="T59" i="12"/>
  <c r="T83" i="12"/>
  <c r="T26" i="14"/>
  <c r="W32" i="14"/>
  <c r="W66" i="12"/>
  <c r="W72" i="12"/>
  <c r="T65" i="12"/>
  <c r="U77" i="12" s="1"/>
  <c r="W70" i="12"/>
  <c r="W58" i="12"/>
  <c r="W64" i="12" s="1"/>
  <c r="W57" i="12"/>
  <c r="W63" i="12" s="1"/>
  <c r="W10" i="14"/>
  <c r="X76" i="12" l="1"/>
  <c r="X78" i="12"/>
  <c r="U26" i="14"/>
  <c r="X75" i="12"/>
  <c r="X14" i="14" l="1"/>
  <c r="X69" i="12"/>
  <c r="X60" i="12"/>
  <c r="X66" i="12" s="1"/>
  <c r="X32" i="14"/>
  <c r="U71" i="12"/>
  <c r="U83" i="12"/>
  <c r="U59" i="12"/>
  <c r="U65" i="12" s="1"/>
  <c r="X72" i="12"/>
  <c r="X70" i="12"/>
  <c r="X58" i="12"/>
  <c r="X64" i="12" s="1"/>
  <c r="X57" i="12"/>
  <c r="X63" i="12" s="1"/>
  <c r="X10" i="14"/>
  <c r="V77" i="12" l="1"/>
  <c r="V26" i="14"/>
  <c r="Y76" i="12"/>
  <c r="Y78" i="12"/>
  <c r="Y75" i="12"/>
  <c r="Y69" i="12" l="1"/>
  <c r="Y60" i="12"/>
  <c r="Y32" i="14"/>
  <c r="Y14" i="14"/>
  <c r="Y66" i="12"/>
  <c r="Y72" i="12"/>
  <c r="V83" i="12"/>
  <c r="V71" i="12"/>
  <c r="V59" i="12"/>
  <c r="Y70" i="12"/>
  <c r="Y57" i="12"/>
  <c r="Y63" i="12" s="1"/>
  <c r="Y10" i="14"/>
  <c r="Y58" i="12"/>
  <c r="Y64" i="12" s="1"/>
  <c r="V65" i="12" l="1"/>
  <c r="W77" i="12" s="1"/>
  <c r="W26" i="14" l="1"/>
  <c r="W83" i="12" l="1"/>
  <c r="W71" i="12"/>
  <c r="W59" i="12"/>
  <c r="W65" i="12" l="1"/>
  <c r="X77" i="12" s="1"/>
  <c r="X26" i="14" l="1"/>
  <c r="X83" i="12" l="1"/>
  <c r="X71" i="12"/>
  <c r="X59" i="12"/>
  <c r="X65" i="12" s="1"/>
  <c r="Y77" i="12" s="1"/>
  <c r="Y26" i="14" l="1"/>
  <c r="Y71" i="12" l="1"/>
  <c r="Y83" i="12"/>
  <c r="Y59" i="12"/>
  <c r="Y65" i="12" s="1"/>
  <c r="D116" i="12" l="1"/>
  <c r="D123" i="12"/>
  <c r="E33" i="14"/>
  <c r="F33" i="14"/>
  <c r="H33" i="14"/>
  <c r="G33" i="14"/>
  <c r="I33" i="14"/>
  <c r="J33" i="14"/>
  <c r="L33" i="14"/>
  <c r="K33" i="14"/>
  <c r="N33" i="14"/>
  <c r="M33" i="14"/>
  <c r="O33" i="14"/>
  <c r="P33" i="14"/>
  <c r="R33" i="14"/>
  <c r="Q33" i="14"/>
  <c r="S33" i="14"/>
  <c r="T33" i="14"/>
  <c r="U33" i="14"/>
  <c r="V33" i="14"/>
  <c r="W33" i="14"/>
  <c r="X33" i="14"/>
  <c r="Y33" i="14"/>
  <c r="D33" i="14"/>
  <c r="D109" i="12"/>
  <c r="E109" i="12"/>
  <c r="F109" i="12"/>
  <c r="G109" i="12"/>
  <c r="H109" i="12"/>
  <c r="I109" i="12"/>
  <c r="J109" i="12"/>
  <c r="K109" i="12"/>
  <c r="L109" i="12"/>
  <c r="M109" i="12"/>
  <c r="N109" i="12"/>
  <c r="O109" i="12"/>
  <c r="P109" i="12"/>
  <c r="Q109" i="12"/>
  <c r="R109" i="12"/>
  <c r="S109" i="12"/>
  <c r="T109" i="12"/>
  <c r="U109" i="12"/>
  <c r="V109" i="12"/>
  <c r="W109" i="12"/>
  <c r="X109" i="12"/>
  <c r="Y109" i="12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V6" i="16"/>
  <c r="W6" i="16"/>
  <c r="X6" i="16"/>
  <c r="Y6" i="16"/>
  <c r="D114" i="12"/>
  <c r="D115" i="12"/>
  <c r="D112" i="12"/>
  <c r="B5" i="13"/>
  <c r="D107" i="12"/>
  <c r="E107" i="12"/>
  <c r="F107" i="12"/>
  <c r="G107" i="12"/>
  <c r="H107" i="12"/>
  <c r="I107" i="12"/>
  <c r="J107" i="12"/>
  <c r="K107" i="12"/>
  <c r="L107" i="12"/>
  <c r="M107" i="12"/>
  <c r="N107" i="12"/>
  <c r="O107" i="12"/>
  <c r="P107" i="12"/>
  <c r="Q107" i="12"/>
  <c r="R107" i="12"/>
  <c r="S107" i="12"/>
  <c r="T107" i="12"/>
  <c r="U107" i="12"/>
  <c r="V107" i="12"/>
  <c r="W107" i="12"/>
  <c r="X107" i="12"/>
  <c r="D121" i="12"/>
  <c r="F121" i="12" s="1"/>
  <c r="H121" i="12" s="1"/>
  <c r="Y107" i="12"/>
  <c r="D113" i="12"/>
  <c r="D15" i="14"/>
  <c r="D17" i="14"/>
  <c r="D11" i="14"/>
  <c r="D27" i="14"/>
  <c r="F17" i="14"/>
  <c r="D106" i="12"/>
  <c r="D105" i="12"/>
  <c r="E17" i="14"/>
  <c r="E11" i="14"/>
  <c r="H17" i="14"/>
  <c r="D29" i="14"/>
  <c r="E106" i="12"/>
  <c r="E15" i="14"/>
  <c r="D108" i="12"/>
  <c r="G17" i="14"/>
  <c r="F29" i="14"/>
  <c r="I17" i="14"/>
  <c r="E29" i="14"/>
  <c r="J17" i="14"/>
  <c r="E105" i="12"/>
  <c r="G29" i="14"/>
  <c r="E108" i="12"/>
  <c r="H29" i="14"/>
  <c r="K17" i="14"/>
  <c r="E27" i="14"/>
  <c r="F11" i="14"/>
  <c r="F15" i="14"/>
  <c r="F27" i="14"/>
  <c r="L17" i="14"/>
  <c r="F105" i="12"/>
  <c r="F108" i="12"/>
  <c r="F106" i="12"/>
  <c r="I29" i="14"/>
  <c r="G11" i="14"/>
  <c r="G15" i="14"/>
  <c r="J29" i="14"/>
  <c r="M17" i="14"/>
  <c r="M29" i="14"/>
  <c r="L29" i="14"/>
  <c r="G27" i="14"/>
  <c r="G105" i="12"/>
  <c r="K29" i="14"/>
  <c r="G106" i="12"/>
  <c r="G108" i="12"/>
  <c r="N17" i="14"/>
  <c r="H11" i="14"/>
  <c r="O17" i="14"/>
  <c r="H15" i="14"/>
  <c r="N29" i="14"/>
  <c r="H27" i="14"/>
  <c r="H105" i="12"/>
  <c r="H106" i="12"/>
  <c r="O29" i="14"/>
  <c r="H108" i="12"/>
  <c r="P17" i="14"/>
  <c r="I11" i="14"/>
  <c r="P29" i="14"/>
  <c r="I15" i="14"/>
  <c r="Q17" i="14"/>
  <c r="I105" i="12"/>
  <c r="I106" i="12"/>
  <c r="R17" i="14"/>
  <c r="Q29" i="14"/>
  <c r="I108" i="12"/>
  <c r="I27" i="14"/>
  <c r="J11" i="14"/>
  <c r="S17" i="14"/>
  <c r="R29" i="14"/>
  <c r="J15" i="14"/>
  <c r="J27" i="14"/>
  <c r="J106" i="12"/>
  <c r="J105" i="12"/>
  <c r="S29" i="14"/>
  <c r="T17" i="14"/>
  <c r="J108" i="12"/>
  <c r="K11" i="14"/>
  <c r="T29" i="14"/>
  <c r="K15" i="14"/>
  <c r="U17" i="14"/>
  <c r="K106" i="12"/>
  <c r="U29" i="14"/>
  <c r="K108" i="12"/>
  <c r="V17" i="14"/>
  <c r="K27" i="14"/>
  <c r="K105" i="12"/>
  <c r="L11" i="14"/>
  <c r="W17" i="14"/>
  <c r="L106" i="12"/>
  <c r="V29" i="14"/>
  <c r="L15" i="14"/>
  <c r="L27" i="14"/>
  <c r="L105" i="12"/>
  <c r="W29" i="14"/>
  <c r="L108" i="12"/>
  <c r="X17" i="14"/>
  <c r="M11" i="14"/>
  <c r="Y17" i="14"/>
  <c r="X29" i="14"/>
  <c r="M15" i="14"/>
  <c r="Y29" i="14"/>
  <c r="M27" i="14"/>
  <c r="M106" i="12"/>
  <c r="M105" i="12"/>
  <c r="M108" i="12"/>
  <c r="N11" i="14"/>
  <c r="N15" i="14"/>
  <c r="N105" i="12"/>
  <c r="N106" i="12"/>
  <c r="N108" i="12"/>
  <c r="N27" i="14"/>
  <c r="O11" i="14"/>
  <c r="O15" i="14"/>
  <c r="O106" i="12"/>
  <c r="O105" i="12"/>
  <c r="O108" i="12"/>
  <c r="O27" i="14"/>
  <c r="P11" i="14"/>
  <c r="P15" i="14"/>
  <c r="P27" i="14"/>
  <c r="P106" i="12"/>
  <c r="P105" i="12"/>
  <c r="P108" i="12"/>
  <c r="Q11" i="14"/>
  <c r="Q15" i="14"/>
  <c r="Q105" i="12"/>
  <c r="Q27" i="14"/>
  <c r="Q108" i="12"/>
  <c r="Q106" i="12"/>
  <c r="R11" i="14"/>
  <c r="R15" i="14"/>
  <c r="R27" i="14"/>
  <c r="R106" i="12"/>
  <c r="R105" i="12"/>
  <c r="R108" i="12"/>
  <c r="S11" i="14"/>
  <c r="S15" i="14"/>
  <c r="S27" i="14"/>
  <c r="S105" i="12"/>
  <c r="S106" i="12"/>
  <c r="S108" i="12"/>
  <c r="T11" i="14"/>
  <c r="T15" i="14"/>
  <c r="T27" i="14"/>
  <c r="T108" i="12"/>
  <c r="T106" i="12"/>
  <c r="T105" i="12"/>
  <c r="U11" i="14"/>
  <c r="U15" i="14"/>
  <c r="U27" i="14"/>
  <c r="U105" i="12"/>
  <c r="U108" i="12"/>
  <c r="U106" i="12"/>
  <c r="V11" i="14"/>
  <c r="V15" i="14"/>
  <c r="V105" i="12"/>
  <c r="V108" i="12"/>
  <c r="V27" i="14"/>
  <c r="V106" i="12"/>
  <c r="W11" i="14"/>
  <c r="W15" i="14"/>
  <c r="W27" i="14"/>
  <c r="W105" i="12"/>
  <c r="W106" i="12"/>
  <c r="W108" i="12"/>
  <c r="X11" i="14"/>
  <c r="X15" i="14"/>
  <c r="X105" i="12"/>
  <c r="X108" i="12"/>
  <c r="X106" i="12"/>
  <c r="X27" i="14"/>
  <c r="Y11" i="14"/>
  <c r="Y15" i="14"/>
  <c r="D120" i="12"/>
  <c r="Y27" i="14"/>
  <c r="Y105" i="12"/>
  <c r="D122" i="12"/>
  <c r="D119" i="12"/>
  <c r="Y106" i="12"/>
  <c r="Y108" i="12"/>
  <c r="U6" i="16"/>
  <c r="S6" i="16"/>
  <c r="T6" i="16"/>
  <c r="D16" i="13" l="1"/>
  <c r="D18" i="13" s="1"/>
  <c r="E14" i="13" s="1"/>
  <c r="D9" i="12"/>
  <c r="C33" i="14"/>
  <c r="D7" i="12"/>
  <c r="F7" i="12" s="1"/>
  <c r="H7" i="12" s="1"/>
  <c r="D8" i="12"/>
  <c r="D5" i="12"/>
  <c r="C11" i="14"/>
  <c r="C9" i="14" s="1"/>
  <c r="C29" i="14"/>
  <c r="C15" i="14"/>
  <c r="C7" i="16"/>
  <c r="D6" i="12"/>
  <c r="C27" i="14"/>
  <c r="C17" i="14"/>
  <c r="E16" i="13" l="1"/>
  <c r="E17" i="13"/>
  <c r="G9" i="12"/>
  <c r="G123" i="12"/>
  <c r="E5" i="12"/>
  <c r="F5" i="12" s="1"/>
  <c r="E119" i="12"/>
  <c r="F119" i="12" s="1"/>
  <c r="C25" i="14"/>
  <c r="C13" i="14"/>
  <c r="C19" i="14"/>
  <c r="G5" i="12"/>
  <c r="G6" i="12"/>
  <c r="G119" i="12"/>
  <c r="G120" i="12"/>
  <c r="G8" i="12"/>
  <c r="G122" i="12"/>
  <c r="E18" i="13" l="1"/>
  <c r="F14" i="13" s="1"/>
  <c r="F17" i="13" s="1"/>
  <c r="E8" i="12"/>
  <c r="F8" i="12" s="1"/>
  <c r="H8" i="12" s="1"/>
  <c r="E122" i="12"/>
  <c r="F122" i="12" s="1"/>
  <c r="H122" i="12" s="1"/>
  <c r="E6" i="12"/>
  <c r="F6" i="12" s="1"/>
  <c r="H6" i="12" s="1"/>
  <c r="E120" i="12"/>
  <c r="F120" i="12" s="1"/>
  <c r="H120" i="12" s="1"/>
  <c r="H5" i="12"/>
  <c r="H119" i="12"/>
  <c r="F16" i="13" l="1"/>
  <c r="F18" i="13" s="1"/>
  <c r="G14" i="13" s="1"/>
  <c r="G16" i="13" s="1"/>
  <c r="B2" i="12"/>
  <c r="G17" i="13" l="1"/>
  <c r="G18" i="13"/>
  <c r="H14" i="13" s="1"/>
  <c r="H16" i="13" s="1"/>
  <c r="J96" i="5" l="1"/>
  <c r="M96" i="5"/>
  <c r="N96" i="5" s="1"/>
  <c r="J100" i="5"/>
  <c r="M100" i="5"/>
  <c r="N100" i="5" s="1"/>
  <c r="J99" i="5"/>
  <c r="M99" i="5"/>
  <c r="N99" i="5" s="1"/>
  <c r="M95" i="5"/>
  <c r="N95" i="5" s="1"/>
  <c r="J95" i="5"/>
  <c r="J97" i="5"/>
  <c r="M97" i="5"/>
  <c r="N97" i="5" s="1"/>
  <c r="M98" i="5"/>
  <c r="N98" i="5" s="1"/>
  <c r="J98" i="5"/>
  <c r="M94" i="5"/>
  <c r="N94" i="5" s="1"/>
  <c r="J94" i="5"/>
  <c r="M93" i="5"/>
  <c r="N93" i="5" s="1"/>
  <c r="J93" i="5"/>
  <c r="M102" i="5"/>
  <c r="N102" i="5" s="1"/>
  <c r="J102" i="5"/>
  <c r="M101" i="5"/>
  <c r="N101" i="5" s="1"/>
  <c r="J101" i="5"/>
  <c r="J103" i="5"/>
  <c r="M103" i="5"/>
  <c r="N103" i="5" s="1"/>
  <c r="H17" i="13"/>
  <c r="H18" i="13" s="1"/>
  <c r="I14" i="13" s="1"/>
  <c r="I17" i="13" l="1"/>
  <c r="I16" i="13"/>
  <c r="I18" i="13" l="1"/>
  <c r="J14" i="13" s="1"/>
  <c r="J16" i="13" l="1"/>
  <c r="J17" i="13"/>
  <c r="J18" i="13" l="1"/>
  <c r="K14" i="13" s="1"/>
  <c r="K17" i="13" l="1"/>
  <c r="K16" i="13"/>
  <c r="K18" i="13" l="1"/>
  <c r="L14" i="13" s="1"/>
  <c r="L16" i="13" l="1"/>
  <c r="L17" i="13"/>
  <c r="L18" i="13" l="1"/>
  <c r="M14" i="13" s="1"/>
  <c r="M16" i="13" l="1"/>
  <c r="M17" i="13"/>
  <c r="M18" i="13" l="1"/>
  <c r="N14" i="13" s="1"/>
  <c r="N16" i="13" l="1"/>
  <c r="N17" i="13"/>
  <c r="N18" i="13" l="1"/>
  <c r="O14" i="13" s="1"/>
  <c r="O17" i="13" s="1"/>
  <c r="O16" i="13" l="1"/>
  <c r="O18" i="13" s="1"/>
  <c r="P14" i="13" s="1"/>
  <c r="P16" i="13" l="1"/>
  <c r="P17" i="13"/>
  <c r="P18" i="13" l="1"/>
  <c r="Q14" i="13" s="1"/>
  <c r="Q16" i="13" l="1"/>
  <c r="Q17" i="13"/>
  <c r="Q18" i="13" l="1"/>
  <c r="R14" i="13" s="1"/>
  <c r="R16" i="13" l="1"/>
  <c r="R17" i="13"/>
  <c r="R18" i="13" l="1"/>
  <c r="S14" i="13" s="1"/>
  <c r="S17" i="13" l="1"/>
  <c r="S16" i="13"/>
  <c r="S18" i="13" l="1"/>
  <c r="T14" i="13" s="1"/>
  <c r="T16" i="13" l="1"/>
  <c r="T17" i="13"/>
  <c r="T18" i="13" l="1"/>
  <c r="U14" i="13" s="1"/>
  <c r="U17" i="13" l="1"/>
  <c r="U16" i="13"/>
  <c r="U18" i="13" l="1"/>
  <c r="V14" i="13" s="1"/>
  <c r="V16" i="13" l="1"/>
  <c r="V17" i="13"/>
  <c r="V18" i="13" l="1"/>
  <c r="W14" i="13" s="1"/>
  <c r="W17" i="13" l="1"/>
  <c r="W16" i="13"/>
  <c r="W18" i="13" l="1"/>
  <c r="X14" i="13" s="1"/>
  <c r="X17" i="13" l="1"/>
  <c r="X16" i="13"/>
  <c r="X18" i="13" l="1"/>
  <c r="Y14" i="13" s="1"/>
  <c r="Y17" i="13" l="1"/>
  <c r="Y16" i="13"/>
  <c r="Y18" i="13" l="1"/>
  <c r="B10" i="13" s="1"/>
  <c r="A17" i="10" l="1"/>
  <c r="A22" i="10"/>
  <c r="C22" i="10"/>
  <c r="C30" i="10"/>
  <c r="A30" i="10"/>
  <c r="C64" i="10"/>
  <c r="A64" i="10"/>
  <c r="C56" i="10"/>
  <c r="A56" i="10"/>
  <c r="C17" i="10"/>
  <c r="C43" i="10"/>
  <c r="A43" i="10"/>
  <c r="M60" i="5" l="1"/>
  <c r="N60" i="5" s="1"/>
  <c r="D56" i="10" s="1"/>
  <c r="B56" i="10"/>
  <c r="J60" i="5"/>
  <c r="A3" i="10"/>
  <c r="B43" i="10"/>
  <c r="J47" i="5"/>
  <c r="M47" i="5"/>
  <c r="N47" i="5" s="1"/>
  <c r="D43" i="10" s="1"/>
  <c r="A5" i="10"/>
  <c r="C5" i="10"/>
  <c r="C57" i="10"/>
  <c r="A57" i="10"/>
  <c r="A33" i="10"/>
  <c r="C33" i="10"/>
  <c r="C26" i="10"/>
  <c r="A26" i="10"/>
  <c r="C66" i="10"/>
  <c r="A66" i="10"/>
  <c r="C72" i="10"/>
  <c r="A72" i="10"/>
  <c r="C34" i="10"/>
  <c r="A34" i="10"/>
  <c r="A40" i="10"/>
  <c r="C40" i="10"/>
  <c r="C50" i="10"/>
  <c r="A50" i="10"/>
  <c r="C58" i="10"/>
  <c r="A58" i="10"/>
  <c r="A71" i="10"/>
  <c r="C71" i="10"/>
  <c r="C15" i="10"/>
  <c r="A15" i="10"/>
  <c r="A63" i="10"/>
  <c r="C63" i="10"/>
  <c r="C51" i="10"/>
  <c r="A51" i="10"/>
  <c r="A10" i="10"/>
  <c r="C10" i="10"/>
  <c r="C29" i="10"/>
  <c r="A29" i="10"/>
  <c r="B30" i="10"/>
  <c r="J34" i="5"/>
  <c r="M34" i="5"/>
  <c r="N34" i="5" s="1"/>
  <c r="D30" i="10" s="1"/>
  <c r="B22" i="10"/>
  <c r="M26" i="5"/>
  <c r="N26" i="5" s="1"/>
  <c r="D22" i="10" s="1"/>
  <c r="J26" i="5"/>
  <c r="C20" i="10"/>
  <c r="A20" i="10"/>
  <c r="A25" i="10"/>
  <c r="C25" i="10"/>
  <c r="C38" i="10"/>
  <c r="A38" i="10"/>
  <c r="C46" i="10"/>
  <c r="A46" i="10"/>
  <c r="C37" i="10"/>
  <c r="A37" i="10"/>
  <c r="C48" i="10"/>
  <c r="A48" i="10"/>
  <c r="C24" i="10"/>
  <c r="A24" i="10"/>
  <c r="C68" i="10"/>
  <c r="A68" i="10"/>
  <c r="A67" i="10"/>
  <c r="C67" i="10"/>
  <c r="C9" i="10"/>
  <c r="A9" i="10"/>
  <c r="A70" i="10"/>
  <c r="C70" i="10"/>
  <c r="C47" i="10"/>
  <c r="A47" i="10"/>
  <c r="C18" i="10"/>
  <c r="A18" i="10"/>
  <c r="C69" i="10"/>
  <c r="A69" i="10"/>
  <c r="C52" i="10"/>
  <c r="A52" i="10"/>
  <c r="B64" i="10"/>
  <c r="J68" i="5"/>
  <c r="M68" i="5"/>
  <c r="N68" i="5" s="1"/>
  <c r="D64" i="10" s="1"/>
  <c r="A75" i="10"/>
  <c r="C28" i="10"/>
  <c r="A28" i="10"/>
  <c r="C11" i="10"/>
  <c r="A11" i="10"/>
  <c r="A61" i="10"/>
  <c r="C61" i="10"/>
  <c r="A59" i="10"/>
  <c r="C59" i="10"/>
  <c r="A54" i="10"/>
  <c r="C54" i="10"/>
  <c r="A21" i="10"/>
  <c r="C21" i="10"/>
  <c r="C44" i="10"/>
  <c r="A44" i="10"/>
  <c r="A49" i="10"/>
  <c r="C49" i="10"/>
  <c r="C14" i="10"/>
  <c r="A14" i="10"/>
  <c r="A7" i="10"/>
  <c r="C7" i="10"/>
  <c r="C73" i="10"/>
  <c r="A73" i="10"/>
  <c r="C32" i="10"/>
  <c r="A32" i="10"/>
  <c r="C16" i="10"/>
  <c r="A16" i="10"/>
  <c r="C65" i="10"/>
  <c r="A65" i="10"/>
  <c r="A6" i="10"/>
  <c r="C6" i="10"/>
  <c r="C39" i="10"/>
  <c r="A39" i="10"/>
  <c r="A55" i="10"/>
  <c r="C55" i="10"/>
  <c r="A4" i="10"/>
  <c r="C4" i="10"/>
  <c r="C31" i="10"/>
  <c r="A31" i="10"/>
  <c r="A53" i="10"/>
  <c r="C53" i="10"/>
  <c r="A45" i="10"/>
  <c r="C45" i="10"/>
  <c r="A23" i="10"/>
  <c r="C23" i="10"/>
  <c r="A74" i="10"/>
  <c r="C13" i="10"/>
  <c r="A13" i="10"/>
  <c r="C27" i="10"/>
  <c r="A27" i="10"/>
  <c r="C12" i="10"/>
  <c r="A12" i="10"/>
  <c r="A60" i="10"/>
  <c r="C60" i="10"/>
  <c r="A41" i="10"/>
  <c r="C41" i="10"/>
  <c r="C8" i="10"/>
  <c r="A8" i="10"/>
  <c r="C42" i="10"/>
  <c r="A42" i="10"/>
  <c r="C36" i="10"/>
  <c r="A36" i="10"/>
  <c r="C62" i="10"/>
  <c r="A62" i="10"/>
  <c r="A19" i="10"/>
  <c r="C19" i="10"/>
  <c r="A35" i="10"/>
  <c r="C35" i="10"/>
  <c r="M21" i="5" l="1"/>
  <c r="N21" i="5" s="1"/>
  <c r="D17" i="10" s="1"/>
  <c r="B17" i="10"/>
  <c r="J21" i="5"/>
  <c r="J27" i="5"/>
  <c r="B23" i="10"/>
  <c r="M27" i="5"/>
  <c r="N27" i="5" s="1"/>
  <c r="D23" i="10" s="1"/>
  <c r="M35" i="5"/>
  <c r="N35" i="5" s="1"/>
  <c r="D31" i="10" s="1"/>
  <c r="B31" i="10"/>
  <c r="J35" i="5"/>
  <c r="B7" i="10"/>
  <c r="J11" i="5"/>
  <c r="M11" i="5"/>
  <c r="N11" i="5" s="1"/>
  <c r="D7" i="10" s="1"/>
  <c r="M18" i="5"/>
  <c r="N18" i="5" s="1"/>
  <c r="D14" i="10" s="1"/>
  <c r="B14" i="10"/>
  <c r="J18" i="5"/>
  <c r="J53" i="5"/>
  <c r="B49" i="10"/>
  <c r="M53" i="5"/>
  <c r="N53" i="5" s="1"/>
  <c r="D49" i="10" s="1"/>
  <c r="M92" i="5"/>
  <c r="N92" i="5" s="1"/>
  <c r="J92" i="5"/>
  <c r="J51" i="5"/>
  <c r="B47" i="10"/>
  <c r="M51" i="5"/>
  <c r="N51" i="5" s="1"/>
  <c r="D47" i="10" s="1"/>
  <c r="B68" i="10"/>
  <c r="M72" i="5"/>
  <c r="N72" i="5" s="1"/>
  <c r="D68" i="10" s="1"/>
  <c r="J72" i="5"/>
  <c r="M89" i="5"/>
  <c r="N89" i="5" s="1"/>
  <c r="J89" i="5"/>
  <c r="M87" i="5"/>
  <c r="N87" i="5" s="1"/>
  <c r="J87" i="5"/>
  <c r="J86" i="5"/>
  <c r="M86" i="5"/>
  <c r="N86" i="5" s="1"/>
  <c r="B10" i="10"/>
  <c r="M14" i="5"/>
  <c r="N14" i="5" s="1"/>
  <c r="D10" i="10" s="1"/>
  <c r="J14" i="5"/>
  <c r="B15" i="10"/>
  <c r="J19" i="5"/>
  <c r="M19" i="5"/>
  <c r="N19" i="5" s="1"/>
  <c r="D15" i="10" s="1"/>
  <c r="B71" i="10"/>
  <c r="M75" i="5"/>
  <c r="N75" i="5" s="1"/>
  <c r="D71" i="10" s="1"/>
  <c r="J75" i="5"/>
  <c r="M62" i="5"/>
  <c r="N62" i="5" s="1"/>
  <c r="D58" i="10" s="1"/>
  <c r="J62" i="5"/>
  <c r="B58" i="10"/>
  <c r="J9" i="5"/>
  <c r="B5" i="10"/>
  <c r="M9" i="5"/>
  <c r="N9" i="5" s="1"/>
  <c r="D5" i="10" s="1"/>
  <c r="H2" i="5"/>
  <c r="E2" i="5"/>
  <c r="J88" i="5"/>
  <c r="M88" i="5"/>
  <c r="N88" i="5" s="1"/>
  <c r="J91" i="5"/>
  <c r="M91" i="5"/>
  <c r="N91" i="5" s="1"/>
  <c r="M83" i="5"/>
  <c r="N83" i="5" s="1"/>
  <c r="J83" i="5"/>
  <c r="M45" i="5"/>
  <c r="N45" i="5" s="1"/>
  <c r="D41" i="10" s="1"/>
  <c r="J45" i="5"/>
  <c r="B41" i="10"/>
  <c r="M49" i="5"/>
  <c r="N49" i="5" s="1"/>
  <c r="D45" i="10" s="1"/>
  <c r="J49" i="5"/>
  <c r="B45" i="10"/>
  <c r="B4" i="10"/>
  <c r="M8" i="5"/>
  <c r="N8" i="5" s="1"/>
  <c r="D4" i="10" s="1"/>
  <c r="J8" i="5"/>
  <c r="M43" i="5"/>
  <c r="N43" i="5" s="1"/>
  <c r="D39" i="10" s="1"/>
  <c r="J43" i="5"/>
  <c r="B39" i="10"/>
  <c r="M10" i="5"/>
  <c r="N10" i="5" s="1"/>
  <c r="D6" i="10" s="1"/>
  <c r="B6" i="10"/>
  <c r="J10" i="5"/>
  <c r="B16" i="10"/>
  <c r="J20" i="5"/>
  <c r="M20" i="5"/>
  <c r="N20" i="5" s="1"/>
  <c r="D16" i="10" s="1"/>
  <c r="J36" i="5"/>
  <c r="B32" i="10"/>
  <c r="M36" i="5"/>
  <c r="N36" i="5" s="1"/>
  <c r="D32" i="10" s="1"/>
  <c r="B73" i="10"/>
  <c r="J77" i="5"/>
  <c r="M77" i="5"/>
  <c r="N77" i="5" s="1"/>
  <c r="D73" i="10" s="1"/>
  <c r="M48" i="5"/>
  <c r="N48" i="5" s="1"/>
  <c r="D44" i="10" s="1"/>
  <c r="J48" i="5"/>
  <c r="B44" i="10"/>
  <c r="B59" i="10"/>
  <c r="M63" i="5"/>
  <c r="N63" i="5" s="1"/>
  <c r="D59" i="10" s="1"/>
  <c r="J63" i="5"/>
  <c r="J13" i="5"/>
  <c r="B9" i="10"/>
  <c r="M13" i="5"/>
  <c r="N13" i="5" s="1"/>
  <c r="D9" i="10" s="1"/>
  <c r="B37" i="10"/>
  <c r="J41" i="5"/>
  <c r="M41" i="5"/>
  <c r="N41" i="5" s="1"/>
  <c r="D37" i="10" s="1"/>
  <c r="B46" i="10"/>
  <c r="M50" i="5"/>
  <c r="N50" i="5" s="1"/>
  <c r="D46" i="10" s="1"/>
  <c r="J50" i="5"/>
  <c r="B38" i="10"/>
  <c r="J42" i="5"/>
  <c r="M42" i="5"/>
  <c r="N42" i="5" s="1"/>
  <c r="D38" i="10" s="1"/>
  <c r="J24" i="5"/>
  <c r="B20" i="10"/>
  <c r="M24" i="5"/>
  <c r="N24" i="5" s="1"/>
  <c r="D20" i="10" s="1"/>
  <c r="J55" i="5"/>
  <c r="B51" i="10"/>
  <c r="M55" i="5"/>
  <c r="N55" i="5" s="1"/>
  <c r="D51" i="10" s="1"/>
  <c r="M67" i="5"/>
  <c r="N67" i="5" s="1"/>
  <c r="D63" i="10" s="1"/>
  <c r="B63" i="10"/>
  <c r="J67" i="5"/>
  <c r="J54" i="5"/>
  <c r="M54" i="5"/>
  <c r="N54" i="5" s="1"/>
  <c r="D50" i="10" s="1"/>
  <c r="B50" i="10"/>
  <c r="M90" i="5"/>
  <c r="N90" i="5" s="1"/>
  <c r="J90" i="5"/>
  <c r="J76" i="5"/>
  <c r="M76" i="5"/>
  <c r="N76" i="5" s="1"/>
  <c r="D72" i="10" s="1"/>
  <c r="B72" i="10"/>
  <c r="M82" i="5"/>
  <c r="N82" i="5" s="1"/>
  <c r="J82" i="5"/>
  <c r="B2" i="5"/>
  <c r="F2" i="5"/>
  <c r="E8" i="8"/>
  <c r="E3" i="8" s="1"/>
  <c r="C10" i="7"/>
  <c r="C16" i="7" s="1"/>
  <c r="F7" i="8"/>
  <c r="C8" i="8"/>
  <c r="G8" i="8"/>
  <c r="G3" i="8" s="1"/>
  <c r="D10" i="7"/>
  <c r="D16" i="7" s="1"/>
  <c r="D7" i="8"/>
  <c r="G7" i="8"/>
  <c r="F8" i="8"/>
  <c r="F3" i="8" s="1"/>
  <c r="C8" i="7"/>
  <c r="C14" i="7" s="1"/>
  <c r="E7" i="8"/>
  <c r="C7" i="8"/>
  <c r="D9" i="7"/>
  <c r="D15" i="7" s="1"/>
  <c r="D8" i="8"/>
  <c r="D3" i="8" s="1"/>
  <c r="C3" i="10"/>
  <c r="C9" i="7"/>
  <c r="C15" i="7" s="1"/>
  <c r="D8" i="7"/>
  <c r="D14" i="7" s="1"/>
  <c r="B35" i="10"/>
  <c r="M39" i="5"/>
  <c r="N39" i="5" s="1"/>
  <c r="D35" i="10" s="1"/>
  <c r="J39" i="5"/>
  <c r="M46" i="5"/>
  <c r="N46" i="5" s="1"/>
  <c r="D42" i="10" s="1"/>
  <c r="B42" i="10"/>
  <c r="J46" i="5"/>
  <c r="B62" i="10"/>
  <c r="J66" i="5"/>
  <c r="M66" i="5"/>
  <c r="N66" i="5" s="1"/>
  <c r="D62" i="10" s="1"/>
  <c r="B8" i="10"/>
  <c r="J12" i="5"/>
  <c r="M12" i="5"/>
  <c r="N12" i="5" s="1"/>
  <c r="D8" i="10" s="1"/>
  <c r="J17" i="5"/>
  <c r="B13" i="10"/>
  <c r="M17" i="5"/>
  <c r="N17" i="5" s="1"/>
  <c r="D13" i="10" s="1"/>
  <c r="J78" i="5"/>
  <c r="M78" i="5"/>
  <c r="N78" i="5" s="1"/>
  <c r="M57" i="5"/>
  <c r="N57" i="5" s="1"/>
  <c r="D53" i="10" s="1"/>
  <c r="J57" i="5"/>
  <c r="B53" i="10"/>
  <c r="J59" i="5"/>
  <c r="B55" i="10"/>
  <c r="M59" i="5"/>
  <c r="N59" i="5" s="1"/>
  <c r="D55" i="10" s="1"/>
  <c r="M80" i="5"/>
  <c r="N80" i="5" s="1"/>
  <c r="J80" i="5"/>
  <c r="B61" i="10"/>
  <c r="J65" i="5"/>
  <c r="M65" i="5"/>
  <c r="N65" i="5" s="1"/>
  <c r="D61" i="10" s="1"/>
  <c r="J15" i="5"/>
  <c r="B11" i="10"/>
  <c r="M15" i="5"/>
  <c r="N15" i="5" s="1"/>
  <c r="D11" i="10" s="1"/>
  <c r="J56" i="5"/>
  <c r="M56" i="5"/>
  <c r="N56" i="5" s="1"/>
  <c r="D52" i="10" s="1"/>
  <c r="B52" i="10"/>
  <c r="J73" i="5"/>
  <c r="M73" i="5"/>
  <c r="N73" i="5" s="1"/>
  <c r="D69" i="10" s="1"/>
  <c r="B69" i="10"/>
  <c r="J29" i="5"/>
  <c r="B25" i="10"/>
  <c r="M29" i="5"/>
  <c r="N29" i="5" s="1"/>
  <c r="D25" i="10" s="1"/>
  <c r="J33" i="5"/>
  <c r="B29" i="10"/>
  <c r="M33" i="5"/>
  <c r="N33" i="5" s="1"/>
  <c r="D29" i="10" s="1"/>
  <c r="M81" i="5"/>
  <c r="N81" i="5" s="1"/>
  <c r="J81" i="5"/>
  <c r="M38" i="5"/>
  <c r="N38" i="5" s="1"/>
  <c r="D34" i="10" s="1"/>
  <c r="B34" i="10"/>
  <c r="J38" i="5"/>
  <c r="M37" i="5"/>
  <c r="N37" i="5" s="1"/>
  <c r="D33" i="10" s="1"/>
  <c r="B33" i="10"/>
  <c r="J37" i="5"/>
  <c r="J61" i="5"/>
  <c r="B57" i="10"/>
  <c r="M61" i="5"/>
  <c r="N61" i="5" s="1"/>
  <c r="D57" i="10" s="1"/>
  <c r="C2" i="5"/>
  <c r="M23" i="5"/>
  <c r="N23" i="5" s="1"/>
  <c r="D19" i="10" s="1"/>
  <c r="B19" i="10"/>
  <c r="J23" i="5"/>
  <c r="B36" i="10"/>
  <c r="M40" i="5"/>
  <c r="N40" i="5" s="1"/>
  <c r="D36" i="10" s="1"/>
  <c r="J40" i="5"/>
  <c r="M64" i="5"/>
  <c r="N64" i="5" s="1"/>
  <c r="D60" i="10" s="1"/>
  <c r="J64" i="5"/>
  <c r="B60" i="10"/>
  <c r="J16" i="5"/>
  <c r="M16" i="5"/>
  <c r="N16" i="5" s="1"/>
  <c r="D12" i="10" s="1"/>
  <c r="B12" i="10"/>
  <c r="B27" i="10"/>
  <c r="J31" i="5"/>
  <c r="M31" i="5"/>
  <c r="N31" i="5" s="1"/>
  <c r="D27" i="10" s="1"/>
  <c r="J69" i="5"/>
  <c r="B65" i="10"/>
  <c r="M69" i="5"/>
  <c r="N69" i="5" s="1"/>
  <c r="D65" i="10" s="1"/>
  <c r="M25" i="5"/>
  <c r="N25" i="5" s="1"/>
  <c r="D21" i="10" s="1"/>
  <c r="J25" i="5"/>
  <c r="B21" i="10"/>
  <c r="B54" i="10"/>
  <c r="J58" i="5"/>
  <c r="M58" i="5"/>
  <c r="N58" i="5" s="1"/>
  <c r="D54" i="10" s="1"/>
  <c r="J32" i="5"/>
  <c r="B28" i="10"/>
  <c r="M32" i="5"/>
  <c r="N32" i="5" s="1"/>
  <c r="D28" i="10" s="1"/>
  <c r="M79" i="5"/>
  <c r="N79" i="5" s="1"/>
  <c r="J79" i="5"/>
  <c r="J84" i="5"/>
  <c r="M84" i="5"/>
  <c r="N84" i="5" s="1"/>
  <c r="B18" i="10"/>
  <c r="M22" i="5"/>
  <c r="N22" i="5" s="1"/>
  <c r="D18" i="10" s="1"/>
  <c r="J22" i="5"/>
  <c r="M74" i="5"/>
  <c r="N74" i="5" s="1"/>
  <c r="D70" i="10" s="1"/>
  <c r="B70" i="10"/>
  <c r="J74" i="5"/>
  <c r="M71" i="5"/>
  <c r="N71" i="5" s="1"/>
  <c r="D67" i="10" s="1"/>
  <c r="B67" i="10"/>
  <c r="J71" i="5"/>
  <c r="B24" i="10"/>
  <c r="J28" i="5"/>
  <c r="M28" i="5"/>
  <c r="N28" i="5" s="1"/>
  <c r="D24" i="10" s="1"/>
  <c r="M52" i="5"/>
  <c r="N52" i="5" s="1"/>
  <c r="D48" i="10" s="1"/>
  <c r="B48" i="10"/>
  <c r="J52" i="5"/>
  <c r="M44" i="5"/>
  <c r="N44" i="5" s="1"/>
  <c r="D40" i="10" s="1"/>
  <c r="B40" i="10"/>
  <c r="J44" i="5"/>
  <c r="M70" i="5"/>
  <c r="N70" i="5" s="1"/>
  <c r="D66" i="10" s="1"/>
  <c r="B66" i="10"/>
  <c r="J70" i="5"/>
  <c r="J30" i="5"/>
  <c r="M30" i="5"/>
  <c r="N30" i="5" s="1"/>
  <c r="D26" i="10" s="1"/>
  <c r="B26" i="10"/>
  <c r="M85" i="5"/>
  <c r="N85" i="5" s="1"/>
  <c r="J85" i="5"/>
  <c r="B3" i="10"/>
  <c r="D2" i="5"/>
  <c r="M7" i="5"/>
  <c r="N7" i="5" s="1"/>
  <c r="D3" i="10" s="1"/>
  <c r="J7" i="5"/>
  <c r="G2" i="5"/>
  <c r="C3" i="7" l="1"/>
  <c r="D4" i="7"/>
  <c r="C4" i="7"/>
  <c r="D3" i="7"/>
  <c r="L2" i="5"/>
  <c r="C9" i="8"/>
  <c r="I7" i="8"/>
  <c r="C2" i="8"/>
  <c r="G9" i="8"/>
  <c r="G2" i="8"/>
  <c r="I8" i="8"/>
  <c r="C3" i="8"/>
  <c r="K7" i="10"/>
  <c r="K21" i="10"/>
  <c r="K5" i="10"/>
  <c r="K11" i="10"/>
  <c r="K15" i="10"/>
  <c r="K14" i="10"/>
  <c r="K12" i="10"/>
  <c r="K10" i="10"/>
  <c r="K19" i="10"/>
  <c r="K17" i="10"/>
  <c r="K8" i="10"/>
  <c r="K6" i="10"/>
  <c r="K16" i="10"/>
  <c r="K4" i="10"/>
  <c r="K9" i="10"/>
  <c r="K3" i="10"/>
  <c r="K13" i="10"/>
  <c r="K20" i="10"/>
  <c r="K18" i="10"/>
  <c r="C14" i="8"/>
  <c r="J2" i="5"/>
  <c r="E9" i="8"/>
  <c r="E2" i="8"/>
  <c r="D9" i="8"/>
  <c r="D2" i="8"/>
  <c r="F9" i="8"/>
  <c r="F2" i="8"/>
  <c r="E14" i="8"/>
  <c r="F14" i="8"/>
  <c r="G24" i="10"/>
  <c r="F24" i="10" s="1"/>
  <c r="H24" i="10" s="1"/>
  <c r="G37" i="10"/>
  <c r="F37" i="10" s="1"/>
  <c r="H37" i="10" s="1"/>
  <c r="G15" i="10"/>
  <c r="F15" i="10" s="1"/>
  <c r="H15" i="10" s="1"/>
  <c r="G61" i="10"/>
  <c r="F61" i="10" s="1"/>
  <c r="H61" i="10" s="1"/>
  <c r="G63" i="10"/>
  <c r="F63" i="10" s="1"/>
  <c r="H63" i="10" s="1"/>
  <c r="G23" i="10"/>
  <c r="F23" i="10" s="1"/>
  <c r="H23" i="10" s="1"/>
  <c r="G41" i="10"/>
  <c r="F41" i="10" s="1"/>
  <c r="H41" i="10" s="1"/>
  <c r="G55" i="10"/>
  <c r="F55" i="10" s="1"/>
  <c r="H55" i="10" s="1"/>
  <c r="G11" i="10"/>
  <c r="F11" i="10" s="1"/>
  <c r="H11" i="10" s="1"/>
  <c r="G7" i="10"/>
  <c r="F7" i="10" s="1"/>
  <c r="H7" i="10" s="1"/>
  <c r="G38" i="10"/>
  <c r="F38" i="10" s="1"/>
  <c r="H38" i="10" s="1"/>
  <c r="G4" i="10"/>
  <c r="F4" i="10" s="1"/>
  <c r="H4" i="10" s="1"/>
  <c r="G59" i="10"/>
  <c r="F59" i="10" s="1"/>
  <c r="H59" i="10" s="1"/>
  <c r="G25" i="10"/>
  <c r="F25" i="10" s="1"/>
  <c r="H25" i="10" s="1"/>
  <c r="G19" i="10"/>
  <c r="F19" i="10" s="1"/>
  <c r="H19" i="10" s="1"/>
  <c r="G54" i="10"/>
  <c r="F54" i="10" s="1"/>
  <c r="H54" i="10" s="1"/>
  <c r="G35" i="10"/>
  <c r="F35" i="10" s="1"/>
  <c r="H35" i="10" s="1"/>
  <c r="G30" i="10"/>
  <c r="F30" i="10" s="1"/>
  <c r="H30" i="10" s="1"/>
  <c r="G3" i="10"/>
  <c r="G14" i="10"/>
  <c r="F14" i="10" s="1"/>
  <c r="H14" i="10" s="1"/>
  <c r="G60" i="10"/>
  <c r="F60" i="10" s="1"/>
  <c r="H60" i="10" s="1"/>
  <c r="G48" i="10"/>
  <c r="F48" i="10" s="1"/>
  <c r="H48" i="10" s="1"/>
  <c r="G56" i="10"/>
  <c r="F56" i="10" s="1"/>
  <c r="H56" i="10" s="1"/>
  <c r="G34" i="10"/>
  <c r="F34" i="10" s="1"/>
  <c r="H34" i="10" s="1"/>
  <c r="G40" i="10"/>
  <c r="F40" i="10" s="1"/>
  <c r="H40" i="10" s="1"/>
  <c r="G36" i="10"/>
  <c r="F36" i="10" s="1"/>
  <c r="H36" i="10" s="1"/>
  <c r="G52" i="10"/>
  <c r="F52" i="10" s="1"/>
  <c r="H52" i="10" s="1"/>
  <c r="G58" i="10"/>
  <c r="F58" i="10" s="1"/>
  <c r="H58" i="10" s="1"/>
  <c r="G31" i="10"/>
  <c r="F31" i="10" s="1"/>
  <c r="H31" i="10" s="1"/>
  <c r="G10" i="10"/>
  <c r="F10" i="10" s="1"/>
  <c r="H10" i="10" s="1"/>
  <c r="G51" i="10"/>
  <c r="F51" i="10" s="1"/>
  <c r="H51" i="10" s="1"/>
  <c r="G42" i="10"/>
  <c r="F42" i="10" s="1"/>
  <c r="H42" i="10" s="1"/>
  <c r="G13" i="10"/>
  <c r="F13" i="10" s="1"/>
  <c r="H13" i="10" s="1"/>
  <c r="G50" i="10"/>
  <c r="F50" i="10" s="1"/>
  <c r="H50" i="10" s="1"/>
  <c r="G20" i="10"/>
  <c r="F20" i="10" s="1"/>
  <c r="H20" i="10" s="1"/>
  <c r="G28" i="10"/>
  <c r="F28" i="10" s="1"/>
  <c r="H28" i="10" s="1"/>
  <c r="G57" i="10"/>
  <c r="F57" i="10" s="1"/>
  <c r="H57" i="10" s="1"/>
  <c r="G65" i="10"/>
  <c r="F65" i="10" s="1"/>
  <c r="H65" i="10" s="1"/>
  <c r="G32" i="10"/>
  <c r="F32" i="10" s="1"/>
  <c r="H32" i="10" s="1"/>
  <c r="G53" i="10"/>
  <c r="F53" i="10" s="1"/>
  <c r="H53" i="10" s="1"/>
  <c r="G45" i="10"/>
  <c r="F45" i="10" s="1"/>
  <c r="H45" i="10" s="1"/>
  <c r="G44" i="10"/>
  <c r="F44" i="10" s="1"/>
  <c r="H44" i="10" s="1"/>
  <c r="G49" i="10"/>
  <c r="F49" i="10" s="1"/>
  <c r="H49" i="10" s="1"/>
  <c r="G64" i="10"/>
  <c r="F64" i="10" s="1"/>
  <c r="H64" i="10" s="1"/>
  <c r="G68" i="10"/>
  <c r="F68" i="10" s="1"/>
  <c r="H68" i="10" s="1"/>
  <c r="G69" i="10"/>
  <c r="F69" i="10" s="1"/>
  <c r="H69" i="10" s="1"/>
  <c r="G62" i="10"/>
  <c r="F62" i="10" s="1"/>
  <c r="H62" i="10" s="1"/>
  <c r="G27" i="10"/>
  <c r="F27" i="10" s="1"/>
  <c r="H27" i="10" s="1"/>
  <c r="G12" i="10"/>
  <c r="F12" i="10" s="1"/>
  <c r="H12" i="10" s="1"/>
  <c r="G8" i="10"/>
  <c r="F8" i="10" s="1"/>
  <c r="H8" i="10" s="1"/>
  <c r="G22" i="10"/>
  <c r="F22" i="10" s="1"/>
  <c r="H22" i="10" s="1"/>
  <c r="G17" i="10"/>
  <c r="F17" i="10" s="1"/>
  <c r="H17" i="10" s="1"/>
  <c r="B1" i="10"/>
  <c r="G5" i="10"/>
  <c r="F5" i="10" s="1"/>
  <c r="H5" i="10" s="1"/>
  <c r="G9" i="10"/>
  <c r="F9" i="10" s="1"/>
  <c r="H9" i="10" s="1"/>
  <c r="G26" i="10"/>
  <c r="F26" i="10" s="1"/>
  <c r="H26" i="10" s="1"/>
  <c r="G39" i="10"/>
  <c r="F39" i="10" s="1"/>
  <c r="H39" i="10" s="1"/>
  <c r="G21" i="10"/>
  <c r="F21" i="10" s="1"/>
  <c r="H21" i="10" s="1"/>
  <c r="G66" i="10"/>
  <c r="F66" i="10" s="1"/>
  <c r="H66" i="10" s="1"/>
  <c r="G16" i="10"/>
  <c r="F16" i="10" s="1"/>
  <c r="H16" i="10" s="1"/>
  <c r="G47" i="10"/>
  <c r="F47" i="10" s="1"/>
  <c r="H47" i="10" s="1"/>
  <c r="G29" i="10"/>
  <c r="F29" i="10" s="1"/>
  <c r="H29" i="10" s="1"/>
  <c r="G43" i="10"/>
  <c r="F43" i="10" s="1"/>
  <c r="H43" i="10" s="1"/>
  <c r="G46" i="10"/>
  <c r="F46" i="10" s="1"/>
  <c r="H46" i="10" s="1"/>
  <c r="G18" i="10"/>
  <c r="F18" i="10" s="1"/>
  <c r="H18" i="10" s="1"/>
  <c r="G33" i="10"/>
  <c r="F33" i="10" s="1"/>
  <c r="H33" i="10" s="1"/>
  <c r="G67" i="10"/>
  <c r="F67" i="10" s="1"/>
  <c r="H67" i="10" s="1"/>
  <c r="G6" i="10"/>
  <c r="F6" i="10" s="1"/>
  <c r="H6" i="10" s="1"/>
  <c r="O23" i="11"/>
  <c r="C2" i="7"/>
  <c r="C11" i="7"/>
  <c r="C17" i="7" s="1"/>
  <c r="D14" i="8"/>
  <c r="D2" i="7"/>
  <c r="D11" i="7"/>
  <c r="D17" i="7" s="1"/>
  <c r="Q23" i="11"/>
  <c r="R23" i="11"/>
  <c r="P23" i="11"/>
  <c r="G14" i="8"/>
  <c r="D5" i="7" l="1"/>
  <c r="C5" i="7"/>
  <c r="D13" i="8"/>
  <c r="D15" i="8"/>
  <c r="G13" i="8"/>
  <c r="G15" i="8"/>
  <c r="Q22" i="11"/>
  <c r="F4" i="8"/>
  <c r="F4" i="11" s="1"/>
  <c r="F6" i="11" s="1"/>
  <c r="P22" i="11"/>
  <c r="E4" i="8"/>
  <c r="E4" i="11" s="1"/>
  <c r="E6" i="11" s="1"/>
  <c r="J5" i="5"/>
  <c r="O19" i="10"/>
  <c r="N19" i="10" s="1"/>
  <c r="O3" i="10"/>
  <c r="O18" i="10"/>
  <c r="N18" i="10" s="1"/>
  <c r="O20" i="10"/>
  <c r="N20" i="10" s="1"/>
  <c r="O4" i="10"/>
  <c r="N4" i="10" s="1"/>
  <c r="O7" i="10"/>
  <c r="N7" i="10" s="1"/>
  <c r="O8" i="10"/>
  <c r="N8" i="10" s="1"/>
  <c r="O17" i="10"/>
  <c r="N17" i="10" s="1"/>
  <c r="O13" i="10"/>
  <c r="N13" i="10" s="1"/>
  <c r="O12" i="10"/>
  <c r="N12" i="10" s="1"/>
  <c r="O21" i="10"/>
  <c r="N21" i="10" s="1"/>
  <c r="O5" i="10"/>
  <c r="N5" i="10" s="1"/>
  <c r="O9" i="10"/>
  <c r="N9" i="10" s="1"/>
  <c r="O11" i="10"/>
  <c r="N11" i="10" s="1"/>
  <c r="O10" i="10"/>
  <c r="N10" i="10" s="1"/>
  <c r="O16" i="10"/>
  <c r="N16" i="10" s="1"/>
  <c r="O15" i="10"/>
  <c r="N15" i="10" s="1"/>
  <c r="K1" i="10"/>
  <c r="O6" i="10"/>
  <c r="N6" i="10" s="1"/>
  <c r="O14" i="10"/>
  <c r="N14" i="10" s="1"/>
  <c r="N23" i="11"/>
  <c r="S23" i="11" s="1"/>
  <c r="I3" i="8"/>
  <c r="N22" i="11"/>
  <c r="C4" i="8"/>
  <c r="C4" i="11" s="1"/>
  <c r="I2" i="8"/>
  <c r="G1" i="10"/>
  <c r="F3" i="10"/>
  <c r="H3" i="10" s="1"/>
  <c r="F15" i="8"/>
  <c r="F13" i="8"/>
  <c r="E13" i="8"/>
  <c r="E15" i="8"/>
  <c r="O22" i="11"/>
  <c r="D4" i="8"/>
  <c r="D4" i="11" s="1"/>
  <c r="D6" i="11" s="1"/>
  <c r="R22" i="11"/>
  <c r="G4" i="8"/>
  <c r="G4" i="11" s="1"/>
  <c r="G6" i="11" s="1"/>
  <c r="C13" i="8"/>
  <c r="I9" i="8"/>
  <c r="C15" i="8"/>
  <c r="C6" i="11" l="1"/>
  <c r="H4" i="11"/>
  <c r="H6" i="11" s="1"/>
  <c r="R28" i="11"/>
  <c r="R24" i="11"/>
  <c r="R30" i="11" s="1"/>
  <c r="P28" i="11"/>
  <c r="P24" i="11"/>
  <c r="P30" i="11" s="1"/>
  <c r="I4" i="8"/>
  <c r="L1" i="10"/>
  <c r="N24" i="11"/>
  <c r="S22" i="11"/>
  <c r="O28" i="11"/>
  <c r="O24" i="11"/>
  <c r="O30" i="11" s="1"/>
  <c r="J77" i="11"/>
  <c r="P18" i="10"/>
  <c r="P5" i="10"/>
  <c r="P21" i="10"/>
  <c r="P11" i="10"/>
  <c r="J27" i="11"/>
  <c r="P6" i="10"/>
  <c r="P9" i="10"/>
  <c r="P10" i="10"/>
  <c r="N3" i="10"/>
  <c r="J12" i="11" s="1"/>
  <c r="P13" i="10"/>
  <c r="J37" i="11"/>
  <c r="P12" i="10"/>
  <c r="P7" i="10"/>
  <c r="J52" i="11"/>
  <c r="J72" i="11"/>
  <c r="J57" i="11"/>
  <c r="J67" i="11"/>
  <c r="P3" i="10"/>
  <c r="J42" i="11"/>
  <c r="P4" i="10"/>
  <c r="P17" i="10"/>
  <c r="P19" i="10"/>
  <c r="P20" i="10"/>
  <c r="P8" i="10"/>
  <c r="J32" i="11"/>
  <c r="P16" i="10"/>
  <c r="P15" i="10"/>
  <c r="P14" i="10"/>
  <c r="J47" i="11"/>
  <c r="J62" i="11"/>
  <c r="J22" i="11"/>
  <c r="J17" i="11"/>
  <c r="C17" i="11" s="1"/>
  <c r="Q28" i="11"/>
  <c r="Q24" i="11"/>
  <c r="Q30" i="11" s="1"/>
  <c r="C62" i="11" l="1"/>
  <c r="E62" i="11"/>
  <c r="D62" i="11"/>
  <c r="F62" i="11"/>
  <c r="G62" i="11"/>
  <c r="B59" i="11"/>
  <c r="G52" i="11"/>
  <c r="F52" i="11"/>
  <c r="D52" i="11"/>
  <c r="C52" i="11"/>
  <c r="B49" i="11"/>
  <c r="E52" i="11"/>
  <c r="F47" i="11"/>
  <c r="B44" i="11"/>
  <c r="G47" i="11"/>
  <c r="E47" i="11"/>
  <c r="D47" i="11"/>
  <c r="C47" i="11"/>
  <c r="B29" i="11"/>
  <c r="C32" i="11"/>
  <c r="D32" i="11"/>
  <c r="G32" i="11"/>
  <c r="E32" i="11"/>
  <c r="F32" i="11"/>
  <c r="D67" i="11"/>
  <c r="O29" i="11" s="1"/>
  <c r="G67" i="11"/>
  <c r="R29" i="11" s="1"/>
  <c r="E67" i="11"/>
  <c r="P29" i="11" s="1"/>
  <c r="B64" i="11"/>
  <c r="C67" i="11"/>
  <c r="N29" i="11" s="1"/>
  <c r="F67" i="11"/>
  <c r="Q29" i="11" s="1"/>
  <c r="C12" i="11"/>
  <c r="F12" i="11"/>
  <c r="G12" i="11"/>
  <c r="B9" i="11"/>
  <c r="E12" i="11"/>
  <c r="D12" i="11"/>
  <c r="F27" i="11"/>
  <c r="B24" i="11"/>
  <c r="E27" i="11"/>
  <c r="D27" i="11"/>
  <c r="G27" i="11"/>
  <c r="C27" i="11"/>
  <c r="N30" i="11"/>
  <c r="S30" i="11" s="1"/>
  <c r="S24" i="11"/>
  <c r="D17" i="11"/>
  <c r="F17" i="11"/>
  <c r="B14" i="11"/>
  <c r="E17" i="11"/>
  <c r="G17" i="11"/>
  <c r="B54" i="11"/>
  <c r="G57" i="11"/>
  <c r="E57" i="11"/>
  <c r="D57" i="11"/>
  <c r="C57" i="11"/>
  <c r="F57" i="11"/>
  <c r="B74" i="11"/>
  <c r="F77" i="11"/>
  <c r="D77" i="11"/>
  <c r="G77" i="11"/>
  <c r="E77" i="11"/>
  <c r="C77" i="11"/>
  <c r="G22" i="11"/>
  <c r="B19" i="11"/>
  <c r="F22" i="11"/>
  <c r="D22" i="11"/>
  <c r="E22" i="11"/>
  <c r="C22" i="11"/>
  <c r="F42" i="11"/>
  <c r="G42" i="11"/>
  <c r="D42" i="11"/>
  <c r="B39" i="11"/>
  <c r="E42" i="11"/>
  <c r="C42" i="11"/>
  <c r="F72" i="11"/>
  <c r="C72" i="11"/>
  <c r="G72" i="11"/>
  <c r="E72" i="11"/>
  <c r="D72" i="11"/>
  <c r="B69" i="11"/>
  <c r="B34" i="11"/>
  <c r="G37" i="11"/>
  <c r="F37" i="11"/>
  <c r="D37" i="11"/>
  <c r="C37" i="11"/>
  <c r="E37" i="11"/>
  <c r="S29" i="11" l="1"/>
  <c r="H52" i="11"/>
  <c r="H67" i="11"/>
  <c r="H77" i="11"/>
  <c r="H17" i="11"/>
  <c r="B52" i="11"/>
  <c r="B50" i="11"/>
  <c r="B77" i="11"/>
  <c r="B75" i="11"/>
  <c r="B67" i="11"/>
  <c r="B65" i="11"/>
  <c r="H32" i="11"/>
  <c r="B60" i="11"/>
  <c r="B62" i="11"/>
  <c r="B35" i="11"/>
  <c r="B37" i="11"/>
  <c r="H12" i="11"/>
  <c r="B32" i="11"/>
  <c r="B30" i="11"/>
  <c r="H62" i="11"/>
  <c r="H42" i="11"/>
  <c r="H37" i="11"/>
  <c r="B70" i="11"/>
  <c r="B72" i="11"/>
  <c r="H72" i="11"/>
  <c r="B42" i="11"/>
  <c r="B40" i="11"/>
  <c r="H22" i="11"/>
  <c r="B20" i="11"/>
  <c r="B22" i="11"/>
  <c r="H57" i="11"/>
  <c r="B55" i="11"/>
  <c r="B57" i="11"/>
  <c r="B17" i="11"/>
  <c r="B15" i="11"/>
  <c r="H27" i="11"/>
  <c r="B27" i="11"/>
  <c r="B25" i="11"/>
  <c r="B10" i="11"/>
  <c r="B12" i="11"/>
  <c r="H47" i="11"/>
  <c r="B45" i="11"/>
  <c r="B47" i="11"/>
  <c r="N28" i="11" l="1"/>
  <c r="S28" i="11" s="1"/>
  <c r="D35" i="14" l="1"/>
  <c r="S35" i="14"/>
  <c r="H35" i="14"/>
  <c r="O35" i="14"/>
  <c r="K35" i="14"/>
  <c r="X35" i="14"/>
  <c r="I35" i="14"/>
  <c r="W35" i="14"/>
  <c r="P35" i="14"/>
  <c r="L35" i="14"/>
  <c r="N35" i="14"/>
  <c r="V35" i="14"/>
  <c r="G35" i="14"/>
  <c r="R35" i="14"/>
  <c r="Q35" i="14"/>
  <c r="F35" i="14"/>
  <c r="M35" i="14"/>
  <c r="T35" i="14"/>
  <c r="J35" i="14"/>
  <c r="Y35" i="14"/>
  <c r="E35" i="14"/>
  <c r="U35" i="14"/>
  <c r="C35" i="14" l="1"/>
  <c r="C31" i="14" s="1"/>
  <c r="E9" i="12" l="1"/>
  <c r="F9" i="12" s="1"/>
  <c r="H9" i="12" s="1"/>
  <c r="E123" i="12"/>
  <c r="F123" i="12" s="1"/>
  <c r="H123" i="12" s="1"/>
  <c r="I9" i="12" l="1"/>
  <c r="I8" i="12"/>
  <c r="I6" i="12"/>
  <c r="I7" i="12"/>
  <c r="I5" i="12"/>
</calcChain>
</file>

<file path=xl/comments1.xml><?xml version="1.0" encoding="utf-8"?>
<comments xmlns="http://schemas.openxmlformats.org/spreadsheetml/2006/main">
  <authors>
    <author>Allen, Mark</author>
  </authors>
  <commentList>
    <comment ref="B40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Fy 21-Fy30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FY 31 - FY42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10% of annual average laboure/materials/other opex (5 years) divided by 15 phases 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Assumes that more modern IGBTs will save 10% in opex costs</t>
        </r>
      </text>
    </comment>
  </commentList>
</comments>
</file>

<file path=xl/comments2.xml><?xml version="1.0" encoding="utf-8"?>
<comments xmlns="http://schemas.openxmlformats.org/spreadsheetml/2006/main">
  <authors>
    <author>Allen, Mark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Management time estimate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Management time estimate</t>
        </r>
      </text>
    </comment>
  </commentList>
</comments>
</file>

<file path=xl/sharedStrings.xml><?xml version="1.0" encoding="utf-8"?>
<sst xmlns="http://schemas.openxmlformats.org/spreadsheetml/2006/main" count="581" uniqueCount="252">
  <si>
    <t>-</t>
  </si>
  <si>
    <t>Capital Expenditure Item</t>
  </si>
  <si>
    <t>FY 19</t>
  </si>
  <si>
    <t>FY 20</t>
  </si>
  <si>
    <t>FY 21</t>
  </si>
  <si>
    <t>FY 22</t>
  </si>
  <si>
    <t>FY 23</t>
  </si>
  <si>
    <t>FY 24</t>
  </si>
  <si>
    <t>FY 25</t>
  </si>
  <si>
    <t>Reliability</t>
  </si>
  <si>
    <t>Asset Class</t>
  </si>
  <si>
    <t>Converter Stations</t>
  </si>
  <si>
    <t xml:space="preserve">Transmission lines </t>
  </si>
  <si>
    <t xml:space="preserve">Easements </t>
  </si>
  <si>
    <t>Inflation Assumption</t>
  </si>
  <si>
    <t>Total</t>
  </si>
  <si>
    <t>($m real 2018)</t>
  </si>
  <si>
    <t>Project Number</t>
  </si>
  <si>
    <t>($m real 2020)</t>
  </si>
  <si>
    <t>$m nominal</t>
  </si>
  <si>
    <t>$m $2018</t>
  </si>
  <si>
    <t>Check Cell Difference</t>
  </si>
  <si>
    <t>Check</t>
  </si>
  <si>
    <t>Forecast Capex</t>
  </si>
  <si>
    <t>Adjusted for inflation</t>
  </si>
  <si>
    <t>Difference</t>
  </si>
  <si>
    <t>Project</t>
  </si>
  <si>
    <t>Order by Size</t>
  </si>
  <si>
    <t>Next TD Period</t>
  </si>
  <si>
    <t>Program</t>
  </si>
  <si>
    <t>Programs</t>
  </si>
  <si>
    <t>Regulatory</t>
  </si>
  <si>
    <t>Program Index</t>
  </si>
  <si>
    <t>By Size</t>
  </si>
  <si>
    <t>Total ($'000)</t>
  </si>
  <si>
    <t>Proportion of forecast capex</t>
  </si>
  <si>
    <t>Input</t>
  </si>
  <si>
    <t>Number of projects</t>
  </si>
  <si>
    <t>Table</t>
  </si>
  <si>
    <t>Year 1</t>
  </si>
  <si>
    <t>Year 2</t>
  </si>
  <si>
    <t>Year 3</t>
  </si>
  <si>
    <t>Year 4</t>
  </si>
  <si>
    <t>Year 5</t>
  </si>
  <si>
    <t>Historic capital expenditure</t>
  </si>
  <si>
    <t>Forecast capital expenditure</t>
  </si>
  <si>
    <t>Project Name</t>
  </si>
  <si>
    <t>Regulatory Reset (including stakeholder engagement)</t>
  </si>
  <si>
    <t>Replace All IGBTs and Equipment</t>
  </si>
  <si>
    <t>Staged Replacement</t>
  </si>
  <si>
    <t>Cannibalise</t>
  </si>
  <si>
    <t>$</t>
  </si>
  <si>
    <t>FY 26</t>
  </si>
  <si>
    <t>FY 27</t>
  </si>
  <si>
    <t>FY 28</t>
  </si>
  <si>
    <t>FY 29</t>
  </si>
  <si>
    <t>FY 30</t>
  </si>
  <si>
    <t>FY 31</t>
  </si>
  <si>
    <t>FY 32</t>
  </si>
  <si>
    <t>FY 33</t>
  </si>
  <si>
    <t>FY 34</t>
  </si>
  <si>
    <t>FY 35</t>
  </si>
  <si>
    <t>FY 36</t>
  </si>
  <si>
    <t>FY 37</t>
  </si>
  <si>
    <t>FY 38</t>
  </si>
  <si>
    <t>FY 39</t>
  </si>
  <si>
    <t>FY 40</t>
  </si>
  <si>
    <t>FY 41</t>
  </si>
  <si>
    <t>FY 42</t>
  </si>
  <si>
    <t>Failure Rate</t>
  </si>
  <si>
    <t>WACC</t>
  </si>
  <si>
    <t>Reclamation and Restoration</t>
  </si>
  <si>
    <t>Weighted Average Cost of Capital</t>
  </si>
  <si>
    <t>Timing</t>
  </si>
  <si>
    <t>Residual</t>
  </si>
  <si>
    <t>Recovery</t>
  </si>
  <si>
    <t>Return</t>
  </si>
  <si>
    <t>Closing Balance</t>
  </si>
  <si>
    <t>$m</t>
  </si>
  <si>
    <t>Reclamation and Restoration Cost (FV)</t>
  </si>
  <si>
    <t>Annual value provided (System 1)</t>
  </si>
  <si>
    <t>Annual value provided (System 2)</t>
  </si>
  <si>
    <t>Annual value provided (System 3)</t>
  </si>
  <si>
    <t>Maintenance opex per new system</t>
  </si>
  <si>
    <t>Inputs</t>
  </si>
  <si>
    <t>Cost</t>
  </si>
  <si>
    <t>Net Benefit</t>
  </si>
  <si>
    <t>NPV</t>
  </si>
  <si>
    <t>Opening balance</t>
  </si>
  <si>
    <t>Site Restoration</t>
  </si>
  <si>
    <t>Data used in document</t>
  </si>
  <si>
    <t>Value of statistical life</t>
  </si>
  <si>
    <t>Value of life in 2007</t>
  </si>
  <si>
    <t>CPI Index Jun 2007</t>
  </si>
  <si>
    <t>CPI index Mar 2018</t>
  </si>
  <si>
    <t>Forecast CPI</t>
  </si>
  <si>
    <t>CPI Mar 2020</t>
  </si>
  <si>
    <t>Inflation adjustment</t>
  </si>
  <si>
    <t>Value of life 2020</t>
  </si>
  <si>
    <t>Value of annual delay</t>
  </si>
  <si>
    <t>PV Cost</t>
  </si>
  <si>
    <t>Proportion of recovered IGBTs</t>
  </si>
  <si>
    <t>Cost VCU</t>
  </si>
  <si>
    <t>VCU per Phase</t>
  </si>
  <si>
    <t>Total VCU</t>
  </si>
  <si>
    <t>Cost all VCU</t>
  </si>
  <si>
    <t>All in one</t>
  </si>
  <si>
    <t># of Phase</t>
  </si>
  <si>
    <t>Staged Replace VCU</t>
  </si>
  <si>
    <t>All in one replace VCU</t>
  </si>
  <si>
    <t>Present Value</t>
  </si>
  <si>
    <t>NPV IGBT</t>
  </si>
  <si>
    <t>VCU Replacement</t>
  </si>
  <si>
    <t>NPV - VCU</t>
  </si>
  <si>
    <t>Benefit</t>
  </si>
  <si>
    <t>Number of IGBTs released</t>
  </si>
  <si>
    <t>Remaining IGBTs (in use and spares)</t>
  </si>
  <si>
    <t>IGBTs (Spare and in use)</t>
  </si>
  <si>
    <t>Spare IGBTs Gen 3 (per phase)</t>
  </si>
  <si>
    <t>Transmission Assets</t>
  </si>
  <si>
    <t>Annual Reclamation and Restoration</t>
  </si>
  <si>
    <t>Length</t>
  </si>
  <si>
    <t>Per metre cost</t>
  </si>
  <si>
    <t>Total Cost</t>
  </si>
  <si>
    <t>Restoration and Rectification</t>
  </si>
  <si>
    <t>Non SIB</t>
  </si>
  <si>
    <t>Regulatory Reset (including forecast stakeholder engagement)</t>
  </si>
  <si>
    <t>Uplift for restoration</t>
  </si>
  <si>
    <t>Price per metre</t>
  </si>
  <si>
    <t>Metres</t>
  </si>
  <si>
    <t>Restoration</t>
  </si>
  <si>
    <t>Table 9‑15 – Forecast capital expenditure 2020-25 by asset class ($m real FY20)</t>
  </si>
  <si>
    <t>2018/19</t>
  </si>
  <si>
    <t>2019/20</t>
  </si>
  <si>
    <t>2020/21</t>
  </si>
  <si>
    <t>2021/22</t>
  </si>
  <si>
    <t>2022/23</t>
  </si>
  <si>
    <t xml:space="preserve"> -   </t>
  </si>
  <si>
    <t>Table 9‑17 – Forecast capital expenditure 2018-23 by asset driver ($’000 real 2018)</t>
  </si>
  <si>
    <t>Augmentation/Expansion</t>
  </si>
  <si>
    <t>Replacement/Refurbishment</t>
  </si>
  <si>
    <t>Non-network</t>
  </si>
  <si>
    <t>Control and Protection system</t>
  </si>
  <si>
    <t>Avoided Cost</t>
  </si>
  <si>
    <t>Avoided Cost ($m)</t>
  </si>
  <si>
    <t>LTSA avoided costs</t>
  </si>
  <si>
    <t>VCU</t>
  </si>
  <si>
    <t>Contractor costs associated with Cyber Security and spares management</t>
  </si>
  <si>
    <t>Labour cost  with Cyber Security and spares management</t>
  </si>
  <si>
    <t>Phases per building</t>
  </si>
  <si>
    <t>IGBTs per building</t>
  </si>
  <si>
    <t>Spare IGBTs as at 31/1/2019</t>
  </si>
  <si>
    <t>IGBT purchases FY 19</t>
  </si>
  <si>
    <t>IGBT purchases FY20</t>
  </si>
  <si>
    <t>Preferred Solution</t>
  </si>
  <si>
    <t>Required IGBTS</t>
  </si>
  <si>
    <t>Total NPV</t>
  </si>
  <si>
    <t>IGBTs per Valve</t>
  </si>
  <si>
    <t>Valves per phase</t>
  </si>
  <si>
    <t>Staged Replacement Phase</t>
  </si>
  <si>
    <t>IGBTs per Phase</t>
  </si>
  <si>
    <t>Staged Replacement Building</t>
  </si>
  <si>
    <t>Maintenance opex per phase</t>
  </si>
  <si>
    <t>Remaining Phases</t>
  </si>
  <si>
    <t>Buildings in Directlink</t>
  </si>
  <si>
    <t>Buildings on Gen 3</t>
  </si>
  <si>
    <t>Buidlings using Genb 1</t>
  </si>
  <si>
    <t>Failure between 31/1/2019 and 30/6/2020</t>
  </si>
  <si>
    <t>IGBT adj to system numbers</t>
  </si>
  <si>
    <t>Return on Debt</t>
  </si>
  <si>
    <t>Interest</t>
  </si>
  <si>
    <t>Capital expenditure replacing Equipment</t>
  </si>
  <si>
    <t>Capital Expenditure (including gen 3 spares)</t>
  </si>
  <si>
    <t>Required/starting</t>
  </si>
  <si>
    <t>Difference from preferred option</t>
  </si>
  <si>
    <t>Capex replacement contract</t>
  </si>
  <si>
    <t xml:space="preserve">  </t>
  </si>
  <si>
    <t>$m FY 20</t>
  </si>
  <si>
    <t>Spare IGBTs</t>
  </si>
  <si>
    <t>Cable replacement program</t>
  </si>
  <si>
    <t>Spare cable joint kits</t>
  </si>
  <si>
    <t>Spare valve optic fibres</t>
  </si>
  <si>
    <t>Site security enhancements</t>
  </si>
  <si>
    <t>Sound dampening replacement for ventilation inlet</t>
  </si>
  <si>
    <t xml:space="preserve">Emergency lighting </t>
  </si>
  <si>
    <t>Cooling tower sound enclosure panel replacement</t>
  </si>
  <si>
    <t>Building roof corrosion repair</t>
  </si>
  <si>
    <t>Zero sequence reactor repair</t>
  </si>
  <si>
    <t>Safety compliance program</t>
  </si>
  <si>
    <t>Spares</t>
  </si>
  <si>
    <t>Refurbishment works</t>
  </si>
  <si>
    <t>Contingent cable repairs / relocation</t>
  </si>
  <si>
    <t>Control and protection system upgrade</t>
  </si>
  <si>
    <t>Cable transition fault investigion</t>
  </si>
  <si>
    <t>Fan control relay replacement</t>
  </si>
  <si>
    <t>Directlink Land Slip</t>
  </si>
  <si>
    <t xml:space="preserve">Corrosion and Environmental Deterioration </t>
  </si>
  <si>
    <t>Cooling Tower Sound Enclosure Panel 
Replacement</t>
  </si>
  <si>
    <t>Barn Door Replacement</t>
  </si>
  <si>
    <t>Phase Reactor Silencer Replacement</t>
  </si>
  <si>
    <t>Barn Sound Damp Vent Inlet Replacement</t>
  </si>
  <si>
    <t>Barn Roof Repair</t>
  </si>
  <si>
    <t>Annual Spraying for Corrosion</t>
  </si>
  <si>
    <t xml:space="preserve">Transformer Painting and Protection </t>
  </si>
  <si>
    <t>Capacity Voltage Transmission (CVT) 
Replacement</t>
  </si>
  <si>
    <t>Circuit Breaker Pole Repair and Refurbishment</t>
  </si>
  <si>
    <t xml:space="preserve">Fire System Equipment Protection </t>
  </si>
  <si>
    <t>Thumper Trailer</t>
  </si>
  <si>
    <t>Site Cable Tray Installation &amp; Relocation of Cables</t>
  </si>
  <si>
    <t>Cable Protection</t>
  </si>
  <si>
    <t>Cable Route Protection / Risk Mitigation</t>
  </si>
  <si>
    <t xml:space="preserve">Third Party Development - Relocation and Underground Galvanised Steel Trough (GST) 
Options Investigation + Implementation </t>
  </si>
  <si>
    <t>Proactive Relocation of Cable</t>
  </si>
  <si>
    <t>Cable Modification</t>
  </si>
  <si>
    <t xml:space="preserve">Cable Modification Program
</t>
  </si>
  <si>
    <t>Essential Spares</t>
  </si>
  <si>
    <t xml:space="preserve">Capacitors </t>
  </si>
  <si>
    <t xml:space="preserve">IGBTS Spares - Current Program Gen 1 </t>
  </si>
  <si>
    <t>IGBT Spares -  Mullumbimby 1 Gen 3</t>
  </si>
  <si>
    <t>Obsolete IGBTs</t>
  </si>
  <si>
    <t>Valve Control Units (VCU) Upgrade</t>
  </si>
  <si>
    <t>Fibres and Lightguides</t>
  </si>
  <si>
    <t xml:space="preserve">Fibres/Lightguides (PROMS) System 2 + 3 </t>
  </si>
  <si>
    <t>DC Spare Cable</t>
  </si>
  <si>
    <t>Noise Control Improvements</t>
  </si>
  <si>
    <t>Low Noise Fans for Cooling Towers - Mullumbimby</t>
  </si>
  <si>
    <t>Noise Monitoring Equipment</t>
  </si>
  <si>
    <t xml:space="preserve"> Test Equipment</t>
  </si>
  <si>
    <t>Phase Reactor Cooling Upgrade</t>
  </si>
  <si>
    <t>Hi Pot Tester / Thumper Replacement inc thumper trailor</t>
  </si>
  <si>
    <t>BLA Communications Room UPS Replacement</t>
  </si>
  <si>
    <t>IGBT Tester for older style IGBT's</t>
  </si>
  <si>
    <t xml:space="preserve">Power Quality Metering </t>
  </si>
  <si>
    <t>Power Supply Upgrade</t>
  </si>
  <si>
    <t xml:space="preserve">Cyber Security 
</t>
  </si>
  <si>
    <t>Control Room Air Conditioning Reliability</t>
  </si>
  <si>
    <t>Variable Speed Drive (VSD) for Phase Reactor and 
Cooling Pumps</t>
  </si>
  <si>
    <t xml:space="preserve">Valve room temperature control </t>
  </si>
  <si>
    <t xml:space="preserve">Valve Room Earthing Change
</t>
  </si>
  <si>
    <t>Stay in Business</t>
  </si>
  <si>
    <t>PLC Yard (Switchyard) - Concreting Bungalora</t>
  </si>
  <si>
    <t>Motor Operated Alternating Current (AC)Isolators and 
Earth Switch + Relocation of SC Isolator Switch and Locking</t>
  </si>
  <si>
    <t>Direct Current (DC) Isolator and Earth Switch Locking 
Relocation</t>
  </si>
  <si>
    <t xml:space="preserve">Security Camera / Survelliance </t>
  </si>
  <si>
    <t xml:space="preserve">Stay in Business - Other </t>
  </si>
  <si>
    <t>Cable Repair Trailer</t>
  </si>
  <si>
    <t>Cable Handling Equipment (Stands, Winches)</t>
  </si>
  <si>
    <t>HV Cable Cutter/Earthing Spike</t>
  </si>
  <si>
    <t>Repair Tents</t>
  </si>
  <si>
    <t>SF6 Gas Handling Gear</t>
  </si>
  <si>
    <t xml:space="preserve">Essential Tools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</si>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</sst>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  <numFmt numFmtId="167" formatCode="#,##0.0000;[Red]\-#,##0.0000"/>
    <numFmt numFmtId="168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FFFFFF"/>
      <name val="Century Gothic"/>
      <family val="2"/>
    </font>
    <font>
      <sz val="9"/>
      <color theme="1"/>
      <name val="Century Gothic"/>
      <family val="2"/>
    </font>
    <font>
      <b/>
      <sz val="11"/>
      <color rgb="FF3F3F3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333333"/>
      <name val="Century Gothic"/>
      <family val="2"/>
    </font>
    <font>
      <b/>
      <sz val="11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0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6" fillId="4" borderId="4" applyNumberFormat="0" applyAlignment="0" applyProtection="0"/>
    <xf numFmtId="0" fontId="7" fillId="5" borderId="0" applyNumberFormat="0" applyBorder="0" applyAlignment="0" applyProtection="0"/>
    <xf numFmtId="38" fontId="9" fillId="4" borderId="5" applyAlignment="0" applyProtection="0"/>
    <xf numFmtId="38" fontId="10" fillId="0" borderId="0" applyFill="0" applyAlignment="0" applyProtection="0"/>
    <xf numFmtId="17" fontId="11" fillId="0" borderId="6" applyFill="0" applyAlignment="0" applyProtection="0"/>
    <xf numFmtId="38" fontId="8" fillId="6" borderId="5" applyAlignment="0" applyProtection="0"/>
    <xf numFmtId="40" fontId="9" fillId="4" borderId="5" applyAlignment="0" applyProtection="0"/>
    <xf numFmtId="0" fontId="12" fillId="0" borderId="7" applyNumberFormat="0" applyFill="0" applyAlignment="0" applyProtection="0"/>
    <xf numFmtId="0" fontId="8" fillId="6" borderId="5" applyNumberFormat="0" applyAlignment="0" applyProtection="0"/>
    <xf numFmtId="9" fontId="1" fillId="0" borderId="0" applyFont="0" applyFill="0" applyBorder="0" applyAlignment="0" applyProtection="0"/>
    <xf numFmtId="0" fontId="14" fillId="0" borderId="8" applyNumberFormat="0" applyFill="0" applyAlignment="0" applyProtection="0"/>
    <xf numFmtId="44" fontId="1" fillId="0" borderId="0" applyFont="0" applyFill="0" applyBorder="0" applyAlignment="0" applyProtection="0"/>
    <xf numFmtId="0" fontId="19" fillId="0" borderId="13" applyNumberFormat="0" applyFill="0" applyAlignment="0" applyProtection="0"/>
  </cellStyleXfs>
  <cellXfs count="87">
    <xf numFmtId="0" fontId="0" fillId="0" borderId="0" xfId="0"/>
    <xf numFmtId="165" fontId="0" fillId="0" borderId="0" xfId="1" applyNumberFormat="1" applyFont="1"/>
    <xf numFmtId="0" fontId="3" fillId="3" borderId="1" xfId="3"/>
    <xf numFmtId="43" fontId="3" fillId="3" borderId="1" xfId="3" applyNumberFormat="1"/>
    <xf numFmtId="10" fontId="0" fillId="0" borderId="0" xfId="0" applyNumberFormat="1"/>
    <xf numFmtId="0" fontId="6" fillId="4" borderId="4" xfId="4"/>
    <xf numFmtId="43" fontId="6" fillId="4" borderId="4" xfId="4" applyNumberFormat="1"/>
    <xf numFmtId="38" fontId="10" fillId="0" borderId="0" xfId="7"/>
    <xf numFmtId="38" fontId="9" fillId="4" borderId="5" xfId="6"/>
    <xf numFmtId="17" fontId="11" fillId="0" borderId="6" xfId="8"/>
    <xf numFmtId="38" fontId="8" fillId="6" borderId="5" xfId="9"/>
    <xf numFmtId="2" fontId="6" fillId="4" borderId="4" xfId="4" applyNumberFormat="1"/>
    <xf numFmtId="0" fontId="0" fillId="0" borderId="0" xfId="0"/>
    <xf numFmtId="40" fontId="9" fillId="4" borderId="5" xfId="10"/>
    <xf numFmtId="165" fontId="3" fillId="3" borderId="1" xfId="3" applyNumberFormat="1"/>
    <xf numFmtId="2" fontId="3" fillId="3" borderId="1" xfId="3" applyNumberFormat="1"/>
    <xf numFmtId="0" fontId="12" fillId="0" borderId="7" xfId="11"/>
    <xf numFmtId="166" fontId="3" fillId="3" borderId="1" xfId="3" applyNumberFormat="1"/>
    <xf numFmtId="0" fontId="0" fillId="0" borderId="0" xfId="0"/>
    <xf numFmtId="0" fontId="8" fillId="6" borderId="5" xfId="12"/>
    <xf numFmtId="165" fontId="0" fillId="0" borderId="0" xfId="0" applyNumberFormat="1"/>
    <xf numFmtId="0" fontId="12" fillId="0" borderId="0" xfId="11" applyFill="1" applyBorder="1"/>
    <xf numFmtId="9" fontId="8" fillId="6" borderId="5" xfId="12" applyNumberFormat="1"/>
    <xf numFmtId="0" fontId="13" fillId="0" borderId="0" xfId="0" applyFont="1"/>
    <xf numFmtId="165" fontId="13" fillId="0" borderId="0" xfId="0" applyNumberFormat="1" applyFont="1"/>
    <xf numFmtId="2" fontId="13" fillId="0" borderId="0" xfId="0" applyNumberFormat="1" applyFont="1" applyAlignment="1">
      <alignment horizontal="left"/>
    </xf>
    <xf numFmtId="9" fontId="0" fillId="0" borderId="0" xfId="13" applyFont="1"/>
    <xf numFmtId="0" fontId="0" fillId="0" borderId="0" xfId="0"/>
    <xf numFmtId="38" fontId="8" fillId="6" borderId="5" xfId="12" applyNumberFormat="1"/>
    <xf numFmtId="0" fontId="0" fillId="0" borderId="0" xfId="0"/>
    <xf numFmtId="38" fontId="9" fillId="4" borderId="5" xfId="10" applyNumberFormat="1"/>
    <xf numFmtId="9" fontId="9" fillId="4" borderId="5" xfId="13" applyFont="1" applyFill="1" applyBorder="1"/>
    <xf numFmtId="0" fontId="14" fillId="0" borderId="8" xfId="14" applyAlignment="1">
      <alignment wrapText="1"/>
    </xf>
    <xf numFmtId="0" fontId="0" fillId="0" borderId="0" xfId="0"/>
    <xf numFmtId="38" fontId="10" fillId="6" borderId="0" xfId="7" applyFill="1"/>
    <xf numFmtId="165" fontId="13" fillId="0" borderId="0" xfId="1" applyNumberFormat="1" applyFont="1"/>
    <xf numFmtId="0" fontId="0" fillId="0" borderId="0" xfId="0"/>
    <xf numFmtId="0" fontId="0" fillId="0" borderId="0" xfId="0"/>
    <xf numFmtId="0" fontId="5" fillId="7" borderId="9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43" fontId="5" fillId="0" borderId="3" xfId="0" applyNumberFormat="1" applyFont="1" applyBorder="1" applyAlignment="1">
      <alignment horizontal="center" vertical="center" wrapText="1"/>
    </xf>
    <xf numFmtId="17" fontId="4" fillId="7" borderId="2" xfId="0" applyNumberFormat="1" applyFont="1" applyFill="1" applyBorder="1" applyAlignment="1">
      <alignment horizontal="center" vertical="center" wrapText="1"/>
    </xf>
    <xf numFmtId="38" fontId="0" fillId="0" borderId="0" xfId="0" applyNumberFormat="1"/>
    <xf numFmtId="38" fontId="12" fillId="0" borderId="7" xfId="11" applyNumberFormat="1"/>
    <xf numFmtId="0" fontId="0" fillId="0" borderId="0" xfId="0"/>
    <xf numFmtId="0" fontId="12" fillId="0" borderId="7" xfId="11" applyFill="1"/>
    <xf numFmtId="0" fontId="14" fillId="0" borderId="8" xfId="14"/>
    <xf numFmtId="10" fontId="8" fillId="6" borderId="5" xfId="12" applyNumberFormat="1"/>
    <xf numFmtId="6" fontId="8" fillId="6" borderId="5" xfId="12" applyNumberFormat="1"/>
    <xf numFmtId="10" fontId="12" fillId="0" borderId="7" xfId="11" applyNumberFormat="1"/>
    <xf numFmtId="38" fontId="6" fillId="4" borderId="4" xfId="4" applyNumberFormat="1"/>
    <xf numFmtId="38" fontId="15" fillId="8" borderId="5" xfId="9" applyFont="1" applyFill="1"/>
    <xf numFmtId="165" fontId="6" fillId="4" borderId="4" xfId="4" applyNumberFormat="1"/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9" fontId="8" fillId="6" borderId="5" xfId="13" applyFont="1" applyFill="1" applyBorder="1"/>
    <xf numFmtId="40" fontId="8" fillId="6" borderId="5" xfId="9" applyNumberFormat="1"/>
    <xf numFmtId="43" fontId="0" fillId="0" borderId="0" xfId="0" applyNumberFormat="1"/>
    <xf numFmtId="43" fontId="14" fillId="0" borderId="8" xfId="14" applyNumberFormat="1"/>
    <xf numFmtId="0" fontId="14" fillId="0" borderId="8" xfId="14" applyFill="1"/>
    <xf numFmtId="38" fontId="14" fillId="0" borderId="8" xfId="14" applyNumberFormat="1"/>
    <xf numFmtId="0" fontId="0" fillId="0" borderId="0" xfId="0"/>
    <xf numFmtId="10" fontId="10" fillId="0" borderId="0" xfId="13" applyNumberFormat="1" applyFont="1"/>
    <xf numFmtId="167" fontId="9" fillId="4" borderId="5" xfId="6" applyNumberFormat="1"/>
    <xf numFmtId="0" fontId="0" fillId="0" borderId="0" xfId="0" applyFill="1" applyBorder="1"/>
    <xf numFmtId="0" fontId="8" fillId="6" borderId="5" xfId="12" applyNumberFormat="1"/>
    <xf numFmtId="9" fontId="0" fillId="0" borderId="0" xfId="0" applyNumberFormat="1"/>
    <xf numFmtId="44" fontId="0" fillId="0" borderId="0" xfId="15" applyFont="1"/>
    <xf numFmtId="44" fontId="0" fillId="0" borderId="0" xfId="0" applyNumberFormat="1"/>
    <xf numFmtId="164" fontId="0" fillId="0" borderId="0" xfId="0" applyNumberFormat="1"/>
    <xf numFmtId="0" fontId="5" fillId="7" borderId="9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8" fontId="5" fillId="0" borderId="3" xfId="0" applyNumberFormat="1" applyFont="1" applyBorder="1" applyAlignment="1">
      <alignment horizontal="center" vertical="center" wrapText="1"/>
    </xf>
    <xf numFmtId="0" fontId="19" fillId="0" borderId="13" xfId="16"/>
    <xf numFmtId="0" fontId="14" fillId="9" borderId="8" xfId="14" applyFill="1"/>
    <xf numFmtId="2" fontId="8" fillId="6" borderId="5" xfId="12" applyNumberFormat="1"/>
    <xf numFmtId="164" fontId="6" fillId="4" borderId="4" xfId="4" applyNumberFormat="1"/>
    <xf numFmtId="164" fontId="9" fillId="4" borderId="5" xfId="10" applyNumberFormat="1"/>
    <xf numFmtId="165" fontId="8" fillId="6" borderId="5" xfId="12" applyNumberFormat="1"/>
    <xf numFmtId="0" fontId="12" fillId="0" borderId="0" xfId="11" applyFill="1" applyBorder="1" applyAlignment="1">
      <alignment horizontal="center"/>
    </xf>
    <xf numFmtId="0" fontId="14" fillId="9" borderId="8" xfId="14" applyFill="1" applyAlignment="1">
      <alignment horizontal="center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/>
    </xf>
  </cellXfs>
  <cellStyles count="17">
    <cellStyle name="Bad" xfId="2" builtinId="27" hidden="1"/>
    <cellStyle name="Calculation" xfId="6" builtinId="22" customBuiltin="1"/>
    <cellStyle name="Calculation $m" xfId="10"/>
    <cellStyle name="Check Cell" xfId="3" builtinId="23"/>
    <cellStyle name="Comma" xfId="1" builtinId="3"/>
    <cellStyle name="Currency" xfId="15" builtinId="4"/>
    <cellStyle name="Good" xfId="5" builtinId="26" hidden="1"/>
    <cellStyle name="Heading 1" xfId="14" builtinId="16"/>
    <cellStyle name="Heading 2" xfId="11" builtinId="17"/>
    <cellStyle name="Heading 3" xfId="16" builtinId="18"/>
    <cellStyle name="Input" xfId="12" builtinId="20"/>
    <cellStyle name="Input Number" xfId="9"/>
    <cellStyle name="Linked Cell" xfId="7" builtinId="24" customBuiltin="1"/>
    <cellStyle name="Month" xfId="8"/>
    <cellStyle name="Normal" xfId="0" builtinId="0"/>
    <cellStyle name="Output" xfId="4" builtinId="21"/>
    <cellStyle name="Percent" xfId="1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43" workbookViewId="0">
      <selection activeCell="E28" sqref="E28"/>
    </sheetView>
  </sheetViews>
  <sheetFormatPr defaultRowHeight="15" x14ac:dyDescent="0.25"/>
  <cols>
    <col min="1" max="1" width="18" bestFit="1" customWidth="1"/>
  </cols>
  <sheetData>
    <row r="1" spans="1:2" x14ac:dyDescent="0.25">
      <c r="A1" t="s">
        <v>11</v>
      </c>
    </row>
    <row r="2" spans="1:2" x14ac:dyDescent="0.25">
      <c r="A2" t="s">
        <v>12</v>
      </c>
    </row>
    <row r="3" spans="1:2" x14ac:dyDescent="0.25">
      <c r="A3" t="s">
        <v>13</v>
      </c>
    </row>
    <row r="5" spans="1:2" x14ac:dyDescent="0.25">
      <c r="A5" t="s">
        <v>14</v>
      </c>
      <c r="B5" s="4">
        <v>2.4123693250902134E-2</v>
      </c>
    </row>
    <row r="7" spans="1:2" x14ac:dyDescent="0.25">
      <c r="A7" t="s">
        <v>119</v>
      </c>
    </row>
    <row r="8" spans="1:2" x14ac:dyDescent="0.25">
      <c r="A8" t="s">
        <v>124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78"/>
  <sheetViews>
    <sheetView topLeftCell="C17" workbookViewId="0">
      <selection activeCell="C17" sqref="C17"/>
    </sheetView>
  </sheetViews>
  <sheetFormatPr defaultRowHeight="15" x14ac:dyDescent="0.25"/>
  <cols>
    <col min="2" max="2" width="67.85546875" customWidth="1"/>
    <col min="13" max="13" width="47" customWidth="1"/>
    <col min="14" max="14" width="18.28515625" bestFit="1" customWidth="1"/>
    <col min="16" max="16" width="13.28515625" bestFit="1" customWidth="1"/>
  </cols>
  <sheetData>
    <row r="1" spans="1:14" x14ac:dyDescent="0.25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6"/>
      <c r="M1" t="s">
        <v>90</v>
      </c>
    </row>
    <row r="2" spans="1:14" ht="15.75" thickBot="1" x14ac:dyDescent="0.3">
      <c r="A2" s="36">
        <v>1</v>
      </c>
      <c r="B2" s="36" t="str">
        <f>"Table 8-"&amp;A2&amp;": Forecast and historic capital expenditure ($m 2019/20)"</f>
        <v>Table 8-1: Forecast and historic capital expenditure ($m 2019/20)</v>
      </c>
      <c r="C2" s="36"/>
      <c r="D2" s="36"/>
      <c r="E2" s="36"/>
      <c r="F2" s="36"/>
      <c r="G2" s="36"/>
      <c r="H2" s="36"/>
      <c r="I2" s="36"/>
      <c r="J2" s="36"/>
    </row>
    <row r="3" spans="1:14" ht="18" thickBot="1" x14ac:dyDescent="0.35">
      <c r="A3" s="36"/>
      <c r="B3" s="38"/>
      <c r="C3" s="39" t="s">
        <v>39</v>
      </c>
      <c r="D3" s="39" t="s">
        <v>40</v>
      </c>
      <c r="E3" s="39" t="s">
        <v>41</v>
      </c>
      <c r="F3" s="39" t="s">
        <v>42</v>
      </c>
      <c r="G3" s="39" t="s">
        <v>43</v>
      </c>
      <c r="H3" s="39" t="s">
        <v>15</v>
      </c>
      <c r="I3" s="36"/>
      <c r="J3" s="36"/>
      <c r="M3" s="16" t="s">
        <v>91</v>
      </c>
    </row>
    <row r="4" spans="1:14" ht="15.75" thickBot="1" x14ac:dyDescent="0.3">
      <c r="A4" s="36"/>
      <c r="B4" s="40" t="s">
        <v>45</v>
      </c>
      <c r="C4" s="75">
        <f>PTRM!C4</f>
        <v>11.639954329106201</v>
      </c>
      <c r="D4" s="75">
        <f>PTRM!D4</f>
        <v>8.2332622411407677</v>
      </c>
      <c r="E4" s="75">
        <f>PTRM!E4</f>
        <v>7.1825450092525589</v>
      </c>
      <c r="F4" s="75">
        <f>PTRM!F4</f>
        <v>8.5191731189733932</v>
      </c>
      <c r="G4" s="75">
        <f>PTRM!G4</f>
        <v>4.9237861446144633</v>
      </c>
      <c r="H4" s="75">
        <f t="shared" ref="H4" si="0">SUM(C4:G4)</f>
        <v>40.498720843087376</v>
      </c>
      <c r="I4" s="36"/>
      <c r="J4" s="36"/>
      <c r="M4" t="s">
        <v>92</v>
      </c>
      <c r="N4" s="19">
        <v>3500000</v>
      </c>
    </row>
    <row r="5" spans="1:14" ht="15.75" thickBot="1" x14ac:dyDescent="0.3">
      <c r="A5" s="36"/>
      <c r="B5" s="40" t="s">
        <v>44</v>
      </c>
      <c r="C5" s="75">
        <v>4.3942849495950034</v>
      </c>
      <c r="D5" s="75">
        <v>3.641319471981499</v>
      </c>
      <c r="E5" s="75">
        <v>10.663423195193479</v>
      </c>
      <c r="F5" s="75">
        <v>9.2644222090016992</v>
      </c>
      <c r="G5" s="75">
        <v>6.9466490895798589</v>
      </c>
      <c r="H5" s="75">
        <f>SUM(C5:G5)</f>
        <v>34.91009891535154</v>
      </c>
      <c r="I5" s="36"/>
      <c r="J5" s="36"/>
      <c r="M5" t="s">
        <v>93</v>
      </c>
      <c r="N5" s="19">
        <v>87.7</v>
      </c>
    </row>
    <row r="6" spans="1:14" ht="15.75" thickBot="1" x14ac:dyDescent="0.3">
      <c r="A6" s="36"/>
      <c r="B6" s="40" t="s">
        <v>25</v>
      </c>
      <c r="C6" s="75">
        <f>C4-C5</f>
        <v>7.2456693795111979</v>
      </c>
      <c r="D6" s="75">
        <f t="shared" ref="D6:H6" si="1">D4-D5</f>
        <v>4.5919427691592691</v>
      </c>
      <c r="E6" s="75">
        <f t="shared" si="1"/>
        <v>-3.4808781859409201</v>
      </c>
      <c r="F6" s="75">
        <f t="shared" si="1"/>
        <v>-0.74524909002830597</v>
      </c>
      <c r="G6" s="75">
        <f t="shared" si="1"/>
        <v>-2.0228629449653956</v>
      </c>
      <c r="H6" s="75">
        <f t="shared" si="1"/>
        <v>5.5886219277358364</v>
      </c>
      <c r="I6" s="36"/>
      <c r="J6" s="36"/>
      <c r="M6" t="s">
        <v>94</v>
      </c>
      <c r="N6" s="19">
        <v>112.6</v>
      </c>
    </row>
    <row r="7" spans="1:14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M7" t="s">
        <v>95</v>
      </c>
      <c r="N7" s="65">
        <f>Data!B5</f>
        <v>2.4123693250902134E-2</v>
      </c>
    </row>
    <row r="8" spans="1:14" x14ac:dyDescent="0.25">
      <c r="A8" s="36">
        <f>MAX($A$2:A7)+1</f>
        <v>2</v>
      </c>
      <c r="B8" s="36"/>
      <c r="C8" s="72">
        <v>13.19938641548536</v>
      </c>
      <c r="D8" s="72">
        <v>14.441105958313038</v>
      </c>
      <c r="E8" s="72">
        <v>3.9760965788618901</v>
      </c>
      <c r="F8" s="72">
        <v>5.6168851969153062</v>
      </c>
      <c r="G8" s="72">
        <v>1.9900333423840397</v>
      </c>
      <c r="H8" s="72">
        <v>39.22350749195963</v>
      </c>
      <c r="I8" s="36"/>
      <c r="J8" s="36"/>
      <c r="M8" t="s">
        <v>96</v>
      </c>
      <c r="N8" s="8">
        <f>N6*(1+N7)^2</f>
        <v>118.09818358016791</v>
      </c>
    </row>
    <row r="9" spans="1:14" ht="18" thickBot="1" x14ac:dyDescent="0.35">
      <c r="A9" s="36"/>
      <c r="B9" s="44" t="str">
        <f>J12</f>
        <v>Obsolete IGBTs</v>
      </c>
      <c r="C9" s="36"/>
      <c r="D9" s="36"/>
      <c r="E9" s="36"/>
      <c r="F9" s="36"/>
      <c r="G9" s="36"/>
      <c r="H9" s="36"/>
      <c r="I9" s="36"/>
      <c r="J9" s="36"/>
      <c r="M9" t="s">
        <v>97</v>
      </c>
      <c r="N9" s="66">
        <f>N8/N5</f>
        <v>1.3466155482345257</v>
      </c>
    </row>
    <row r="10" spans="1:14" ht="16.5" thickTop="1" thickBot="1" x14ac:dyDescent="0.3">
      <c r="A10" s="36">
        <f>MAX($A$2:A9)+1</f>
        <v>3</v>
      </c>
      <c r="B10" s="36" t="str">
        <f>"Table 8-"&amp;A10&amp;": "&amp;B9&amp;" forecast capital expenditure ($m 2019/20)"</f>
        <v>Table 8-3: Obsolete IGBTs forecast capital expenditure ($m 2019/20)</v>
      </c>
      <c r="C10" s="36"/>
      <c r="D10" s="36"/>
      <c r="E10" s="36"/>
      <c r="F10" s="36"/>
      <c r="G10" s="36"/>
      <c r="H10" s="36"/>
      <c r="I10" s="36"/>
      <c r="J10" s="36"/>
      <c r="M10" t="s">
        <v>98</v>
      </c>
      <c r="N10" s="53">
        <f>N4*N9</f>
        <v>4713154.4188208403</v>
      </c>
    </row>
    <row r="11" spans="1:14" ht="15.75" thickBot="1" x14ac:dyDescent="0.3">
      <c r="A11" s="36"/>
      <c r="B11" s="38"/>
      <c r="C11" s="42" t="s">
        <v>4</v>
      </c>
      <c r="D11" s="42" t="s">
        <v>5</v>
      </c>
      <c r="E11" s="42" t="s">
        <v>6</v>
      </c>
      <c r="F11" s="42" t="s">
        <v>7</v>
      </c>
      <c r="G11" s="42" t="s">
        <v>8</v>
      </c>
      <c r="H11" s="39" t="s">
        <v>15</v>
      </c>
      <c r="I11" s="36"/>
      <c r="J11" s="36"/>
    </row>
    <row r="12" spans="1:14" ht="15.75" thickBot="1" x14ac:dyDescent="0.3">
      <c r="A12" s="36"/>
      <c r="B12" s="40" t="str">
        <f>B9</f>
        <v>Obsolete IGBTs</v>
      </c>
      <c r="C12" s="75">
        <f>SUMIF('Forecast Capex'!$N$7:$N$103,$J12,'Forecast Capex'!D$7:D$103)/1000*(1+Data!$B$5)^2</f>
        <v>3.4611368189569638</v>
      </c>
      <c r="D12" s="75">
        <f>SUMIF('Forecast Capex'!$N$7:$N$103,$J12,'Forecast Capex'!E$7:E$103)/1000*(1+Data!$B$5)^2</f>
        <v>3.4611368189569638</v>
      </c>
      <c r="E12" s="75">
        <f>SUMIF('Forecast Capex'!$N$7:$N$103,$J12,'Forecast Capex'!F$7:F$103)/1000*(1+Data!$B$5)^2</f>
        <v>3.4611368189569638</v>
      </c>
      <c r="F12" s="75">
        <f>SUMIF('Forecast Capex'!$N$7:$N$103,$J12,'Forecast Capex'!G$7:G$103)/1000*(1+Data!$B$5)^2</f>
        <v>3.4611368189569638</v>
      </c>
      <c r="G12" s="75">
        <f>SUMIF('Forecast Capex'!$N$7:$N$103,$J12,'Forecast Capex'!H$7:H$103)/1000*(1+Data!$B$5)^2</f>
        <v>3.4611368189569638</v>
      </c>
      <c r="H12" s="75">
        <f>SUM(C12:G12)</f>
        <v>17.305684094784819</v>
      </c>
      <c r="I12" s="36"/>
      <c r="J12" s="43" t="str">
        <f>INDEX('Projects by size'!$N$3:$N$22,MATCH(LARGE('Projects by size'!$O$3:$O$22,A10-2),'Projects by size'!$O$3:$O$22,0),0)</f>
        <v>Obsolete IGBTs</v>
      </c>
      <c r="M12" s="64" t="s">
        <v>121</v>
      </c>
      <c r="N12">
        <v>12500</v>
      </c>
    </row>
    <row r="13" spans="1:14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M13" s="67" t="s">
        <v>122</v>
      </c>
      <c r="N13">
        <v>304</v>
      </c>
    </row>
    <row r="14" spans="1:14" ht="18" thickBot="1" x14ac:dyDescent="0.35">
      <c r="A14" s="36"/>
      <c r="B14" s="44" t="str">
        <f>J17</f>
        <v>Cable Protection</v>
      </c>
      <c r="C14" s="36"/>
      <c r="D14" s="36"/>
      <c r="E14" s="36"/>
      <c r="F14" s="36"/>
      <c r="G14" s="36"/>
      <c r="H14" s="36"/>
      <c r="I14" s="36"/>
      <c r="J14" s="36"/>
      <c r="M14" s="67" t="s">
        <v>123</v>
      </c>
      <c r="N14">
        <f>N12*N13</f>
        <v>3800000</v>
      </c>
    </row>
    <row r="15" spans="1:14" ht="16.5" thickTop="1" thickBot="1" x14ac:dyDescent="0.3">
      <c r="A15" s="36">
        <f>MAX($A$2:A14)+1</f>
        <v>4</v>
      </c>
      <c r="B15" s="37" t="str">
        <f>"Table 8-"&amp;A15&amp;": "&amp;B14&amp;" forecast capital expenditure ($m 2019/20)"</f>
        <v>Table 8-4: Cable Protection forecast capital expenditure ($m 2019/20)</v>
      </c>
      <c r="C15" s="36"/>
      <c r="D15" s="36"/>
      <c r="E15" s="36"/>
      <c r="F15" s="36"/>
      <c r="G15" s="36"/>
      <c r="H15" s="36"/>
      <c r="I15" s="36"/>
      <c r="J15" s="36"/>
      <c r="M15" s="67" t="s">
        <v>127</v>
      </c>
      <c r="N15" s="69">
        <v>0.5</v>
      </c>
    </row>
    <row r="16" spans="1:14" ht="15.75" thickBot="1" x14ac:dyDescent="0.3">
      <c r="A16" s="36"/>
      <c r="B16" s="38"/>
      <c r="C16" s="42" t="str">
        <f>C11</f>
        <v>FY 21</v>
      </c>
      <c r="D16" s="42" t="str">
        <f t="shared" ref="D16:H16" si="2">D11</f>
        <v>FY 22</v>
      </c>
      <c r="E16" s="42" t="str">
        <f t="shared" si="2"/>
        <v>FY 23</v>
      </c>
      <c r="F16" s="42" t="str">
        <f t="shared" si="2"/>
        <v>FY 24</v>
      </c>
      <c r="G16" s="42" t="str">
        <f t="shared" si="2"/>
        <v>FY 25</v>
      </c>
      <c r="H16" s="42" t="str">
        <f t="shared" si="2"/>
        <v>Total</v>
      </c>
      <c r="I16" s="36"/>
      <c r="J16" s="36"/>
      <c r="M16" s="67" t="s">
        <v>128</v>
      </c>
      <c r="N16" s="64">
        <f>N13*(1+N15)</f>
        <v>456</v>
      </c>
    </row>
    <row r="17" spans="1:19" ht="15.75" thickBot="1" x14ac:dyDescent="0.3">
      <c r="A17" s="36"/>
      <c r="B17" s="40" t="str">
        <f>B14</f>
        <v>Cable Protection</v>
      </c>
      <c r="C17" s="75">
        <f>SUMIF('Forecast Capex'!$N$7:$N$103,$J17,'Forecast Capex'!D$7:D$103)/1000*(1+Data!$B$5)^2</f>
        <v>0.99009489608950718</v>
      </c>
      <c r="D17" s="75">
        <f>SUMIF('Forecast Capex'!$N$7:$N$103,$J17,'Forecast Capex'!E$7:E$103)/1000*(1+Data!$B$5)^2</f>
        <v>1.1012708060317613</v>
      </c>
      <c r="E17" s="75">
        <f>SUMIF('Forecast Capex'!$N$7:$N$103,$J17,'Forecast Capex'!F$7:F$103)/1000*(1+Data!$B$5)^2</f>
        <v>0.96072767459532693</v>
      </c>
      <c r="F17" s="75">
        <f>SUMIF('Forecast Capex'!$N$7:$N$103,$J17,'Forecast Capex'!G$7:G$103)/1000*(1+Data!$B$5)^2</f>
        <v>1.1956654465487693</v>
      </c>
      <c r="G17" s="75">
        <f>SUMIF('Forecast Capex'!$N$7:$N$103,$J17,'Forecast Capex'!H$7:H$103)/1000*(1+Data!$B$5)^2</f>
        <v>0.59783272327438464</v>
      </c>
      <c r="H17" s="75">
        <f>SUM(C17:G17)</f>
        <v>4.8455915465397492</v>
      </c>
      <c r="I17" s="36"/>
      <c r="J17" s="43" t="str">
        <f>INDEX('Projects by size'!$N$3:$N$22,MATCH(LARGE('Projects by size'!$O$3:$O$22,A15-2),'Projects by size'!$O$3:$O$22,0),0)</f>
        <v>Cable Protection</v>
      </c>
      <c r="M17" s="67" t="s">
        <v>129</v>
      </c>
      <c r="N17" s="64">
        <v>25000</v>
      </c>
    </row>
    <row r="18" spans="1:19" x14ac:dyDescent="0.25">
      <c r="M18" s="67" t="s">
        <v>130</v>
      </c>
      <c r="N18" s="64">
        <f>N16*N17</f>
        <v>11400000</v>
      </c>
      <c r="P18" s="56"/>
    </row>
    <row r="19" spans="1:19" ht="18" thickBot="1" x14ac:dyDescent="0.35">
      <c r="A19" s="36"/>
      <c r="B19" s="44" t="str">
        <f>J22</f>
        <v>Reliability</v>
      </c>
      <c r="C19" s="36"/>
      <c r="D19" s="36"/>
      <c r="E19" s="36"/>
      <c r="F19" s="36"/>
      <c r="G19" s="36"/>
      <c r="H19" s="36"/>
      <c r="I19" s="36"/>
      <c r="J19" s="36"/>
      <c r="M19" s="64"/>
      <c r="N19" s="64"/>
    </row>
    <row r="20" spans="1:19" ht="16.5" thickTop="1" thickBot="1" x14ac:dyDescent="0.3">
      <c r="A20" s="36">
        <f>MAX($A$2:A19)+1</f>
        <v>5</v>
      </c>
      <c r="B20" s="37" t="str">
        <f>"Table 8-"&amp;A20&amp;": "&amp;B19&amp;" forecast capital expenditure ($m 2019/20)"</f>
        <v>Table 8-5: Reliability forecast capital expenditure ($m 2019/20)</v>
      </c>
      <c r="C20" s="36"/>
      <c r="D20" s="36"/>
      <c r="E20" s="36"/>
      <c r="F20" s="36"/>
      <c r="G20" s="36"/>
      <c r="H20" s="36"/>
      <c r="I20" s="36"/>
      <c r="J20" s="36"/>
      <c r="M20" s="85" t="s">
        <v>131</v>
      </c>
      <c r="N20" s="85"/>
      <c r="O20" s="85"/>
      <c r="P20" s="85"/>
      <c r="Q20" s="85"/>
      <c r="R20" s="85"/>
      <c r="S20" s="85"/>
    </row>
    <row r="21" spans="1:19" ht="15.75" thickBot="1" x14ac:dyDescent="0.3">
      <c r="A21" s="36"/>
      <c r="B21" s="38"/>
      <c r="C21" s="42" t="str">
        <f>C16</f>
        <v>FY 21</v>
      </c>
      <c r="D21" s="42" t="str">
        <f t="shared" ref="D21:H21" si="3">D16</f>
        <v>FY 22</v>
      </c>
      <c r="E21" s="42" t="str">
        <f t="shared" si="3"/>
        <v>FY 23</v>
      </c>
      <c r="F21" s="42" t="str">
        <f t="shared" si="3"/>
        <v>FY 24</v>
      </c>
      <c r="G21" s="42" t="str">
        <f t="shared" si="3"/>
        <v>FY 25</v>
      </c>
      <c r="H21" s="42" t="str">
        <f t="shared" si="3"/>
        <v>Total</v>
      </c>
      <c r="I21" s="36"/>
      <c r="J21" s="36"/>
      <c r="M21" s="73"/>
      <c r="N21" s="39" t="s">
        <v>132</v>
      </c>
      <c r="O21" s="39" t="s">
        <v>133</v>
      </c>
      <c r="P21" s="39" t="s">
        <v>134</v>
      </c>
      <c r="Q21" s="39" t="s">
        <v>135</v>
      </c>
      <c r="R21" s="39" t="s">
        <v>136</v>
      </c>
      <c r="S21" s="39" t="s">
        <v>15</v>
      </c>
    </row>
    <row r="22" spans="1:19" ht="15.75" thickBot="1" x14ac:dyDescent="0.3">
      <c r="A22" s="36"/>
      <c r="B22" s="40" t="str">
        <f>B19</f>
        <v>Reliability</v>
      </c>
      <c r="C22" s="75">
        <f>SUMIF('Forecast Capex'!$N$7:$N$103,$J22,'Forecast Capex'!D$7:D$103)/1000*(1+Data!$B$5)^2</f>
        <v>0.70795980387756086</v>
      </c>
      <c r="D22" s="75">
        <f>SUMIF('Forecast Capex'!$N$7:$N$103,$J22,'Forecast Capex'!E$7:E$103)/1000*(1+Data!$B$5)^2</f>
        <v>0.70795980387756086</v>
      </c>
      <c r="E22" s="75">
        <f>SUMIF('Forecast Capex'!$N$7:$N$103,$J22,'Forecast Capex'!F$7:F$103)/1000*(1+Data!$B$5)^2</f>
        <v>0.8390634712622943</v>
      </c>
      <c r="F22" s="75">
        <f>SUMIF('Forecast Capex'!$N$7:$N$103,$J22,'Forecast Capex'!G$7:G$103)/1000*(1+Data!$B$5)^2</f>
        <v>2.0976586781557356</v>
      </c>
      <c r="G22" s="75">
        <f>SUMIF('Forecast Capex'!$N$7:$N$103,$J22,'Forecast Capex'!H$7:H$103)/1000*(1+Data!$B$5)^2</f>
        <v>0</v>
      </c>
      <c r="H22" s="75">
        <f>SUM(C22:G22)</f>
        <v>4.352641757173151</v>
      </c>
      <c r="I22" s="36"/>
      <c r="J22" s="43" t="str">
        <f>INDEX('Projects by size'!$N$3:$N$22,MATCH(LARGE('Projects by size'!$O$3:$O$22,A20-2),'Projects by size'!$O$3:$O$22,0),0)</f>
        <v>Reliability</v>
      </c>
      <c r="M22" s="40" t="str">
        <f>Data!A7</f>
        <v>Transmission Assets</v>
      </c>
      <c r="N22" s="75">
        <f>PTRM!C2</f>
        <v>11.222043908104165</v>
      </c>
      <c r="O22" s="75">
        <f>PTRM!D2</f>
        <v>7.8153518201387318</v>
      </c>
      <c r="P22" s="75">
        <f>PTRM!E2</f>
        <v>6.7646345882505239</v>
      </c>
      <c r="Q22" s="75">
        <f>PTRM!F2</f>
        <v>8.1012626979713573</v>
      </c>
      <c r="R22" s="75">
        <f>PTRM!G2</f>
        <v>4.5058757236124283</v>
      </c>
      <c r="S22" s="75">
        <f>SUM(N22:R22)</f>
        <v>38.409168738077206</v>
      </c>
    </row>
    <row r="23" spans="1:19" ht="15.75" thickBot="1" x14ac:dyDescent="0.3">
      <c r="M23" s="40" t="str">
        <f>Data!A8</f>
        <v>Restoration and Rectification</v>
      </c>
      <c r="N23" s="75">
        <f>PTRM!C3</f>
        <v>0.41791042100203513</v>
      </c>
      <c r="O23" s="75">
        <f>PTRM!D3</f>
        <v>0.41791042100203513</v>
      </c>
      <c r="P23" s="75">
        <f>PTRM!E3</f>
        <v>0.41791042100203513</v>
      </c>
      <c r="Q23" s="75">
        <f>PTRM!F3</f>
        <v>0.41791042100203513</v>
      </c>
      <c r="R23" s="75">
        <f>PTRM!G3</f>
        <v>0.41791042100203513</v>
      </c>
      <c r="S23" s="75">
        <f t="shared" ref="S23:S24" si="4">SUM(N23:R23)</f>
        <v>2.0895521050101755</v>
      </c>
    </row>
    <row r="24" spans="1:19" ht="18" thickBot="1" x14ac:dyDescent="0.35">
      <c r="A24" s="36"/>
      <c r="B24" s="44" t="str">
        <f>J27</f>
        <v>Fibres and Lightguides</v>
      </c>
      <c r="C24" s="36"/>
      <c r="D24" s="36"/>
      <c r="E24" s="36"/>
      <c r="F24" s="36"/>
      <c r="G24" s="36"/>
      <c r="H24" s="36"/>
      <c r="I24" s="36"/>
      <c r="J24" s="36"/>
      <c r="M24" s="40" t="s">
        <v>15</v>
      </c>
      <c r="N24" s="75">
        <f>SUM(N22:N23)</f>
        <v>11.639954329106201</v>
      </c>
      <c r="O24" s="75">
        <f t="shared" ref="O24:R24" si="5">SUM(O22:O23)</f>
        <v>8.2332622411407677</v>
      </c>
      <c r="P24" s="75">
        <f t="shared" si="5"/>
        <v>7.1825450092525589</v>
      </c>
      <c r="Q24" s="75">
        <f t="shared" si="5"/>
        <v>8.5191731189733932</v>
      </c>
      <c r="R24" s="75">
        <f t="shared" si="5"/>
        <v>4.9237861446144633</v>
      </c>
      <c r="S24" s="75">
        <f t="shared" si="4"/>
        <v>40.498720843087376</v>
      </c>
    </row>
    <row r="25" spans="1:19" ht="16.5" thickTop="1" thickBot="1" x14ac:dyDescent="0.3">
      <c r="A25" s="36">
        <f>MAX($A$2:A24)+1</f>
        <v>6</v>
      </c>
      <c r="B25" s="37" t="str">
        <f>"Table 8-"&amp;A25&amp;": "&amp;B24&amp;" forecast capital expenditure ($m 2019/20)"</f>
        <v>Table 8-6: Fibres and Lightguides forecast capital expenditure ($m 2019/20)</v>
      </c>
      <c r="C25" s="36"/>
      <c r="D25" s="36"/>
      <c r="E25" s="36"/>
      <c r="F25" s="36"/>
      <c r="G25" s="36"/>
      <c r="H25" s="36"/>
      <c r="I25" s="36"/>
      <c r="J25" s="36"/>
      <c r="M25" s="86" t="s">
        <v>138</v>
      </c>
      <c r="N25" s="86"/>
      <c r="O25" s="86"/>
      <c r="P25" s="86"/>
      <c r="Q25" s="86"/>
      <c r="R25" s="86"/>
      <c r="S25" s="86"/>
    </row>
    <row r="26" spans="1:19" ht="15.75" thickBot="1" x14ac:dyDescent="0.3">
      <c r="A26" s="36"/>
      <c r="B26" s="38"/>
      <c r="C26" s="42" t="str">
        <f>C21</f>
        <v>FY 21</v>
      </c>
      <c r="D26" s="42" t="str">
        <f t="shared" ref="D26:H26" si="6">D21</f>
        <v>FY 22</v>
      </c>
      <c r="E26" s="42" t="str">
        <f t="shared" si="6"/>
        <v>FY 23</v>
      </c>
      <c r="F26" s="42" t="str">
        <f t="shared" si="6"/>
        <v>FY 24</v>
      </c>
      <c r="G26" s="42" t="str">
        <f t="shared" si="6"/>
        <v>FY 25</v>
      </c>
      <c r="H26" s="42" t="str">
        <f t="shared" si="6"/>
        <v>Total</v>
      </c>
      <c r="I26" s="36"/>
      <c r="J26" s="36"/>
      <c r="M26" s="73"/>
      <c r="N26" s="39" t="s">
        <v>132</v>
      </c>
      <c r="O26" s="39" t="s">
        <v>133</v>
      </c>
      <c r="P26" s="39" t="s">
        <v>134</v>
      </c>
      <c r="Q26" s="39" t="s">
        <v>135</v>
      </c>
      <c r="R26" s="39" t="s">
        <v>136</v>
      </c>
      <c r="S26" s="39" t="s">
        <v>15</v>
      </c>
    </row>
    <row r="27" spans="1:19" ht="15.75" thickBot="1" x14ac:dyDescent="0.3">
      <c r="A27" s="36"/>
      <c r="B27" s="40" t="str">
        <f>B24</f>
        <v>Fibres and Lightguides</v>
      </c>
      <c r="C27" s="75">
        <f>SUMIF('Forecast Capex'!$N$7:$N$103,$J27,'Forecast Capex'!D$7:D$103)/1000*(1+Data!$B$5)^2</f>
        <v>3.80725050085266</v>
      </c>
      <c r="D27" s="75">
        <f>SUMIF('Forecast Capex'!$N$7:$N$103,$J27,'Forecast Capex'!E$7:E$103)/1000*(1+Data!$B$5)^2</f>
        <v>0</v>
      </c>
      <c r="E27" s="75">
        <f>SUMIF('Forecast Capex'!$N$7:$N$103,$J27,'Forecast Capex'!F$7:F$103)/1000*(1+Data!$B$5)^2</f>
        <v>0</v>
      </c>
      <c r="F27" s="75">
        <f>SUMIF('Forecast Capex'!$N$7:$N$103,$J27,'Forecast Capex'!G$7:G$103)/1000*(1+Data!$B$5)^2</f>
        <v>0</v>
      </c>
      <c r="G27" s="75">
        <f>SUMIF('Forecast Capex'!$N$7:$N$103,$J27,'Forecast Capex'!H$7:H$103)/1000*(1+Data!$B$5)^2</f>
        <v>0</v>
      </c>
      <c r="H27" s="75">
        <f>SUM(C27:G27)</f>
        <v>3.80725050085266</v>
      </c>
      <c r="I27" s="36"/>
      <c r="J27" s="43" t="str">
        <f>INDEX('Projects by size'!$N$3:$N$22,MATCH(LARGE('Projects by size'!$O$3:$O$22,A25-2),'Projects by size'!$O$3:$O$22,0),0)</f>
        <v>Fibres and Lightguides</v>
      </c>
      <c r="M27" s="40" t="s">
        <v>139</v>
      </c>
      <c r="N27" s="75" t="s">
        <v>176</v>
      </c>
      <c r="O27" s="74" t="s">
        <v>137</v>
      </c>
      <c r="P27" s="74" t="s">
        <v>137</v>
      </c>
      <c r="Q27" s="74" t="s">
        <v>137</v>
      </c>
      <c r="R27" s="74" t="s">
        <v>137</v>
      </c>
      <c r="S27" s="75">
        <f>SUM(N27:R27)</f>
        <v>0</v>
      </c>
    </row>
    <row r="28" spans="1:19" ht="15.75" thickBot="1" x14ac:dyDescent="0.3">
      <c r="M28" s="40" t="s">
        <v>140</v>
      </c>
      <c r="N28" s="76">
        <f>N30-N29</f>
        <v>11.587512862152307</v>
      </c>
      <c r="O28" s="76">
        <f t="shared" ref="O28:R28" si="7">O22</f>
        <v>7.8153518201387318</v>
      </c>
      <c r="P28" s="76">
        <f t="shared" si="7"/>
        <v>6.7646345882505239</v>
      </c>
      <c r="Q28" s="76">
        <f t="shared" si="7"/>
        <v>8.1012626979713573</v>
      </c>
      <c r="R28" s="76">
        <f t="shared" si="7"/>
        <v>4.5058757236124283</v>
      </c>
      <c r="S28" s="75">
        <f>SUM(N28:R28)</f>
        <v>38.774637692125346</v>
      </c>
    </row>
    <row r="29" spans="1:19" ht="18" thickBot="1" x14ac:dyDescent="0.35">
      <c r="A29" s="36"/>
      <c r="B29" s="44" t="str">
        <f>J32</f>
        <v xml:space="preserve">Corrosion and Environmental Deterioration </v>
      </c>
      <c r="C29" s="36"/>
      <c r="D29" s="36"/>
      <c r="E29" s="36"/>
      <c r="F29" s="36"/>
      <c r="G29" s="36"/>
      <c r="H29" s="36"/>
      <c r="I29" s="36"/>
      <c r="J29" s="36"/>
      <c r="M29" s="40" t="s">
        <v>141</v>
      </c>
      <c r="N29" s="76">
        <f>C67</f>
        <v>5.2441466953893394E-2</v>
      </c>
      <c r="O29" s="76">
        <f t="shared" ref="O29:R29" si="8">D67</f>
        <v>5.2441466953893394E-2</v>
      </c>
      <c r="P29" s="76">
        <f t="shared" si="8"/>
        <v>5.2441466953893394E-2</v>
      </c>
      <c r="Q29" s="76">
        <f t="shared" si="8"/>
        <v>5.2441466953893394E-2</v>
      </c>
      <c r="R29" s="76">
        <f t="shared" si="8"/>
        <v>5.2441466953893394E-2</v>
      </c>
      <c r="S29" s="75">
        <f>SUM(N29:R29)</f>
        <v>0.26220733476946695</v>
      </c>
    </row>
    <row r="30" spans="1:19" ht="16.5" thickTop="1" thickBot="1" x14ac:dyDescent="0.3">
      <c r="A30" s="36">
        <f>MAX($A$2:A29)+1</f>
        <v>7</v>
      </c>
      <c r="B30" s="37" t="str">
        <f>"Table 8-"&amp;A30&amp;": "&amp;B29&amp;" forecast capital expenditure ($m 2019/20)"</f>
        <v>Table 8-7: Corrosion and Environmental Deterioration  forecast capital expenditure ($m 2019/20)</v>
      </c>
      <c r="C30" s="36"/>
      <c r="D30" s="36"/>
      <c r="E30" s="36"/>
      <c r="F30" s="36"/>
      <c r="G30" s="36"/>
      <c r="H30" s="36"/>
      <c r="I30" s="36"/>
      <c r="J30" s="36"/>
      <c r="M30" s="40" t="s">
        <v>15</v>
      </c>
      <c r="N30" s="76">
        <f>N24</f>
        <v>11.639954329106201</v>
      </c>
      <c r="O30" s="76">
        <f t="shared" ref="O30:R30" si="9">O24</f>
        <v>8.2332622411407677</v>
      </c>
      <c r="P30" s="76">
        <f t="shared" si="9"/>
        <v>7.1825450092525589</v>
      </c>
      <c r="Q30" s="76">
        <f t="shared" si="9"/>
        <v>8.5191731189733932</v>
      </c>
      <c r="R30" s="76">
        <f t="shared" si="9"/>
        <v>4.9237861446144633</v>
      </c>
      <c r="S30" s="75">
        <f>SUM(N30:R30)</f>
        <v>40.498720843087376</v>
      </c>
    </row>
    <row r="31" spans="1:19" ht="15.75" thickBot="1" x14ac:dyDescent="0.3">
      <c r="A31" s="36"/>
      <c r="B31" s="38"/>
      <c r="C31" s="42" t="str">
        <f>C26</f>
        <v>FY 21</v>
      </c>
      <c r="D31" s="42" t="str">
        <f t="shared" ref="D31:H31" si="10">D26</f>
        <v>FY 22</v>
      </c>
      <c r="E31" s="42" t="str">
        <f t="shared" si="10"/>
        <v>FY 23</v>
      </c>
      <c r="F31" s="42" t="str">
        <f t="shared" si="10"/>
        <v>FY 24</v>
      </c>
      <c r="G31" s="42" t="str">
        <f t="shared" si="10"/>
        <v>FY 25</v>
      </c>
      <c r="H31" s="42" t="str">
        <f t="shared" si="10"/>
        <v>Total</v>
      </c>
      <c r="I31" s="36"/>
      <c r="J31" s="36"/>
    </row>
    <row r="32" spans="1:19" ht="15.75" thickBot="1" x14ac:dyDescent="0.3">
      <c r="A32" s="36"/>
      <c r="B32" s="40" t="str">
        <f>B29</f>
        <v xml:space="preserve">Corrosion and Environmental Deterioration </v>
      </c>
      <c r="C32" s="75">
        <f>SUMIF('Forecast Capex'!$N$7:$N$103,$J32,'Forecast Capex'!D$7:D$103)/1000*(1+Data!$B$5)^2</f>
        <v>0.46956089510516141</v>
      </c>
      <c r="D32" s="75">
        <f>SUMIF('Forecast Capex'!$N$7:$N$103,$J32,'Forecast Capex'!E$7:E$103)/1000*(1+Data!$B$5)^2</f>
        <v>0.82028942609280042</v>
      </c>
      <c r="E32" s="75">
        <f>SUMIF('Forecast Capex'!$N$7:$N$103,$J32,'Forecast Capex'!F$7:F$103)/1000*(1+Data!$B$5)^2</f>
        <v>0.64954000969092351</v>
      </c>
      <c r="F32" s="75">
        <f>SUMIF('Forecast Capex'!$N$7:$N$103,$J32,'Forecast Capex'!G$7:G$103)/1000*(1+Data!$B$5)^2</f>
        <v>0.83874882246057092</v>
      </c>
      <c r="G32" s="75">
        <f>SUMIF('Forecast Capex'!$N$7:$N$103,$J32,'Forecast Capex'!H$7:H$103)/1000*(1+Data!$B$5)^2</f>
        <v>0.1119100904796085</v>
      </c>
      <c r="H32" s="75">
        <f>SUM(C32:G32)</f>
        <v>2.8900492438290653</v>
      </c>
      <c r="I32" s="36"/>
      <c r="J32" s="43" t="str">
        <f>INDEX('Projects by size'!$N$3:$N$22,MATCH(LARGE('Projects by size'!$O$3:$O$22,A30-2),'Projects by size'!$O$3:$O$22,0),0)</f>
        <v xml:space="preserve">Corrosion and Environmental Deterioration </v>
      </c>
    </row>
    <row r="34" spans="1:10" ht="18" thickBot="1" x14ac:dyDescent="0.35">
      <c r="A34" s="36"/>
      <c r="B34" s="44" t="str">
        <f>J37</f>
        <v>Reclamation and Restoration</v>
      </c>
      <c r="C34" s="36"/>
      <c r="D34" s="36"/>
      <c r="E34" s="36"/>
      <c r="F34" s="36"/>
      <c r="G34" s="36"/>
      <c r="H34" s="36"/>
      <c r="I34" s="36"/>
      <c r="J34" s="36"/>
    </row>
    <row r="35" spans="1:10" ht="16.5" thickTop="1" thickBot="1" x14ac:dyDescent="0.3">
      <c r="A35" s="36">
        <f>MAX($A$2:A34)+1</f>
        <v>8</v>
      </c>
      <c r="B35" s="37" t="str">
        <f>"Table 8-"&amp;A35&amp;": "&amp;B34&amp;" forecast capital expenditure ($m 2019/20)"</f>
        <v>Table 8-8: Reclamation and Restoration forecast capital expenditure ($m 2019/20)</v>
      </c>
      <c r="C35" s="36"/>
      <c r="D35" s="36"/>
      <c r="E35" s="36"/>
      <c r="F35" s="36"/>
      <c r="G35" s="36"/>
      <c r="H35" s="36"/>
      <c r="I35" s="36"/>
      <c r="J35" s="36"/>
    </row>
    <row r="36" spans="1:10" ht="15.75" thickBot="1" x14ac:dyDescent="0.3">
      <c r="A36" s="36"/>
      <c r="B36" s="38"/>
      <c r="C36" s="42" t="str">
        <f>C31</f>
        <v>FY 21</v>
      </c>
      <c r="D36" s="42" t="str">
        <f t="shared" ref="D36:H36" si="11">D31</f>
        <v>FY 22</v>
      </c>
      <c r="E36" s="42" t="str">
        <f t="shared" si="11"/>
        <v>FY 23</v>
      </c>
      <c r="F36" s="42" t="str">
        <f t="shared" si="11"/>
        <v>FY 24</v>
      </c>
      <c r="G36" s="42" t="str">
        <f t="shared" si="11"/>
        <v>FY 25</v>
      </c>
      <c r="H36" s="42" t="str">
        <f t="shared" si="11"/>
        <v>Total</v>
      </c>
      <c r="I36" s="36"/>
      <c r="J36" s="36"/>
    </row>
    <row r="37" spans="1:10" ht="15.75" thickBot="1" x14ac:dyDescent="0.3">
      <c r="A37" s="36"/>
      <c r="B37" s="40" t="str">
        <f>B34</f>
        <v>Reclamation and Restoration</v>
      </c>
      <c r="C37" s="75">
        <f>SUMIF('Forecast Capex'!$N$7:$N$103,$J37,'Forecast Capex'!D$7:D$103)/1000*(1+Data!$B$5)^2</f>
        <v>0.41791042100203513</v>
      </c>
      <c r="D37" s="75">
        <f>SUMIF('Forecast Capex'!$N$7:$N$103,$J37,'Forecast Capex'!E$7:E$103)/1000*(1+Data!$B$5)^2</f>
        <v>0.41791042100203513</v>
      </c>
      <c r="E37" s="75">
        <f>SUMIF('Forecast Capex'!$N$7:$N$103,$J37,'Forecast Capex'!F$7:F$103)/1000*(1+Data!$B$5)^2</f>
        <v>0.41791042100203513</v>
      </c>
      <c r="F37" s="75">
        <f>SUMIF('Forecast Capex'!$N$7:$N$103,$J37,'Forecast Capex'!G$7:G$103)/1000*(1+Data!$B$5)^2</f>
        <v>0.41791042100203513</v>
      </c>
      <c r="G37" s="75">
        <f>SUMIF('Forecast Capex'!$N$7:$N$103,$J37,'Forecast Capex'!H$7:H$103)/1000*(1+Data!$B$5)^2</f>
        <v>0.41791042100203513</v>
      </c>
      <c r="H37" s="75">
        <f>SUM(C37:G37)</f>
        <v>2.0895521050101755</v>
      </c>
      <c r="I37" s="36"/>
      <c r="J37" s="43" t="str">
        <f>INDEX('Projects by size'!$N$3:$N$22,MATCH(LARGE('Projects by size'!$O$3:$O$22,A35-2),'Projects by size'!$O$3:$O$22,0),0)</f>
        <v>Reclamation and Restoration</v>
      </c>
    </row>
    <row r="39" spans="1:10" ht="18" thickBot="1" x14ac:dyDescent="0.35">
      <c r="A39" s="36"/>
      <c r="B39" s="44" t="str">
        <f>J42</f>
        <v>Cable Modification</v>
      </c>
      <c r="C39" s="36"/>
      <c r="D39" s="36"/>
      <c r="E39" s="36"/>
      <c r="F39" s="36"/>
      <c r="G39" s="36"/>
      <c r="H39" s="36"/>
      <c r="I39" s="36"/>
      <c r="J39" s="36"/>
    </row>
    <row r="40" spans="1:10" ht="16.5" thickTop="1" thickBot="1" x14ac:dyDescent="0.3">
      <c r="A40" s="36">
        <f>MAX($A$2:A39)+1</f>
        <v>9</v>
      </c>
      <c r="B40" s="37" t="str">
        <f>"Table 8-"&amp;A40&amp;": "&amp;B39&amp;" forecast capital expenditure ($m 2019/20)"</f>
        <v>Table 8-9: Cable Modification forecast capital expenditure ($m 2019/20)</v>
      </c>
      <c r="C40" s="36"/>
      <c r="D40" s="36"/>
      <c r="E40" s="36"/>
      <c r="F40" s="36"/>
      <c r="G40" s="36"/>
      <c r="H40" s="36"/>
      <c r="I40" s="36"/>
      <c r="J40" s="36"/>
    </row>
    <row r="41" spans="1:10" ht="15.75" thickBot="1" x14ac:dyDescent="0.3">
      <c r="A41" s="36"/>
      <c r="B41" s="38"/>
      <c r="C41" s="42" t="str">
        <f>C36</f>
        <v>FY 21</v>
      </c>
      <c r="D41" s="42" t="str">
        <f t="shared" ref="D41:G41" si="12">D36</f>
        <v>FY 22</v>
      </c>
      <c r="E41" s="42" t="str">
        <f t="shared" si="12"/>
        <v>FY 23</v>
      </c>
      <c r="F41" s="42" t="str">
        <f t="shared" si="12"/>
        <v>FY 24</v>
      </c>
      <c r="G41" s="42" t="str">
        <f t="shared" si="12"/>
        <v>FY 25</v>
      </c>
      <c r="H41" s="39" t="s">
        <v>15</v>
      </c>
      <c r="I41" s="36"/>
      <c r="J41" s="36"/>
    </row>
    <row r="42" spans="1:10" ht="15.75" thickBot="1" x14ac:dyDescent="0.3">
      <c r="A42" s="36"/>
      <c r="B42" s="40" t="str">
        <f>B39</f>
        <v>Cable Modification</v>
      </c>
      <c r="C42" s="75">
        <f>SUMIF('Forecast Capex'!$N$7:$N$103,$J42,'Forecast Capex'!D$7:D$103)/1000*(1+Data!$B$5)^2</f>
        <v>0.86528420473924084</v>
      </c>
      <c r="D42" s="75">
        <f>SUMIF('Forecast Capex'!$N$7:$N$103,$J42,'Forecast Capex'!E$7:E$103)/1000*(1+Data!$B$5)^2</f>
        <v>0.86528420473924084</v>
      </c>
      <c r="E42" s="75">
        <f>SUMIF('Forecast Capex'!$N$7:$N$103,$J42,'Forecast Capex'!F$7:F$103)/1000*(1+Data!$B$5)^2</f>
        <v>0.34611368189569641</v>
      </c>
      <c r="F42" s="75">
        <f>SUMIF('Forecast Capex'!$N$7:$N$103,$J42,'Forecast Capex'!G$7:G$103)/1000*(1+Data!$B$5)^2</f>
        <v>0</v>
      </c>
      <c r="G42" s="75">
        <f>SUMIF('Forecast Capex'!$N$7:$N$103,$J42,'Forecast Capex'!H$7:H$103)/1000*(1+Data!$B$5)^2</f>
        <v>0</v>
      </c>
      <c r="H42" s="75">
        <f>SUM(C42:G42)</f>
        <v>2.0766820913741779</v>
      </c>
      <c r="I42" s="36"/>
      <c r="J42" s="43" t="str">
        <f>INDEX('Projects by size'!$N$3:$N$22,MATCH(LARGE('Projects by size'!$O$3:$O$22,A40-2),'Projects by size'!$O$3:$O$22,0),0)</f>
        <v>Cable Modification</v>
      </c>
    </row>
    <row r="44" spans="1:10" ht="18" thickBot="1" x14ac:dyDescent="0.35">
      <c r="A44" s="36"/>
      <c r="B44" s="44" t="str">
        <f>J47</f>
        <v>Stay in Business</v>
      </c>
      <c r="C44" s="36"/>
      <c r="D44" s="36"/>
      <c r="E44" s="36"/>
      <c r="F44" s="36"/>
      <c r="G44" s="36"/>
      <c r="H44" s="36"/>
      <c r="I44" s="36"/>
      <c r="J44" s="36"/>
    </row>
    <row r="45" spans="1:10" ht="16.5" thickTop="1" thickBot="1" x14ac:dyDescent="0.3">
      <c r="A45" s="36">
        <f>MAX($A$2:A44)+1</f>
        <v>10</v>
      </c>
      <c r="B45" s="37" t="str">
        <f>"Table 8-"&amp;A45&amp;": "&amp;B44&amp;" forecast capital expenditure ($m 2019/20)"</f>
        <v>Table 8-10: Stay in Business forecast capital expenditure ($m 2019/20)</v>
      </c>
      <c r="C45" s="36"/>
      <c r="D45" s="36"/>
      <c r="E45" s="36"/>
      <c r="F45" s="36"/>
      <c r="G45" s="36"/>
      <c r="H45" s="36"/>
      <c r="I45" s="36"/>
      <c r="J45" s="36"/>
    </row>
    <row r="46" spans="1:10" ht="15.75" thickBot="1" x14ac:dyDescent="0.3">
      <c r="A46" s="36"/>
      <c r="B46" s="38"/>
      <c r="C46" s="42" t="str">
        <f>C41</f>
        <v>FY 21</v>
      </c>
      <c r="D46" s="42" t="str">
        <f t="shared" ref="D46:G46" si="13">D41</f>
        <v>FY 22</v>
      </c>
      <c r="E46" s="42" t="str">
        <f t="shared" si="13"/>
        <v>FY 23</v>
      </c>
      <c r="F46" s="42" t="str">
        <f t="shared" si="13"/>
        <v>FY 24</v>
      </c>
      <c r="G46" s="42" t="str">
        <f t="shared" si="13"/>
        <v>FY 25</v>
      </c>
      <c r="H46" s="42" t="str">
        <f t="shared" ref="H46" si="14">H41</f>
        <v>Total</v>
      </c>
      <c r="I46" s="36"/>
      <c r="J46" s="36"/>
    </row>
    <row r="47" spans="1:10" ht="15.75" thickBot="1" x14ac:dyDescent="0.3">
      <c r="A47" s="36"/>
      <c r="B47" s="40" t="str">
        <f>B44</f>
        <v>Stay in Business</v>
      </c>
      <c r="C47" s="75">
        <f>SUMIF('Forecast Capex'!$N$7:$N$103,$J47,'Forecast Capex'!D$7:D$103)/1000*(1+Data!$B$5)^2</f>
        <v>0.18772996340154754</v>
      </c>
      <c r="D47" s="75">
        <f>SUMIF('Forecast Capex'!$N$7:$N$103,$J47,'Forecast Capex'!E$7:E$103)/1000*(1+Data!$B$5)^2</f>
        <v>0.54748891499864705</v>
      </c>
      <c r="E47" s="75">
        <f>SUMIF('Forecast Capex'!$N$7:$N$103,$J47,'Forecast Capex'!F$7:F$103)/1000*(1+Data!$B$5)^2</f>
        <v>2.3074245459713091E-2</v>
      </c>
      <c r="F47" s="75">
        <f>SUMIF('Forecast Capex'!$N$7:$N$103,$J47,'Forecast Capex'!G$7:G$103)/1000*(1+Data!$B$5)^2</f>
        <v>2.3074245459713091E-2</v>
      </c>
      <c r="G47" s="75">
        <f>SUMIF('Forecast Capex'!$N$7:$N$103,$J47,'Forecast Capex'!H$7:H$103)/1000*(1+Data!$B$5)^2</f>
        <v>2.3074245459713091E-2</v>
      </c>
      <c r="H47" s="75">
        <f>SUM(C47:G47)</f>
        <v>0.80444161477933374</v>
      </c>
      <c r="I47" s="36"/>
      <c r="J47" s="43" t="str">
        <f>INDEX('Projects by size'!$N$3:$N$22,MATCH(LARGE('Projects by size'!$O$3:$O$22,A45-2),'Projects by size'!$O$3:$O$22,0),0)</f>
        <v>Stay in Business</v>
      </c>
    </row>
    <row r="49" spans="1:10" ht="18" thickBot="1" x14ac:dyDescent="0.35">
      <c r="A49" s="36"/>
      <c r="B49" s="44" t="str">
        <f>J52</f>
        <v>Essential Spares</v>
      </c>
      <c r="C49" s="36"/>
      <c r="D49" s="36"/>
      <c r="E49" s="36"/>
      <c r="F49" s="36"/>
      <c r="G49" s="36"/>
      <c r="H49" s="36"/>
      <c r="I49" s="36"/>
      <c r="J49" s="36"/>
    </row>
    <row r="50" spans="1:10" ht="16.5" thickTop="1" thickBot="1" x14ac:dyDescent="0.3">
      <c r="A50" s="36">
        <f>MAX($A$2:A49)+1</f>
        <v>11</v>
      </c>
      <c r="B50" s="37" t="str">
        <f>"Table 8-"&amp;A50&amp;": "&amp;B49&amp;" forecast capital expenditure ($m 2019/20)"</f>
        <v>Table 8-11: Essential Spares forecast capital expenditure ($m 2019/20)</v>
      </c>
      <c r="C50" s="36"/>
      <c r="D50" s="36"/>
      <c r="E50" s="36"/>
      <c r="F50" s="36"/>
      <c r="G50" s="36"/>
      <c r="H50" s="36"/>
      <c r="I50" s="36"/>
      <c r="J50" s="36"/>
    </row>
    <row r="51" spans="1:10" ht="15.75" thickBot="1" x14ac:dyDescent="0.3">
      <c r="A51" s="36"/>
      <c r="B51" s="38"/>
      <c r="C51" s="42" t="str">
        <f>C46</f>
        <v>FY 21</v>
      </c>
      <c r="D51" s="42" t="str">
        <f>D46</f>
        <v>FY 22</v>
      </c>
      <c r="E51" s="42" t="str">
        <f>E46</f>
        <v>FY 23</v>
      </c>
      <c r="F51" s="42" t="str">
        <f>F46</f>
        <v>FY 24</v>
      </c>
      <c r="G51" s="42" t="str">
        <f>G46</f>
        <v>FY 25</v>
      </c>
      <c r="H51" s="39" t="s">
        <v>15</v>
      </c>
      <c r="I51" s="36"/>
      <c r="J51" s="36"/>
    </row>
    <row r="52" spans="1:10" ht="15.75" thickBot="1" x14ac:dyDescent="0.3">
      <c r="A52" s="36"/>
      <c r="B52" s="40" t="str">
        <f>B49</f>
        <v>Essential Spares</v>
      </c>
      <c r="C52" s="75">
        <f>SUMIF('Forecast Capex'!$N$7:$N$103,$J52,'Forecast Capex'!D$7:D$103)/1000*(1+Data!$B$5)^2</f>
        <v>0.15459744458007771</v>
      </c>
      <c r="D52" s="75">
        <f>SUMIF('Forecast Capex'!$N$7:$N$103,$J52,'Forecast Capex'!E$7:E$103)/1000*(1+Data!$B$5)^2</f>
        <v>0.15459744458007771</v>
      </c>
      <c r="E52" s="75">
        <f>SUMIF('Forecast Capex'!$N$7:$N$103,$J52,'Forecast Capex'!F$7:F$103)/1000*(1+Data!$B$5)^2</f>
        <v>0.15459744458007771</v>
      </c>
      <c r="F52" s="75">
        <f>SUMIF('Forecast Capex'!$N$7:$N$103,$J52,'Forecast Capex'!G$7:G$103)/1000*(1+Data!$B$5)^2</f>
        <v>0.15459744458007771</v>
      </c>
      <c r="G52" s="75">
        <f>SUMIF('Forecast Capex'!$N$7:$N$103,$J52,'Forecast Capex'!H$7:H$103)/1000*(1+Data!$B$5)^2</f>
        <v>0.15459744458007771</v>
      </c>
      <c r="H52" s="75">
        <f>SUM(C52:G52)</f>
        <v>0.77298722290038857</v>
      </c>
      <c r="I52" s="36"/>
      <c r="J52" s="43" t="str">
        <f>INDEX('Projects by size'!$N$3:$N$22,MATCH(LARGE('Projects by size'!$O$3:$O$22,A50-2),'Projects by size'!$O$3:$O$22,0),0)</f>
        <v>Essential Spares</v>
      </c>
    </row>
    <row r="54" spans="1:10" ht="18" thickBot="1" x14ac:dyDescent="0.35">
      <c r="A54" s="36"/>
      <c r="B54" s="44" t="str">
        <f>J57</f>
        <v xml:space="preserve"> Test Equipment</v>
      </c>
      <c r="C54" s="36"/>
      <c r="D54" s="36"/>
      <c r="E54" s="36"/>
      <c r="F54" s="36"/>
      <c r="G54" s="36"/>
      <c r="H54" s="36"/>
      <c r="I54" s="36"/>
      <c r="J54" s="36"/>
    </row>
    <row r="55" spans="1:10" ht="16.5" thickTop="1" thickBot="1" x14ac:dyDescent="0.3">
      <c r="A55" s="36">
        <f>MAX($A$2:A54)+1</f>
        <v>12</v>
      </c>
      <c r="B55" s="37" t="str">
        <f>"Table 8-"&amp;A55&amp;": "&amp;B54&amp;" forecast capital expenditure ($m 2019/20)"</f>
        <v>Table 8-12:  Test Equipment forecast capital expenditure ($m 2019/20)</v>
      </c>
      <c r="C55" s="36"/>
      <c r="D55" s="36"/>
      <c r="E55" s="36"/>
      <c r="F55" s="36"/>
      <c r="G55" s="36"/>
      <c r="H55" s="36"/>
      <c r="I55" s="36"/>
      <c r="J55" s="36"/>
    </row>
    <row r="56" spans="1:10" ht="15.75" thickBot="1" x14ac:dyDescent="0.3">
      <c r="A56" s="36"/>
      <c r="B56" s="38"/>
      <c r="C56" s="42" t="str">
        <f>C51</f>
        <v>FY 21</v>
      </c>
      <c r="D56" s="42" t="str">
        <f t="shared" ref="D56:G56" si="15">D51</f>
        <v>FY 22</v>
      </c>
      <c r="E56" s="42" t="str">
        <f t="shared" si="15"/>
        <v>FY 23</v>
      </c>
      <c r="F56" s="42" t="str">
        <f t="shared" si="15"/>
        <v>FY 24</v>
      </c>
      <c r="G56" s="42" t="str">
        <f t="shared" si="15"/>
        <v>FY 25</v>
      </c>
      <c r="H56" s="39" t="s">
        <v>15</v>
      </c>
      <c r="I56" s="36"/>
      <c r="J56" s="36"/>
    </row>
    <row r="57" spans="1:10" ht="15.75" thickBot="1" x14ac:dyDescent="0.3">
      <c r="A57" s="36"/>
      <c r="B57" s="40" t="str">
        <f>B54</f>
        <v xml:space="preserve"> Test Equipment</v>
      </c>
      <c r="C57" s="75">
        <f>SUMIF('Forecast Capex'!$N$7:$N$103,$J57,'Forecast Capex'!D$7:D$103)/1000*(1+Data!$B$5)^2</f>
        <v>0.42110497963976395</v>
      </c>
      <c r="D57" s="75">
        <f>SUMIF('Forecast Capex'!$N$7:$N$103,$J57,'Forecast Capex'!E$7:E$103)/1000*(1+Data!$B$5)^2</f>
        <v>0</v>
      </c>
      <c r="E57" s="75">
        <f>SUMIF('Forecast Capex'!$N$7:$N$103,$J57,'Forecast Capex'!F$7:F$103)/1000*(1+Data!$B$5)^2</f>
        <v>0.17305684094784821</v>
      </c>
      <c r="F57" s="75">
        <f>SUMIF('Forecast Capex'!$N$7:$N$103,$J57,'Forecast Capex'!G$7:G$103)/1000*(1+Data!$B$5)^2</f>
        <v>0.17305684094784821</v>
      </c>
      <c r="G57" s="75">
        <f>SUMIF('Forecast Capex'!$N$7:$N$103,$J57,'Forecast Capex'!H$7:H$103)/1000*(1+Data!$B$5)^2</f>
        <v>0</v>
      </c>
      <c r="H57" s="75">
        <f>SUM(C57:G57)</f>
        <v>0.76721866153546037</v>
      </c>
      <c r="I57" s="36"/>
      <c r="J57" s="43" t="str">
        <f>INDEX('Projects by size'!$N$3:$N$22,MATCH(LARGE('Projects by size'!$O$3:$O$22,A55-2),'Projects by size'!$O$3:$O$22,0),0)</f>
        <v xml:space="preserve"> Test Equipment</v>
      </c>
    </row>
    <row r="59" spans="1:10" ht="18" thickBot="1" x14ac:dyDescent="0.35">
      <c r="A59" s="37"/>
      <c r="B59" s="44" t="str">
        <f>J62</f>
        <v>Noise Control Improvements</v>
      </c>
      <c r="C59" s="37"/>
      <c r="D59" s="37"/>
      <c r="E59" s="37"/>
      <c r="F59" s="37"/>
      <c r="G59" s="37"/>
      <c r="H59" s="37"/>
      <c r="I59" s="37"/>
      <c r="J59" s="37"/>
    </row>
    <row r="60" spans="1:10" ht="16.5" thickTop="1" thickBot="1" x14ac:dyDescent="0.3">
      <c r="A60" s="37">
        <f>MAX($A$2:A59)+1</f>
        <v>13</v>
      </c>
      <c r="B60" s="37" t="str">
        <f>"Table 8-"&amp;A60&amp;": "&amp;B59&amp;" forecast capital expenditure ($m 2019/20)"</f>
        <v>Table 8-13: Noise Control Improvements forecast capital expenditure ($m 2019/20)</v>
      </c>
      <c r="C60" s="37"/>
      <c r="D60" s="37"/>
      <c r="E60" s="37"/>
      <c r="F60" s="37"/>
      <c r="G60" s="37"/>
      <c r="H60" s="37"/>
      <c r="I60" s="37"/>
      <c r="J60" s="37"/>
    </row>
    <row r="61" spans="1:10" ht="15.75" thickBot="1" x14ac:dyDescent="0.3">
      <c r="A61" s="37"/>
      <c r="B61" s="38"/>
      <c r="C61" s="42" t="str">
        <f>C56</f>
        <v>FY 21</v>
      </c>
      <c r="D61" s="42" t="str">
        <f t="shared" ref="D61:G61" si="16">D56</f>
        <v>FY 22</v>
      </c>
      <c r="E61" s="42" t="str">
        <f t="shared" si="16"/>
        <v>FY 23</v>
      </c>
      <c r="F61" s="42" t="str">
        <f t="shared" si="16"/>
        <v>FY 24</v>
      </c>
      <c r="G61" s="42" t="str">
        <f t="shared" si="16"/>
        <v>FY 25</v>
      </c>
      <c r="H61" s="39" t="s">
        <v>15</v>
      </c>
      <c r="I61" s="37"/>
      <c r="J61" s="37"/>
    </row>
    <row r="62" spans="1:10" ht="15.75" thickBot="1" x14ac:dyDescent="0.3">
      <c r="A62" s="37"/>
      <c r="B62" s="40" t="str">
        <f>B59</f>
        <v>Noise Control Improvements</v>
      </c>
      <c r="C62" s="75">
        <f>SUMIF('Forecast Capex'!$N$7:$N$103,$J62,'Forecast Capex'!D$7:D$103)/1000*(1+Data!$B$5)^2</f>
        <v>0.10488293390778679</v>
      </c>
      <c r="D62" s="75">
        <f>SUMIF('Forecast Capex'!$N$7:$N$103,$J62,'Forecast Capex'!E$7:E$103)/1000*(1+Data!$B$5)^2</f>
        <v>0.10488293390778679</v>
      </c>
      <c r="E62" s="75">
        <f>SUMIF('Forecast Capex'!$N$7:$N$103,$J62,'Forecast Capex'!F$7:F$103)/1000*(1+Data!$B$5)^2</f>
        <v>0.10488293390778679</v>
      </c>
      <c r="F62" s="75">
        <f>SUMIF('Forecast Capex'!$N$7:$N$103,$J62,'Forecast Capex'!G$7:G$103)/1000*(1+Data!$B$5)^2</f>
        <v>0.10488293390778679</v>
      </c>
      <c r="G62" s="75">
        <f>SUMIF('Forecast Capex'!$N$7:$N$103,$J62,'Forecast Capex'!H$7:H$103)/1000*(1+Data!$B$5)^2</f>
        <v>0.10488293390778679</v>
      </c>
      <c r="H62" s="75">
        <f>SUM(C62:G62)</f>
        <v>0.5244146695389339</v>
      </c>
      <c r="I62" s="37"/>
      <c r="J62" s="43" t="str">
        <f>INDEX('Projects by size'!$N$3:$N$22,MATCH(LARGE('Projects by size'!$O$3:$O$22,A60-2),'Projects by size'!$O$3:$O$22,0),0)</f>
        <v>Noise Control Improvements</v>
      </c>
    </row>
    <row r="63" spans="1:10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</row>
    <row r="64" spans="1:10" ht="18" thickBot="1" x14ac:dyDescent="0.35">
      <c r="A64" s="37"/>
      <c r="B64" s="44" t="str">
        <f>J67</f>
        <v>Regulatory</v>
      </c>
      <c r="C64" s="37"/>
      <c r="D64" s="37"/>
      <c r="E64" s="37"/>
      <c r="F64" s="37"/>
      <c r="G64" s="37"/>
      <c r="H64" s="37"/>
      <c r="I64" s="37"/>
      <c r="J64" s="37"/>
    </row>
    <row r="65" spans="1:10" ht="16.5" thickTop="1" thickBot="1" x14ac:dyDescent="0.3">
      <c r="A65" s="37">
        <f>MAX($A$2:A64)+1</f>
        <v>14</v>
      </c>
      <c r="B65" s="37" t="str">
        <f>"Table 8-"&amp;A65&amp;": "&amp;B64&amp;" forecast capital expenditure ($m 2019/20)"</f>
        <v>Table 8-14: Regulatory forecast capital expenditure ($m 2019/20)</v>
      </c>
      <c r="C65" s="37"/>
      <c r="D65" s="37"/>
      <c r="E65" s="37"/>
      <c r="F65" s="37"/>
      <c r="G65" s="37"/>
      <c r="H65" s="37"/>
      <c r="I65" s="37"/>
      <c r="J65" s="37"/>
    </row>
    <row r="66" spans="1:10" ht="15.75" thickBot="1" x14ac:dyDescent="0.3">
      <c r="A66" s="37"/>
      <c r="B66" s="38"/>
      <c r="C66" s="42" t="str">
        <f>C61</f>
        <v>FY 21</v>
      </c>
      <c r="D66" s="42" t="str">
        <f t="shared" ref="D66:G66" si="17">D61</f>
        <v>FY 22</v>
      </c>
      <c r="E66" s="42" t="str">
        <f t="shared" si="17"/>
        <v>FY 23</v>
      </c>
      <c r="F66" s="42" t="str">
        <f t="shared" si="17"/>
        <v>FY 24</v>
      </c>
      <c r="G66" s="42" t="str">
        <f t="shared" si="17"/>
        <v>FY 25</v>
      </c>
      <c r="H66" s="39" t="s">
        <v>15</v>
      </c>
      <c r="I66" s="37"/>
      <c r="J66" s="37"/>
    </row>
    <row r="67" spans="1:10" ht="15.75" thickBot="1" x14ac:dyDescent="0.3">
      <c r="A67" s="37"/>
      <c r="B67" s="40" t="str">
        <f>B64</f>
        <v>Regulatory</v>
      </c>
      <c r="C67" s="75">
        <f>SUMIF('Forecast Capex'!$N$7:$N$103,$J67,'Forecast Capex'!D$7:D$103)/1000*(1+Data!$B$5)^2</f>
        <v>5.2441466953893394E-2</v>
      </c>
      <c r="D67" s="75">
        <f>SUMIF('Forecast Capex'!$N$7:$N$103,$J67,'Forecast Capex'!E$7:E$103)/1000*(1+Data!$B$5)^2</f>
        <v>5.2441466953893394E-2</v>
      </c>
      <c r="E67" s="75">
        <f>SUMIF('Forecast Capex'!$N$7:$N$103,$J67,'Forecast Capex'!F$7:F$103)/1000*(1+Data!$B$5)^2</f>
        <v>5.2441466953893394E-2</v>
      </c>
      <c r="F67" s="75">
        <f>SUMIF('Forecast Capex'!$N$7:$N$103,$J67,'Forecast Capex'!G$7:G$103)/1000*(1+Data!$B$5)^2</f>
        <v>5.2441466953893394E-2</v>
      </c>
      <c r="G67" s="75">
        <f>SUMIF('Forecast Capex'!$N$7:$N$103,$J67,'Forecast Capex'!H$7:H$103)/1000*(1+Data!$B$5)^2</f>
        <v>5.2441466953893394E-2</v>
      </c>
      <c r="H67" s="75">
        <f>SUM(C67:G67)</f>
        <v>0.26220733476946695</v>
      </c>
      <c r="I67" s="37"/>
      <c r="J67" s="43" t="str">
        <f>INDEX('Projects by size'!$N$3:$N$22,MATCH(LARGE('Projects by size'!$O$3:$O$22,A65-2),'Projects by size'!$O$3:$O$22,0),0)</f>
        <v>Regulatory</v>
      </c>
    </row>
    <row r="68" spans="1:10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</row>
    <row r="69" spans="1:10" ht="18" thickBot="1" x14ac:dyDescent="0.35">
      <c r="A69" s="64"/>
      <c r="B69" s="44" t="str">
        <f>J72</f>
        <v/>
      </c>
      <c r="C69" s="64"/>
      <c r="D69" s="64"/>
      <c r="E69" s="64"/>
      <c r="F69" s="64"/>
      <c r="G69" s="64"/>
      <c r="H69" s="64"/>
      <c r="I69" s="64"/>
      <c r="J69" s="64"/>
    </row>
    <row r="70" spans="1:10" ht="16.5" thickTop="1" thickBot="1" x14ac:dyDescent="0.3">
      <c r="A70" s="64">
        <f>MAX($A$2:A69)+1</f>
        <v>15</v>
      </c>
      <c r="B70" s="64" t="str">
        <f>"Table 8-"&amp;A70&amp;": "&amp;B69&amp;" forecast capital expenditure ($m 2019/20)"</f>
        <v>Table 8-15:  forecast capital expenditure ($m 2019/20)</v>
      </c>
      <c r="C70" s="64"/>
      <c r="D70" s="64"/>
      <c r="E70" s="64"/>
      <c r="F70" s="64"/>
      <c r="G70" s="64"/>
      <c r="H70" s="64"/>
      <c r="I70" s="64"/>
      <c r="J70" s="64"/>
    </row>
    <row r="71" spans="1:10" ht="15.75" thickBot="1" x14ac:dyDescent="0.3">
      <c r="A71" s="64"/>
      <c r="B71" s="38"/>
      <c r="C71" s="42" t="str">
        <f>C66</f>
        <v>FY 21</v>
      </c>
      <c r="D71" s="42" t="str">
        <f t="shared" ref="D71:G71" si="18">D66</f>
        <v>FY 22</v>
      </c>
      <c r="E71" s="42" t="str">
        <f t="shared" si="18"/>
        <v>FY 23</v>
      </c>
      <c r="F71" s="42" t="str">
        <f t="shared" si="18"/>
        <v>FY 24</v>
      </c>
      <c r="G71" s="42" t="str">
        <f t="shared" si="18"/>
        <v>FY 25</v>
      </c>
      <c r="H71" s="39" t="s">
        <v>15</v>
      </c>
      <c r="I71" s="64"/>
      <c r="J71" s="64"/>
    </row>
    <row r="72" spans="1:10" ht="15.75" thickBot="1" x14ac:dyDescent="0.3">
      <c r="A72" s="64"/>
      <c r="B72" s="40" t="str">
        <f>B69</f>
        <v/>
      </c>
      <c r="C72" s="75">
        <f>SUMIF('Forecast Capex'!$N$7:$N$103,$J72,'Forecast Capex'!D$7:D$103)/1000*(1+Data!$B$5)^2</f>
        <v>0</v>
      </c>
      <c r="D72" s="75">
        <f>SUMIF('Forecast Capex'!$N$7:$N$103,$J72,'Forecast Capex'!E$7:E$103)/1000*(1+Data!$B$5)^2</f>
        <v>0</v>
      </c>
      <c r="E72" s="75">
        <f>SUMIF('Forecast Capex'!$N$7:$N$103,$J72,'Forecast Capex'!F$7:F$103)/1000*(1+Data!$B$5)^2</f>
        <v>0</v>
      </c>
      <c r="F72" s="75">
        <f>SUMIF('Forecast Capex'!$N$7:$N$103,$J72,'Forecast Capex'!G$7:G$103)/1000*(1+Data!$B$5)^2</f>
        <v>0</v>
      </c>
      <c r="G72" s="75">
        <f>SUMIF('Forecast Capex'!$N$7:$N$103,$J72,'Forecast Capex'!H$7:H$103)/1000*(1+Data!$B$5)^2</f>
        <v>0</v>
      </c>
      <c r="H72" s="75">
        <f>SUM(C72:G72)</f>
        <v>0</v>
      </c>
      <c r="I72" s="64"/>
      <c r="J72" s="43" t="str">
        <f>INDEX('Projects by size'!$N$3:$N$22,MATCH(LARGE('Projects by size'!$O$3:$O$22,A70-2),'Projects by size'!$O$3:$O$22,0),0)</f>
        <v/>
      </c>
    </row>
    <row r="74" spans="1:10" ht="18" thickBot="1" x14ac:dyDescent="0.35">
      <c r="A74" s="64"/>
      <c r="B74" s="44" t="str">
        <f>J77</f>
        <v/>
      </c>
      <c r="C74" s="64"/>
      <c r="D74" s="64"/>
      <c r="E74" s="64"/>
      <c r="F74" s="64"/>
      <c r="G74" s="64"/>
      <c r="H74" s="64"/>
      <c r="I74" s="64"/>
      <c r="J74" s="64"/>
    </row>
    <row r="75" spans="1:10" ht="16.5" thickTop="1" thickBot="1" x14ac:dyDescent="0.3">
      <c r="A75" s="64">
        <f>MAX($A$2:A74)+1</f>
        <v>16</v>
      </c>
      <c r="B75" s="64" t="str">
        <f>"Table 8-"&amp;A75&amp;": "&amp;B74&amp;" forecast capital expenditure ($m 2019/20)"</f>
        <v>Table 8-16:  forecast capital expenditure ($m 2019/20)</v>
      </c>
      <c r="C75" s="64"/>
      <c r="D75" s="64"/>
      <c r="E75" s="64"/>
      <c r="F75" s="64"/>
      <c r="G75" s="64"/>
      <c r="H75" s="64"/>
      <c r="I75" s="64"/>
      <c r="J75" s="64"/>
    </row>
    <row r="76" spans="1:10" ht="15.75" thickBot="1" x14ac:dyDescent="0.3">
      <c r="A76" s="64"/>
      <c r="B76" s="38"/>
      <c r="C76" s="42" t="str">
        <f>C71</f>
        <v>FY 21</v>
      </c>
      <c r="D76" s="42" t="str">
        <f t="shared" ref="D76:G76" si="19">D71</f>
        <v>FY 22</v>
      </c>
      <c r="E76" s="42" t="str">
        <f t="shared" si="19"/>
        <v>FY 23</v>
      </c>
      <c r="F76" s="42" t="str">
        <f t="shared" si="19"/>
        <v>FY 24</v>
      </c>
      <c r="G76" s="42" t="str">
        <f t="shared" si="19"/>
        <v>FY 25</v>
      </c>
      <c r="H76" s="39" t="s">
        <v>15</v>
      </c>
      <c r="I76" s="64"/>
      <c r="J76" s="64"/>
    </row>
    <row r="77" spans="1:10" ht="15.75" thickBot="1" x14ac:dyDescent="0.3">
      <c r="A77" s="64"/>
      <c r="B77" s="40" t="str">
        <f>B74</f>
        <v/>
      </c>
      <c r="C77" s="41">
        <f>SUMIF('Forecast Capex'!$N$7:$N$103,$J77,'Forecast Capex'!D$7:D$103)/1000*(1+Data!$B$5)^2</f>
        <v>0</v>
      </c>
      <c r="D77" s="41">
        <f>SUMIF('Forecast Capex'!$N$7:$N$103,$J77,'Forecast Capex'!E$7:E$103)/1000*(1+Data!$B$5)^2</f>
        <v>0</v>
      </c>
      <c r="E77" s="41">
        <f>SUMIF('Forecast Capex'!$N$7:$N$103,$J77,'Forecast Capex'!F$7:F$103)/1000*(1+Data!$B$5)^2</f>
        <v>0</v>
      </c>
      <c r="F77" s="41">
        <f>SUMIF('Forecast Capex'!$N$7:$N$103,$J77,'Forecast Capex'!G$7:G$103)/1000*(1+Data!$B$5)^2</f>
        <v>0</v>
      </c>
      <c r="G77" s="41">
        <f>SUMIF('Forecast Capex'!$N$7:$N$103,$J77,'Forecast Capex'!H$7:H$103)/1000*(1+Data!$B$5)^2</f>
        <v>0</v>
      </c>
      <c r="H77" s="41">
        <f>SUM(C77:G77)</f>
        <v>0</v>
      </c>
      <c r="I77" s="64"/>
      <c r="J77" s="43" t="str">
        <f>INDEX('Projects by size'!$N$3:$N$22,MATCH(LARGE('Projects by size'!$O$3:$O$22,A75-2),'Projects by size'!$O$3:$O$22,0),0)</f>
        <v/>
      </c>
    </row>
    <row r="78" spans="1:10" x14ac:dyDescent="0.25">
      <c r="A78" s="64"/>
      <c r="B78" s="64"/>
      <c r="C78" s="64"/>
      <c r="D78" s="64"/>
      <c r="E78" s="64"/>
      <c r="F78" s="64"/>
      <c r="G78" s="64"/>
      <c r="H78" s="64"/>
      <c r="I78" s="64"/>
      <c r="J78" s="64"/>
    </row>
  </sheetData>
  <mergeCells count="2">
    <mergeCell ref="M20:S20"/>
    <mergeCell ref="M25:S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abSelected="1" workbookViewId="0">
      <selection activeCell="L2" sqref="L2"/>
    </sheetView>
  </sheetViews>
  <sheetFormatPr defaultRowHeight="15" x14ac:dyDescent="0.25"/>
  <cols>
    <col min="1" max="1" width="53.5703125" bestFit="1" customWidth="1"/>
    <col min="2" max="2" width="13.28515625" bestFit="1" customWidth="1"/>
    <col min="3" max="3" width="16.85546875" bestFit="1" customWidth="1"/>
    <col min="4" max="8" width="13.28515625" bestFit="1" customWidth="1"/>
    <col min="11" max="11" width="18" bestFit="1" customWidth="1"/>
  </cols>
  <sheetData>
    <row r="1" spans="1:16" ht="18" thickBot="1" x14ac:dyDescent="0.35">
      <c r="A1" s="16" t="s">
        <v>1</v>
      </c>
      <c r="B1" s="16" t="s">
        <v>2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7</v>
      </c>
      <c r="H1" s="16" t="s">
        <v>8</v>
      </c>
      <c r="I1" s="16"/>
      <c r="J1" s="16" t="s">
        <v>28</v>
      </c>
      <c r="K1" s="16" t="s">
        <v>10</v>
      </c>
      <c r="L1" s="16" t="s">
        <v>17</v>
      </c>
      <c r="M1" s="21" t="s">
        <v>29</v>
      </c>
      <c r="N1" s="21" t="s">
        <v>30</v>
      </c>
      <c r="O1" s="83" t="s">
        <v>32</v>
      </c>
      <c r="P1" s="83"/>
    </row>
    <row r="2" spans="1:16" s="12" customFormat="1" ht="16.5" thickTop="1" thickBot="1" x14ac:dyDescent="0.3">
      <c r="A2" s="2" t="s">
        <v>15</v>
      </c>
      <c r="B2" s="14">
        <f t="shared" ref="B2:H2" si="0">SUM(B7:B103)</f>
        <v>7846.349120000009</v>
      </c>
      <c r="C2" s="14">
        <f t="shared" si="0"/>
        <v>7124.9980232533344</v>
      </c>
      <c r="D2" s="14">
        <f t="shared" si="0"/>
        <v>11098.044167357164</v>
      </c>
      <c r="E2" s="14">
        <f t="shared" si="0"/>
        <v>7849.954167357163</v>
      </c>
      <c r="F2" s="14">
        <f t="shared" si="0"/>
        <v>6848.1541673571628</v>
      </c>
      <c r="G2" s="14">
        <f t="shared" si="0"/>
        <v>8122.5541673571624</v>
      </c>
      <c r="H2" s="14">
        <f t="shared" si="0"/>
        <v>4694.5541673571634</v>
      </c>
      <c r="J2" s="20">
        <f>SUM(D2:H2)</f>
        <v>38613.260836785819</v>
      </c>
      <c r="K2" s="2" t="s">
        <v>37</v>
      </c>
      <c r="L2" s="2">
        <f>COUNTIF(J7:J103,"&gt;0")</f>
        <v>37</v>
      </c>
    </row>
    <row r="3" spans="1:16" ht="16.5" thickTop="1" thickBot="1" x14ac:dyDescent="0.3">
      <c r="A3" s="2" t="s">
        <v>36</v>
      </c>
      <c r="B3" s="3"/>
      <c r="C3" s="3"/>
      <c r="D3" s="3"/>
      <c r="E3" s="3"/>
      <c r="F3" s="3"/>
      <c r="G3" s="3"/>
      <c r="H3" s="3"/>
      <c r="J3" s="20">
        <f>SUM(D3:H3)</f>
        <v>0</v>
      </c>
      <c r="K3" s="2"/>
      <c r="L3" s="2"/>
    </row>
    <row r="4" spans="1:16" s="33" customFormat="1" ht="16.5" thickTop="1" thickBot="1" x14ac:dyDescent="0.3">
      <c r="A4" s="2" t="s">
        <v>125</v>
      </c>
      <c r="B4" s="3"/>
      <c r="C4" s="3"/>
      <c r="D4" s="3"/>
      <c r="E4" s="3"/>
      <c r="F4" s="3"/>
      <c r="G4" s="3"/>
      <c r="H4" s="3"/>
      <c r="J4" s="20">
        <f>SUM(D4:H4)</f>
        <v>0</v>
      </c>
      <c r="K4" s="2"/>
      <c r="L4" s="2"/>
    </row>
    <row r="5" spans="1:16" s="12" customFormat="1" ht="16.5" thickTop="1" thickBot="1" x14ac:dyDescent="0.3">
      <c r="A5" s="2" t="s">
        <v>21</v>
      </c>
      <c r="B5" s="3"/>
      <c r="C5" s="3"/>
      <c r="D5" s="3"/>
      <c r="E5" s="3"/>
      <c r="F5" s="3"/>
      <c r="G5" s="3"/>
      <c r="H5" s="3"/>
      <c r="J5" s="20">
        <f>SUM(D5:H5)</f>
        <v>0</v>
      </c>
      <c r="K5" s="2"/>
      <c r="L5" s="2"/>
    </row>
    <row r="6" spans="1:16" s="36" customFormat="1" ht="18.75" thickTop="1" thickBot="1" x14ac:dyDescent="0.35">
      <c r="A6" s="16" t="s">
        <v>46</v>
      </c>
      <c r="B6" s="16" t="str">
        <f>B1</f>
        <v>FY 19</v>
      </c>
      <c r="C6" s="16" t="str">
        <f t="shared" ref="C6:H6" si="1">C1</f>
        <v>FY 20</v>
      </c>
      <c r="D6" s="16" t="str">
        <f t="shared" si="1"/>
        <v>FY 21</v>
      </c>
      <c r="E6" s="16" t="str">
        <f t="shared" si="1"/>
        <v>FY 22</v>
      </c>
      <c r="F6" s="16" t="str">
        <f t="shared" si="1"/>
        <v>FY 23</v>
      </c>
      <c r="G6" s="16" t="str">
        <f t="shared" si="1"/>
        <v>FY 24</v>
      </c>
      <c r="H6" s="16" t="str">
        <f t="shared" si="1"/>
        <v>FY 25</v>
      </c>
      <c r="I6" s="16"/>
      <c r="J6" s="16"/>
      <c r="K6" s="16"/>
      <c r="L6" s="16"/>
      <c r="M6" s="16"/>
      <c r="N6" s="16"/>
    </row>
    <row r="7" spans="1:16" ht="15.75" thickTop="1" x14ac:dyDescent="0.25">
      <c r="A7" s="19" t="s">
        <v>202</v>
      </c>
      <c r="B7" s="82">
        <v>0</v>
      </c>
      <c r="C7" s="82">
        <v>0</v>
      </c>
      <c r="D7" s="82">
        <v>44</v>
      </c>
      <c r="E7" s="82">
        <v>44</v>
      </c>
      <c r="F7" s="82">
        <v>44</v>
      </c>
      <c r="G7" s="82">
        <v>44</v>
      </c>
      <c r="H7" s="82">
        <v>44</v>
      </c>
      <c r="J7" s="8">
        <f t="shared" ref="J7:J9" si="2">SUM(D7:H7)</f>
        <v>220</v>
      </c>
      <c r="K7" s="19" t="s">
        <v>119</v>
      </c>
      <c r="L7" s="19">
        <v>1.6</v>
      </c>
      <c r="M7" s="7">
        <f t="shared" ref="M7:M70" si="3">IF(SUM(D7:H7)=0,"",LEFT(L7,2)-0)</f>
        <v>1</v>
      </c>
      <c r="N7" s="7" t="str">
        <f t="shared" ref="N7:N38" si="4">_xlfn.IFNA(INDEX($P$7:$P$30,MATCH(M7,$O$7:$O$30,0),0),"")</f>
        <v xml:space="preserve">Corrosion and Environmental Deterioration </v>
      </c>
      <c r="O7" s="19">
        <v>1</v>
      </c>
      <c r="P7" s="19" t="s">
        <v>196</v>
      </c>
    </row>
    <row r="8" spans="1:16" x14ac:dyDescent="0.25">
      <c r="A8" s="19" t="s">
        <v>198</v>
      </c>
      <c r="B8" s="82">
        <v>0</v>
      </c>
      <c r="C8" s="82">
        <v>0</v>
      </c>
      <c r="D8" s="82" t="s">
        <v>0</v>
      </c>
      <c r="E8" s="82">
        <v>176</v>
      </c>
      <c r="F8" s="82" t="s">
        <v>0</v>
      </c>
      <c r="G8" s="82" t="s">
        <v>0</v>
      </c>
      <c r="H8" s="82" t="s">
        <v>0</v>
      </c>
      <c r="J8" s="8">
        <f t="shared" si="2"/>
        <v>176</v>
      </c>
      <c r="K8" s="19" t="s">
        <v>119</v>
      </c>
      <c r="L8" s="19">
        <v>1.2</v>
      </c>
      <c r="M8" s="7">
        <f t="shared" si="3"/>
        <v>1</v>
      </c>
      <c r="N8" s="7" t="str">
        <f t="shared" si="4"/>
        <v xml:space="preserve">Corrosion and Environmental Deterioration </v>
      </c>
      <c r="O8" s="19">
        <v>2</v>
      </c>
      <c r="P8" s="19" t="s">
        <v>209</v>
      </c>
    </row>
    <row r="9" spans="1:16" x14ac:dyDescent="0.25">
      <c r="A9" s="19" t="s">
        <v>201</v>
      </c>
      <c r="B9" s="82">
        <v>0</v>
      </c>
      <c r="C9" s="82">
        <v>0</v>
      </c>
      <c r="D9" s="82">
        <v>110</v>
      </c>
      <c r="E9" s="82">
        <v>110</v>
      </c>
      <c r="F9" s="82" t="s">
        <v>0</v>
      </c>
      <c r="G9" s="82" t="s">
        <v>0</v>
      </c>
      <c r="H9" s="82" t="s">
        <v>0</v>
      </c>
      <c r="J9" s="8">
        <f t="shared" si="2"/>
        <v>220</v>
      </c>
      <c r="K9" s="19" t="s">
        <v>119</v>
      </c>
      <c r="L9" s="19">
        <v>1.5</v>
      </c>
      <c r="M9" s="7">
        <f t="shared" si="3"/>
        <v>1</v>
      </c>
      <c r="N9" s="7" t="str">
        <f t="shared" si="4"/>
        <v xml:space="preserve">Corrosion and Environmental Deterioration </v>
      </c>
      <c r="O9" s="19">
        <v>3</v>
      </c>
      <c r="P9" s="19" t="s">
        <v>213</v>
      </c>
    </row>
    <row r="10" spans="1:16" x14ac:dyDescent="0.25">
      <c r="A10" s="19" t="s">
        <v>200</v>
      </c>
      <c r="B10" s="82">
        <v>0</v>
      </c>
      <c r="C10" s="82">
        <v>0</v>
      </c>
      <c r="D10" s="82" t="s">
        <v>0</v>
      </c>
      <c r="E10" s="82">
        <v>198</v>
      </c>
      <c r="F10" s="82" t="s">
        <v>0</v>
      </c>
      <c r="G10" s="82" t="s">
        <v>0</v>
      </c>
      <c r="H10" s="82" t="s">
        <v>0</v>
      </c>
      <c r="J10" s="8">
        <f t="shared" ref="J10:J70" si="5">SUM(D10:H10)</f>
        <v>198</v>
      </c>
      <c r="K10" s="19" t="s">
        <v>119</v>
      </c>
      <c r="L10" s="19">
        <v>1.4</v>
      </c>
      <c r="M10" s="7">
        <f t="shared" si="3"/>
        <v>1</v>
      </c>
      <c r="N10" s="7" t="str">
        <f t="shared" si="4"/>
        <v xml:space="preserve">Corrosion and Environmental Deterioration </v>
      </c>
      <c r="O10" s="19">
        <v>4</v>
      </c>
      <c r="P10" s="19" t="s">
        <v>215</v>
      </c>
    </row>
    <row r="11" spans="1:16" x14ac:dyDescent="0.25">
      <c r="A11" s="19" t="s">
        <v>230</v>
      </c>
      <c r="B11" s="82">
        <v>0</v>
      </c>
      <c r="C11" s="82">
        <v>0</v>
      </c>
      <c r="D11" s="82">
        <v>0</v>
      </c>
      <c r="E11" s="82" t="s">
        <v>0</v>
      </c>
      <c r="F11" s="82" t="s">
        <v>0</v>
      </c>
      <c r="G11" s="82" t="s">
        <v>0</v>
      </c>
      <c r="H11" s="82" t="s">
        <v>0</v>
      </c>
      <c r="J11" s="8">
        <f t="shared" si="5"/>
        <v>0</v>
      </c>
      <c r="K11" s="19" t="s">
        <v>119</v>
      </c>
      <c r="L11" s="19">
        <v>0</v>
      </c>
      <c r="M11" s="7" t="str">
        <f t="shared" si="3"/>
        <v/>
      </c>
      <c r="N11" s="7" t="str">
        <f t="shared" si="4"/>
        <v/>
      </c>
      <c r="O11" s="19">
        <v>5</v>
      </c>
      <c r="P11" s="19" t="s">
        <v>219</v>
      </c>
    </row>
    <row r="12" spans="1:16" x14ac:dyDescent="0.25">
      <c r="A12" s="19" t="s">
        <v>186</v>
      </c>
      <c r="B12" s="82">
        <v>0</v>
      </c>
      <c r="C12" s="82">
        <v>55.000000000000007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J12" s="8">
        <f t="shared" si="5"/>
        <v>0</v>
      </c>
      <c r="K12" s="19" t="s">
        <v>11</v>
      </c>
      <c r="L12" s="19" t="s">
        <v>251</v>
      </c>
      <c r="M12" s="7" t="str">
        <f t="shared" si="3"/>
        <v/>
      </c>
      <c r="N12" s="7" t="str">
        <f t="shared" si="4"/>
        <v/>
      </c>
      <c r="O12" s="19">
        <v>6</v>
      </c>
      <c r="P12" s="19" t="s">
        <v>221</v>
      </c>
    </row>
    <row r="13" spans="1:16" x14ac:dyDescent="0.25">
      <c r="A13" s="19" t="s">
        <v>246</v>
      </c>
      <c r="B13" s="82">
        <v>0</v>
      </c>
      <c r="C13" s="82">
        <v>0</v>
      </c>
      <c r="D13" s="82">
        <v>3.3</v>
      </c>
      <c r="E13" s="82" t="s">
        <v>0</v>
      </c>
      <c r="F13" s="82" t="s">
        <v>0</v>
      </c>
      <c r="G13" s="82" t="s">
        <v>0</v>
      </c>
      <c r="H13" s="82" t="s">
        <v>0</v>
      </c>
      <c r="J13" s="8">
        <f t="shared" si="5"/>
        <v>3.3</v>
      </c>
      <c r="K13" s="19" t="s">
        <v>119</v>
      </c>
      <c r="L13" s="19">
        <v>11.6</v>
      </c>
      <c r="M13" s="7">
        <f t="shared" si="3"/>
        <v>11</v>
      </c>
      <c r="N13" s="7" t="str">
        <f t="shared" si="4"/>
        <v>Stay in Business</v>
      </c>
      <c r="O13" s="19">
        <v>7</v>
      </c>
      <c r="P13" s="19" t="s">
        <v>223</v>
      </c>
    </row>
    <row r="14" spans="1:16" x14ac:dyDescent="0.25">
      <c r="A14" s="19" t="s">
        <v>214</v>
      </c>
      <c r="B14" s="82">
        <v>0</v>
      </c>
      <c r="C14" s="82">
        <v>0</v>
      </c>
      <c r="D14" s="82">
        <v>825</v>
      </c>
      <c r="E14" s="82">
        <v>825</v>
      </c>
      <c r="F14" s="82">
        <v>330</v>
      </c>
      <c r="G14" s="82" t="s">
        <v>0</v>
      </c>
      <c r="H14" s="82" t="s">
        <v>0</v>
      </c>
      <c r="J14" s="8">
        <f t="shared" si="5"/>
        <v>1980</v>
      </c>
      <c r="K14" s="19" t="s">
        <v>119</v>
      </c>
      <c r="L14" s="19">
        <v>3.1</v>
      </c>
      <c r="M14" s="7">
        <f t="shared" si="3"/>
        <v>3</v>
      </c>
      <c r="N14" s="7" t="str">
        <f t="shared" si="4"/>
        <v>Cable Modification</v>
      </c>
      <c r="O14" s="19">
        <v>8</v>
      </c>
      <c r="P14" s="19" t="s">
        <v>224</v>
      </c>
    </row>
    <row r="15" spans="1:16" x14ac:dyDescent="0.25">
      <c r="A15" s="19" t="s">
        <v>245</v>
      </c>
      <c r="B15" s="82">
        <v>0</v>
      </c>
      <c r="C15" s="82">
        <v>0</v>
      </c>
      <c r="D15" s="82">
        <v>26.4</v>
      </c>
      <c r="E15" s="82" t="s">
        <v>0</v>
      </c>
      <c r="F15" s="82" t="s">
        <v>0</v>
      </c>
      <c r="G15" s="82" t="s">
        <v>0</v>
      </c>
      <c r="H15" s="82" t="s">
        <v>0</v>
      </c>
      <c r="J15" s="8">
        <f t="shared" si="5"/>
        <v>26.4</v>
      </c>
      <c r="K15" s="19" t="s">
        <v>119</v>
      </c>
      <c r="L15" s="19">
        <v>11.5</v>
      </c>
      <c r="M15" s="7">
        <f t="shared" si="3"/>
        <v>11</v>
      </c>
      <c r="N15" s="7" t="str">
        <f t="shared" si="4"/>
        <v>Stay in Business</v>
      </c>
      <c r="O15" s="19">
        <v>9</v>
      </c>
      <c r="P15" s="19" t="s">
        <v>227</v>
      </c>
    </row>
    <row r="16" spans="1:16" x14ac:dyDescent="0.25">
      <c r="A16" s="19" t="s">
        <v>179</v>
      </c>
      <c r="B16" s="82">
        <v>568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J16" s="8">
        <f t="shared" si="5"/>
        <v>0</v>
      </c>
      <c r="K16" s="19" t="s">
        <v>12</v>
      </c>
      <c r="L16" s="19" t="s">
        <v>251</v>
      </c>
      <c r="M16" s="7" t="str">
        <f t="shared" si="3"/>
        <v/>
      </c>
      <c r="N16" s="7" t="str">
        <f t="shared" si="4"/>
        <v/>
      </c>
      <c r="O16" s="19">
        <v>10</v>
      </c>
      <c r="P16" s="19" t="s">
        <v>9</v>
      </c>
    </row>
    <row r="17" spans="1:16" x14ac:dyDescent="0.25">
      <c r="A17" s="19" t="s">
        <v>210</v>
      </c>
      <c r="B17" s="82">
        <v>0</v>
      </c>
      <c r="C17" s="82">
        <v>0</v>
      </c>
      <c r="D17" s="82">
        <v>470</v>
      </c>
      <c r="E17" s="82">
        <v>110</v>
      </c>
      <c r="F17" s="82">
        <v>0</v>
      </c>
      <c r="G17" s="82">
        <v>240</v>
      </c>
      <c r="H17" s="82">
        <v>0</v>
      </c>
      <c r="J17" s="8">
        <f t="shared" si="5"/>
        <v>820</v>
      </c>
      <c r="K17" s="19" t="s">
        <v>119</v>
      </c>
      <c r="L17" s="19">
        <v>2.1</v>
      </c>
      <c r="M17" s="7">
        <f t="shared" si="3"/>
        <v>2</v>
      </c>
      <c r="N17" s="7" t="str">
        <f t="shared" si="4"/>
        <v>Cable Protection</v>
      </c>
      <c r="O17" s="19">
        <v>11</v>
      </c>
      <c r="P17" s="19" t="s">
        <v>239</v>
      </c>
    </row>
    <row r="18" spans="1:16" x14ac:dyDescent="0.25">
      <c r="A18" s="19" t="s">
        <v>193</v>
      </c>
      <c r="B18" s="82">
        <v>111.12192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J18" s="8">
        <f t="shared" si="5"/>
        <v>0</v>
      </c>
      <c r="K18" s="19" t="s">
        <v>12</v>
      </c>
      <c r="L18" s="19" t="s">
        <v>251</v>
      </c>
      <c r="M18" s="7" t="str">
        <f t="shared" si="3"/>
        <v/>
      </c>
      <c r="N18" s="7" t="str">
        <f t="shared" si="4"/>
        <v/>
      </c>
      <c r="O18" s="19">
        <v>12</v>
      </c>
      <c r="P18" s="19" t="s">
        <v>31</v>
      </c>
    </row>
    <row r="19" spans="1:16" x14ac:dyDescent="0.25">
      <c r="A19" s="19" t="s">
        <v>216</v>
      </c>
      <c r="B19" s="82">
        <v>0</v>
      </c>
      <c r="C19" s="82">
        <v>0</v>
      </c>
      <c r="D19" s="82">
        <v>77</v>
      </c>
      <c r="E19" s="82">
        <v>77</v>
      </c>
      <c r="F19" s="82">
        <v>77</v>
      </c>
      <c r="G19" s="82">
        <v>77</v>
      </c>
      <c r="H19" s="82">
        <v>77</v>
      </c>
      <c r="J19" s="8">
        <f t="shared" si="5"/>
        <v>385</v>
      </c>
      <c r="K19" s="19" t="s">
        <v>119</v>
      </c>
      <c r="L19" s="19">
        <v>4.0999999999999996</v>
      </c>
      <c r="M19" s="7">
        <f t="shared" si="3"/>
        <v>4</v>
      </c>
      <c r="N19" s="7" t="str">
        <f t="shared" si="4"/>
        <v>Essential Spares</v>
      </c>
      <c r="O19" s="19">
        <v>13</v>
      </c>
      <c r="P19" s="19" t="s">
        <v>71</v>
      </c>
    </row>
    <row r="20" spans="1:16" x14ac:dyDescent="0.25">
      <c r="A20" s="19" t="s">
        <v>204</v>
      </c>
      <c r="B20" s="82">
        <v>0</v>
      </c>
      <c r="C20" s="82">
        <v>0</v>
      </c>
      <c r="D20" s="82" t="s">
        <v>0</v>
      </c>
      <c r="E20" s="82">
        <v>81.400000000000006</v>
      </c>
      <c r="F20" s="82">
        <v>325.60000000000002</v>
      </c>
      <c r="G20" s="82" t="s">
        <v>0</v>
      </c>
      <c r="H20" s="82" t="s">
        <v>0</v>
      </c>
      <c r="J20" s="8">
        <f t="shared" si="5"/>
        <v>407</v>
      </c>
      <c r="K20" s="19" t="s">
        <v>119</v>
      </c>
      <c r="L20" s="19">
        <v>1.8</v>
      </c>
      <c r="M20" s="7">
        <f t="shared" si="3"/>
        <v>1</v>
      </c>
      <c r="N20" s="7" t="str">
        <f t="shared" si="4"/>
        <v xml:space="preserve">Corrosion and Environmental Deterioration </v>
      </c>
      <c r="O20" s="19">
        <v>14</v>
      </c>
      <c r="P20" s="19" t="e">
        <v>#N/A</v>
      </c>
    </row>
    <row r="21" spans="1:16" x14ac:dyDescent="0.25">
      <c r="A21" s="19" t="s">
        <v>175</v>
      </c>
      <c r="B21" s="82">
        <v>0</v>
      </c>
      <c r="C21" s="82">
        <v>0</v>
      </c>
      <c r="D21" s="82">
        <v>3300.0000000000005</v>
      </c>
      <c r="E21" s="82">
        <v>3300.0000000000005</v>
      </c>
      <c r="F21" s="82">
        <v>3300.0000000000005</v>
      </c>
      <c r="G21" s="82">
        <v>3300.0000000000005</v>
      </c>
      <c r="H21" s="82">
        <v>3300.0000000000005</v>
      </c>
      <c r="J21" s="8">
        <f t="shared" si="5"/>
        <v>16500.000000000004</v>
      </c>
      <c r="K21" s="19" t="s">
        <v>119</v>
      </c>
      <c r="L21" s="19">
        <v>5.0999999999999996</v>
      </c>
      <c r="M21" s="7">
        <f t="shared" si="3"/>
        <v>5</v>
      </c>
      <c r="N21" s="7" t="str">
        <f t="shared" si="4"/>
        <v>Obsolete IGBTs</v>
      </c>
      <c r="O21" s="19">
        <v>15</v>
      </c>
      <c r="P21" s="19" t="e">
        <v>#N/A</v>
      </c>
    </row>
    <row r="22" spans="1:16" x14ac:dyDescent="0.25">
      <c r="A22" s="19" t="s">
        <v>205</v>
      </c>
      <c r="B22" s="82">
        <v>0</v>
      </c>
      <c r="C22" s="82">
        <v>0</v>
      </c>
      <c r="D22" s="82">
        <v>55</v>
      </c>
      <c r="E22" s="82">
        <v>55</v>
      </c>
      <c r="F22" s="82">
        <v>55</v>
      </c>
      <c r="G22" s="82">
        <v>55</v>
      </c>
      <c r="H22" s="82">
        <v>55</v>
      </c>
      <c r="J22" s="8">
        <f t="shared" si="5"/>
        <v>275</v>
      </c>
      <c r="K22" s="19" t="s">
        <v>119</v>
      </c>
      <c r="L22" s="19">
        <v>1.9</v>
      </c>
      <c r="M22" s="7">
        <f t="shared" si="3"/>
        <v>1</v>
      </c>
      <c r="N22" s="7" t="str">
        <f t="shared" si="4"/>
        <v xml:space="preserve">Corrosion and Environmental Deterioration </v>
      </c>
      <c r="O22" s="19">
        <v>16</v>
      </c>
      <c r="P22" s="19" t="e">
        <v>#N/A</v>
      </c>
    </row>
    <row r="23" spans="1:16" x14ac:dyDescent="0.25">
      <c r="A23" s="19" t="s">
        <v>191</v>
      </c>
      <c r="B23" s="82">
        <v>75</v>
      </c>
      <c r="C23" s="82">
        <v>151.25000000000003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J23" s="8">
        <f t="shared" si="5"/>
        <v>0</v>
      </c>
      <c r="K23" s="19" t="s">
        <v>12</v>
      </c>
      <c r="L23" s="19" t="s">
        <v>251</v>
      </c>
      <c r="M23" s="7" t="str">
        <f t="shared" si="3"/>
        <v/>
      </c>
      <c r="N23" s="7" t="str">
        <f t="shared" si="4"/>
        <v/>
      </c>
    </row>
    <row r="24" spans="1:16" x14ac:dyDescent="0.25">
      <c r="A24" s="19" t="s">
        <v>192</v>
      </c>
      <c r="B24" s="82">
        <v>4331.9551000000083</v>
      </c>
      <c r="C24" s="82">
        <v>3879.9646899200002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J24" s="8">
        <f t="shared" si="5"/>
        <v>0</v>
      </c>
      <c r="K24" s="19" t="s">
        <v>11</v>
      </c>
      <c r="L24" s="19" t="s">
        <v>251</v>
      </c>
      <c r="M24" s="7" t="str">
        <f t="shared" si="3"/>
        <v/>
      </c>
      <c r="N24" s="7" t="str">
        <f t="shared" si="4"/>
        <v/>
      </c>
    </row>
    <row r="25" spans="1:16" x14ac:dyDescent="0.25">
      <c r="A25" s="19" t="s">
        <v>235</v>
      </c>
      <c r="B25" s="82">
        <v>0</v>
      </c>
      <c r="C25" s="82">
        <v>0</v>
      </c>
      <c r="D25" s="82" t="s">
        <v>0</v>
      </c>
      <c r="E25" s="82" t="s">
        <v>0</v>
      </c>
      <c r="F25" s="82">
        <v>0</v>
      </c>
      <c r="G25" s="82" t="s">
        <v>0</v>
      </c>
      <c r="H25" s="82" t="s">
        <v>0</v>
      </c>
      <c r="J25" s="8">
        <f t="shared" si="5"/>
        <v>0</v>
      </c>
      <c r="K25" s="19" t="s">
        <v>119</v>
      </c>
      <c r="L25" s="19">
        <v>0</v>
      </c>
      <c r="M25" s="7" t="str">
        <f t="shared" si="3"/>
        <v/>
      </c>
      <c r="N25" s="7" t="str">
        <f t="shared" si="4"/>
        <v/>
      </c>
    </row>
    <row r="26" spans="1:16" x14ac:dyDescent="0.25">
      <c r="A26" s="19" t="s">
        <v>197</v>
      </c>
      <c r="B26" s="82">
        <v>0</v>
      </c>
      <c r="C26" s="82">
        <v>0</v>
      </c>
      <c r="D26" s="82" t="s">
        <v>0</v>
      </c>
      <c r="E26" s="82" t="s">
        <v>0</v>
      </c>
      <c r="F26" s="82">
        <v>77</v>
      </c>
      <c r="G26" s="82">
        <v>693</v>
      </c>
      <c r="H26" s="82" t="s">
        <v>0</v>
      </c>
      <c r="J26" s="8">
        <f t="shared" si="5"/>
        <v>770</v>
      </c>
      <c r="K26" s="19" t="s">
        <v>119</v>
      </c>
      <c r="L26" s="19">
        <v>1.1000000000000001</v>
      </c>
      <c r="M26" s="7">
        <f t="shared" si="3"/>
        <v>1</v>
      </c>
      <c r="N26" s="7" t="str">
        <f t="shared" si="4"/>
        <v xml:space="preserve">Corrosion and Environmental Deterioration </v>
      </c>
      <c r="O26" s="64"/>
    </row>
    <row r="27" spans="1:16" x14ac:dyDescent="0.25">
      <c r="A27" s="19" t="s">
        <v>185</v>
      </c>
      <c r="B27" s="82">
        <v>41</v>
      </c>
      <c r="C27" s="82">
        <v>45.100000000000009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J27" s="8">
        <f t="shared" si="5"/>
        <v>0</v>
      </c>
      <c r="K27" s="19" t="s">
        <v>11</v>
      </c>
      <c r="L27" s="19" t="s">
        <v>251</v>
      </c>
      <c r="M27" s="7" t="str">
        <f t="shared" si="3"/>
        <v/>
      </c>
      <c r="N27" s="7" t="str">
        <f t="shared" si="4"/>
        <v/>
      </c>
    </row>
    <row r="28" spans="1:16" x14ac:dyDescent="0.25">
      <c r="A28" s="19" t="s">
        <v>234</v>
      </c>
      <c r="B28" s="82">
        <v>0</v>
      </c>
      <c r="C28" s="82">
        <v>0</v>
      </c>
      <c r="D28" s="82">
        <v>275</v>
      </c>
      <c r="E28" s="82">
        <v>275</v>
      </c>
      <c r="F28" s="82" t="s">
        <v>0</v>
      </c>
      <c r="G28" s="82" t="s">
        <v>0</v>
      </c>
      <c r="H28" s="82" t="s">
        <v>0</v>
      </c>
      <c r="J28" s="8">
        <f t="shared" si="5"/>
        <v>550</v>
      </c>
      <c r="K28" s="19" t="s">
        <v>119</v>
      </c>
      <c r="L28" s="19">
        <v>10.199999999999999</v>
      </c>
      <c r="M28" s="7">
        <f t="shared" si="3"/>
        <v>10</v>
      </c>
      <c r="N28" s="7" t="str">
        <f t="shared" si="4"/>
        <v>Reliability</v>
      </c>
    </row>
    <row r="29" spans="1:16" x14ac:dyDescent="0.25">
      <c r="A29" s="19" t="s">
        <v>242</v>
      </c>
      <c r="B29" s="82">
        <v>0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J29" s="8">
        <f t="shared" si="5"/>
        <v>0</v>
      </c>
      <c r="K29" s="19" t="s">
        <v>119</v>
      </c>
      <c r="L29" s="19">
        <v>0</v>
      </c>
      <c r="M29" s="7" t="str">
        <f t="shared" si="3"/>
        <v/>
      </c>
      <c r="N29" s="7" t="str">
        <f t="shared" si="4"/>
        <v/>
      </c>
    </row>
    <row r="30" spans="1:16" x14ac:dyDescent="0.25">
      <c r="A30" s="19" t="s">
        <v>195</v>
      </c>
      <c r="B30" s="82">
        <v>351.76747999999998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J30" s="8">
        <f t="shared" si="5"/>
        <v>0</v>
      </c>
      <c r="K30" s="19" t="s">
        <v>12</v>
      </c>
      <c r="L30" s="19" t="s">
        <v>251</v>
      </c>
      <c r="M30" s="7" t="str">
        <f t="shared" si="3"/>
        <v/>
      </c>
      <c r="N30" s="7" t="str">
        <f t="shared" si="4"/>
        <v/>
      </c>
    </row>
    <row r="31" spans="1:16" x14ac:dyDescent="0.25">
      <c r="A31" s="19" t="s">
        <v>184</v>
      </c>
      <c r="B31" s="82">
        <v>30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J31" s="8">
        <f t="shared" si="5"/>
        <v>0</v>
      </c>
      <c r="K31" s="19" t="s">
        <v>11</v>
      </c>
      <c r="L31" s="19" t="s">
        <v>251</v>
      </c>
      <c r="M31" s="7" t="str">
        <f t="shared" si="3"/>
        <v/>
      </c>
      <c r="N31" s="7" t="str">
        <f t="shared" si="4"/>
        <v/>
      </c>
    </row>
    <row r="32" spans="1:16" x14ac:dyDescent="0.25">
      <c r="A32" s="19" t="s">
        <v>250</v>
      </c>
      <c r="B32" s="82">
        <v>0</v>
      </c>
      <c r="C32" s="82">
        <v>0</v>
      </c>
      <c r="D32" s="82">
        <v>28.27</v>
      </c>
      <c r="E32" s="82" t="s">
        <v>0</v>
      </c>
      <c r="F32" s="82" t="s">
        <v>0</v>
      </c>
      <c r="G32" s="82" t="s">
        <v>0</v>
      </c>
      <c r="H32" s="82" t="s">
        <v>0</v>
      </c>
      <c r="J32" s="8">
        <f t="shared" si="5"/>
        <v>28.27</v>
      </c>
      <c r="K32" s="19" t="s">
        <v>119</v>
      </c>
      <c r="L32" s="19">
        <v>11.2</v>
      </c>
      <c r="M32" s="7">
        <f t="shared" si="3"/>
        <v>11</v>
      </c>
      <c r="N32" s="7" t="str">
        <f t="shared" si="4"/>
        <v>Stay in Business</v>
      </c>
    </row>
    <row r="33" spans="1:15" x14ac:dyDescent="0.25">
      <c r="A33" s="19" t="s">
        <v>194</v>
      </c>
      <c r="B33" s="8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J33" s="8">
        <f t="shared" si="5"/>
        <v>0</v>
      </c>
      <c r="K33" s="19" t="s">
        <v>11</v>
      </c>
      <c r="L33" s="19" t="s">
        <v>251</v>
      </c>
      <c r="M33" s="7" t="str">
        <f t="shared" si="3"/>
        <v/>
      </c>
      <c r="N33" s="7" t="str">
        <f t="shared" si="4"/>
        <v/>
      </c>
    </row>
    <row r="34" spans="1:15" x14ac:dyDescent="0.25">
      <c r="A34" s="19" t="s">
        <v>222</v>
      </c>
      <c r="B34" s="82">
        <v>0</v>
      </c>
      <c r="C34" s="82">
        <v>0</v>
      </c>
      <c r="D34" s="82">
        <v>3630</v>
      </c>
      <c r="E34" s="82">
        <v>0</v>
      </c>
      <c r="F34" s="82">
        <v>0</v>
      </c>
      <c r="G34" s="82">
        <v>0</v>
      </c>
      <c r="H34" s="82" t="s">
        <v>0</v>
      </c>
      <c r="J34" s="8">
        <f t="shared" si="5"/>
        <v>3630</v>
      </c>
      <c r="K34" s="19" t="s">
        <v>119</v>
      </c>
      <c r="L34" s="19">
        <v>6.1</v>
      </c>
      <c r="M34" s="7">
        <f t="shared" si="3"/>
        <v>6</v>
      </c>
      <c r="N34" s="7" t="str">
        <f t="shared" si="4"/>
        <v>Fibres and Lightguides</v>
      </c>
    </row>
    <row r="35" spans="1:15" x14ac:dyDescent="0.25">
      <c r="A35" s="19" t="s">
        <v>206</v>
      </c>
      <c r="B35" s="82">
        <v>0</v>
      </c>
      <c r="C35" s="82">
        <v>0</v>
      </c>
      <c r="D35" s="82">
        <v>7.7</v>
      </c>
      <c r="E35" s="82">
        <v>7.7</v>
      </c>
      <c r="F35" s="82">
        <v>7.7</v>
      </c>
      <c r="G35" s="82">
        <v>7.7</v>
      </c>
      <c r="H35" s="82">
        <v>7.7</v>
      </c>
      <c r="J35" s="8">
        <f t="shared" si="5"/>
        <v>38.5</v>
      </c>
      <c r="K35" s="19" t="s">
        <v>119</v>
      </c>
      <c r="L35" s="19">
        <v>1.1000000000000001</v>
      </c>
      <c r="M35" s="7">
        <f t="shared" si="3"/>
        <v>1</v>
      </c>
      <c r="N35" s="7" t="str">
        <f t="shared" si="4"/>
        <v xml:space="preserve">Corrosion and Environmental Deterioration </v>
      </c>
    </row>
    <row r="36" spans="1:15" x14ac:dyDescent="0.25">
      <c r="A36" s="19" t="s">
        <v>229</v>
      </c>
      <c r="B36" s="82">
        <v>0</v>
      </c>
      <c r="C36" s="82">
        <v>0</v>
      </c>
      <c r="D36" s="82">
        <v>330</v>
      </c>
      <c r="E36" s="82">
        <v>0</v>
      </c>
      <c r="F36" s="82" t="s">
        <v>0</v>
      </c>
      <c r="G36" s="82" t="s">
        <v>0</v>
      </c>
      <c r="H36" s="82" t="s">
        <v>0</v>
      </c>
      <c r="J36" s="8">
        <f t="shared" si="5"/>
        <v>330</v>
      </c>
      <c r="K36" s="19" t="s">
        <v>119</v>
      </c>
      <c r="L36" s="19">
        <v>9.1</v>
      </c>
      <c r="M36" s="7">
        <f t="shared" si="3"/>
        <v>9</v>
      </c>
      <c r="N36" s="7" t="str">
        <f t="shared" si="4"/>
        <v xml:space="preserve"> Test Equipment</v>
      </c>
      <c r="O36" s="64"/>
    </row>
    <row r="37" spans="1:15" x14ac:dyDescent="0.25">
      <c r="A37" s="19" t="s">
        <v>247</v>
      </c>
      <c r="B37" s="82">
        <v>0</v>
      </c>
      <c r="C37" s="82">
        <v>0</v>
      </c>
      <c r="D37" s="82">
        <v>14.3</v>
      </c>
      <c r="E37" s="82" t="s">
        <v>0</v>
      </c>
      <c r="F37" s="82" t="s">
        <v>0</v>
      </c>
      <c r="G37" s="82" t="s">
        <v>0</v>
      </c>
      <c r="H37" s="82" t="s">
        <v>0</v>
      </c>
      <c r="J37" s="8">
        <f t="shared" si="5"/>
        <v>14.3</v>
      </c>
      <c r="K37" s="19" t="s">
        <v>119</v>
      </c>
      <c r="L37" s="19">
        <v>11.7</v>
      </c>
      <c r="M37" s="7">
        <f t="shared" si="3"/>
        <v>11</v>
      </c>
      <c r="N37" s="7" t="str">
        <f t="shared" si="4"/>
        <v>Stay in Business</v>
      </c>
    </row>
    <row r="38" spans="1:15" x14ac:dyDescent="0.25">
      <c r="A38" s="19" t="s">
        <v>218</v>
      </c>
      <c r="B38" s="82">
        <v>0</v>
      </c>
      <c r="C38" s="82">
        <v>0</v>
      </c>
      <c r="D38" s="82">
        <v>70.400000000000006</v>
      </c>
      <c r="E38" s="82">
        <v>70.400000000000006</v>
      </c>
      <c r="F38" s="82">
        <v>70.400000000000006</v>
      </c>
      <c r="G38" s="82">
        <v>70.400000000000006</v>
      </c>
      <c r="H38" s="82">
        <v>70.400000000000006</v>
      </c>
      <c r="J38" s="8">
        <f t="shared" si="5"/>
        <v>352</v>
      </c>
      <c r="K38" s="19" t="s">
        <v>119</v>
      </c>
      <c r="L38" s="19">
        <v>4.2</v>
      </c>
      <c r="M38" s="7">
        <f t="shared" si="3"/>
        <v>4</v>
      </c>
      <c r="N38" s="7" t="str">
        <f t="shared" si="4"/>
        <v>Essential Spares</v>
      </c>
    </row>
    <row r="39" spans="1:15" x14ac:dyDescent="0.25">
      <c r="A39" s="19" t="s">
        <v>231</v>
      </c>
      <c r="B39" s="82">
        <v>0</v>
      </c>
      <c r="C39" s="82">
        <v>0</v>
      </c>
      <c r="D39" s="82">
        <v>71.5</v>
      </c>
      <c r="E39" s="82" t="s">
        <v>0</v>
      </c>
      <c r="F39" s="82" t="s">
        <v>0</v>
      </c>
      <c r="G39" s="82" t="s">
        <v>0</v>
      </c>
      <c r="H39" s="82" t="s">
        <v>0</v>
      </c>
      <c r="J39" s="8">
        <f t="shared" si="5"/>
        <v>71.5</v>
      </c>
      <c r="K39" s="19" t="s">
        <v>119</v>
      </c>
      <c r="L39" s="19">
        <v>9.1999999999999993</v>
      </c>
      <c r="M39" s="7">
        <f t="shared" si="3"/>
        <v>9</v>
      </c>
      <c r="N39" s="7" t="str">
        <f t="shared" ref="N39:N70" si="6">_xlfn.IFNA(INDEX($P$7:$P$30,MATCH(M39,$O$7:$O$30,0),0),"")</f>
        <v xml:space="preserve"> Test Equipment</v>
      </c>
    </row>
    <row r="40" spans="1:15" x14ac:dyDescent="0.25">
      <c r="A40" s="19" t="s">
        <v>217</v>
      </c>
      <c r="B40" s="82">
        <v>0</v>
      </c>
      <c r="C40" s="82">
        <v>0</v>
      </c>
      <c r="D40" s="82">
        <v>0</v>
      </c>
      <c r="E40" s="82">
        <v>0</v>
      </c>
      <c r="F40" s="82">
        <v>0</v>
      </c>
      <c r="G40" s="82" t="s">
        <v>0</v>
      </c>
      <c r="H40" s="82" t="s">
        <v>0</v>
      </c>
      <c r="J40" s="8">
        <f t="shared" si="5"/>
        <v>0</v>
      </c>
      <c r="K40" s="19" t="s">
        <v>119</v>
      </c>
      <c r="L40" s="19">
        <v>0</v>
      </c>
      <c r="M40" s="7" t="str">
        <f t="shared" si="3"/>
        <v/>
      </c>
      <c r="N40" s="7" t="str">
        <f t="shared" si="6"/>
        <v/>
      </c>
    </row>
    <row r="41" spans="1:15" x14ac:dyDescent="0.25">
      <c r="A41" s="19" t="s">
        <v>225</v>
      </c>
      <c r="B41" s="82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J41" s="8">
        <f t="shared" si="5"/>
        <v>0</v>
      </c>
      <c r="K41" s="19" t="s">
        <v>119</v>
      </c>
      <c r="L41" s="19">
        <v>0</v>
      </c>
      <c r="M41" s="7" t="str">
        <f t="shared" si="3"/>
        <v/>
      </c>
      <c r="N41" s="7" t="str">
        <f t="shared" si="6"/>
        <v/>
      </c>
    </row>
    <row r="42" spans="1:15" x14ac:dyDescent="0.25">
      <c r="A42" s="19" t="s">
        <v>241</v>
      </c>
      <c r="B42" s="82">
        <v>0</v>
      </c>
      <c r="C42" s="82">
        <v>0</v>
      </c>
      <c r="D42" s="82">
        <v>0</v>
      </c>
      <c r="E42" s="82">
        <v>500</v>
      </c>
      <c r="F42" s="82">
        <v>0</v>
      </c>
      <c r="G42" s="82">
        <v>0</v>
      </c>
      <c r="H42" s="82">
        <v>0</v>
      </c>
      <c r="J42" s="8">
        <f t="shared" si="5"/>
        <v>500</v>
      </c>
      <c r="K42" s="19" t="s">
        <v>119</v>
      </c>
      <c r="L42" s="19">
        <v>11.2</v>
      </c>
      <c r="M42" s="7">
        <f t="shared" si="3"/>
        <v>11</v>
      </c>
      <c r="N42" s="7" t="str">
        <f t="shared" si="6"/>
        <v>Stay in Business</v>
      </c>
    </row>
    <row r="43" spans="1:15" x14ac:dyDescent="0.25">
      <c r="A43" s="19" t="s">
        <v>226</v>
      </c>
      <c r="B43" s="82">
        <v>0</v>
      </c>
      <c r="C43" s="82">
        <v>0</v>
      </c>
      <c r="D43" s="82">
        <v>100</v>
      </c>
      <c r="E43" s="82">
        <v>100</v>
      </c>
      <c r="F43" s="82">
        <v>100</v>
      </c>
      <c r="G43" s="82">
        <v>100</v>
      </c>
      <c r="H43" s="82">
        <v>100</v>
      </c>
      <c r="J43" s="8">
        <f t="shared" si="5"/>
        <v>500</v>
      </c>
      <c r="K43" s="19" t="s">
        <v>119</v>
      </c>
      <c r="L43" s="19">
        <v>8.1</v>
      </c>
      <c r="M43" s="7">
        <f t="shared" si="3"/>
        <v>8</v>
      </c>
      <c r="N43" s="7" t="str">
        <f t="shared" si="6"/>
        <v>Noise Control Improvements</v>
      </c>
    </row>
    <row r="44" spans="1:15" x14ac:dyDescent="0.25">
      <c r="A44" s="19" t="s">
        <v>228</v>
      </c>
      <c r="B44" s="82">
        <v>0</v>
      </c>
      <c r="C44" s="82">
        <v>0</v>
      </c>
      <c r="D44" s="82">
        <v>0</v>
      </c>
      <c r="E44" s="82" t="s">
        <v>0</v>
      </c>
      <c r="F44" s="82" t="s">
        <v>0</v>
      </c>
      <c r="G44" s="82" t="s">
        <v>0</v>
      </c>
      <c r="H44" s="82" t="s">
        <v>0</v>
      </c>
      <c r="J44" s="8">
        <f t="shared" si="5"/>
        <v>0</v>
      </c>
      <c r="K44" s="19" t="s">
        <v>119</v>
      </c>
      <c r="L44" s="19">
        <v>0</v>
      </c>
      <c r="M44" s="7" t="str">
        <f t="shared" si="3"/>
        <v/>
      </c>
      <c r="N44" s="7" t="str">
        <f t="shared" si="6"/>
        <v/>
      </c>
    </row>
    <row r="45" spans="1:15" x14ac:dyDescent="0.25">
      <c r="A45" s="19" t="s">
        <v>199</v>
      </c>
      <c r="B45" s="82">
        <v>0</v>
      </c>
      <c r="C45" s="82">
        <v>0</v>
      </c>
      <c r="D45" s="82" t="s">
        <v>0</v>
      </c>
      <c r="E45" s="82">
        <v>110</v>
      </c>
      <c r="F45" s="82" t="s">
        <v>0</v>
      </c>
      <c r="G45" s="82" t="s">
        <v>0</v>
      </c>
      <c r="H45" s="82" t="s">
        <v>0</v>
      </c>
      <c r="J45" s="8">
        <f t="shared" si="5"/>
        <v>110</v>
      </c>
      <c r="K45" s="19" t="s">
        <v>119</v>
      </c>
      <c r="L45" s="19">
        <v>1.3</v>
      </c>
      <c r="M45" s="7">
        <f t="shared" si="3"/>
        <v>1</v>
      </c>
      <c r="N45" s="7" t="str">
        <f t="shared" si="6"/>
        <v xml:space="preserve">Corrosion and Environmental Deterioration </v>
      </c>
    </row>
    <row r="46" spans="1:15" x14ac:dyDescent="0.25">
      <c r="A46" s="19" t="s">
        <v>240</v>
      </c>
      <c r="B46" s="82">
        <v>0</v>
      </c>
      <c r="C46" s="82">
        <v>0</v>
      </c>
      <c r="D46" s="82">
        <v>35</v>
      </c>
      <c r="E46" s="82">
        <v>0</v>
      </c>
      <c r="F46" s="82">
        <v>0</v>
      </c>
      <c r="G46" s="82" t="s">
        <v>0</v>
      </c>
      <c r="H46" s="82" t="s">
        <v>0</v>
      </c>
      <c r="J46" s="8">
        <f t="shared" si="5"/>
        <v>35</v>
      </c>
      <c r="K46" s="19" t="s">
        <v>119</v>
      </c>
      <c r="L46" s="19">
        <v>11.1</v>
      </c>
      <c r="M46" s="7">
        <f t="shared" si="3"/>
        <v>11</v>
      </c>
      <c r="N46" s="7" t="str">
        <f t="shared" si="6"/>
        <v>Stay in Business</v>
      </c>
    </row>
    <row r="47" spans="1:15" x14ac:dyDescent="0.25">
      <c r="A47" s="19" t="s">
        <v>232</v>
      </c>
      <c r="B47" s="82">
        <v>0</v>
      </c>
      <c r="C47" s="82">
        <v>0</v>
      </c>
      <c r="D47" s="82">
        <v>0</v>
      </c>
      <c r="E47" s="82">
        <v>0</v>
      </c>
      <c r="F47" s="82">
        <v>165</v>
      </c>
      <c r="G47" s="82">
        <v>165</v>
      </c>
      <c r="H47" s="82">
        <v>0</v>
      </c>
      <c r="J47" s="8">
        <f t="shared" si="5"/>
        <v>330</v>
      </c>
      <c r="K47" s="19" t="s">
        <v>119</v>
      </c>
      <c r="L47" s="19">
        <v>9.3000000000000007</v>
      </c>
      <c r="M47" s="7">
        <f t="shared" si="3"/>
        <v>9</v>
      </c>
      <c r="N47" s="7" t="str">
        <f t="shared" si="6"/>
        <v xml:space="preserve"> Test Equipment</v>
      </c>
    </row>
    <row r="48" spans="1:15" x14ac:dyDescent="0.25">
      <c r="A48" s="19" t="s">
        <v>233</v>
      </c>
      <c r="B48" s="82">
        <v>0</v>
      </c>
      <c r="C48" s="82">
        <v>0</v>
      </c>
      <c r="D48" s="82">
        <v>400</v>
      </c>
      <c r="E48" s="82">
        <v>400</v>
      </c>
      <c r="F48" s="82" t="s">
        <v>0</v>
      </c>
      <c r="G48" s="82" t="s">
        <v>0</v>
      </c>
      <c r="H48" s="82" t="s">
        <v>0</v>
      </c>
      <c r="J48" s="8">
        <f t="shared" si="5"/>
        <v>800</v>
      </c>
      <c r="K48" s="19" t="s">
        <v>119</v>
      </c>
      <c r="L48" s="19">
        <v>10.1</v>
      </c>
      <c r="M48" s="7">
        <f t="shared" si="3"/>
        <v>10</v>
      </c>
      <c r="N48" s="7" t="str">
        <f t="shared" si="6"/>
        <v>Reliability</v>
      </c>
      <c r="O48" s="64"/>
    </row>
    <row r="49" spans="1:15" x14ac:dyDescent="0.25">
      <c r="A49" s="19" t="s">
        <v>212</v>
      </c>
      <c r="B49" s="82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J49" s="8">
        <f t="shared" si="5"/>
        <v>0</v>
      </c>
      <c r="K49" s="19" t="s">
        <v>119</v>
      </c>
      <c r="L49" s="19">
        <v>0</v>
      </c>
      <c r="M49" s="7" t="str">
        <f t="shared" si="3"/>
        <v/>
      </c>
      <c r="N49" s="7" t="str">
        <f t="shared" si="6"/>
        <v/>
      </c>
    </row>
    <row r="50" spans="1:15" x14ac:dyDescent="0.25">
      <c r="A50" s="19" t="s">
        <v>190</v>
      </c>
      <c r="B50" s="82">
        <v>680.83897999999999</v>
      </c>
      <c r="C50" s="82">
        <v>660.00000000000011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J50" s="8">
        <f t="shared" si="5"/>
        <v>0</v>
      </c>
      <c r="K50" s="19" t="s">
        <v>11</v>
      </c>
      <c r="L50" s="19" t="s">
        <v>251</v>
      </c>
      <c r="M50" s="7" t="str">
        <f t="shared" si="3"/>
        <v/>
      </c>
      <c r="N50" s="7" t="str">
        <f t="shared" si="6"/>
        <v/>
      </c>
    </row>
    <row r="51" spans="1:15" x14ac:dyDescent="0.25">
      <c r="A51" s="19" t="s">
        <v>126</v>
      </c>
      <c r="B51" s="82">
        <v>0</v>
      </c>
      <c r="C51" s="82">
        <v>0</v>
      </c>
      <c r="D51" s="82">
        <v>50</v>
      </c>
      <c r="E51" s="82">
        <v>50</v>
      </c>
      <c r="F51" s="82">
        <v>50</v>
      </c>
      <c r="G51" s="82">
        <v>50</v>
      </c>
      <c r="H51" s="82">
        <v>50</v>
      </c>
      <c r="J51" s="8">
        <f t="shared" si="5"/>
        <v>250</v>
      </c>
      <c r="K51" s="19" t="s">
        <v>119</v>
      </c>
      <c r="L51" s="19">
        <v>12.1</v>
      </c>
      <c r="M51" s="7">
        <f t="shared" si="3"/>
        <v>12</v>
      </c>
      <c r="N51" s="7" t="str">
        <f t="shared" si="6"/>
        <v>Regulatory</v>
      </c>
    </row>
    <row r="52" spans="1:15" x14ac:dyDescent="0.25">
      <c r="A52" s="19" t="s">
        <v>47</v>
      </c>
      <c r="B52" s="82">
        <v>231.18</v>
      </c>
      <c r="C52" s="82">
        <v>34.5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J52" s="8">
        <f t="shared" si="5"/>
        <v>0</v>
      </c>
      <c r="K52" s="19" t="s">
        <v>12</v>
      </c>
      <c r="L52" s="19" t="s">
        <v>251</v>
      </c>
      <c r="M52" s="7" t="str">
        <f t="shared" si="3"/>
        <v/>
      </c>
      <c r="N52" s="7" t="str">
        <f t="shared" si="6"/>
        <v/>
      </c>
    </row>
    <row r="53" spans="1:15" x14ac:dyDescent="0.25">
      <c r="A53" s="19" t="s">
        <v>248</v>
      </c>
      <c r="B53" s="82">
        <v>0</v>
      </c>
      <c r="C53" s="82">
        <v>0</v>
      </c>
      <c r="D53" s="82">
        <v>3.52</v>
      </c>
      <c r="E53" s="82" t="s">
        <v>0</v>
      </c>
      <c r="F53" s="82" t="s">
        <v>0</v>
      </c>
      <c r="G53" s="82" t="s">
        <v>0</v>
      </c>
      <c r="H53" s="82" t="s">
        <v>0</v>
      </c>
      <c r="J53" s="8">
        <f t="shared" si="5"/>
        <v>3.52</v>
      </c>
      <c r="K53" s="19" t="s">
        <v>119</v>
      </c>
      <c r="L53" s="19">
        <v>11.8</v>
      </c>
      <c r="M53" s="7">
        <f t="shared" si="3"/>
        <v>11</v>
      </c>
      <c r="N53" s="7" t="str">
        <f t="shared" si="6"/>
        <v>Stay in Business</v>
      </c>
    </row>
    <row r="54" spans="1:15" x14ac:dyDescent="0.25">
      <c r="A54" s="19" t="s">
        <v>188</v>
      </c>
      <c r="B54" s="82">
        <v>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J54" s="8">
        <f t="shared" si="5"/>
        <v>0</v>
      </c>
      <c r="K54" s="19" t="s">
        <v>11</v>
      </c>
      <c r="L54" s="19" t="s">
        <v>251</v>
      </c>
      <c r="M54" s="7" t="str">
        <f t="shared" si="3"/>
        <v/>
      </c>
      <c r="N54" s="7" t="str">
        <f t="shared" si="6"/>
        <v/>
      </c>
    </row>
    <row r="55" spans="1:15" x14ac:dyDescent="0.25">
      <c r="A55" s="19" t="s">
        <v>243</v>
      </c>
      <c r="B55" s="82">
        <v>0</v>
      </c>
      <c r="C55" s="82">
        <v>0</v>
      </c>
      <c r="D55" s="82">
        <v>22</v>
      </c>
      <c r="E55" s="82">
        <v>0</v>
      </c>
      <c r="F55" s="82">
        <v>0</v>
      </c>
      <c r="G55" s="82" t="s">
        <v>0</v>
      </c>
      <c r="H55" s="82" t="s">
        <v>0</v>
      </c>
      <c r="J55" s="8">
        <f t="shared" si="5"/>
        <v>22</v>
      </c>
      <c r="K55" s="19" t="s">
        <v>119</v>
      </c>
      <c r="L55" s="19">
        <v>11.3</v>
      </c>
      <c r="M55" s="7">
        <f t="shared" si="3"/>
        <v>11</v>
      </c>
      <c r="N55" s="7" t="str">
        <f t="shared" si="6"/>
        <v>Stay in Business</v>
      </c>
    </row>
    <row r="56" spans="1:15" x14ac:dyDescent="0.25">
      <c r="A56" s="19" t="s">
        <v>249</v>
      </c>
      <c r="B56" s="82">
        <v>0</v>
      </c>
      <c r="C56" s="82">
        <v>0</v>
      </c>
      <c r="D56" s="82">
        <v>24.2</v>
      </c>
      <c r="E56" s="82" t="s">
        <v>0</v>
      </c>
      <c r="F56" s="82" t="s">
        <v>0</v>
      </c>
      <c r="G56" s="82" t="s">
        <v>0</v>
      </c>
      <c r="H56" s="82" t="s">
        <v>0</v>
      </c>
      <c r="J56" s="8">
        <f t="shared" si="5"/>
        <v>24.2</v>
      </c>
      <c r="K56" s="19" t="s">
        <v>119</v>
      </c>
      <c r="L56" s="19">
        <v>11.9</v>
      </c>
      <c r="M56" s="7">
        <f t="shared" si="3"/>
        <v>11</v>
      </c>
      <c r="N56" s="7" t="str">
        <f t="shared" si="6"/>
        <v>Stay in Business</v>
      </c>
    </row>
    <row r="57" spans="1:15" x14ac:dyDescent="0.25">
      <c r="A57" s="19" t="s">
        <v>208</v>
      </c>
      <c r="B57" s="82">
        <v>0</v>
      </c>
      <c r="C57" s="82">
        <v>0</v>
      </c>
      <c r="D57" s="82">
        <v>121</v>
      </c>
      <c r="E57" s="82">
        <v>0</v>
      </c>
      <c r="F57" s="82" t="s">
        <v>0</v>
      </c>
      <c r="G57" s="82" t="s">
        <v>0</v>
      </c>
      <c r="H57" s="82" t="s">
        <v>0</v>
      </c>
      <c r="J57" s="8">
        <f t="shared" si="5"/>
        <v>121</v>
      </c>
      <c r="K57" s="19" t="s">
        <v>119</v>
      </c>
      <c r="L57" s="19">
        <v>1.1100000000000001</v>
      </c>
      <c r="M57" s="7">
        <f t="shared" si="3"/>
        <v>1</v>
      </c>
      <c r="N57" s="7" t="str">
        <f t="shared" si="6"/>
        <v xml:space="preserve">Corrosion and Environmental Deterioration </v>
      </c>
    </row>
    <row r="58" spans="1:15" x14ac:dyDescent="0.25">
      <c r="A58" s="19" t="s">
        <v>89</v>
      </c>
      <c r="B58" s="82">
        <v>0</v>
      </c>
      <c r="C58" s="82">
        <v>0</v>
      </c>
      <c r="D58" s="82">
        <v>398.45416735716276</v>
      </c>
      <c r="E58" s="82">
        <v>398.45416735716276</v>
      </c>
      <c r="F58" s="82">
        <v>398.45416735716276</v>
      </c>
      <c r="G58" s="82">
        <v>398.45416735716276</v>
      </c>
      <c r="H58" s="82">
        <v>398.45416735716276</v>
      </c>
      <c r="J58" s="8">
        <f t="shared" si="5"/>
        <v>1992.2708367858138</v>
      </c>
      <c r="K58" s="19" t="s">
        <v>124</v>
      </c>
      <c r="L58" s="19">
        <v>13.1</v>
      </c>
      <c r="M58" s="7">
        <f t="shared" si="3"/>
        <v>13</v>
      </c>
      <c r="N58" s="7" t="str">
        <f t="shared" si="6"/>
        <v>Reclamation and Restoration</v>
      </c>
    </row>
    <row r="59" spans="1:15" x14ac:dyDescent="0.25">
      <c r="A59" s="19" t="s">
        <v>182</v>
      </c>
      <c r="B59" s="82">
        <v>499.99999999999994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J59" s="8">
        <f t="shared" si="5"/>
        <v>0</v>
      </c>
      <c r="K59" s="19" t="s">
        <v>11</v>
      </c>
      <c r="L59" s="19" t="s">
        <v>251</v>
      </c>
      <c r="M59" s="7" t="str">
        <f t="shared" si="3"/>
        <v/>
      </c>
      <c r="N59" s="7" t="str">
        <f t="shared" si="6"/>
        <v/>
      </c>
      <c r="O59" s="64"/>
    </row>
    <row r="60" spans="1:15" x14ac:dyDescent="0.25">
      <c r="A60" s="19" t="s">
        <v>183</v>
      </c>
      <c r="B60" s="82">
        <v>11</v>
      </c>
      <c r="C60" s="82">
        <v>12.100000000000001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J60" s="8">
        <f t="shared" si="5"/>
        <v>0</v>
      </c>
      <c r="K60" s="19" t="s">
        <v>11</v>
      </c>
      <c r="L60" s="19" t="s">
        <v>251</v>
      </c>
      <c r="M60" s="7" t="str">
        <f t="shared" si="3"/>
        <v/>
      </c>
      <c r="N60" s="7" t="str">
        <f t="shared" si="6"/>
        <v/>
      </c>
    </row>
    <row r="61" spans="1:15" x14ac:dyDescent="0.25">
      <c r="A61" s="19" t="s">
        <v>180</v>
      </c>
      <c r="B61" s="82">
        <v>0</v>
      </c>
      <c r="C61" s="82">
        <v>426.8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J61" s="8">
        <f t="shared" si="5"/>
        <v>0</v>
      </c>
      <c r="K61" s="19" t="s">
        <v>12</v>
      </c>
      <c r="L61" s="19" t="s">
        <v>251</v>
      </c>
      <c r="M61" s="7" t="str">
        <f t="shared" si="3"/>
        <v/>
      </c>
      <c r="N61" s="7" t="str">
        <f t="shared" si="6"/>
        <v/>
      </c>
    </row>
    <row r="62" spans="1:15" x14ac:dyDescent="0.25">
      <c r="A62" s="19" t="s">
        <v>178</v>
      </c>
      <c r="B62" s="82">
        <v>225.67602000000002</v>
      </c>
      <c r="C62" s="82">
        <v>358.6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J62" s="8">
        <f t="shared" si="5"/>
        <v>0</v>
      </c>
      <c r="K62" s="19" t="s">
        <v>11</v>
      </c>
      <c r="L62" s="19" t="s">
        <v>251</v>
      </c>
      <c r="M62" s="7" t="str">
        <f t="shared" si="3"/>
        <v/>
      </c>
      <c r="N62" s="7" t="str">
        <f t="shared" si="6"/>
        <v/>
      </c>
    </row>
    <row r="63" spans="1:15" x14ac:dyDescent="0.25">
      <c r="A63" s="19" t="s">
        <v>181</v>
      </c>
      <c r="B63" s="82">
        <v>384</v>
      </c>
      <c r="C63" s="82">
        <v>422.40000000000003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J63" s="8">
        <f t="shared" si="5"/>
        <v>0</v>
      </c>
      <c r="K63" s="19" t="s">
        <v>11</v>
      </c>
      <c r="L63" s="19" t="s">
        <v>251</v>
      </c>
      <c r="M63" s="7" t="str">
        <f t="shared" si="3"/>
        <v/>
      </c>
      <c r="N63" s="7" t="str">
        <f t="shared" si="6"/>
        <v/>
      </c>
    </row>
    <row r="64" spans="1:15" x14ac:dyDescent="0.25">
      <c r="A64" s="19" t="s">
        <v>189</v>
      </c>
      <c r="B64" s="82">
        <v>16</v>
      </c>
      <c r="C64" s="82">
        <v>34.283333333333346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J64" s="8">
        <f t="shared" si="5"/>
        <v>0</v>
      </c>
      <c r="K64" s="19" t="s">
        <v>11</v>
      </c>
      <c r="L64" s="19" t="s">
        <v>251</v>
      </c>
      <c r="M64" s="7" t="str">
        <f t="shared" si="3"/>
        <v/>
      </c>
      <c r="N64" s="7" t="str">
        <f t="shared" si="6"/>
        <v/>
      </c>
    </row>
    <row r="65" spans="1:15" x14ac:dyDescent="0.25">
      <c r="A65" s="19" t="s">
        <v>244</v>
      </c>
      <c r="B65" s="82">
        <v>0</v>
      </c>
      <c r="C65" s="82">
        <v>0</v>
      </c>
      <c r="D65" s="82">
        <v>22</v>
      </c>
      <c r="E65" s="82">
        <v>22</v>
      </c>
      <c r="F65" s="82">
        <v>22</v>
      </c>
      <c r="G65" s="82">
        <v>22</v>
      </c>
      <c r="H65" s="82">
        <v>22</v>
      </c>
      <c r="J65" s="8">
        <f t="shared" si="5"/>
        <v>110</v>
      </c>
      <c r="K65" s="19" t="s">
        <v>119</v>
      </c>
      <c r="L65" s="19">
        <v>11.4</v>
      </c>
      <c r="M65" s="7">
        <f t="shared" si="3"/>
        <v>11</v>
      </c>
      <c r="N65" s="7" t="str">
        <f t="shared" si="6"/>
        <v>Stay in Business</v>
      </c>
    </row>
    <row r="66" spans="1:15" x14ac:dyDescent="0.25">
      <c r="A66" s="19" t="s">
        <v>211</v>
      </c>
      <c r="B66" s="82">
        <v>0</v>
      </c>
      <c r="C66" s="82">
        <v>0</v>
      </c>
      <c r="D66" s="82">
        <v>474</v>
      </c>
      <c r="E66" s="82">
        <v>940</v>
      </c>
      <c r="F66" s="82">
        <v>916</v>
      </c>
      <c r="G66" s="82">
        <v>900</v>
      </c>
      <c r="H66" s="82">
        <v>570</v>
      </c>
      <c r="J66" s="8">
        <f t="shared" si="5"/>
        <v>3800</v>
      </c>
      <c r="K66" s="19" t="s">
        <v>119</v>
      </c>
      <c r="L66" s="19">
        <v>2.2000000000000002</v>
      </c>
      <c r="M66" s="7">
        <f t="shared" si="3"/>
        <v>2</v>
      </c>
      <c r="N66" s="7" t="str">
        <f t="shared" si="6"/>
        <v>Cable Protection</v>
      </c>
    </row>
    <row r="67" spans="1:15" x14ac:dyDescent="0.25">
      <c r="A67" s="19" t="s">
        <v>207</v>
      </c>
      <c r="B67" s="82">
        <v>0</v>
      </c>
      <c r="C67" s="82">
        <v>0</v>
      </c>
      <c r="D67" s="82">
        <v>0</v>
      </c>
      <c r="E67" s="82">
        <v>0</v>
      </c>
      <c r="F67" s="82" t="s">
        <v>0</v>
      </c>
      <c r="G67" s="82" t="s">
        <v>0</v>
      </c>
      <c r="H67" s="82" t="s">
        <v>0</v>
      </c>
      <c r="J67" s="8">
        <f t="shared" si="5"/>
        <v>0</v>
      </c>
      <c r="K67" s="19" t="s">
        <v>119</v>
      </c>
      <c r="L67" s="19">
        <v>0</v>
      </c>
      <c r="M67" s="7" t="str">
        <f t="shared" si="3"/>
        <v/>
      </c>
      <c r="N67" s="7" t="str">
        <f t="shared" si="6"/>
        <v/>
      </c>
    </row>
    <row r="68" spans="1:15" x14ac:dyDescent="0.25">
      <c r="A68" s="19" t="s">
        <v>203</v>
      </c>
      <c r="B68" s="82">
        <v>0</v>
      </c>
      <c r="C68" s="82">
        <v>0</v>
      </c>
      <c r="D68" s="82">
        <v>110</v>
      </c>
      <c r="E68" s="82" t="s">
        <v>0</v>
      </c>
      <c r="F68" s="82">
        <v>110</v>
      </c>
      <c r="G68" s="82" t="s">
        <v>0</v>
      </c>
      <c r="H68" s="82" t="s">
        <v>0</v>
      </c>
      <c r="J68" s="8">
        <f t="shared" si="5"/>
        <v>220</v>
      </c>
      <c r="K68" s="19" t="s">
        <v>119</v>
      </c>
      <c r="L68" s="19">
        <v>1.7</v>
      </c>
      <c r="M68" s="7">
        <f t="shared" si="3"/>
        <v>1</v>
      </c>
      <c r="N68" s="7" t="str">
        <f t="shared" si="6"/>
        <v xml:space="preserve">Corrosion and Environmental Deterioration </v>
      </c>
    </row>
    <row r="69" spans="1:15" x14ac:dyDescent="0.25">
      <c r="A69" s="19" t="s">
        <v>220</v>
      </c>
      <c r="B69" s="82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J69" s="8">
        <f t="shared" si="5"/>
        <v>0</v>
      </c>
      <c r="K69" s="19" t="s">
        <v>119</v>
      </c>
      <c r="L69" s="19">
        <v>5.2</v>
      </c>
      <c r="M69" s="7" t="str">
        <f t="shared" si="3"/>
        <v/>
      </c>
      <c r="N69" s="7" t="str">
        <f t="shared" si="6"/>
        <v/>
      </c>
    </row>
    <row r="70" spans="1:15" x14ac:dyDescent="0.25">
      <c r="A70" s="19" t="s">
        <v>238</v>
      </c>
      <c r="B70" s="82">
        <v>0</v>
      </c>
      <c r="C70" s="82">
        <v>0</v>
      </c>
      <c r="D70" s="82">
        <v>0</v>
      </c>
      <c r="E70" s="82" t="s">
        <v>0</v>
      </c>
      <c r="F70" s="82" t="s">
        <v>0</v>
      </c>
      <c r="G70" s="82" t="s">
        <v>0</v>
      </c>
      <c r="H70" s="82" t="s">
        <v>0</v>
      </c>
      <c r="J70" s="8">
        <f t="shared" si="5"/>
        <v>0</v>
      </c>
      <c r="K70" s="19" t="s">
        <v>119</v>
      </c>
      <c r="L70" s="19">
        <v>0</v>
      </c>
      <c r="M70" s="7" t="str">
        <f t="shared" si="3"/>
        <v/>
      </c>
      <c r="N70" s="7" t="str">
        <f t="shared" si="6"/>
        <v/>
      </c>
      <c r="O70" s="64"/>
    </row>
    <row r="71" spans="1:15" x14ac:dyDescent="0.25">
      <c r="A71" s="19" t="s">
        <v>237</v>
      </c>
      <c r="B71" s="82">
        <v>0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J71" s="8">
        <f t="shared" ref="J71:J103" si="7">SUM(D71:H71)</f>
        <v>0</v>
      </c>
      <c r="K71" s="19" t="s">
        <v>119</v>
      </c>
      <c r="L71" s="19">
        <v>0</v>
      </c>
      <c r="M71" s="7" t="str">
        <f t="shared" ref="M71:M103" si="8">IF(SUM(D71:H71)=0,"",LEFT(L71,2)-0)</f>
        <v/>
      </c>
      <c r="N71" s="7" t="str">
        <f t="shared" ref="N71:N102" si="9">_xlfn.IFNA(INDEX($P$7:$P$30,MATCH(M71,$O$7:$O$30,0),0),"")</f>
        <v/>
      </c>
    </row>
    <row r="72" spans="1:15" x14ac:dyDescent="0.25">
      <c r="A72" s="19" t="s">
        <v>236</v>
      </c>
      <c r="B72" s="82">
        <v>0</v>
      </c>
      <c r="C72" s="82">
        <v>0</v>
      </c>
      <c r="D72" s="82">
        <v>0</v>
      </c>
      <c r="E72" s="82">
        <v>0</v>
      </c>
      <c r="F72" s="82">
        <v>800</v>
      </c>
      <c r="G72" s="82">
        <v>2000</v>
      </c>
      <c r="H72" s="82">
        <v>0</v>
      </c>
      <c r="J72" s="8">
        <f t="shared" si="7"/>
        <v>2800</v>
      </c>
      <c r="K72" s="19" t="s">
        <v>119</v>
      </c>
      <c r="L72" s="19">
        <v>10.3</v>
      </c>
      <c r="M72" s="7">
        <f t="shared" si="8"/>
        <v>10</v>
      </c>
      <c r="N72" s="7" t="str">
        <f t="shared" si="9"/>
        <v>Reliability</v>
      </c>
    </row>
    <row r="73" spans="1:15" x14ac:dyDescent="0.25">
      <c r="A73" s="19" t="s">
        <v>187</v>
      </c>
      <c r="B73" s="82">
        <v>288.80962</v>
      </c>
      <c r="C73" s="82">
        <v>1045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J73" s="8">
        <f t="shared" si="7"/>
        <v>0</v>
      </c>
      <c r="K73" s="19" t="s">
        <v>11</v>
      </c>
      <c r="L73" s="19" t="s">
        <v>251</v>
      </c>
      <c r="M73" s="7" t="str">
        <f t="shared" si="8"/>
        <v/>
      </c>
      <c r="N73" s="7" t="str">
        <f t="shared" si="9"/>
        <v/>
      </c>
    </row>
    <row r="74" spans="1:15" x14ac:dyDescent="0.25">
      <c r="A74" s="19" t="s">
        <v>251</v>
      </c>
      <c r="B74" s="82">
        <v>0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J74" s="8">
        <f t="shared" si="7"/>
        <v>0</v>
      </c>
      <c r="K74" s="19" t="s">
        <v>251</v>
      </c>
      <c r="L74" s="19" t="s">
        <v>251</v>
      </c>
      <c r="M74" s="7" t="str">
        <f t="shared" si="8"/>
        <v/>
      </c>
      <c r="N74" s="7" t="str">
        <f t="shared" si="9"/>
        <v/>
      </c>
    </row>
    <row r="75" spans="1:15" x14ac:dyDescent="0.25">
      <c r="A75" s="19" t="s">
        <v>251</v>
      </c>
      <c r="B75" s="82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J75" s="8">
        <f t="shared" si="7"/>
        <v>0</v>
      </c>
      <c r="K75" s="19" t="s">
        <v>251</v>
      </c>
      <c r="L75" s="19" t="s">
        <v>251</v>
      </c>
      <c r="M75" s="7" t="str">
        <f t="shared" si="8"/>
        <v/>
      </c>
      <c r="N75" s="7" t="str">
        <f t="shared" si="9"/>
        <v/>
      </c>
    </row>
    <row r="76" spans="1:15" x14ac:dyDescent="0.25">
      <c r="A76" s="19" t="s">
        <v>251</v>
      </c>
      <c r="B76" s="82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J76" s="8">
        <f t="shared" si="7"/>
        <v>0</v>
      </c>
      <c r="K76" s="19" t="s">
        <v>251</v>
      </c>
      <c r="L76" s="19" t="s">
        <v>251</v>
      </c>
      <c r="M76" s="7" t="str">
        <f t="shared" si="8"/>
        <v/>
      </c>
      <c r="N76" s="7" t="str">
        <f t="shared" si="9"/>
        <v/>
      </c>
    </row>
    <row r="77" spans="1:15" x14ac:dyDescent="0.25">
      <c r="A77" s="19" t="s">
        <v>251</v>
      </c>
      <c r="B77" s="82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J77" s="8">
        <f t="shared" si="7"/>
        <v>0</v>
      </c>
      <c r="K77" s="19" t="s">
        <v>251</v>
      </c>
      <c r="L77" s="19" t="s">
        <v>251</v>
      </c>
      <c r="M77" s="7" t="str">
        <f t="shared" si="8"/>
        <v/>
      </c>
      <c r="N77" s="7" t="str">
        <f t="shared" si="9"/>
        <v/>
      </c>
    </row>
    <row r="78" spans="1:15" x14ac:dyDescent="0.25">
      <c r="A78" s="19" t="s">
        <v>251</v>
      </c>
      <c r="B78" s="82">
        <v>0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J78" s="8">
        <f t="shared" si="7"/>
        <v>0</v>
      </c>
      <c r="K78" s="19" t="s">
        <v>251</v>
      </c>
      <c r="L78" s="19" t="s">
        <v>251</v>
      </c>
      <c r="M78" s="7" t="str">
        <f t="shared" si="8"/>
        <v/>
      </c>
      <c r="N78" s="7" t="str">
        <f t="shared" si="9"/>
        <v/>
      </c>
    </row>
    <row r="79" spans="1:15" x14ac:dyDescent="0.25">
      <c r="A79" s="19" t="s">
        <v>251</v>
      </c>
      <c r="B79" s="82">
        <v>0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J79" s="8">
        <f t="shared" si="7"/>
        <v>0</v>
      </c>
      <c r="K79" s="19" t="s">
        <v>251</v>
      </c>
      <c r="L79" s="19" t="s">
        <v>251</v>
      </c>
      <c r="M79" s="7" t="str">
        <f t="shared" si="8"/>
        <v/>
      </c>
      <c r="N79" s="7" t="str">
        <f t="shared" si="9"/>
        <v/>
      </c>
    </row>
    <row r="80" spans="1:15" x14ac:dyDescent="0.25">
      <c r="A80" s="19" t="s">
        <v>251</v>
      </c>
      <c r="B80" s="82">
        <v>0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J80" s="8">
        <f t="shared" si="7"/>
        <v>0</v>
      </c>
      <c r="K80" s="19" t="s">
        <v>251</v>
      </c>
      <c r="L80" s="19" t="s">
        <v>251</v>
      </c>
      <c r="M80" s="7" t="str">
        <f t="shared" si="8"/>
        <v/>
      </c>
      <c r="N80" s="7" t="str">
        <f t="shared" si="9"/>
        <v/>
      </c>
    </row>
    <row r="81" spans="1:14" x14ac:dyDescent="0.25">
      <c r="A81" s="19" t="s">
        <v>251</v>
      </c>
      <c r="B81" s="82">
        <v>0</v>
      </c>
      <c r="C81" s="82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J81" s="8">
        <f t="shared" si="7"/>
        <v>0</v>
      </c>
      <c r="K81" s="19" t="s">
        <v>251</v>
      </c>
      <c r="L81" s="19" t="s">
        <v>251</v>
      </c>
      <c r="M81" s="7" t="str">
        <f t="shared" si="8"/>
        <v/>
      </c>
      <c r="N81" s="7" t="str">
        <f t="shared" si="9"/>
        <v/>
      </c>
    </row>
    <row r="82" spans="1:14" x14ac:dyDescent="0.25">
      <c r="A82" s="19" t="s">
        <v>251</v>
      </c>
      <c r="B82" s="82">
        <v>0</v>
      </c>
      <c r="C82" s="82">
        <v>0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J82" s="8">
        <f t="shared" si="7"/>
        <v>0</v>
      </c>
      <c r="K82" s="19" t="s">
        <v>251</v>
      </c>
      <c r="L82" s="19" t="s">
        <v>251</v>
      </c>
      <c r="M82" s="7" t="str">
        <f t="shared" si="8"/>
        <v/>
      </c>
      <c r="N82" s="7" t="str">
        <f t="shared" si="9"/>
        <v/>
      </c>
    </row>
    <row r="83" spans="1:14" x14ac:dyDescent="0.25">
      <c r="A83" s="19" t="s">
        <v>251</v>
      </c>
      <c r="B83" s="82">
        <v>0</v>
      </c>
      <c r="C83" s="82">
        <v>0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J83" s="8">
        <f t="shared" si="7"/>
        <v>0</v>
      </c>
      <c r="K83" s="19" t="s">
        <v>251</v>
      </c>
      <c r="L83" s="19" t="s">
        <v>251</v>
      </c>
      <c r="M83" s="7" t="str">
        <f t="shared" si="8"/>
        <v/>
      </c>
      <c r="N83" s="7" t="str">
        <f t="shared" si="9"/>
        <v/>
      </c>
    </row>
    <row r="84" spans="1:14" x14ac:dyDescent="0.25">
      <c r="A84" s="19" t="s">
        <v>251</v>
      </c>
      <c r="B84" s="82">
        <v>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J84" s="8">
        <f t="shared" si="7"/>
        <v>0</v>
      </c>
      <c r="K84" s="19" t="s">
        <v>251</v>
      </c>
      <c r="L84" s="19" t="s">
        <v>251</v>
      </c>
      <c r="M84" s="7" t="str">
        <f t="shared" si="8"/>
        <v/>
      </c>
      <c r="N84" s="7" t="str">
        <f t="shared" si="9"/>
        <v/>
      </c>
    </row>
    <row r="85" spans="1:14" x14ac:dyDescent="0.25">
      <c r="A85" s="19" t="s">
        <v>251</v>
      </c>
      <c r="B85" s="82">
        <v>0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J85" s="8">
        <f t="shared" si="7"/>
        <v>0</v>
      </c>
      <c r="K85" s="19" t="s">
        <v>251</v>
      </c>
      <c r="L85" s="19" t="s">
        <v>251</v>
      </c>
      <c r="M85" s="7" t="str">
        <f t="shared" si="8"/>
        <v/>
      </c>
      <c r="N85" s="7" t="str">
        <f t="shared" si="9"/>
        <v/>
      </c>
    </row>
    <row r="86" spans="1:14" x14ac:dyDescent="0.25">
      <c r="A86" s="19" t="s">
        <v>251</v>
      </c>
      <c r="B86" s="82">
        <v>0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J86" s="8">
        <f t="shared" si="7"/>
        <v>0</v>
      </c>
      <c r="K86" s="19" t="s">
        <v>251</v>
      </c>
      <c r="L86" s="19" t="s">
        <v>251</v>
      </c>
      <c r="M86" s="7" t="str">
        <f t="shared" si="8"/>
        <v/>
      </c>
      <c r="N86" s="7" t="str">
        <f t="shared" si="9"/>
        <v/>
      </c>
    </row>
    <row r="87" spans="1:14" x14ac:dyDescent="0.25">
      <c r="A87" s="19" t="s">
        <v>251</v>
      </c>
      <c r="B87" s="82">
        <v>0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J87" s="8">
        <f t="shared" si="7"/>
        <v>0</v>
      </c>
      <c r="K87" s="19" t="s">
        <v>251</v>
      </c>
      <c r="L87" s="19" t="s">
        <v>251</v>
      </c>
      <c r="M87" s="7" t="str">
        <f t="shared" si="8"/>
        <v/>
      </c>
      <c r="N87" s="7" t="str">
        <f t="shared" si="9"/>
        <v/>
      </c>
    </row>
    <row r="88" spans="1:14" x14ac:dyDescent="0.25">
      <c r="A88" s="19" t="s">
        <v>251</v>
      </c>
      <c r="B88" s="82">
        <v>0</v>
      </c>
      <c r="C88" s="82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J88" s="8">
        <f t="shared" si="7"/>
        <v>0</v>
      </c>
      <c r="K88" s="19" t="s">
        <v>251</v>
      </c>
      <c r="L88" s="19" t="s">
        <v>251</v>
      </c>
      <c r="M88" s="7" t="str">
        <f t="shared" si="8"/>
        <v/>
      </c>
      <c r="N88" s="7" t="str">
        <f t="shared" si="9"/>
        <v/>
      </c>
    </row>
    <row r="89" spans="1:14" x14ac:dyDescent="0.25">
      <c r="A89" s="19" t="s">
        <v>251</v>
      </c>
      <c r="B89" s="82">
        <v>0</v>
      </c>
      <c r="C89" s="82">
        <v>0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J89" s="8">
        <f t="shared" si="7"/>
        <v>0</v>
      </c>
      <c r="K89" s="19" t="s">
        <v>251</v>
      </c>
      <c r="L89" s="19" t="s">
        <v>251</v>
      </c>
      <c r="M89" s="7" t="str">
        <f t="shared" si="8"/>
        <v/>
      </c>
      <c r="N89" s="7" t="str">
        <f t="shared" si="9"/>
        <v/>
      </c>
    </row>
    <row r="90" spans="1:14" x14ac:dyDescent="0.25">
      <c r="A90" s="19" t="s">
        <v>251</v>
      </c>
      <c r="B90" s="82">
        <v>0</v>
      </c>
      <c r="C90" s="82">
        <v>0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J90" s="8">
        <f t="shared" si="7"/>
        <v>0</v>
      </c>
      <c r="K90" s="19" t="s">
        <v>251</v>
      </c>
      <c r="L90" s="19" t="s">
        <v>251</v>
      </c>
      <c r="M90" s="7" t="str">
        <f t="shared" si="8"/>
        <v/>
      </c>
      <c r="N90" s="7" t="str">
        <f t="shared" si="9"/>
        <v/>
      </c>
    </row>
    <row r="91" spans="1:14" x14ac:dyDescent="0.25">
      <c r="A91" s="19" t="s">
        <v>251</v>
      </c>
      <c r="B91" s="82">
        <v>0</v>
      </c>
      <c r="C91" s="82">
        <v>0</v>
      </c>
      <c r="D91" s="82">
        <v>0</v>
      </c>
      <c r="E91" s="82">
        <v>0</v>
      </c>
      <c r="F91" s="82">
        <v>0</v>
      </c>
      <c r="G91" s="82">
        <v>0</v>
      </c>
      <c r="H91" s="82">
        <v>0</v>
      </c>
      <c r="J91" s="8">
        <f t="shared" si="7"/>
        <v>0</v>
      </c>
      <c r="K91" s="19" t="s">
        <v>251</v>
      </c>
      <c r="L91" s="19" t="s">
        <v>251</v>
      </c>
      <c r="M91" s="7" t="str">
        <f t="shared" si="8"/>
        <v/>
      </c>
      <c r="N91" s="7" t="str">
        <f t="shared" si="9"/>
        <v/>
      </c>
    </row>
    <row r="92" spans="1:14" x14ac:dyDescent="0.25">
      <c r="A92" s="19" t="s">
        <v>251</v>
      </c>
      <c r="B92" s="82">
        <v>0</v>
      </c>
      <c r="C92" s="82">
        <v>0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J92" s="8">
        <f t="shared" si="7"/>
        <v>0</v>
      </c>
      <c r="K92" s="19" t="s">
        <v>251</v>
      </c>
      <c r="L92" s="19" t="s">
        <v>251</v>
      </c>
      <c r="M92" s="7" t="str">
        <f t="shared" si="8"/>
        <v/>
      </c>
      <c r="N92" s="7" t="str">
        <f t="shared" si="9"/>
        <v/>
      </c>
    </row>
    <row r="93" spans="1:14" x14ac:dyDescent="0.25">
      <c r="A93" s="19" t="s">
        <v>251</v>
      </c>
      <c r="B93" s="82">
        <v>0</v>
      </c>
      <c r="C93" s="82">
        <v>0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J93" s="8">
        <f t="shared" si="7"/>
        <v>0</v>
      </c>
      <c r="K93" s="19" t="s">
        <v>251</v>
      </c>
      <c r="L93" s="19" t="s">
        <v>251</v>
      </c>
      <c r="M93" s="7" t="str">
        <f t="shared" si="8"/>
        <v/>
      </c>
      <c r="N93" s="7" t="str">
        <f t="shared" si="9"/>
        <v/>
      </c>
    </row>
    <row r="94" spans="1:14" x14ac:dyDescent="0.25">
      <c r="A94" s="19" t="s">
        <v>251</v>
      </c>
      <c r="B94" s="82">
        <v>0</v>
      </c>
      <c r="C94" s="82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J94" s="8">
        <f t="shared" si="7"/>
        <v>0</v>
      </c>
      <c r="K94" s="19" t="s">
        <v>251</v>
      </c>
      <c r="L94" s="19" t="s">
        <v>251</v>
      </c>
      <c r="M94" s="7" t="str">
        <f t="shared" si="8"/>
        <v/>
      </c>
      <c r="N94" s="7" t="str">
        <f t="shared" si="9"/>
        <v/>
      </c>
    </row>
    <row r="95" spans="1:14" x14ac:dyDescent="0.25">
      <c r="A95" s="19" t="s">
        <v>251</v>
      </c>
      <c r="B95" s="82">
        <v>0</v>
      </c>
      <c r="C95" s="82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J95" s="8">
        <f t="shared" si="7"/>
        <v>0</v>
      </c>
      <c r="K95" s="19" t="s">
        <v>251</v>
      </c>
      <c r="L95" s="19" t="s">
        <v>251</v>
      </c>
      <c r="M95" s="7" t="str">
        <f t="shared" si="8"/>
        <v/>
      </c>
      <c r="N95" s="7" t="str">
        <f t="shared" si="9"/>
        <v/>
      </c>
    </row>
    <row r="96" spans="1:14" x14ac:dyDescent="0.25">
      <c r="A96" s="19" t="s">
        <v>251</v>
      </c>
      <c r="B96" s="82">
        <v>0</v>
      </c>
      <c r="C96" s="82">
        <v>0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J96" s="8">
        <f t="shared" si="7"/>
        <v>0</v>
      </c>
      <c r="K96" s="19" t="s">
        <v>251</v>
      </c>
      <c r="L96" s="19" t="s">
        <v>251</v>
      </c>
      <c r="M96" s="7" t="str">
        <f t="shared" si="8"/>
        <v/>
      </c>
      <c r="N96" s="7" t="str">
        <f t="shared" si="9"/>
        <v/>
      </c>
    </row>
    <row r="97" spans="1:14" x14ac:dyDescent="0.25">
      <c r="A97" s="19" t="s">
        <v>251</v>
      </c>
      <c r="B97" s="82">
        <v>0</v>
      </c>
      <c r="C97" s="82">
        <v>0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J97" s="8">
        <f t="shared" si="7"/>
        <v>0</v>
      </c>
      <c r="K97" s="19" t="s">
        <v>251</v>
      </c>
      <c r="L97" s="19" t="s">
        <v>251</v>
      </c>
      <c r="M97" s="7" t="str">
        <f t="shared" si="8"/>
        <v/>
      </c>
      <c r="N97" s="7" t="str">
        <f t="shared" si="9"/>
        <v/>
      </c>
    </row>
    <row r="98" spans="1:14" x14ac:dyDescent="0.25">
      <c r="A98" s="19" t="s">
        <v>251</v>
      </c>
      <c r="B98" s="82">
        <v>0</v>
      </c>
      <c r="C98" s="82">
        <v>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J98" s="8">
        <f t="shared" si="7"/>
        <v>0</v>
      </c>
      <c r="K98" s="19" t="s">
        <v>251</v>
      </c>
      <c r="L98" s="19" t="s">
        <v>251</v>
      </c>
      <c r="M98" s="7" t="str">
        <f t="shared" si="8"/>
        <v/>
      </c>
      <c r="N98" s="7" t="str">
        <f t="shared" si="9"/>
        <v/>
      </c>
    </row>
    <row r="99" spans="1:14" x14ac:dyDescent="0.25">
      <c r="A99" s="19" t="s">
        <v>251</v>
      </c>
      <c r="B99" s="82">
        <v>0</v>
      </c>
      <c r="C99" s="82">
        <v>0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J99" s="8">
        <f t="shared" si="7"/>
        <v>0</v>
      </c>
      <c r="K99" s="19" t="s">
        <v>251</v>
      </c>
      <c r="L99" s="19" t="s">
        <v>251</v>
      </c>
      <c r="M99" s="7" t="str">
        <f t="shared" si="8"/>
        <v/>
      </c>
      <c r="N99" s="7" t="str">
        <f t="shared" si="9"/>
        <v/>
      </c>
    </row>
    <row r="100" spans="1:14" x14ac:dyDescent="0.25">
      <c r="A100" s="19" t="s">
        <v>251</v>
      </c>
      <c r="B100" s="82">
        <v>0</v>
      </c>
      <c r="C100" s="82">
        <v>0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J100" s="8">
        <f t="shared" si="7"/>
        <v>0</v>
      </c>
      <c r="K100" s="19" t="s">
        <v>251</v>
      </c>
      <c r="L100" s="19" t="s">
        <v>251</v>
      </c>
      <c r="M100" s="7" t="str">
        <f t="shared" si="8"/>
        <v/>
      </c>
      <c r="N100" s="7" t="str">
        <f t="shared" si="9"/>
        <v/>
      </c>
    </row>
    <row r="101" spans="1:14" x14ac:dyDescent="0.25">
      <c r="A101" s="19" t="s">
        <v>251</v>
      </c>
      <c r="B101" s="82">
        <v>0</v>
      </c>
      <c r="C101" s="82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J101" s="8">
        <f t="shared" si="7"/>
        <v>0</v>
      </c>
      <c r="K101" s="19" t="s">
        <v>251</v>
      </c>
      <c r="L101" s="19" t="s">
        <v>251</v>
      </c>
      <c r="M101" s="7" t="str">
        <f t="shared" si="8"/>
        <v/>
      </c>
      <c r="N101" s="7" t="str">
        <f t="shared" si="9"/>
        <v/>
      </c>
    </row>
    <row r="102" spans="1:14" x14ac:dyDescent="0.25">
      <c r="A102" s="19" t="s">
        <v>251</v>
      </c>
      <c r="B102" s="82">
        <v>0</v>
      </c>
      <c r="C102" s="82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J102" s="8">
        <f t="shared" si="7"/>
        <v>0</v>
      </c>
      <c r="K102" s="19" t="s">
        <v>251</v>
      </c>
      <c r="L102" s="19" t="s">
        <v>251</v>
      </c>
      <c r="M102" s="7" t="str">
        <f t="shared" si="8"/>
        <v/>
      </c>
      <c r="N102" s="7" t="str">
        <f t="shared" si="9"/>
        <v/>
      </c>
    </row>
    <row r="103" spans="1:14" x14ac:dyDescent="0.25">
      <c r="A103" s="19" t="s">
        <v>251</v>
      </c>
      <c r="B103" s="82">
        <v>0</v>
      </c>
      <c r="C103" s="82">
        <v>0</v>
      </c>
      <c r="D103" s="82">
        <v>0</v>
      </c>
      <c r="E103" s="82">
        <v>0</v>
      </c>
      <c r="F103" s="82">
        <v>0</v>
      </c>
      <c r="G103" s="82">
        <v>0</v>
      </c>
      <c r="H103" s="82">
        <v>0</v>
      </c>
      <c r="J103" s="8">
        <f t="shared" si="7"/>
        <v>0</v>
      </c>
      <c r="K103" t="s">
        <v>251</v>
      </c>
      <c r="L103" s="12" t="s">
        <v>251</v>
      </c>
      <c r="M103" s="7" t="str">
        <f t="shared" si="8"/>
        <v/>
      </c>
      <c r="N103" s="7" t="str">
        <f t="shared" ref="N103" si="10">_xlfn.IFNA(INDEX($P$7:$P$30,MATCH(M103,$O$7:$O$30,0),0),"")</f>
        <v/>
      </c>
    </row>
    <row r="104" spans="1:14" x14ac:dyDescent="0.25">
      <c r="A104" s="18"/>
    </row>
    <row r="105" spans="1:14" x14ac:dyDescent="0.25">
      <c r="A105" s="18"/>
    </row>
    <row r="106" spans="1:14" x14ac:dyDescent="0.25">
      <c r="A106" s="18"/>
    </row>
    <row r="107" spans="1:14" x14ac:dyDescent="0.25">
      <c r="A107" s="18"/>
    </row>
    <row r="108" spans="1:14" x14ac:dyDescent="0.25">
      <c r="A108" s="18"/>
    </row>
    <row r="109" spans="1:14" x14ac:dyDescent="0.25">
      <c r="A109" s="18"/>
    </row>
    <row r="110" spans="1:14" x14ac:dyDescent="0.25">
      <c r="A110" s="18"/>
    </row>
    <row r="111" spans="1:14" x14ac:dyDescent="0.25">
      <c r="A111" s="18"/>
    </row>
    <row r="112" spans="1:14" x14ac:dyDescent="0.25">
      <c r="A112" s="18"/>
    </row>
    <row r="113" spans="1:1" x14ac:dyDescent="0.25">
      <c r="A113" s="18"/>
    </row>
  </sheetData>
  <autoFilter ref="A6:N113"/>
  <mergeCells count="1">
    <mergeCell ref="O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opLeftCell="I1" workbookViewId="0">
      <selection activeCell="J24" sqref="J24"/>
    </sheetView>
  </sheetViews>
  <sheetFormatPr defaultRowHeight="15" x14ac:dyDescent="0.25"/>
  <cols>
    <col min="1" max="1" width="85" bestFit="1" customWidth="1"/>
    <col min="2" max="2" width="10.5703125" bestFit="1" customWidth="1"/>
    <col min="3" max="3" width="18" style="12" bestFit="1" customWidth="1"/>
    <col min="4" max="4" width="51.85546875" style="12" bestFit="1" customWidth="1"/>
    <col min="6" max="6" width="85" bestFit="1" customWidth="1"/>
    <col min="7" max="7" width="12.7109375" bestFit="1" customWidth="1"/>
    <col min="8" max="8" width="40.140625" style="29" bestFit="1" customWidth="1"/>
    <col min="10" max="10" width="51.85546875" bestFit="1" customWidth="1"/>
    <col min="11" max="11" width="8.5703125" bestFit="1" customWidth="1"/>
    <col min="14" max="14" width="51.85546875" bestFit="1" customWidth="1"/>
    <col min="15" max="15" width="16.42578125" bestFit="1" customWidth="1"/>
    <col min="16" max="16" width="15" customWidth="1"/>
  </cols>
  <sheetData>
    <row r="1" spans="1:16" ht="16.5" thickTop="1" thickBot="1" x14ac:dyDescent="0.3">
      <c r="B1" s="24">
        <f>SUM(B3:B99)</f>
        <v>38613.270836785814</v>
      </c>
      <c r="C1" s="23"/>
      <c r="D1" s="23"/>
      <c r="E1" s="23"/>
      <c r="F1" s="23"/>
      <c r="G1" s="35">
        <f>SUM(G3:G69)</f>
        <v>38613.270836785814</v>
      </c>
      <c r="H1" s="23"/>
      <c r="I1" s="23"/>
      <c r="J1" s="23"/>
      <c r="K1" s="25">
        <f>SUM(K3:K69)</f>
        <v>38613.270836785814</v>
      </c>
      <c r="L1" s="2">
        <f>G1-K1</f>
        <v>0</v>
      </c>
    </row>
    <row r="2" spans="1:16" ht="60" thickTop="1" thickBot="1" x14ac:dyDescent="0.35">
      <c r="A2" t="s">
        <v>26</v>
      </c>
      <c r="B2" t="s">
        <v>15</v>
      </c>
      <c r="C2" s="12" t="s">
        <v>10</v>
      </c>
      <c r="D2" s="12" t="s">
        <v>29</v>
      </c>
      <c r="F2" t="s">
        <v>26</v>
      </c>
      <c r="G2" t="s">
        <v>27</v>
      </c>
      <c r="H2" s="29" t="s">
        <v>29</v>
      </c>
      <c r="J2" t="s">
        <v>29</v>
      </c>
      <c r="K2" t="s">
        <v>15</v>
      </c>
      <c r="N2" s="32" t="s">
        <v>33</v>
      </c>
      <c r="O2" s="32" t="s">
        <v>34</v>
      </c>
      <c r="P2" s="32" t="s">
        <v>35</v>
      </c>
    </row>
    <row r="3" spans="1:16" ht="15.75" thickTop="1" x14ac:dyDescent="0.25">
      <c r="A3" s="7" t="str">
        <f>'Forecast Capex'!A7</f>
        <v>Annual Spraying for Corrosion</v>
      </c>
      <c r="B3" s="7">
        <f>SUM('Forecast Capex'!D7:H7)</f>
        <v>220</v>
      </c>
      <c r="C3" s="12" t="str">
        <f>'Forecast Capex'!K7</f>
        <v>Transmission Assets</v>
      </c>
      <c r="D3" s="12" t="str">
        <f>'Forecast Capex'!N7</f>
        <v xml:space="preserve">Corrosion and Environmental Deterioration </v>
      </c>
      <c r="F3" s="7" t="str">
        <f t="shared" ref="F3:F34" si="0">IF(G3=0,"",INDEX($A$3:$A$99,MATCH($G3,$B$3:$B$99,0),0))</f>
        <v>Capex replacement contract</v>
      </c>
      <c r="G3" s="7">
        <f t="shared" ref="G3:G34" si="1">LARGE($B$3:$B$99,ROW()-2)</f>
        <v>16500.000000000004</v>
      </c>
      <c r="H3" s="7" t="str">
        <f t="shared" ref="H3:H34" si="2">INDEX($D$3:$D$73,MATCH(F3,$A$3:$A$75,0),0)</f>
        <v>Obsolete IGBTs</v>
      </c>
      <c r="J3" s="27" t="str">
        <f>'Forecast Capex'!P7</f>
        <v xml:space="preserve">Corrosion and Environmental Deterioration </v>
      </c>
      <c r="K3" s="1">
        <f t="shared" ref="K3:K21" si="3">SUMIF($D$3:$D$99,J3,$B$3:$B$99)</f>
        <v>2755.5</v>
      </c>
      <c r="N3" s="30" t="str">
        <f t="shared" ref="N3:N21" si="4">IF(O3=0,"",INDEX($J$3:$J$21,MATCH(O3,$K$3:$K$21,0),0))</f>
        <v>Obsolete IGBTs</v>
      </c>
      <c r="O3" s="30">
        <f t="shared" ref="O3:O21" si="5">LARGE($K$3:$K$21,ROW()-2)</f>
        <v>16500.000000000004</v>
      </c>
      <c r="P3" s="31">
        <f>SUM($O$3:O3)/SUM($O$3:$O$22)</f>
        <v>0.42731422752927994</v>
      </c>
    </row>
    <row r="4" spans="1:16" x14ac:dyDescent="0.25">
      <c r="A4" s="7" t="str">
        <f>'Forecast Capex'!A8</f>
        <v>Barn Door Replacement</v>
      </c>
      <c r="B4" s="7">
        <f>SUM('Forecast Capex'!D8:H8)</f>
        <v>176</v>
      </c>
      <c r="C4" s="12" t="str">
        <f>'Forecast Capex'!K8</f>
        <v>Transmission Assets</v>
      </c>
      <c r="D4" s="12" t="str">
        <f>'Forecast Capex'!N8</f>
        <v xml:space="preserve">Corrosion and Environmental Deterioration </v>
      </c>
      <c r="F4" s="7" t="str">
        <f t="shared" si="0"/>
        <v xml:space="preserve">Third Party Development - Relocation and Underground Galvanised Steel Trough (GST) 
Options Investigation + Implementation </v>
      </c>
      <c r="G4" s="7">
        <f t="shared" si="1"/>
        <v>3800</v>
      </c>
      <c r="H4" s="7" t="str">
        <f t="shared" si="2"/>
        <v>Cable Protection</v>
      </c>
      <c r="J4" s="64" t="str">
        <f>'Forecast Capex'!P8</f>
        <v>Cable Protection</v>
      </c>
      <c r="K4" s="1">
        <f t="shared" si="3"/>
        <v>4620</v>
      </c>
      <c r="N4" s="30" t="str">
        <f t="shared" si="4"/>
        <v>Cable Protection</v>
      </c>
      <c r="O4" s="30">
        <f t="shared" si="5"/>
        <v>4620</v>
      </c>
      <c r="P4" s="31">
        <f>SUM($O$3:O4)/SUM($O$3:$O$22)</f>
        <v>0.54696221123747835</v>
      </c>
    </row>
    <row r="5" spans="1:16" x14ac:dyDescent="0.25">
      <c r="A5" s="7" t="str">
        <f>'Forecast Capex'!A9</f>
        <v>Barn Roof Repair</v>
      </c>
      <c r="B5" s="7">
        <f>SUM('Forecast Capex'!D9:H9)</f>
        <v>220</v>
      </c>
      <c r="C5" s="12" t="str">
        <f>'Forecast Capex'!K9</f>
        <v>Transmission Assets</v>
      </c>
      <c r="D5" s="12" t="str">
        <f>'Forecast Capex'!N9</f>
        <v xml:space="preserve">Corrosion and Environmental Deterioration </v>
      </c>
      <c r="F5" s="7" t="str">
        <f t="shared" si="0"/>
        <v xml:space="preserve">Fibres/Lightguides (PROMS) System 2 + 3 </v>
      </c>
      <c r="G5" s="7">
        <f t="shared" si="1"/>
        <v>3630</v>
      </c>
      <c r="H5" s="7" t="str">
        <f t="shared" si="2"/>
        <v>Fibres and Lightguides</v>
      </c>
      <c r="J5" s="64" t="str">
        <f>'Forecast Capex'!P9</f>
        <v>Cable Modification</v>
      </c>
      <c r="K5" s="1">
        <f t="shared" si="3"/>
        <v>1980</v>
      </c>
      <c r="N5" s="30" t="str">
        <f t="shared" si="4"/>
        <v>Reliability</v>
      </c>
      <c r="O5" s="30">
        <f t="shared" si="5"/>
        <v>4150</v>
      </c>
      <c r="P5" s="31">
        <f>SUM($O$3:O5)/SUM($O$3:$O$22)</f>
        <v>0.65443821391908508</v>
      </c>
    </row>
    <row r="6" spans="1:16" x14ac:dyDescent="0.25">
      <c r="A6" s="7" t="str">
        <f>'Forecast Capex'!A10</f>
        <v>Barn Sound Damp Vent Inlet Replacement</v>
      </c>
      <c r="B6" s="7">
        <f>SUM('Forecast Capex'!D10:H10)</f>
        <v>198</v>
      </c>
      <c r="C6" s="12" t="str">
        <f>'Forecast Capex'!K10</f>
        <v>Transmission Assets</v>
      </c>
      <c r="D6" s="12" t="str">
        <f>'Forecast Capex'!N10</f>
        <v xml:space="preserve">Corrosion and Environmental Deterioration </v>
      </c>
      <c r="F6" s="7" t="str">
        <f t="shared" si="0"/>
        <v>Variable Speed Drive (VSD) for Phase Reactor and 
Cooling Pumps</v>
      </c>
      <c r="G6" s="7">
        <f t="shared" si="1"/>
        <v>2800</v>
      </c>
      <c r="H6" s="7" t="str">
        <f t="shared" si="2"/>
        <v>Reliability</v>
      </c>
      <c r="J6" s="64" t="str">
        <f>'Forecast Capex'!P10</f>
        <v>Essential Spares</v>
      </c>
      <c r="K6" s="1">
        <f t="shared" si="3"/>
        <v>737</v>
      </c>
      <c r="N6" s="30" t="str">
        <f t="shared" si="4"/>
        <v>Fibres and Lightguides</v>
      </c>
      <c r="O6" s="30">
        <f t="shared" si="5"/>
        <v>3630</v>
      </c>
      <c r="P6" s="31">
        <f>SUM($O$3:O6)/SUM($O$3:$O$22)</f>
        <v>0.74844734397552659</v>
      </c>
    </row>
    <row r="7" spans="1:16" x14ac:dyDescent="0.25">
      <c r="A7" s="7" t="str">
        <f>'Forecast Capex'!A11</f>
        <v>BLA Communications Room UPS Replacement</v>
      </c>
      <c r="B7" s="7">
        <f>SUM('Forecast Capex'!D11:H11)</f>
        <v>0</v>
      </c>
      <c r="C7" s="12" t="str">
        <f>'Forecast Capex'!K11</f>
        <v>Transmission Assets</v>
      </c>
      <c r="D7" s="12" t="str">
        <f>'Forecast Capex'!N11</f>
        <v/>
      </c>
      <c r="F7" s="7" t="str">
        <f t="shared" si="0"/>
        <v>Site Restoration</v>
      </c>
      <c r="G7" s="7">
        <f t="shared" si="1"/>
        <v>1992.2708367858138</v>
      </c>
      <c r="H7" s="7" t="str">
        <f t="shared" si="2"/>
        <v>Reclamation and Restoration</v>
      </c>
      <c r="J7" s="64" t="str">
        <f>'Forecast Capex'!P11</f>
        <v>Obsolete IGBTs</v>
      </c>
      <c r="K7" s="1">
        <f t="shared" si="3"/>
        <v>16500.000000000004</v>
      </c>
      <c r="N7" s="30" t="str">
        <f t="shared" si="4"/>
        <v xml:space="preserve">Corrosion and Environmental Deterioration </v>
      </c>
      <c r="O7" s="30">
        <f t="shared" si="5"/>
        <v>2755.5</v>
      </c>
      <c r="P7" s="31">
        <f>SUM($O$3:O7)/SUM($O$3:$O$22)</f>
        <v>0.81980881997291633</v>
      </c>
    </row>
    <row r="8" spans="1:16" x14ac:dyDescent="0.25">
      <c r="A8" s="7" t="str">
        <f>'Forecast Capex'!A12</f>
        <v>Building roof corrosion repair</v>
      </c>
      <c r="B8" s="7">
        <f>SUM('Forecast Capex'!D12:H12)</f>
        <v>0</v>
      </c>
      <c r="C8" s="12" t="str">
        <f>'Forecast Capex'!K12</f>
        <v>Converter Stations</v>
      </c>
      <c r="D8" s="12" t="str">
        <f>'Forecast Capex'!N12</f>
        <v/>
      </c>
      <c r="F8" s="7" t="str">
        <f t="shared" si="0"/>
        <v xml:space="preserve">Cable Modification Program
</v>
      </c>
      <c r="G8" s="7">
        <f t="shared" si="1"/>
        <v>1980</v>
      </c>
      <c r="H8" s="7" t="str">
        <f t="shared" si="2"/>
        <v>Cable Modification</v>
      </c>
      <c r="J8" s="64" t="str">
        <f>'Forecast Capex'!P12</f>
        <v>Fibres and Lightguides</v>
      </c>
      <c r="K8" s="1">
        <f t="shared" si="3"/>
        <v>3630</v>
      </c>
      <c r="N8" s="30" t="str">
        <f t="shared" si="4"/>
        <v>Reclamation and Restoration</v>
      </c>
      <c r="O8" s="30">
        <f t="shared" si="5"/>
        <v>1992.2708367858138</v>
      </c>
      <c r="P8" s="31">
        <f>SUM($O$3:O8)/SUM($O$3:$O$22)</f>
        <v>0.87140431534565821</v>
      </c>
    </row>
    <row r="9" spans="1:16" x14ac:dyDescent="0.25">
      <c r="A9" s="7" t="str">
        <f>'Forecast Capex'!A13</f>
        <v>Cable Handling Equipment (Stands, Winches)</v>
      </c>
      <c r="B9" s="7">
        <f>SUM('Forecast Capex'!D13:H13)</f>
        <v>3.3</v>
      </c>
      <c r="C9" s="12" t="str">
        <f>'Forecast Capex'!K13</f>
        <v>Transmission Assets</v>
      </c>
      <c r="D9" s="12" t="str">
        <f>'Forecast Capex'!N13</f>
        <v>Stay in Business</v>
      </c>
      <c r="F9" s="7" t="str">
        <f t="shared" si="0"/>
        <v>Cable Route Protection / Risk Mitigation</v>
      </c>
      <c r="G9" s="7">
        <f t="shared" si="1"/>
        <v>820</v>
      </c>
      <c r="H9" s="7" t="str">
        <f t="shared" si="2"/>
        <v>Cable Protection</v>
      </c>
      <c r="J9" s="64" t="str">
        <f>'Forecast Capex'!P13</f>
        <v>DC Spare Cable</v>
      </c>
      <c r="K9" s="1">
        <f t="shared" si="3"/>
        <v>0</v>
      </c>
      <c r="N9" s="30" t="str">
        <f t="shared" si="4"/>
        <v>Cable Modification</v>
      </c>
      <c r="O9" s="30">
        <f t="shared" si="5"/>
        <v>1980</v>
      </c>
      <c r="P9" s="31">
        <f>SUM($O$3:O9)/SUM($O$3:$O$22)</f>
        <v>0.92268202264917176</v>
      </c>
    </row>
    <row r="10" spans="1:16" x14ac:dyDescent="0.25">
      <c r="A10" s="7" t="str">
        <f>'Forecast Capex'!A14</f>
        <v xml:space="preserve">Cable Modification Program
</v>
      </c>
      <c r="B10" s="7">
        <f>SUM('Forecast Capex'!D14:H14)</f>
        <v>1980</v>
      </c>
      <c r="C10" s="12" t="str">
        <f>'Forecast Capex'!K14</f>
        <v>Transmission Assets</v>
      </c>
      <c r="D10" s="12" t="str">
        <f>'Forecast Capex'!N14</f>
        <v>Cable Modification</v>
      </c>
      <c r="F10" s="7" t="str">
        <f t="shared" si="0"/>
        <v>Power Supply Upgrade</v>
      </c>
      <c r="G10" s="7">
        <f t="shared" si="1"/>
        <v>800</v>
      </c>
      <c r="H10" s="7" t="str">
        <f t="shared" si="2"/>
        <v>Reliability</v>
      </c>
      <c r="J10" s="64" t="str">
        <f>'Forecast Capex'!P14</f>
        <v>Noise Control Improvements</v>
      </c>
      <c r="K10" s="1">
        <f t="shared" si="3"/>
        <v>500</v>
      </c>
      <c r="N10" s="30" t="str">
        <f t="shared" si="4"/>
        <v>Stay in Business</v>
      </c>
      <c r="O10" s="30">
        <f t="shared" si="5"/>
        <v>766.99</v>
      </c>
      <c r="P10" s="31">
        <f>SUM($O$3:O10)/SUM($O$3:$O$22)</f>
        <v>0.94254540079297067</v>
      </c>
    </row>
    <row r="11" spans="1:16" x14ac:dyDescent="0.25">
      <c r="A11" s="7" t="str">
        <f>'Forecast Capex'!A15</f>
        <v>Cable Repair Trailer</v>
      </c>
      <c r="B11" s="7">
        <f>SUM('Forecast Capex'!D15:H15)</f>
        <v>26.4</v>
      </c>
      <c r="C11" s="12" t="str">
        <f>'Forecast Capex'!K15</f>
        <v>Transmission Assets</v>
      </c>
      <c r="D11" s="12" t="str">
        <f>'Forecast Capex'!N15</f>
        <v>Stay in Business</v>
      </c>
      <c r="F11" s="7" t="str">
        <f t="shared" si="0"/>
        <v>Cooling Tower Sound Enclosure Panel 
Replacement</v>
      </c>
      <c r="G11" s="7">
        <f t="shared" si="1"/>
        <v>770</v>
      </c>
      <c r="H11" s="7" t="str">
        <f t="shared" si="2"/>
        <v xml:space="preserve">Corrosion and Environmental Deterioration </v>
      </c>
      <c r="J11" s="64" t="str">
        <f>'Forecast Capex'!P15</f>
        <v xml:space="preserve"> Test Equipment</v>
      </c>
      <c r="K11" s="1">
        <f t="shared" si="3"/>
        <v>731.5</v>
      </c>
      <c r="N11" s="30" t="str">
        <f t="shared" si="4"/>
        <v>Essential Spares</v>
      </c>
      <c r="O11" s="30">
        <f t="shared" si="5"/>
        <v>737</v>
      </c>
      <c r="P11" s="31">
        <f>SUM($O$3:O11)/SUM($O$3:$O$22)</f>
        <v>0.96163210295594514</v>
      </c>
    </row>
    <row r="12" spans="1:16" x14ac:dyDescent="0.25">
      <c r="A12" s="7" t="str">
        <f>'Forecast Capex'!A16</f>
        <v>Cable replacement program</v>
      </c>
      <c r="B12" s="7">
        <f>SUM('Forecast Capex'!D16:H16)</f>
        <v>0</v>
      </c>
      <c r="C12" s="12" t="str">
        <f>'Forecast Capex'!K16</f>
        <v xml:space="preserve">Transmission lines </v>
      </c>
      <c r="D12" s="12" t="str">
        <f>'Forecast Capex'!N16</f>
        <v/>
      </c>
      <c r="F12" s="7" t="str">
        <f t="shared" si="0"/>
        <v xml:space="preserve">Cyber Security 
</v>
      </c>
      <c r="G12" s="7">
        <f t="shared" si="1"/>
        <v>550</v>
      </c>
      <c r="H12" s="7" t="str">
        <f t="shared" si="2"/>
        <v>Reliability</v>
      </c>
      <c r="J12" s="64" t="str">
        <f>'Forecast Capex'!P16</f>
        <v>Reliability</v>
      </c>
      <c r="K12" s="1">
        <f t="shared" si="3"/>
        <v>4150</v>
      </c>
      <c r="N12" s="30" t="str">
        <f t="shared" si="4"/>
        <v xml:space="preserve"> Test Equipment</v>
      </c>
      <c r="O12" s="30">
        <f t="shared" si="5"/>
        <v>731.5</v>
      </c>
      <c r="P12" s="31">
        <f>SUM($O$3:O12)/SUM($O$3:$O$22)</f>
        <v>0.9805763670430766</v>
      </c>
    </row>
    <row r="13" spans="1:16" x14ac:dyDescent="0.25">
      <c r="A13" s="7" t="str">
        <f>'Forecast Capex'!A17</f>
        <v>Cable Route Protection / Risk Mitigation</v>
      </c>
      <c r="B13" s="7">
        <f>SUM('Forecast Capex'!D17:H17)</f>
        <v>820</v>
      </c>
      <c r="C13" s="12" t="str">
        <f>'Forecast Capex'!K17</f>
        <v>Transmission Assets</v>
      </c>
      <c r="D13" s="12" t="str">
        <f>'Forecast Capex'!N17</f>
        <v>Cable Protection</v>
      </c>
      <c r="F13" s="7" t="str">
        <f t="shared" si="0"/>
        <v>Motor Operated Alternating Current (AC)Isolators and 
Earth Switch + Relocation of SC Isolator Switch and Locking</v>
      </c>
      <c r="G13" s="7">
        <f t="shared" si="1"/>
        <v>500</v>
      </c>
      <c r="H13" s="7" t="str">
        <f t="shared" si="2"/>
        <v>Stay in Business</v>
      </c>
      <c r="J13" s="64" t="str">
        <f>'Forecast Capex'!P17</f>
        <v>Stay in Business</v>
      </c>
      <c r="K13" s="1">
        <f t="shared" si="3"/>
        <v>766.99</v>
      </c>
      <c r="N13" s="30" t="str">
        <f t="shared" si="4"/>
        <v>Noise Control Improvements</v>
      </c>
      <c r="O13" s="30">
        <f t="shared" si="5"/>
        <v>500</v>
      </c>
      <c r="P13" s="31">
        <f>SUM($O$3:O13)/SUM($O$3:$O$22)</f>
        <v>0.99352528302881238</v>
      </c>
    </row>
    <row r="14" spans="1:16" x14ac:dyDescent="0.25">
      <c r="A14" s="7" t="str">
        <f>'Forecast Capex'!A18</f>
        <v>Cable transition fault investigion</v>
      </c>
      <c r="B14" s="7">
        <f>SUM('Forecast Capex'!D18:H18)</f>
        <v>0</v>
      </c>
      <c r="C14" s="12" t="str">
        <f>'Forecast Capex'!K18</f>
        <v xml:space="preserve">Transmission lines </v>
      </c>
      <c r="D14" s="12" t="str">
        <f>'Forecast Capex'!N18</f>
        <v/>
      </c>
      <c r="F14" s="7" t="str">
        <f t="shared" si="0"/>
        <v>Motor Operated Alternating Current (AC)Isolators and 
Earth Switch + Relocation of SC Isolator Switch and Locking</v>
      </c>
      <c r="G14" s="7">
        <f t="shared" si="1"/>
        <v>500</v>
      </c>
      <c r="H14" s="7" t="str">
        <f t="shared" si="2"/>
        <v>Stay in Business</v>
      </c>
      <c r="J14" s="64" t="str">
        <f>'Forecast Capex'!P18</f>
        <v>Regulatory</v>
      </c>
      <c r="K14" s="1">
        <f t="shared" si="3"/>
        <v>250.01</v>
      </c>
      <c r="N14" s="30" t="str">
        <f t="shared" si="4"/>
        <v>Regulatory</v>
      </c>
      <c r="O14" s="30">
        <f t="shared" si="5"/>
        <v>250.01</v>
      </c>
      <c r="P14" s="31">
        <f>SUM($O$3:O14)/SUM($O$3:$O$22)</f>
        <v>1</v>
      </c>
    </row>
    <row r="15" spans="1:16" x14ac:dyDescent="0.25">
      <c r="A15" s="7" t="str">
        <f>'Forecast Capex'!A19</f>
        <v xml:space="preserve">Capacitors </v>
      </c>
      <c r="B15" s="7">
        <f>SUM('Forecast Capex'!D19:H19)</f>
        <v>385</v>
      </c>
      <c r="C15" s="12" t="str">
        <f>'Forecast Capex'!K19</f>
        <v>Transmission Assets</v>
      </c>
      <c r="D15" s="18" t="str">
        <f>'Forecast Capex'!N19</f>
        <v>Essential Spares</v>
      </c>
      <c r="F15" s="7" t="str">
        <f t="shared" si="0"/>
        <v>Capacity Voltage Transmission (CVT) 
Replacement</v>
      </c>
      <c r="G15" s="7">
        <f t="shared" si="1"/>
        <v>407</v>
      </c>
      <c r="H15" s="7" t="str">
        <f t="shared" si="2"/>
        <v xml:space="preserve">Corrosion and Environmental Deterioration </v>
      </c>
      <c r="J15" s="64" t="str">
        <f>'Forecast Capex'!P19</f>
        <v>Reclamation and Restoration</v>
      </c>
      <c r="K15" s="1">
        <f t="shared" si="3"/>
        <v>1992.2708367858138</v>
      </c>
      <c r="N15" s="8" t="str">
        <f t="shared" si="4"/>
        <v/>
      </c>
      <c r="O15" s="8">
        <f t="shared" si="5"/>
        <v>0</v>
      </c>
      <c r="P15" s="31">
        <f>SUM($O$3:O15)/SUM($O$3:$O$22)</f>
        <v>1</v>
      </c>
    </row>
    <row r="16" spans="1:16" x14ac:dyDescent="0.25">
      <c r="A16" s="7" t="str">
        <f>'Forecast Capex'!A20</f>
        <v>Capacity Voltage Transmission (CVT) 
Replacement</v>
      </c>
      <c r="B16" s="7">
        <f>SUM('Forecast Capex'!D20:H20)</f>
        <v>407</v>
      </c>
      <c r="C16" s="12" t="str">
        <f>'Forecast Capex'!K20</f>
        <v>Transmission Assets</v>
      </c>
      <c r="D16" s="18" t="str">
        <f>'Forecast Capex'!N20</f>
        <v xml:space="preserve">Corrosion and Environmental Deterioration </v>
      </c>
      <c r="F16" s="7" t="str">
        <f t="shared" si="0"/>
        <v xml:space="preserve">Capacitors </v>
      </c>
      <c r="G16" s="7">
        <f t="shared" si="1"/>
        <v>385</v>
      </c>
      <c r="H16" s="7" t="str">
        <f t="shared" si="2"/>
        <v>Essential Spares</v>
      </c>
      <c r="J16" s="64" t="e">
        <f>'Forecast Capex'!P20</f>
        <v>#N/A</v>
      </c>
      <c r="K16" s="1">
        <f t="shared" si="3"/>
        <v>0</v>
      </c>
      <c r="N16" s="8" t="str">
        <f t="shared" si="4"/>
        <v/>
      </c>
      <c r="O16" s="8">
        <f t="shared" si="5"/>
        <v>0</v>
      </c>
      <c r="P16" s="31">
        <f>SUM($O$3:O16)/SUM($O$3:$O$22)</f>
        <v>1</v>
      </c>
    </row>
    <row r="17" spans="1:16" x14ac:dyDescent="0.25">
      <c r="A17" s="7" t="str">
        <f>'Forecast Capex'!A21</f>
        <v>Capex replacement contract</v>
      </c>
      <c r="B17" s="7">
        <f>SUM('Forecast Capex'!D21:H21)</f>
        <v>16500.000000000004</v>
      </c>
      <c r="C17" s="12" t="str">
        <f>'Forecast Capex'!K21</f>
        <v>Transmission Assets</v>
      </c>
      <c r="D17" s="18" t="str">
        <f>'Forecast Capex'!N21</f>
        <v>Obsolete IGBTs</v>
      </c>
      <c r="F17" s="7" t="str">
        <f t="shared" si="0"/>
        <v>IGBT Spares -  Mullumbimby 1 Gen 3</v>
      </c>
      <c r="G17" s="7">
        <f t="shared" si="1"/>
        <v>352</v>
      </c>
      <c r="H17" s="7" t="str">
        <f t="shared" si="2"/>
        <v>Essential Spares</v>
      </c>
      <c r="J17" s="18" t="e">
        <f>'Forecast Capex'!P21</f>
        <v>#N/A</v>
      </c>
      <c r="K17" s="1">
        <f t="shared" si="3"/>
        <v>0</v>
      </c>
      <c r="N17" s="27" t="str">
        <f t="shared" si="4"/>
        <v/>
      </c>
      <c r="O17" s="1">
        <f t="shared" si="5"/>
        <v>0</v>
      </c>
      <c r="P17" s="26">
        <f>SUM($O$3:O17)/SUM($O$3:$O$22)</f>
        <v>1</v>
      </c>
    </row>
    <row r="18" spans="1:16" x14ac:dyDescent="0.25">
      <c r="A18" s="7" t="str">
        <f>'Forecast Capex'!A22</f>
        <v>Circuit Breaker Pole Repair and Refurbishment</v>
      </c>
      <c r="B18" s="7">
        <f>SUM('Forecast Capex'!D22:H22)</f>
        <v>275</v>
      </c>
      <c r="C18" s="12" t="str">
        <f>'Forecast Capex'!K22</f>
        <v>Transmission Assets</v>
      </c>
      <c r="D18" s="18" t="str">
        <f>'Forecast Capex'!N22</f>
        <v xml:space="preserve">Corrosion and Environmental Deterioration </v>
      </c>
      <c r="F18" s="7" t="str">
        <f t="shared" si="0"/>
        <v>Hi Pot Tester / Thumper Replacement inc thumper trailor</v>
      </c>
      <c r="G18" s="7">
        <f t="shared" si="1"/>
        <v>330</v>
      </c>
      <c r="H18" s="7" t="str">
        <f t="shared" si="2"/>
        <v xml:space="preserve"> Test Equipment</v>
      </c>
      <c r="J18" s="18" t="e">
        <f>'Forecast Capex'!P22</f>
        <v>#N/A</v>
      </c>
      <c r="K18" s="1">
        <f t="shared" si="3"/>
        <v>0</v>
      </c>
      <c r="N18" s="27" t="str">
        <f t="shared" si="4"/>
        <v/>
      </c>
      <c r="O18" s="1">
        <f t="shared" si="5"/>
        <v>0</v>
      </c>
      <c r="P18" s="26">
        <f>SUM($O$3:O18)/SUM($O$3:$O$22)</f>
        <v>1</v>
      </c>
    </row>
    <row r="19" spans="1:16" x14ac:dyDescent="0.25">
      <c r="A19" s="7" t="str">
        <f>'Forecast Capex'!A23</f>
        <v>Contingent cable repairs / relocation</v>
      </c>
      <c r="B19" s="7">
        <f>SUM('Forecast Capex'!D23:H23)</f>
        <v>0</v>
      </c>
      <c r="C19" s="12" t="str">
        <f>'Forecast Capex'!K23</f>
        <v xml:space="preserve">Transmission lines </v>
      </c>
      <c r="D19" s="18" t="str">
        <f>'Forecast Capex'!N23</f>
        <v/>
      </c>
      <c r="F19" s="7" t="str">
        <f t="shared" si="0"/>
        <v>Hi Pot Tester / Thumper Replacement inc thumper trailor</v>
      </c>
      <c r="G19" s="7">
        <f t="shared" si="1"/>
        <v>330</v>
      </c>
      <c r="H19" s="7" t="str">
        <f t="shared" si="2"/>
        <v xml:space="preserve"> Test Equipment</v>
      </c>
      <c r="J19" s="18">
        <f>'Forecast Capex'!P23</f>
        <v>0</v>
      </c>
      <c r="K19" s="1">
        <f t="shared" si="3"/>
        <v>0</v>
      </c>
      <c r="N19" s="27" t="str">
        <f t="shared" si="4"/>
        <v/>
      </c>
      <c r="O19" s="1">
        <f t="shared" si="5"/>
        <v>0</v>
      </c>
      <c r="P19" s="26">
        <f>SUM($O$3:O19)/SUM($O$3:$O$22)</f>
        <v>1</v>
      </c>
    </row>
    <row r="20" spans="1:16" x14ac:dyDescent="0.25">
      <c r="A20" s="7" t="str">
        <f>'Forecast Capex'!A24</f>
        <v>Control and protection system upgrade</v>
      </c>
      <c r="B20" s="7">
        <f>SUM('Forecast Capex'!D24:H24)</f>
        <v>0</v>
      </c>
      <c r="C20" s="12" t="str">
        <f>'Forecast Capex'!K24</f>
        <v>Converter Stations</v>
      </c>
      <c r="D20" s="18" t="str">
        <f>'Forecast Capex'!N24</f>
        <v/>
      </c>
      <c r="F20" s="7" t="str">
        <f t="shared" si="0"/>
        <v>Circuit Breaker Pole Repair and Refurbishment</v>
      </c>
      <c r="G20" s="7">
        <f t="shared" si="1"/>
        <v>275</v>
      </c>
      <c r="H20" s="7" t="str">
        <f t="shared" si="2"/>
        <v xml:space="preserve">Corrosion and Environmental Deterioration </v>
      </c>
      <c r="J20" s="18">
        <f>'Forecast Capex'!P24</f>
        <v>0</v>
      </c>
      <c r="K20" s="1">
        <f t="shared" si="3"/>
        <v>0</v>
      </c>
      <c r="N20" s="27" t="str">
        <f t="shared" si="4"/>
        <v/>
      </c>
      <c r="O20" s="1">
        <f t="shared" si="5"/>
        <v>0</v>
      </c>
      <c r="P20" s="26">
        <f>SUM($O$3:O20)/SUM($O$3:$O$22)</f>
        <v>1</v>
      </c>
    </row>
    <row r="21" spans="1:16" x14ac:dyDescent="0.25">
      <c r="A21" s="7" t="str">
        <f>'Forecast Capex'!A25</f>
        <v>Control Room Air Conditioning Reliability</v>
      </c>
      <c r="B21" s="7">
        <f>SUM('Forecast Capex'!D25:H25)</f>
        <v>0</v>
      </c>
      <c r="C21" s="12" t="str">
        <f>'Forecast Capex'!K25</f>
        <v>Transmission Assets</v>
      </c>
      <c r="D21" s="18" t="str">
        <f>'Forecast Capex'!N25</f>
        <v/>
      </c>
      <c r="F21" s="7" t="str">
        <f t="shared" si="0"/>
        <v>Regulatory Reset (including forecast stakeholder engagement)</v>
      </c>
      <c r="G21" s="7">
        <f t="shared" si="1"/>
        <v>250.01</v>
      </c>
      <c r="H21" s="7" t="str">
        <f t="shared" si="2"/>
        <v>Regulatory</v>
      </c>
      <c r="J21" s="18">
        <f>'Forecast Capex'!P25</f>
        <v>0</v>
      </c>
      <c r="K21" s="1">
        <f t="shared" si="3"/>
        <v>0</v>
      </c>
      <c r="N21" s="18" t="str">
        <f t="shared" si="4"/>
        <v/>
      </c>
      <c r="O21" s="1">
        <f t="shared" si="5"/>
        <v>0</v>
      </c>
      <c r="P21" s="26">
        <f>SUM($O$3:O21)/SUM($O$3:$O$22)</f>
        <v>1</v>
      </c>
    </row>
    <row r="22" spans="1:16" x14ac:dyDescent="0.25">
      <c r="A22" s="7" t="str">
        <f>'Forecast Capex'!A26</f>
        <v>Cooling Tower Sound Enclosure Panel 
Replacement</v>
      </c>
      <c r="B22" s="7">
        <f>SUM('Forecast Capex'!D26:H26)</f>
        <v>770</v>
      </c>
      <c r="C22" s="12" t="str">
        <f>'Forecast Capex'!K26</f>
        <v>Transmission Assets</v>
      </c>
      <c r="D22" s="18" t="str">
        <f>'Forecast Capex'!N26</f>
        <v xml:space="preserve">Corrosion and Environmental Deterioration </v>
      </c>
      <c r="F22" s="7" t="str">
        <f t="shared" si="0"/>
        <v>Annual Spraying for Corrosion</v>
      </c>
      <c r="G22" s="7">
        <f t="shared" si="1"/>
        <v>220</v>
      </c>
      <c r="H22" s="7" t="str">
        <f t="shared" si="2"/>
        <v xml:space="preserve">Corrosion and Environmental Deterioration </v>
      </c>
      <c r="N22" s="18"/>
      <c r="O22" s="1"/>
      <c r="P22" s="26"/>
    </row>
    <row r="23" spans="1:16" x14ac:dyDescent="0.25">
      <c r="A23" s="7" t="str">
        <f>'Forecast Capex'!A27</f>
        <v>Cooling tower sound enclosure panel replacement</v>
      </c>
      <c r="B23" s="7">
        <f>SUM('Forecast Capex'!D27:H27)</f>
        <v>0</v>
      </c>
      <c r="C23" s="12" t="str">
        <f>'Forecast Capex'!K27</f>
        <v>Converter Stations</v>
      </c>
      <c r="D23" s="12" t="str">
        <f>'Forecast Capex'!N27</f>
        <v/>
      </c>
      <c r="F23" s="7" t="str">
        <f t="shared" si="0"/>
        <v>Annual Spraying for Corrosion</v>
      </c>
      <c r="G23" s="7">
        <f t="shared" si="1"/>
        <v>220</v>
      </c>
      <c r="H23" s="7" t="str">
        <f t="shared" si="2"/>
        <v xml:space="preserve">Corrosion and Environmental Deterioration </v>
      </c>
    </row>
    <row r="24" spans="1:16" x14ac:dyDescent="0.25">
      <c r="A24" s="7" t="str">
        <f>'Forecast Capex'!A28</f>
        <v xml:space="preserve">Cyber Security 
</v>
      </c>
      <c r="B24" s="7">
        <f>SUM('Forecast Capex'!D28:H28)</f>
        <v>550</v>
      </c>
      <c r="C24" s="12" t="str">
        <f>'Forecast Capex'!K28</f>
        <v>Transmission Assets</v>
      </c>
      <c r="D24" s="12" t="str">
        <f>'Forecast Capex'!N28</f>
        <v>Reliability</v>
      </c>
      <c r="F24" s="7" t="str">
        <f t="shared" si="0"/>
        <v>Annual Spraying for Corrosion</v>
      </c>
      <c r="G24" s="7">
        <f t="shared" si="1"/>
        <v>220</v>
      </c>
      <c r="H24" s="7" t="str">
        <f t="shared" si="2"/>
        <v xml:space="preserve">Corrosion and Environmental Deterioration </v>
      </c>
    </row>
    <row r="25" spans="1:16" x14ac:dyDescent="0.25">
      <c r="A25" s="7" t="str">
        <f>'Forecast Capex'!A29</f>
        <v>Direct Current (DC) Isolator and Earth Switch Locking 
Relocation</v>
      </c>
      <c r="B25" s="7">
        <f>SUM('Forecast Capex'!D29:H29)</f>
        <v>0</v>
      </c>
      <c r="C25" s="12" t="str">
        <f>'Forecast Capex'!K29</f>
        <v>Transmission Assets</v>
      </c>
      <c r="D25" s="12" t="str">
        <f>'Forecast Capex'!N29</f>
        <v/>
      </c>
      <c r="F25" s="7" t="str">
        <f t="shared" si="0"/>
        <v>Barn Sound Damp Vent Inlet Replacement</v>
      </c>
      <c r="G25" s="7">
        <f t="shared" si="1"/>
        <v>198</v>
      </c>
      <c r="H25" s="7" t="str">
        <f t="shared" si="2"/>
        <v xml:space="preserve">Corrosion and Environmental Deterioration </v>
      </c>
    </row>
    <row r="26" spans="1:16" x14ac:dyDescent="0.25">
      <c r="A26" s="7" t="str">
        <f>'Forecast Capex'!A30</f>
        <v>Directlink Land Slip</v>
      </c>
      <c r="B26" s="7">
        <f>SUM('Forecast Capex'!D30:H30)</f>
        <v>0</v>
      </c>
      <c r="C26" s="12" t="str">
        <f>'Forecast Capex'!K30</f>
        <v xml:space="preserve">Transmission lines </v>
      </c>
      <c r="D26" s="12" t="str">
        <f>'Forecast Capex'!N30</f>
        <v/>
      </c>
      <c r="F26" s="7" t="str">
        <f t="shared" si="0"/>
        <v>Barn Door Replacement</v>
      </c>
      <c r="G26" s="7">
        <f t="shared" si="1"/>
        <v>176</v>
      </c>
      <c r="H26" s="7" t="str">
        <f t="shared" si="2"/>
        <v xml:space="preserve">Corrosion and Environmental Deterioration </v>
      </c>
    </row>
    <row r="27" spans="1:16" x14ac:dyDescent="0.25">
      <c r="A27" s="7" t="str">
        <f>'Forecast Capex'!A31</f>
        <v xml:space="preserve">Emergency lighting </v>
      </c>
      <c r="B27" s="7">
        <f>SUM('Forecast Capex'!D31:H31)</f>
        <v>0</v>
      </c>
      <c r="C27" s="12" t="str">
        <f>'Forecast Capex'!K31</f>
        <v>Converter Stations</v>
      </c>
      <c r="D27" s="12" t="str">
        <f>'Forecast Capex'!N31</f>
        <v/>
      </c>
      <c r="F27" s="7" t="str">
        <f t="shared" si="0"/>
        <v>Site Cable Tray Installation &amp; Relocation of Cables</v>
      </c>
      <c r="G27" s="7">
        <f t="shared" si="1"/>
        <v>121</v>
      </c>
      <c r="H27" s="7" t="str">
        <f t="shared" si="2"/>
        <v xml:space="preserve">Corrosion and Environmental Deterioration </v>
      </c>
    </row>
    <row r="28" spans="1:16" x14ac:dyDescent="0.25">
      <c r="A28" s="7" t="str">
        <f>'Forecast Capex'!A32</f>
        <v xml:space="preserve">Essential Tools </v>
      </c>
      <c r="B28" s="7">
        <f>SUM('Forecast Capex'!D32:H32)</f>
        <v>28.27</v>
      </c>
      <c r="C28" s="12" t="str">
        <f>'Forecast Capex'!K32</f>
        <v>Transmission Assets</v>
      </c>
      <c r="D28" s="12" t="str">
        <f>'Forecast Capex'!N32</f>
        <v>Stay in Business</v>
      </c>
      <c r="F28" s="7" t="str">
        <f t="shared" si="0"/>
        <v>Phase Reactor Silencer Replacement</v>
      </c>
      <c r="G28" s="7">
        <f t="shared" si="1"/>
        <v>110</v>
      </c>
      <c r="H28" s="7" t="str">
        <f t="shared" si="2"/>
        <v xml:space="preserve">Corrosion and Environmental Deterioration </v>
      </c>
    </row>
    <row r="29" spans="1:16" x14ac:dyDescent="0.25">
      <c r="A29" s="7" t="str">
        <f>'Forecast Capex'!A33</f>
        <v>Fan control relay replacement</v>
      </c>
      <c r="B29" s="7">
        <f>SUM('Forecast Capex'!D33:H33)</f>
        <v>0</v>
      </c>
      <c r="C29" s="12" t="str">
        <f>'Forecast Capex'!K33</f>
        <v>Converter Stations</v>
      </c>
      <c r="D29" s="12" t="str">
        <f>'Forecast Capex'!N33</f>
        <v/>
      </c>
      <c r="F29" s="7" t="str">
        <f t="shared" si="0"/>
        <v>Phase Reactor Silencer Replacement</v>
      </c>
      <c r="G29" s="7">
        <f t="shared" si="1"/>
        <v>110</v>
      </c>
      <c r="H29" s="7" t="str">
        <f t="shared" si="2"/>
        <v xml:space="preserve">Corrosion and Environmental Deterioration </v>
      </c>
    </row>
    <row r="30" spans="1:16" x14ac:dyDescent="0.25">
      <c r="A30" s="7" t="str">
        <f>'Forecast Capex'!A34</f>
        <v xml:space="preserve">Fibres/Lightguides (PROMS) System 2 + 3 </v>
      </c>
      <c r="B30" s="7">
        <f>SUM('Forecast Capex'!D34:H34)</f>
        <v>3630</v>
      </c>
      <c r="C30" s="12" t="str">
        <f>'Forecast Capex'!K34</f>
        <v>Transmission Assets</v>
      </c>
      <c r="D30" s="12" t="str">
        <f>'Forecast Capex'!N34</f>
        <v>Fibres and Lightguides</v>
      </c>
      <c r="F30" s="7" t="str">
        <f t="shared" si="0"/>
        <v>IGBT Tester for older style IGBT's</v>
      </c>
      <c r="G30" s="7">
        <f t="shared" si="1"/>
        <v>71.5</v>
      </c>
      <c r="H30" s="7" t="str">
        <f t="shared" si="2"/>
        <v xml:space="preserve"> Test Equipment</v>
      </c>
    </row>
    <row r="31" spans="1:16" x14ac:dyDescent="0.25">
      <c r="A31" s="7" t="str">
        <f>'Forecast Capex'!A35</f>
        <v xml:space="preserve">Fire System Equipment Protection </v>
      </c>
      <c r="B31" s="7">
        <f>SUM('Forecast Capex'!D35:H35)</f>
        <v>38.5</v>
      </c>
      <c r="C31" s="12" t="str">
        <f>'Forecast Capex'!K35</f>
        <v>Transmission Assets</v>
      </c>
      <c r="D31" s="12" t="str">
        <f>'Forecast Capex'!N35</f>
        <v xml:space="preserve">Corrosion and Environmental Deterioration </v>
      </c>
      <c r="F31" s="7" t="str">
        <f t="shared" si="0"/>
        <v xml:space="preserve">Fire System Equipment Protection </v>
      </c>
      <c r="G31" s="7">
        <f t="shared" si="1"/>
        <v>38.5</v>
      </c>
      <c r="H31" s="7" t="str">
        <f t="shared" si="2"/>
        <v xml:space="preserve">Corrosion and Environmental Deterioration </v>
      </c>
    </row>
    <row r="32" spans="1:16" x14ac:dyDescent="0.25">
      <c r="A32" s="7" t="str">
        <f>'Forecast Capex'!A36</f>
        <v>Hi Pot Tester / Thumper Replacement inc thumper trailor</v>
      </c>
      <c r="B32" s="7">
        <f>SUM('Forecast Capex'!D36:H36)</f>
        <v>330</v>
      </c>
      <c r="C32" s="12" t="str">
        <f>'Forecast Capex'!K36</f>
        <v>Transmission Assets</v>
      </c>
      <c r="D32" s="12" t="str">
        <f>'Forecast Capex'!N36</f>
        <v xml:space="preserve"> Test Equipment</v>
      </c>
      <c r="F32" s="7" t="str">
        <f t="shared" si="0"/>
        <v>PLC Yard (Switchyard) - Concreting Bungalora</v>
      </c>
      <c r="G32" s="7">
        <f t="shared" si="1"/>
        <v>35</v>
      </c>
      <c r="H32" s="7" t="str">
        <f t="shared" si="2"/>
        <v>Stay in Business</v>
      </c>
    </row>
    <row r="33" spans="1:8" x14ac:dyDescent="0.25">
      <c r="A33" s="7" t="str">
        <f>'Forecast Capex'!A37</f>
        <v>HV Cable Cutter/Earthing Spike</v>
      </c>
      <c r="B33" s="7">
        <f>SUM('Forecast Capex'!D37:H37)</f>
        <v>14.3</v>
      </c>
      <c r="C33" s="12" t="str">
        <f>'Forecast Capex'!K37</f>
        <v>Transmission Assets</v>
      </c>
      <c r="D33" s="12" t="str">
        <f>'Forecast Capex'!N37</f>
        <v>Stay in Business</v>
      </c>
      <c r="F33" s="7" t="str">
        <f t="shared" si="0"/>
        <v xml:space="preserve">Essential Tools </v>
      </c>
      <c r="G33" s="7">
        <f t="shared" si="1"/>
        <v>28.27</v>
      </c>
      <c r="H33" s="7" t="str">
        <f t="shared" si="2"/>
        <v>Stay in Business</v>
      </c>
    </row>
    <row r="34" spans="1:8" x14ac:dyDescent="0.25">
      <c r="A34" s="7" t="str">
        <f>'Forecast Capex'!A38</f>
        <v>IGBT Spares -  Mullumbimby 1 Gen 3</v>
      </c>
      <c r="B34" s="7">
        <f>SUM('Forecast Capex'!D38:H38)</f>
        <v>352</v>
      </c>
      <c r="C34" s="12" t="str">
        <f>'Forecast Capex'!K38</f>
        <v>Transmission Assets</v>
      </c>
      <c r="D34" s="12" t="str">
        <f>'Forecast Capex'!N38</f>
        <v>Essential Spares</v>
      </c>
      <c r="F34" s="7" t="str">
        <f t="shared" si="0"/>
        <v>Cable Repair Trailer</v>
      </c>
      <c r="G34" s="7">
        <f t="shared" si="1"/>
        <v>26.4</v>
      </c>
      <c r="H34" s="7" t="str">
        <f t="shared" si="2"/>
        <v>Stay in Business</v>
      </c>
    </row>
    <row r="35" spans="1:8" x14ac:dyDescent="0.25">
      <c r="A35" s="7" t="str">
        <f>'Forecast Capex'!A39</f>
        <v>IGBT Tester for older style IGBT's</v>
      </c>
      <c r="B35" s="7">
        <f>SUM('Forecast Capex'!D39:H39)</f>
        <v>71.5</v>
      </c>
      <c r="C35" s="12" t="str">
        <f>'Forecast Capex'!K39</f>
        <v>Transmission Assets</v>
      </c>
      <c r="D35" s="12" t="str">
        <f>'Forecast Capex'!N39</f>
        <v xml:space="preserve"> Test Equipment</v>
      </c>
      <c r="F35" s="7" t="str">
        <f t="shared" ref="F35:F66" si="6">IF(G35=0,"",INDEX($A$3:$A$99,MATCH($G35,$B$3:$B$99,0),0))</f>
        <v>SF6 Gas Handling Gear</v>
      </c>
      <c r="G35" s="7">
        <f t="shared" ref="G35:G69" si="7">LARGE($B$3:$B$99,ROW()-2)</f>
        <v>24.2</v>
      </c>
      <c r="H35" s="7" t="str">
        <f t="shared" ref="H35:H69" si="8">INDEX($D$3:$D$73,MATCH(F35,$A$3:$A$75,0),0)</f>
        <v>Stay in Business</v>
      </c>
    </row>
    <row r="36" spans="1:8" x14ac:dyDescent="0.25">
      <c r="A36" s="7" t="str">
        <f>'Forecast Capex'!A40</f>
        <v xml:space="preserve">IGBTS Spares - Current Program Gen 1 </v>
      </c>
      <c r="B36" s="7">
        <f>SUM('Forecast Capex'!D40:H40)</f>
        <v>0</v>
      </c>
      <c r="C36" s="12" t="str">
        <f>'Forecast Capex'!K40</f>
        <v>Transmission Assets</v>
      </c>
      <c r="D36" s="12" t="str">
        <f>'Forecast Capex'!N40</f>
        <v/>
      </c>
      <c r="F36" s="7" t="str">
        <f t="shared" si="6"/>
        <v xml:space="preserve">Security Camera / Survelliance </v>
      </c>
      <c r="G36" s="7">
        <f t="shared" si="7"/>
        <v>22</v>
      </c>
      <c r="H36" s="7" t="str">
        <f t="shared" si="8"/>
        <v>Stay in Business</v>
      </c>
    </row>
    <row r="37" spans="1:8" x14ac:dyDescent="0.25">
      <c r="A37" s="7" t="str">
        <f>'Forecast Capex'!A41</f>
        <v>Low Noise Fans for Cooling Towers - Mullumbimby</v>
      </c>
      <c r="B37" s="7">
        <f>SUM('Forecast Capex'!D41:H41)</f>
        <v>0</v>
      </c>
      <c r="C37" s="12" t="str">
        <f>'Forecast Capex'!K41</f>
        <v>Transmission Assets</v>
      </c>
      <c r="D37" s="12" t="str">
        <f>'Forecast Capex'!N41</f>
        <v/>
      </c>
      <c r="F37" s="7" t="str">
        <f t="shared" si="6"/>
        <v>HV Cable Cutter/Earthing Spike</v>
      </c>
      <c r="G37" s="7">
        <f t="shared" si="7"/>
        <v>14.3</v>
      </c>
      <c r="H37" s="7" t="str">
        <f t="shared" si="8"/>
        <v>Stay in Business</v>
      </c>
    </row>
    <row r="38" spans="1:8" x14ac:dyDescent="0.25">
      <c r="A38" s="7" t="str">
        <f>'Forecast Capex'!A42</f>
        <v>Motor Operated Alternating Current (AC)Isolators and 
Earth Switch + Relocation of SC Isolator Switch and Locking</v>
      </c>
      <c r="B38" s="7">
        <f>SUM('Forecast Capex'!D42:H42)</f>
        <v>500</v>
      </c>
      <c r="C38" s="12" t="str">
        <f>'Forecast Capex'!K42</f>
        <v>Transmission Assets</v>
      </c>
      <c r="D38" s="12" t="str">
        <f>'Forecast Capex'!N42</f>
        <v>Stay in Business</v>
      </c>
      <c r="F38" s="7" t="str">
        <f t="shared" si="6"/>
        <v>Repair Tents</v>
      </c>
      <c r="G38" s="7">
        <f t="shared" si="7"/>
        <v>3.52</v>
      </c>
      <c r="H38" s="7" t="str">
        <f t="shared" si="8"/>
        <v>Stay in Business</v>
      </c>
    </row>
    <row r="39" spans="1:8" x14ac:dyDescent="0.25">
      <c r="A39" s="7" t="str">
        <f>'Forecast Capex'!A43</f>
        <v>Noise Monitoring Equipment</v>
      </c>
      <c r="B39" s="7">
        <f>SUM('Forecast Capex'!D43:H43)</f>
        <v>500</v>
      </c>
      <c r="C39" s="12" t="str">
        <f>'Forecast Capex'!K43</f>
        <v>Transmission Assets</v>
      </c>
      <c r="D39" s="12" t="str">
        <f>'Forecast Capex'!N43</f>
        <v>Noise Control Improvements</v>
      </c>
      <c r="F39" s="7" t="str">
        <f t="shared" si="6"/>
        <v>Cable Handling Equipment (Stands, Winches)</v>
      </c>
      <c r="G39" s="7">
        <f t="shared" si="7"/>
        <v>3.3</v>
      </c>
      <c r="H39" s="7" t="str">
        <f t="shared" si="8"/>
        <v>Stay in Business</v>
      </c>
    </row>
    <row r="40" spans="1:8" x14ac:dyDescent="0.25">
      <c r="A40" s="7" t="str">
        <f>'Forecast Capex'!A44</f>
        <v>Phase Reactor Cooling Upgrade</v>
      </c>
      <c r="B40" s="7">
        <f>SUM('Forecast Capex'!D44:H44)</f>
        <v>0</v>
      </c>
      <c r="C40" s="12" t="str">
        <f>'Forecast Capex'!K44</f>
        <v>Transmission Assets</v>
      </c>
      <c r="D40" s="12" t="str">
        <f>'Forecast Capex'!N44</f>
        <v/>
      </c>
      <c r="F40" s="7" t="str">
        <f t="shared" si="6"/>
        <v/>
      </c>
      <c r="G40" s="7">
        <f t="shared" si="7"/>
        <v>0</v>
      </c>
      <c r="H40" s="7" t="str">
        <f t="shared" si="8"/>
        <v/>
      </c>
    </row>
    <row r="41" spans="1:8" x14ac:dyDescent="0.25">
      <c r="A41" s="7" t="str">
        <f>'Forecast Capex'!A45</f>
        <v>Phase Reactor Silencer Replacement</v>
      </c>
      <c r="B41" s="7">
        <f>SUM('Forecast Capex'!D45:H45)</f>
        <v>110</v>
      </c>
      <c r="C41" s="12" t="str">
        <f>'Forecast Capex'!K45</f>
        <v>Transmission Assets</v>
      </c>
      <c r="D41" s="12" t="str">
        <f>'Forecast Capex'!N45</f>
        <v xml:space="preserve">Corrosion and Environmental Deterioration </v>
      </c>
      <c r="F41" s="7" t="str">
        <f t="shared" si="6"/>
        <v/>
      </c>
      <c r="G41" s="7">
        <f t="shared" si="7"/>
        <v>0</v>
      </c>
      <c r="H41" s="7" t="str">
        <f t="shared" si="8"/>
        <v/>
      </c>
    </row>
    <row r="42" spans="1:8" x14ac:dyDescent="0.25">
      <c r="A42" s="7" t="str">
        <f>'Forecast Capex'!A46</f>
        <v>PLC Yard (Switchyard) - Concreting Bungalora</v>
      </c>
      <c r="B42" s="7">
        <f>SUM('Forecast Capex'!D46:H46)</f>
        <v>35</v>
      </c>
      <c r="C42" s="12" t="str">
        <f>'Forecast Capex'!K46</f>
        <v>Transmission Assets</v>
      </c>
      <c r="D42" s="12" t="str">
        <f>'Forecast Capex'!N46</f>
        <v>Stay in Business</v>
      </c>
      <c r="F42" s="7" t="str">
        <f t="shared" si="6"/>
        <v/>
      </c>
      <c r="G42" s="7">
        <f t="shared" si="7"/>
        <v>0</v>
      </c>
      <c r="H42" s="7" t="str">
        <f t="shared" si="8"/>
        <v/>
      </c>
    </row>
    <row r="43" spans="1:8" x14ac:dyDescent="0.25">
      <c r="A43" s="7" t="str">
        <f>'Forecast Capex'!A47</f>
        <v xml:space="preserve">Power Quality Metering </v>
      </c>
      <c r="B43" s="7">
        <f>SUM('Forecast Capex'!D47:H47)</f>
        <v>330</v>
      </c>
      <c r="C43" s="12" t="str">
        <f>'Forecast Capex'!K47</f>
        <v>Transmission Assets</v>
      </c>
      <c r="D43" s="12" t="str">
        <f>'Forecast Capex'!N47</f>
        <v xml:space="preserve"> Test Equipment</v>
      </c>
      <c r="F43" s="7" t="str">
        <f t="shared" si="6"/>
        <v/>
      </c>
      <c r="G43" s="7">
        <f t="shared" si="7"/>
        <v>0</v>
      </c>
      <c r="H43" s="7" t="str">
        <f t="shared" si="8"/>
        <v/>
      </c>
    </row>
    <row r="44" spans="1:8" x14ac:dyDescent="0.25">
      <c r="A44" s="7" t="str">
        <f>'Forecast Capex'!A48</f>
        <v>Power Supply Upgrade</v>
      </c>
      <c r="B44" s="7">
        <f>SUM('Forecast Capex'!D48:H48)</f>
        <v>800</v>
      </c>
      <c r="C44" s="12" t="str">
        <f>'Forecast Capex'!K48</f>
        <v>Transmission Assets</v>
      </c>
      <c r="D44" s="12" t="str">
        <f>'Forecast Capex'!N48</f>
        <v>Reliability</v>
      </c>
      <c r="F44" s="7" t="str">
        <f t="shared" si="6"/>
        <v/>
      </c>
      <c r="G44" s="7">
        <f t="shared" si="7"/>
        <v>0</v>
      </c>
      <c r="H44" s="7" t="str">
        <f t="shared" si="8"/>
        <v/>
      </c>
    </row>
    <row r="45" spans="1:8" x14ac:dyDescent="0.25">
      <c r="A45" s="7" t="str">
        <f>'Forecast Capex'!A49</f>
        <v>Proactive Relocation of Cable</v>
      </c>
      <c r="B45" s="7">
        <f>SUM('Forecast Capex'!D49:H49)</f>
        <v>0</v>
      </c>
      <c r="C45" s="12" t="str">
        <f>'Forecast Capex'!K49</f>
        <v>Transmission Assets</v>
      </c>
      <c r="D45" s="12" t="str">
        <f>'Forecast Capex'!N49</f>
        <v/>
      </c>
      <c r="F45" s="7" t="str">
        <f t="shared" si="6"/>
        <v/>
      </c>
      <c r="G45" s="7">
        <f t="shared" si="7"/>
        <v>0</v>
      </c>
      <c r="H45" s="7" t="str">
        <f t="shared" si="8"/>
        <v/>
      </c>
    </row>
    <row r="46" spans="1:8" x14ac:dyDescent="0.25">
      <c r="A46" s="7" t="str">
        <f>'Forecast Capex'!A50</f>
        <v>Refurbishment works</v>
      </c>
      <c r="B46" s="7">
        <f>SUM('Forecast Capex'!D50:H50)</f>
        <v>0</v>
      </c>
      <c r="C46" s="12" t="str">
        <f>'Forecast Capex'!K50</f>
        <v>Converter Stations</v>
      </c>
      <c r="D46" s="12" t="str">
        <f>'Forecast Capex'!N50</f>
        <v/>
      </c>
      <c r="F46" s="7" t="str">
        <f t="shared" si="6"/>
        <v/>
      </c>
      <c r="G46" s="7">
        <f t="shared" si="7"/>
        <v>0</v>
      </c>
      <c r="H46" s="7" t="str">
        <f t="shared" si="8"/>
        <v/>
      </c>
    </row>
    <row r="47" spans="1:8" x14ac:dyDescent="0.25">
      <c r="A47" s="7" t="str">
        <f>'Forecast Capex'!A51</f>
        <v>Regulatory Reset (including forecast stakeholder engagement)</v>
      </c>
      <c r="B47" s="34">
        <f>SUM('Forecast Capex'!D51:H51)+0.01</f>
        <v>250.01</v>
      </c>
      <c r="C47" s="12" t="str">
        <f>'Forecast Capex'!K51</f>
        <v>Transmission Assets</v>
      </c>
      <c r="D47" s="12" t="str">
        <f>'Forecast Capex'!N51</f>
        <v>Regulatory</v>
      </c>
      <c r="F47" s="7" t="str">
        <f t="shared" si="6"/>
        <v/>
      </c>
      <c r="G47" s="7">
        <f t="shared" si="7"/>
        <v>0</v>
      </c>
      <c r="H47" s="7" t="str">
        <f t="shared" si="8"/>
        <v/>
      </c>
    </row>
    <row r="48" spans="1:8" x14ac:dyDescent="0.25">
      <c r="A48" s="7" t="str">
        <f>'Forecast Capex'!A52</f>
        <v>Regulatory Reset (including stakeholder engagement)</v>
      </c>
      <c r="B48" s="7">
        <f>SUM('Forecast Capex'!D52:H52)</f>
        <v>0</v>
      </c>
      <c r="C48" s="12" t="str">
        <f>'Forecast Capex'!K52</f>
        <v xml:space="preserve">Transmission lines </v>
      </c>
      <c r="D48" s="12" t="str">
        <f>'Forecast Capex'!N52</f>
        <v/>
      </c>
      <c r="F48" s="7" t="str">
        <f t="shared" si="6"/>
        <v/>
      </c>
      <c r="G48" s="7">
        <f t="shared" si="7"/>
        <v>0</v>
      </c>
      <c r="H48" s="7" t="str">
        <f t="shared" si="8"/>
        <v/>
      </c>
    </row>
    <row r="49" spans="1:8" x14ac:dyDescent="0.25">
      <c r="A49" s="7" t="str">
        <f>'Forecast Capex'!A53</f>
        <v>Repair Tents</v>
      </c>
      <c r="B49" s="7">
        <f>SUM('Forecast Capex'!D53:H53)</f>
        <v>3.52</v>
      </c>
      <c r="C49" s="12" t="str">
        <f>'Forecast Capex'!K53</f>
        <v>Transmission Assets</v>
      </c>
      <c r="D49" s="12" t="str">
        <f>'Forecast Capex'!N53</f>
        <v>Stay in Business</v>
      </c>
      <c r="F49" s="7" t="str">
        <f t="shared" si="6"/>
        <v/>
      </c>
      <c r="G49" s="7">
        <f t="shared" si="7"/>
        <v>0</v>
      </c>
      <c r="H49" s="7" t="str">
        <f t="shared" si="8"/>
        <v/>
      </c>
    </row>
    <row r="50" spans="1:8" x14ac:dyDescent="0.25">
      <c r="A50" s="7" t="str">
        <f>'Forecast Capex'!A54</f>
        <v>Safety compliance program</v>
      </c>
      <c r="B50" s="7">
        <f>SUM('Forecast Capex'!D54:H54)</f>
        <v>0</v>
      </c>
      <c r="C50" s="12" t="str">
        <f>'Forecast Capex'!K54</f>
        <v>Converter Stations</v>
      </c>
      <c r="D50" s="12" t="str">
        <f>'Forecast Capex'!N54</f>
        <v/>
      </c>
      <c r="F50" s="7" t="str">
        <f t="shared" si="6"/>
        <v/>
      </c>
      <c r="G50" s="7">
        <f t="shared" si="7"/>
        <v>0</v>
      </c>
      <c r="H50" s="7" t="str">
        <f t="shared" si="8"/>
        <v/>
      </c>
    </row>
    <row r="51" spans="1:8" x14ac:dyDescent="0.25">
      <c r="A51" s="7" t="str">
        <f>'Forecast Capex'!A55</f>
        <v xml:space="preserve">Security Camera / Survelliance </v>
      </c>
      <c r="B51" s="7">
        <f>SUM('Forecast Capex'!D55:H55)</f>
        <v>22</v>
      </c>
      <c r="C51" s="12" t="str">
        <f>'Forecast Capex'!K55</f>
        <v>Transmission Assets</v>
      </c>
      <c r="D51" s="12" t="str">
        <f>'Forecast Capex'!N55</f>
        <v>Stay in Business</v>
      </c>
      <c r="F51" s="7" t="str">
        <f t="shared" si="6"/>
        <v/>
      </c>
      <c r="G51" s="7">
        <f t="shared" si="7"/>
        <v>0</v>
      </c>
      <c r="H51" s="7" t="str">
        <f t="shared" si="8"/>
        <v/>
      </c>
    </row>
    <row r="52" spans="1:8" x14ac:dyDescent="0.25">
      <c r="A52" s="7" t="str">
        <f>'Forecast Capex'!A56</f>
        <v>SF6 Gas Handling Gear</v>
      </c>
      <c r="B52" s="7">
        <f>SUM('Forecast Capex'!D56:H56)</f>
        <v>24.2</v>
      </c>
      <c r="C52" s="12" t="str">
        <f>'Forecast Capex'!K56</f>
        <v>Transmission Assets</v>
      </c>
      <c r="D52" s="12" t="str">
        <f>'Forecast Capex'!N56</f>
        <v>Stay in Business</v>
      </c>
      <c r="F52" s="7" t="str">
        <f t="shared" si="6"/>
        <v/>
      </c>
      <c r="G52" s="7">
        <f t="shared" si="7"/>
        <v>0</v>
      </c>
      <c r="H52" s="7" t="str">
        <f t="shared" si="8"/>
        <v/>
      </c>
    </row>
    <row r="53" spans="1:8" x14ac:dyDescent="0.25">
      <c r="A53" s="7" t="str">
        <f>'Forecast Capex'!A57</f>
        <v>Site Cable Tray Installation &amp; Relocation of Cables</v>
      </c>
      <c r="B53" s="7">
        <f>SUM('Forecast Capex'!D57:H57)</f>
        <v>121</v>
      </c>
      <c r="C53" s="12" t="str">
        <f>'Forecast Capex'!K57</f>
        <v>Transmission Assets</v>
      </c>
      <c r="D53" s="12" t="str">
        <f>'Forecast Capex'!N57</f>
        <v xml:space="preserve">Corrosion and Environmental Deterioration </v>
      </c>
      <c r="F53" s="7" t="str">
        <f t="shared" si="6"/>
        <v/>
      </c>
      <c r="G53" s="7">
        <f t="shared" si="7"/>
        <v>0</v>
      </c>
      <c r="H53" s="7" t="str">
        <f t="shared" si="8"/>
        <v/>
      </c>
    </row>
    <row r="54" spans="1:8" x14ac:dyDescent="0.25">
      <c r="A54" s="7" t="str">
        <f>'Forecast Capex'!A58</f>
        <v>Site Restoration</v>
      </c>
      <c r="B54" s="7">
        <f>SUM('Forecast Capex'!D58:H58)</f>
        <v>1992.2708367858138</v>
      </c>
      <c r="C54" s="12" t="str">
        <f>'Forecast Capex'!K58</f>
        <v>Restoration and Rectification</v>
      </c>
      <c r="D54" s="12" t="str">
        <f>'Forecast Capex'!N58</f>
        <v>Reclamation and Restoration</v>
      </c>
      <c r="F54" s="7" t="str">
        <f t="shared" si="6"/>
        <v/>
      </c>
      <c r="G54" s="7">
        <f t="shared" si="7"/>
        <v>0</v>
      </c>
      <c r="H54" s="7" t="str">
        <f t="shared" si="8"/>
        <v/>
      </c>
    </row>
    <row r="55" spans="1:8" x14ac:dyDescent="0.25">
      <c r="A55" s="7" t="str">
        <f>'Forecast Capex'!A59</f>
        <v>Site security enhancements</v>
      </c>
      <c r="B55" s="7">
        <f>SUM('Forecast Capex'!D59:H59)</f>
        <v>0</v>
      </c>
      <c r="C55" s="12" t="str">
        <f>'Forecast Capex'!K59</f>
        <v>Converter Stations</v>
      </c>
      <c r="D55" s="12" t="str">
        <f>'Forecast Capex'!N59</f>
        <v/>
      </c>
      <c r="F55" s="7" t="str">
        <f t="shared" si="6"/>
        <v/>
      </c>
      <c r="G55" s="7">
        <f t="shared" si="7"/>
        <v>0</v>
      </c>
      <c r="H55" s="7" t="str">
        <f t="shared" si="8"/>
        <v/>
      </c>
    </row>
    <row r="56" spans="1:8" x14ac:dyDescent="0.25">
      <c r="A56" s="7" t="str">
        <f>'Forecast Capex'!A60</f>
        <v>Sound dampening replacement for ventilation inlet</v>
      </c>
      <c r="B56" s="7">
        <f>SUM('Forecast Capex'!D60:H60)</f>
        <v>0</v>
      </c>
      <c r="C56" s="12" t="str">
        <f>'Forecast Capex'!K60</f>
        <v>Converter Stations</v>
      </c>
      <c r="D56" s="12" t="str">
        <f>'Forecast Capex'!N60</f>
        <v/>
      </c>
      <c r="F56" s="7" t="str">
        <f t="shared" si="6"/>
        <v/>
      </c>
      <c r="G56" s="7">
        <f t="shared" si="7"/>
        <v>0</v>
      </c>
      <c r="H56" s="7" t="str">
        <f t="shared" si="8"/>
        <v/>
      </c>
    </row>
    <row r="57" spans="1:8" x14ac:dyDescent="0.25">
      <c r="A57" s="7" t="str">
        <f>'Forecast Capex'!A61</f>
        <v>Spare cable joint kits</v>
      </c>
      <c r="B57" s="7">
        <f>SUM('Forecast Capex'!D61:H61)</f>
        <v>0</v>
      </c>
      <c r="C57" s="12" t="str">
        <f>'Forecast Capex'!K61</f>
        <v xml:space="preserve">Transmission lines </v>
      </c>
      <c r="D57" s="12" t="str">
        <f>'Forecast Capex'!N61</f>
        <v/>
      </c>
      <c r="F57" s="7" t="str">
        <f t="shared" si="6"/>
        <v/>
      </c>
      <c r="G57" s="7">
        <f t="shared" si="7"/>
        <v>0</v>
      </c>
      <c r="H57" s="7" t="str">
        <f t="shared" si="8"/>
        <v/>
      </c>
    </row>
    <row r="58" spans="1:8" x14ac:dyDescent="0.25">
      <c r="A58" s="7" t="str">
        <f>'Forecast Capex'!A62</f>
        <v>Spare IGBTs</v>
      </c>
      <c r="B58" s="7">
        <f>SUM('Forecast Capex'!D62:H62)</f>
        <v>0</v>
      </c>
      <c r="C58" s="12" t="str">
        <f>'Forecast Capex'!K62</f>
        <v>Converter Stations</v>
      </c>
      <c r="D58" s="12" t="str">
        <f>'Forecast Capex'!N62</f>
        <v/>
      </c>
      <c r="F58" s="7" t="str">
        <f t="shared" si="6"/>
        <v/>
      </c>
      <c r="G58" s="7">
        <f t="shared" si="7"/>
        <v>0</v>
      </c>
      <c r="H58" s="7" t="str">
        <f t="shared" si="8"/>
        <v/>
      </c>
    </row>
    <row r="59" spans="1:8" x14ac:dyDescent="0.25">
      <c r="A59" s="7" t="str">
        <f>'Forecast Capex'!A63</f>
        <v>Spare valve optic fibres</v>
      </c>
      <c r="B59" s="7">
        <f>SUM('Forecast Capex'!D63:H63)</f>
        <v>0</v>
      </c>
      <c r="C59" s="12" t="str">
        <f>'Forecast Capex'!K63</f>
        <v>Converter Stations</v>
      </c>
      <c r="D59" s="12" t="str">
        <f>'Forecast Capex'!N63</f>
        <v/>
      </c>
      <c r="F59" s="7" t="str">
        <f t="shared" si="6"/>
        <v/>
      </c>
      <c r="G59" s="7">
        <f t="shared" si="7"/>
        <v>0</v>
      </c>
      <c r="H59" s="7" t="str">
        <f t="shared" si="8"/>
        <v/>
      </c>
    </row>
    <row r="60" spans="1:8" x14ac:dyDescent="0.25">
      <c r="A60" s="7" t="str">
        <f>'Forecast Capex'!A64</f>
        <v>Spares</v>
      </c>
      <c r="B60" s="7">
        <f>SUM('Forecast Capex'!D64:H64)</f>
        <v>0</v>
      </c>
      <c r="C60" s="12" t="str">
        <f>'Forecast Capex'!K64</f>
        <v>Converter Stations</v>
      </c>
      <c r="D60" s="12" t="str">
        <f>'Forecast Capex'!N64</f>
        <v/>
      </c>
      <c r="F60" s="7" t="str">
        <f t="shared" si="6"/>
        <v/>
      </c>
      <c r="G60" s="7">
        <f t="shared" si="7"/>
        <v>0</v>
      </c>
      <c r="H60" s="7" t="str">
        <f t="shared" si="8"/>
        <v/>
      </c>
    </row>
    <row r="61" spans="1:8" x14ac:dyDescent="0.25">
      <c r="A61" s="7" t="str">
        <f>'Forecast Capex'!A65</f>
        <v xml:space="preserve">Stay in Business - Other </v>
      </c>
      <c r="B61" s="7">
        <f>SUM('Forecast Capex'!D65:H65)</f>
        <v>110</v>
      </c>
      <c r="C61" s="12" t="str">
        <f>'Forecast Capex'!K65</f>
        <v>Transmission Assets</v>
      </c>
      <c r="D61" s="12" t="str">
        <f>'Forecast Capex'!N65</f>
        <v>Stay in Business</v>
      </c>
      <c r="F61" s="7" t="str">
        <f t="shared" si="6"/>
        <v/>
      </c>
      <c r="G61" s="7">
        <f t="shared" si="7"/>
        <v>0</v>
      </c>
      <c r="H61" s="7" t="str">
        <f t="shared" si="8"/>
        <v/>
      </c>
    </row>
    <row r="62" spans="1:8" x14ac:dyDescent="0.25">
      <c r="A62" s="7" t="str">
        <f>'Forecast Capex'!A66</f>
        <v xml:space="preserve">Third Party Development - Relocation and Underground Galvanised Steel Trough (GST) 
Options Investigation + Implementation </v>
      </c>
      <c r="B62" s="7">
        <f>SUM('Forecast Capex'!D66:H66)</f>
        <v>3800</v>
      </c>
      <c r="C62" s="12" t="str">
        <f>'Forecast Capex'!K66</f>
        <v>Transmission Assets</v>
      </c>
      <c r="D62" s="12" t="str">
        <f>'Forecast Capex'!N66</f>
        <v>Cable Protection</v>
      </c>
      <c r="F62" s="7" t="str">
        <f t="shared" si="6"/>
        <v/>
      </c>
      <c r="G62" s="7">
        <f t="shared" si="7"/>
        <v>0</v>
      </c>
      <c r="H62" s="7" t="str">
        <f t="shared" si="8"/>
        <v/>
      </c>
    </row>
    <row r="63" spans="1:8" x14ac:dyDescent="0.25">
      <c r="A63" s="7" t="str">
        <f>'Forecast Capex'!A67</f>
        <v>Thumper Trailer</v>
      </c>
      <c r="B63" s="7">
        <f>SUM('Forecast Capex'!D67:H67)</f>
        <v>0</v>
      </c>
      <c r="C63" s="12" t="str">
        <f>'Forecast Capex'!K67</f>
        <v>Transmission Assets</v>
      </c>
      <c r="D63" s="12" t="str">
        <f>'Forecast Capex'!N67</f>
        <v/>
      </c>
      <c r="F63" s="7" t="str">
        <f t="shared" si="6"/>
        <v/>
      </c>
      <c r="G63" s="7">
        <f t="shared" si="7"/>
        <v>0</v>
      </c>
      <c r="H63" s="7" t="str">
        <f t="shared" si="8"/>
        <v/>
      </c>
    </row>
    <row r="64" spans="1:8" x14ac:dyDescent="0.25">
      <c r="A64" s="7" t="str">
        <f>'Forecast Capex'!A68</f>
        <v xml:space="preserve">Transformer Painting and Protection </v>
      </c>
      <c r="B64" s="7">
        <f>SUM('Forecast Capex'!D68:H68)</f>
        <v>220</v>
      </c>
      <c r="C64" s="12" t="str">
        <f>'Forecast Capex'!K68</f>
        <v>Transmission Assets</v>
      </c>
      <c r="D64" s="12" t="str">
        <f>'Forecast Capex'!N68</f>
        <v xml:space="preserve">Corrosion and Environmental Deterioration </v>
      </c>
      <c r="F64" s="7" t="str">
        <f t="shared" si="6"/>
        <v/>
      </c>
      <c r="G64" s="7">
        <f t="shared" si="7"/>
        <v>0</v>
      </c>
      <c r="H64" s="7" t="str">
        <f t="shared" si="8"/>
        <v/>
      </c>
    </row>
    <row r="65" spans="1:8" x14ac:dyDescent="0.25">
      <c r="A65" s="7" t="str">
        <f>'Forecast Capex'!A69</f>
        <v>Valve Control Units (VCU) Upgrade</v>
      </c>
      <c r="B65" s="7">
        <f>SUM('Forecast Capex'!D69:H69)</f>
        <v>0</v>
      </c>
      <c r="C65" s="12" t="str">
        <f>'Forecast Capex'!K69</f>
        <v>Transmission Assets</v>
      </c>
      <c r="D65" s="12" t="str">
        <f>'Forecast Capex'!N69</f>
        <v/>
      </c>
      <c r="F65" s="7" t="str">
        <f t="shared" si="6"/>
        <v/>
      </c>
      <c r="G65" s="7">
        <f t="shared" si="7"/>
        <v>0</v>
      </c>
      <c r="H65" s="7" t="str">
        <f t="shared" si="8"/>
        <v/>
      </c>
    </row>
    <row r="66" spans="1:8" x14ac:dyDescent="0.25">
      <c r="A66" s="7" t="str">
        <f>'Forecast Capex'!A70</f>
        <v xml:space="preserve">Valve Room Earthing Change
</v>
      </c>
      <c r="B66" s="7">
        <f>SUM('Forecast Capex'!D70:H70)</f>
        <v>0</v>
      </c>
      <c r="C66" s="12" t="str">
        <f>'Forecast Capex'!K70</f>
        <v>Transmission Assets</v>
      </c>
      <c r="D66" s="12" t="str">
        <f>'Forecast Capex'!N70</f>
        <v/>
      </c>
      <c r="F66" s="7" t="str">
        <f t="shared" si="6"/>
        <v/>
      </c>
      <c r="G66" s="7">
        <f t="shared" si="7"/>
        <v>0</v>
      </c>
      <c r="H66" s="7" t="str">
        <f t="shared" si="8"/>
        <v/>
      </c>
    </row>
    <row r="67" spans="1:8" x14ac:dyDescent="0.25">
      <c r="A67" s="7" t="str">
        <f>'Forecast Capex'!A71</f>
        <v xml:space="preserve">Valve room temperature control </v>
      </c>
      <c r="B67" s="7">
        <f>SUM('Forecast Capex'!D71:H71)</f>
        <v>0</v>
      </c>
      <c r="C67" s="12" t="str">
        <f>'Forecast Capex'!K71</f>
        <v>Transmission Assets</v>
      </c>
      <c r="D67" s="12" t="str">
        <f>'Forecast Capex'!N71</f>
        <v/>
      </c>
      <c r="F67" s="7" t="str">
        <f t="shared" ref="F67:F69" si="9">IF(G67=0,"",INDEX($A$3:$A$99,MATCH($G67,$B$3:$B$99,0),0))</f>
        <v/>
      </c>
      <c r="G67" s="7">
        <f t="shared" si="7"/>
        <v>0</v>
      </c>
      <c r="H67" s="7" t="str">
        <f t="shared" si="8"/>
        <v/>
      </c>
    </row>
    <row r="68" spans="1:8" x14ac:dyDescent="0.25">
      <c r="A68" s="7" t="str">
        <f>'Forecast Capex'!A72</f>
        <v>Variable Speed Drive (VSD) for Phase Reactor and 
Cooling Pumps</v>
      </c>
      <c r="B68" s="7">
        <f>SUM('Forecast Capex'!D72:H72)</f>
        <v>2800</v>
      </c>
      <c r="C68" s="12" t="str">
        <f>'Forecast Capex'!K72</f>
        <v>Transmission Assets</v>
      </c>
      <c r="D68" s="12" t="str">
        <f>'Forecast Capex'!N72</f>
        <v>Reliability</v>
      </c>
      <c r="F68" s="7" t="str">
        <f t="shared" si="9"/>
        <v/>
      </c>
      <c r="G68" s="7">
        <f t="shared" si="7"/>
        <v>0</v>
      </c>
      <c r="H68" s="7" t="str">
        <f t="shared" si="8"/>
        <v/>
      </c>
    </row>
    <row r="69" spans="1:8" x14ac:dyDescent="0.25">
      <c r="A69" s="7" t="str">
        <f>'Forecast Capex'!A73</f>
        <v>Zero sequence reactor repair</v>
      </c>
      <c r="B69" s="7">
        <f>SUM('Forecast Capex'!D73:H73)</f>
        <v>0</v>
      </c>
      <c r="C69" s="12" t="str">
        <f>'Forecast Capex'!K73</f>
        <v>Converter Stations</v>
      </c>
      <c r="D69" s="12" t="str">
        <f>'Forecast Capex'!N73</f>
        <v/>
      </c>
      <c r="F69" s="7" t="str">
        <f t="shared" si="9"/>
        <v/>
      </c>
      <c r="G69" s="7">
        <f t="shared" si="7"/>
        <v>0</v>
      </c>
      <c r="H69" s="7" t="str">
        <f t="shared" si="8"/>
        <v/>
      </c>
    </row>
    <row r="70" spans="1:8" x14ac:dyDescent="0.25">
      <c r="A70" s="7" t="str">
        <f>'Forecast Capex'!A74</f>
        <v/>
      </c>
      <c r="B70" s="7">
        <f>SUM('Forecast Capex'!D74:H74)</f>
        <v>0</v>
      </c>
      <c r="C70" s="12" t="str">
        <f>'Forecast Capex'!K74</f>
        <v/>
      </c>
      <c r="D70" s="12" t="str">
        <f>'Forecast Capex'!N74</f>
        <v/>
      </c>
    </row>
    <row r="71" spans="1:8" x14ac:dyDescent="0.25">
      <c r="A71" s="7" t="str">
        <f>'Forecast Capex'!A75</f>
        <v/>
      </c>
      <c r="B71" s="7">
        <f>SUM('Forecast Capex'!D75:H75)</f>
        <v>0</v>
      </c>
      <c r="C71" s="18" t="str">
        <f>'Forecast Capex'!K75</f>
        <v/>
      </c>
      <c r="D71" s="18" t="str">
        <f>'Forecast Capex'!N75</f>
        <v/>
      </c>
    </row>
    <row r="72" spans="1:8" x14ac:dyDescent="0.25">
      <c r="A72" s="7" t="str">
        <f>'Forecast Capex'!A76</f>
        <v/>
      </c>
      <c r="B72" s="7">
        <f>SUM('Forecast Capex'!D76:H76)</f>
        <v>0</v>
      </c>
      <c r="C72" s="18" t="str">
        <f>'Forecast Capex'!K76</f>
        <v/>
      </c>
      <c r="D72" s="18" t="str">
        <f>'Forecast Capex'!N76</f>
        <v/>
      </c>
    </row>
    <row r="73" spans="1:8" x14ac:dyDescent="0.25">
      <c r="A73" s="7" t="str">
        <f>'Forecast Capex'!A77</f>
        <v/>
      </c>
      <c r="B73" s="7">
        <f>SUM('Forecast Capex'!D77:H77)</f>
        <v>0</v>
      </c>
      <c r="C73" s="18" t="str">
        <f>'Forecast Capex'!K77</f>
        <v/>
      </c>
      <c r="D73" s="18" t="str">
        <f>'Forecast Capex'!N77</f>
        <v/>
      </c>
    </row>
    <row r="74" spans="1:8" x14ac:dyDescent="0.25">
      <c r="A74" s="18" t="str">
        <f>'Forecast Capex'!A78</f>
        <v/>
      </c>
    </row>
    <row r="75" spans="1:8" x14ac:dyDescent="0.25">
      <c r="A75" s="18" t="str">
        <f>'Forecast Capex'!A79</f>
        <v/>
      </c>
    </row>
  </sheetData>
  <conditionalFormatting sqref="L1">
    <cfRule type="cellIs" dxfId="3" priority="1" operator="lessThan">
      <formula>0</formula>
    </cfRule>
    <cfRule type="cellIs" dxfId="2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</sheetPr>
  <dimension ref="A1:AA124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8" sqref="J18"/>
    </sheetView>
  </sheetViews>
  <sheetFormatPr defaultRowHeight="15" x14ac:dyDescent="0.25"/>
  <cols>
    <col min="1" max="1" width="52.85546875" bestFit="1" customWidth="1"/>
    <col min="2" max="2" width="11.28515625" style="45" bestFit="1" customWidth="1"/>
    <col min="3" max="3" width="18.140625" style="45" bestFit="1" customWidth="1"/>
    <col min="4" max="4" width="14.42578125" bestFit="1" customWidth="1"/>
    <col min="5" max="5" width="14.28515625" bestFit="1" customWidth="1"/>
    <col min="6" max="6" width="13.85546875" bestFit="1" customWidth="1"/>
    <col min="7" max="7" width="11.140625" bestFit="1" customWidth="1"/>
    <col min="8" max="8" width="13.85546875" bestFit="1" customWidth="1"/>
    <col min="9" max="9" width="13.7109375" customWidth="1"/>
    <col min="10" max="13" width="10.28515625" bestFit="1" customWidth="1"/>
    <col min="14" max="14" width="11" bestFit="1" customWidth="1"/>
    <col min="15" max="25" width="10.28515625" bestFit="1" customWidth="1"/>
  </cols>
  <sheetData>
    <row r="1" spans="1:25" s="45" customFormat="1" ht="18" thickBot="1" x14ac:dyDescent="0.35">
      <c r="B1" s="16" t="s">
        <v>84</v>
      </c>
      <c r="C1" s="16" t="s">
        <v>173</v>
      </c>
      <c r="D1" s="16" t="s">
        <v>4</v>
      </c>
      <c r="E1" s="16" t="s">
        <v>5</v>
      </c>
      <c r="F1" s="16" t="s">
        <v>6</v>
      </c>
      <c r="G1" s="16" t="s">
        <v>7</v>
      </c>
      <c r="H1" s="16" t="s">
        <v>8</v>
      </c>
      <c r="I1" s="16" t="s">
        <v>52</v>
      </c>
      <c r="J1" s="16" t="s">
        <v>53</v>
      </c>
      <c r="K1" s="16" t="s">
        <v>54</v>
      </c>
      <c r="L1" s="16" t="s">
        <v>55</v>
      </c>
      <c r="M1" s="16" t="s">
        <v>56</v>
      </c>
      <c r="N1" s="16" t="s">
        <v>57</v>
      </c>
      <c r="O1" s="16" t="s">
        <v>58</v>
      </c>
      <c r="P1" s="16" t="s">
        <v>59</v>
      </c>
      <c r="Q1" s="16" t="s">
        <v>60</v>
      </c>
      <c r="R1" s="16" t="s">
        <v>61</v>
      </c>
      <c r="S1" s="16" t="s">
        <v>62</v>
      </c>
      <c r="T1" s="16" t="s">
        <v>63</v>
      </c>
      <c r="U1" s="16" t="s">
        <v>64</v>
      </c>
      <c r="V1" s="16" t="s">
        <v>65</v>
      </c>
      <c r="W1" s="16" t="s">
        <v>66</v>
      </c>
      <c r="X1" s="16" t="s">
        <v>67</v>
      </c>
      <c r="Y1" s="16" t="s">
        <v>68</v>
      </c>
    </row>
    <row r="2" spans="1:25" s="64" customFormat="1" ht="21" thickTop="1" thickBot="1" x14ac:dyDescent="0.35">
      <c r="A2" s="78" t="s">
        <v>154</v>
      </c>
      <c r="B2" s="84" t="str">
        <f>INDEX($A$5:$A$8,MATCH(MAX(H5:H8),$H$5:$H$8,0),0)</f>
        <v>Capex replacement contract</v>
      </c>
      <c r="C2" s="84"/>
      <c r="D2" s="84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15.75" thickTop="1" x14ac:dyDescent="0.25">
      <c r="J3" s="64"/>
      <c r="K3" s="64"/>
    </row>
    <row r="4" spans="1:25" ht="20.25" thickBot="1" x14ac:dyDescent="0.35">
      <c r="A4" s="47" t="s">
        <v>87</v>
      </c>
      <c r="D4" t="s">
        <v>111</v>
      </c>
      <c r="E4" t="s">
        <v>112</v>
      </c>
      <c r="F4" t="s">
        <v>113</v>
      </c>
      <c r="G4" t="s">
        <v>145</v>
      </c>
      <c r="H4" t="s">
        <v>156</v>
      </c>
      <c r="I4" t="s">
        <v>174</v>
      </c>
    </row>
    <row r="5" spans="1:25" ht="18.75" thickTop="1" thickBot="1" x14ac:dyDescent="0.35">
      <c r="A5" s="16" t="str">
        <f>A105</f>
        <v>Replace All IGBTs and Equipment</v>
      </c>
      <c r="D5" s="51">
        <f>SUM(D105:Y105)</f>
        <v>10757113763.268259</v>
      </c>
      <c r="E5" s="7">
        <f>INDEX(VCU!$C$9:$C$35,MATCH(A5,VCU!$A$9:$A$35,0))*1000000</f>
        <v>1953866.4936190809</v>
      </c>
      <c r="F5" s="51">
        <f>D5-E5</f>
        <v>10755159896.774639</v>
      </c>
      <c r="G5" s="7">
        <f>'Replacement k'!$C$7</f>
        <v>15032135.188859819</v>
      </c>
      <c r="H5" s="51">
        <f>F5-G5</f>
        <v>10740127761.585779</v>
      </c>
      <c r="I5" s="51">
        <f>-(MAX($H$5:$H$9)-H5)</f>
        <v>-10180881.803506851</v>
      </c>
    </row>
    <row r="6" spans="1:25" ht="18.75" thickTop="1" thickBot="1" x14ac:dyDescent="0.35">
      <c r="A6" s="16" t="str">
        <f>A106</f>
        <v>Staged Replacement Building</v>
      </c>
      <c r="D6" s="51">
        <f>SUM(D106:Y106)</f>
        <v>10756455576.256098</v>
      </c>
      <c r="E6" s="7">
        <f>INDEX(VCU!$C$9:$C$35,MATCH(A6,VCU!$A$9:$A$35,0))*1000000</f>
        <v>1953866.4936190809</v>
      </c>
      <c r="F6" s="51">
        <f t="shared" ref="F6:F8" si="0">D6-E6</f>
        <v>10754501709.762478</v>
      </c>
      <c r="G6" s="7">
        <f>'Replacement k'!$C$7</f>
        <v>15032135.188859819</v>
      </c>
      <c r="H6" s="51">
        <f t="shared" ref="H6:H8" si="1">F6-G6</f>
        <v>10739469574.573618</v>
      </c>
      <c r="I6" s="51">
        <f t="shared" ref="I6:I9" si="2">-(MAX($H$5:$H$9)-H6)</f>
        <v>-10839068.815668106</v>
      </c>
    </row>
    <row r="7" spans="1:25" ht="18.75" thickTop="1" thickBot="1" x14ac:dyDescent="0.35">
      <c r="A7" s="16" t="str">
        <f>A107</f>
        <v>Capex replacement contract</v>
      </c>
      <c r="D7" s="51">
        <f>SUM(D107:Y107)</f>
        <v>10750308643.389286</v>
      </c>
      <c r="E7" s="7">
        <f>INDEX(VCU!$C$9:$C$35,MATCH(A7,VCU!$A$9:$A$35,0))*1000000</f>
        <v>0</v>
      </c>
      <c r="F7" s="51">
        <f t="shared" si="0"/>
        <v>10750308643.389286</v>
      </c>
      <c r="H7" s="51">
        <f t="shared" si="1"/>
        <v>10750308643.389286</v>
      </c>
      <c r="I7" s="51">
        <f t="shared" si="2"/>
        <v>0</v>
      </c>
    </row>
    <row r="8" spans="1:25" ht="18.75" thickTop="1" thickBot="1" x14ac:dyDescent="0.35">
      <c r="A8" s="16" t="str">
        <f>A108</f>
        <v>Cannibalise</v>
      </c>
      <c r="D8" s="51">
        <f>SUM(D108:Y108)</f>
        <v>10165060124.388523</v>
      </c>
      <c r="E8" s="7">
        <f>INDEX(VCU!$C$9:$C$35,MATCH(A8,VCU!$A$9:$A$35,0))*1000000</f>
        <v>1758479.8442571724</v>
      </c>
      <c r="F8" s="51">
        <f t="shared" si="0"/>
        <v>10163301644.544266</v>
      </c>
      <c r="G8" s="7">
        <f>'Replacement k'!$C$7</f>
        <v>15032135.188859819</v>
      </c>
      <c r="H8" s="51">
        <f t="shared" si="1"/>
        <v>10148269509.355406</v>
      </c>
      <c r="I8" s="51">
        <f t="shared" si="2"/>
        <v>-602039134.03388023</v>
      </c>
    </row>
    <row r="9" spans="1:25" s="64" customFormat="1" ht="18.75" thickTop="1" thickBot="1" x14ac:dyDescent="0.35">
      <c r="A9" s="16" t="str">
        <f>A109</f>
        <v>Staged Replacement Phase</v>
      </c>
      <c r="D9" s="51">
        <f>SUM(D109:Y109)</f>
        <v>10722796534.811752</v>
      </c>
      <c r="E9" s="7">
        <f>INDEX(VCU!$C$9:$C$35,MATCH(A9,VCU!$A$9:$A$35,0))*1000000</f>
        <v>1908797.1374436608</v>
      </c>
      <c r="F9" s="51">
        <f t="shared" ref="F9" si="3">D9-E9</f>
        <v>10720887737.674309</v>
      </c>
      <c r="G9" s="7">
        <f>'Replacement k'!$C$7</f>
        <v>15032135.188859819</v>
      </c>
      <c r="H9" s="51">
        <f t="shared" ref="H9" si="4">F9-G9</f>
        <v>10705855602.485449</v>
      </c>
      <c r="I9" s="51">
        <f t="shared" si="2"/>
        <v>-44453040.903837204</v>
      </c>
    </row>
    <row r="10" spans="1:25" s="64" customFormat="1" ht="15.75" thickTop="1" x14ac:dyDescent="0.25"/>
    <row r="11" spans="1:25" s="64" customFormat="1" ht="18" thickBot="1" x14ac:dyDescent="0.35">
      <c r="A11" s="16" t="s">
        <v>157</v>
      </c>
      <c r="B11" s="19">
        <v>148</v>
      </c>
    </row>
    <row r="12" spans="1:25" s="64" customFormat="1" ht="18.75" thickTop="1" thickBot="1" x14ac:dyDescent="0.35">
      <c r="A12" s="16" t="s">
        <v>158</v>
      </c>
      <c r="B12" s="19">
        <v>2</v>
      </c>
    </row>
    <row r="13" spans="1:25" s="64" customFormat="1" ht="18.75" thickTop="1" thickBot="1" x14ac:dyDescent="0.35">
      <c r="A13" s="16" t="s">
        <v>160</v>
      </c>
      <c r="B13" s="8">
        <f>B11*B12</f>
        <v>296</v>
      </c>
    </row>
    <row r="14" spans="1:25" s="64" customFormat="1" ht="15.75" thickTop="1" x14ac:dyDescent="0.25"/>
    <row r="15" spans="1:25" s="64" customFormat="1" ht="18" thickBot="1" x14ac:dyDescent="0.35">
      <c r="A15" s="16" t="s">
        <v>149</v>
      </c>
      <c r="B15" s="19">
        <v>3</v>
      </c>
    </row>
    <row r="16" spans="1:25" ht="18.75" thickTop="1" thickBot="1" x14ac:dyDescent="0.35">
      <c r="A16" s="46" t="s">
        <v>150</v>
      </c>
      <c r="B16" s="8">
        <f>B11*B12*B15</f>
        <v>888</v>
      </c>
    </row>
    <row r="17" spans="1:3" ht="15.75" thickTop="1" x14ac:dyDescent="0.25"/>
    <row r="18" spans="1:3" s="64" customFormat="1" ht="18" thickBot="1" x14ac:dyDescent="0.35">
      <c r="A18" s="16" t="s">
        <v>164</v>
      </c>
      <c r="B18" s="68">
        <v>6</v>
      </c>
    </row>
    <row r="19" spans="1:3" s="64" customFormat="1" ht="18.75" thickTop="1" thickBot="1" x14ac:dyDescent="0.35">
      <c r="A19" s="16" t="s">
        <v>165</v>
      </c>
      <c r="B19" s="68">
        <v>1</v>
      </c>
    </row>
    <row r="20" spans="1:3" s="64" customFormat="1" ht="18.75" thickTop="1" thickBot="1" x14ac:dyDescent="0.35">
      <c r="A20" s="16" t="s">
        <v>166</v>
      </c>
      <c r="B20" s="8">
        <f>B18-B19</f>
        <v>5</v>
      </c>
    </row>
    <row r="21" spans="1:3" s="64" customFormat="1" ht="15.75" thickTop="1" x14ac:dyDescent="0.25"/>
    <row r="22" spans="1:3" s="64" customFormat="1" ht="18" thickBot="1" x14ac:dyDescent="0.35">
      <c r="A22" s="16" t="s">
        <v>149</v>
      </c>
      <c r="B22" s="8">
        <f>B20*B15</f>
        <v>15</v>
      </c>
    </row>
    <row r="23" spans="1:3" s="64" customFormat="1" ht="15.75" thickTop="1" x14ac:dyDescent="0.25"/>
    <row r="24" spans="1:3" s="64" customFormat="1" x14ac:dyDescent="0.25"/>
    <row r="25" spans="1:3" s="64" customFormat="1" ht="18" thickBot="1" x14ac:dyDescent="0.35">
      <c r="A25" s="16" t="s">
        <v>69</v>
      </c>
      <c r="B25" s="68">
        <v>45</v>
      </c>
      <c r="C25" s="45"/>
    </row>
    <row r="26" spans="1:3" s="64" customFormat="1" ht="15.75" thickTop="1" x14ac:dyDescent="0.25"/>
    <row r="27" spans="1:3" s="64" customFormat="1" ht="18" thickBot="1" x14ac:dyDescent="0.35">
      <c r="A27" s="46" t="s">
        <v>151</v>
      </c>
      <c r="B27" s="19">
        <f>24-63</f>
        <v>-39</v>
      </c>
    </row>
    <row r="28" spans="1:3" s="64" customFormat="1" ht="18.75" thickTop="1" thickBot="1" x14ac:dyDescent="0.35">
      <c r="A28" s="46" t="s">
        <v>152</v>
      </c>
      <c r="B28" s="19">
        <v>88</v>
      </c>
    </row>
    <row r="29" spans="1:3" s="64" customFormat="1" ht="18.75" thickTop="1" thickBot="1" x14ac:dyDescent="0.35">
      <c r="A29" s="46" t="s">
        <v>153</v>
      </c>
      <c r="B29" s="19">
        <v>0</v>
      </c>
    </row>
    <row r="30" spans="1:3" s="64" customFormat="1" ht="18.75" thickTop="1" thickBot="1" x14ac:dyDescent="0.35">
      <c r="A30" s="46" t="s">
        <v>167</v>
      </c>
      <c r="B30" s="8">
        <f>-(ROUND((5/12)*$B$25,0)+$B$25)</f>
        <v>-64</v>
      </c>
    </row>
    <row r="31" spans="1:3" s="64" customFormat="1" ht="18.75" thickTop="1" thickBot="1" x14ac:dyDescent="0.35">
      <c r="A31" s="46" t="s">
        <v>168</v>
      </c>
      <c r="B31" s="8">
        <f>SUM(B27:B30)</f>
        <v>-15</v>
      </c>
    </row>
    <row r="32" spans="1:3" s="64" customFormat="1" ht="15.75" thickTop="1" x14ac:dyDescent="0.25"/>
    <row r="33" spans="1:25" ht="18" thickBot="1" x14ac:dyDescent="0.35">
      <c r="A33" s="16" t="s">
        <v>117</v>
      </c>
      <c r="B33" s="8">
        <f>C33+B31</f>
        <v>4425</v>
      </c>
      <c r="C33" s="8">
        <f>$B$20*B16</f>
        <v>4440</v>
      </c>
      <c r="D33" s="64"/>
    </row>
    <row r="34" spans="1:25" s="45" customFormat="1" ht="18.75" thickTop="1" thickBot="1" x14ac:dyDescent="0.35">
      <c r="A34" s="16" t="s">
        <v>118</v>
      </c>
      <c r="B34" s="49">
        <v>35200</v>
      </c>
      <c r="D34" s="64"/>
    </row>
    <row r="35" spans="1:25" s="55" customFormat="1" ht="18.75" thickTop="1" thickBot="1" x14ac:dyDescent="0.35">
      <c r="A35" s="16" t="s">
        <v>101</v>
      </c>
      <c r="B35" s="58">
        <f>2/3</f>
        <v>0.66666666666666663</v>
      </c>
    </row>
    <row r="36" spans="1:25" s="57" customFormat="1" ht="15.75" thickTop="1" x14ac:dyDescent="0.25">
      <c r="A36" s="64"/>
      <c r="B36" s="64"/>
    </row>
    <row r="37" spans="1:25" s="64" customFormat="1" ht="20.25" thickBot="1" x14ac:dyDescent="0.35">
      <c r="A37" s="62" t="s">
        <v>171</v>
      </c>
    </row>
    <row r="38" spans="1:25" s="64" customFormat="1" ht="18.75" thickTop="1" thickBot="1" x14ac:dyDescent="0.35">
      <c r="A38" s="16" t="s">
        <v>48</v>
      </c>
      <c r="B38" s="10">
        <f>30000000*1.1</f>
        <v>33000000.000000004</v>
      </c>
      <c r="D38" s="8">
        <f>IF(D75&lt;C75,$B38,0)</f>
        <v>33000000.000000004</v>
      </c>
      <c r="E38" s="8">
        <f t="shared" ref="E38:Y39" si="5">IF(E75&lt;D75,$B38,0)</f>
        <v>0</v>
      </c>
      <c r="F38" s="8">
        <f t="shared" si="5"/>
        <v>0</v>
      </c>
      <c r="G38" s="8">
        <f t="shared" si="5"/>
        <v>0</v>
      </c>
      <c r="H38" s="8">
        <f t="shared" si="5"/>
        <v>0</v>
      </c>
      <c r="I38" s="8">
        <f t="shared" si="5"/>
        <v>0</v>
      </c>
      <c r="J38" s="8">
        <f t="shared" si="5"/>
        <v>0</v>
      </c>
      <c r="K38" s="8">
        <f t="shared" si="5"/>
        <v>0</v>
      </c>
      <c r="L38" s="8">
        <f t="shared" si="5"/>
        <v>0</v>
      </c>
      <c r="M38" s="8">
        <f t="shared" si="5"/>
        <v>0</v>
      </c>
      <c r="N38" s="8">
        <f t="shared" si="5"/>
        <v>0</v>
      </c>
      <c r="O38" s="8">
        <f t="shared" si="5"/>
        <v>0</v>
      </c>
      <c r="P38" s="8">
        <f t="shared" si="5"/>
        <v>0</v>
      </c>
      <c r="Q38" s="8">
        <f t="shared" si="5"/>
        <v>0</v>
      </c>
      <c r="R38" s="8">
        <f t="shared" si="5"/>
        <v>0</v>
      </c>
      <c r="S38" s="8">
        <f t="shared" si="5"/>
        <v>0</v>
      </c>
      <c r="T38" s="8">
        <f t="shared" si="5"/>
        <v>0</v>
      </c>
      <c r="U38" s="8">
        <f t="shared" si="5"/>
        <v>0</v>
      </c>
      <c r="V38" s="8">
        <f t="shared" si="5"/>
        <v>0</v>
      </c>
      <c r="W38" s="8">
        <f t="shared" si="5"/>
        <v>0</v>
      </c>
      <c r="X38" s="8">
        <f t="shared" si="5"/>
        <v>0</v>
      </c>
      <c r="Y38" s="8">
        <f t="shared" si="5"/>
        <v>0</v>
      </c>
    </row>
    <row r="39" spans="1:25" s="64" customFormat="1" ht="18.75" thickTop="1" thickBot="1" x14ac:dyDescent="0.35">
      <c r="A39" s="16" t="s">
        <v>161</v>
      </c>
      <c r="B39" s="10">
        <f>20000000*1.1</f>
        <v>22000000</v>
      </c>
      <c r="D39" s="8">
        <f t="shared" ref="D39:S39" si="6">IF(D76&lt;C76,$B39,0)</f>
        <v>22000000</v>
      </c>
      <c r="E39" s="8">
        <f t="shared" si="6"/>
        <v>0</v>
      </c>
      <c r="F39" s="8">
        <f t="shared" si="6"/>
        <v>0</v>
      </c>
      <c r="G39" s="8">
        <f t="shared" si="6"/>
        <v>0</v>
      </c>
      <c r="H39" s="8">
        <f t="shared" si="6"/>
        <v>0</v>
      </c>
      <c r="I39" s="8">
        <f t="shared" si="6"/>
        <v>0</v>
      </c>
      <c r="J39" s="8">
        <f t="shared" si="6"/>
        <v>0</v>
      </c>
      <c r="K39" s="8">
        <f t="shared" si="6"/>
        <v>0</v>
      </c>
      <c r="L39" s="8">
        <f t="shared" si="6"/>
        <v>0</v>
      </c>
      <c r="M39" s="8">
        <f t="shared" si="6"/>
        <v>0</v>
      </c>
      <c r="N39" s="8">
        <f t="shared" si="6"/>
        <v>0</v>
      </c>
      <c r="O39" s="8">
        <f t="shared" si="6"/>
        <v>0</v>
      </c>
      <c r="P39" s="8">
        <f t="shared" si="6"/>
        <v>22000000</v>
      </c>
      <c r="Q39" s="8">
        <f t="shared" si="6"/>
        <v>0</v>
      </c>
      <c r="R39" s="8">
        <f t="shared" si="6"/>
        <v>0</v>
      </c>
      <c r="S39" s="8">
        <f t="shared" si="6"/>
        <v>0</v>
      </c>
      <c r="T39" s="8">
        <f t="shared" si="5"/>
        <v>0</v>
      </c>
      <c r="U39" s="8">
        <f t="shared" si="5"/>
        <v>0</v>
      </c>
      <c r="V39" s="8">
        <f t="shared" si="5"/>
        <v>0</v>
      </c>
      <c r="W39" s="8">
        <f t="shared" si="5"/>
        <v>0</v>
      </c>
      <c r="X39" s="8">
        <f t="shared" si="5"/>
        <v>0</v>
      </c>
      <c r="Y39" s="8">
        <f t="shared" si="5"/>
        <v>0</v>
      </c>
    </row>
    <row r="40" spans="1:25" s="64" customFormat="1" ht="18.75" thickTop="1" thickBot="1" x14ac:dyDescent="0.35">
      <c r="A40" s="16" t="s">
        <v>175</v>
      </c>
      <c r="B40" s="10">
        <f>3000000*1.1</f>
        <v>3300000.0000000005</v>
      </c>
      <c r="C40" s="10">
        <f>1500000*1.1</f>
        <v>1650000.0000000002</v>
      </c>
      <c r="D40" s="10">
        <f>$B$40</f>
        <v>3300000.0000000005</v>
      </c>
      <c r="E40" s="8">
        <f t="shared" ref="E40:N40" si="7">$B$40</f>
        <v>3300000.0000000005</v>
      </c>
      <c r="F40" s="8">
        <f t="shared" si="7"/>
        <v>3300000.0000000005</v>
      </c>
      <c r="G40" s="8">
        <f t="shared" si="7"/>
        <v>3300000.0000000005</v>
      </c>
      <c r="H40" s="8">
        <f t="shared" si="7"/>
        <v>3300000.0000000005</v>
      </c>
      <c r="I40" s="8">
        <f t="shared" si="7"/>
        <v>3300000.0000000005</v>
      </c>
      <c r="J40" s="8">
        <f t="shared" si="7"/>
        <v>3300000.0000000005</v>
      </c>
      <c r="K40" s="8">
        <f t="shared" si="7"/>
        <v>3300000.0000000005</v>
      </c>
      <c r="L40" s="8">
        <f t="shared" si="7"/>
        <v>3300000.0000000005</v>
      </c>
      <c r="M40" s="8">
        <f t="shared" si="7"/>
        <v>3300000.0000000005</v>
      </c>
      <c r="N40" s="8">
        <f t="shared" si="7"/>
        <v>3300000.0000000005</v>
      </c>
      <c r="O40" s="10">
        <f>C40</f>
        <v>1650000.0000000002</v>
      </c>
      <c r="P40" s="8">
        <f>O40</f>
        <v>1650000.0000000002</v>
      </c>
      <c r="Q40" s="8">
        <f t="shared" ref="Q40:Y40" si="8">P40</f>
        <v>1650000.0000000002</v>
      </c>
      <c r="R40" s="8">
        <f t="shared" si="8"/>
        <v>1650000.0000000002</v>
      </c>
      <c r="S40" s="8">
        <f t="shared" si="8"/>
        <v>1650000.0000000002</v>
      </c>
      <c r="T40" s="8">
        <f t="shared" si="8"/>
        <v>1650000.0000000002</v>
      </c>
      <c r="U40" s="8">
        <f t="shared" si="8"/>
        <v>1650000.0000000002</v>
      </c>
      <c r="V40" s="8">
        <f t="shared" si="8"/>
        <v>1650000.0000000002</v>
      </c>
      <c r="W40" s="8">
        <f t="shared" si="8"/>
        <v>1650000.0000000002</v>
      </c>
      <c r="X40" s="8">
        <f t="shared" si="8"/>
        <v>1650000.0000000002</v>
      </c>
      <c r="Y40" s="8">
        <f t="shared" si="8"/>
        <v>1650000.0000000002</v>
      </c>
    </row>
    <row r="41" spans="1:25" s="64" customFormat="1" ht="18.75" thickTop="1" thickBot="1" x14ac:dyDescent="0.35">
      <c r="A41" s="16" t="s">
        <v>50</v>
      </c>
      <c r="B41" s="28">
        <f>250000*1.1</f>
        <v>275000</v>
      </c>
      <c r="D41" s="8">
        <f>IF(D77&lt;C77,$B41,0)</f>
        <v>275000</v>
      </c>
      <c r="E41" s="8">
        <f t="shared" ref="E41:Y41" si="9">IF(E77&lt;D77,$B41,0)</f>
        <v>0</v>
      </c>
      <c r="F41" s="8">
        <f t="shared" si="9"/>
        <v>0</v>
      </c>
      <c r="G41" s="8">
        <f t="shared" si="9"/>
        <v>0</v>
      </c>
      <c r="H41" s="8">
        <f t="shared" si="9"/>
        <v>0</v>
      </c>
      <c r="I41" s="8">
        <f t="shared" si="9"/>
        <v>0</v>
      </c>
      <c r="J41" s="8">
        <f t="shared" si="9"/>
        <v>0</v>
      </c>
      <c r="K41" s="8">
        <f t="shared" si="9"/>
        <v>0</v>
      </c>
      <c r="L41" s="8">
        <f t="shared" si="9"/>
        <v>0</v>
      </c>
      <c r="M41" s="8">
        <f t="shared" si="9"/>
        <v>0</v>
      </c>
      <c r="N41" s="8">
        <f t="shared" si="9"/>
        <v>0</v>
      </c>
      <c r="O41" s="8">
        <f t="shared" si="9"/>
        <v>0</v>
      </c>
      <c r="P41" s="8">
        <f t="shared" si="9"/>
        <v>0</v>
      </c>
      <c r="Q41" s="8">
        <f t="shared" si="9"/>
        <v>0</v>
      </c>
      <c r="R41" s="8">
        <f t="shared" si="9"/>
        <v>0</v>
      </c>
      <c r="S41" s="8">
        <f t="shared" si="9"/>
        <v>0</v>
      </c>
      <c r="T41" s="8">
        <f t="shared" si="9"/>
        <v>0</v>
      </c>
      <c r="U41" s="8">
        <f t="shared" si="9"/>
        <v>0</v>
      </c>
      <c r="V41" s="8">
        <f t="shared" si="9"/>
        <v>0</v>
      </c>
      <c r="W41" s="8">
        <f t="shared" si="9"/>
        <v>0</v>
      </c>
      <c r="X41" s="8">
        <f t="shared" si="9"/>
        <v>0</v>
      </c>
      <c r="Y41" s="8">
        <f t="shared" si="9"/>
        <v>0</v>
      </c>
    </row>
    <row r="42" spans="1:25" s="64" customFormat="1" ht="18.75" thickTop="1" thickBot="1" x14ac:dyDescent="0.35">
      <c r="A42" s="16" t="s">
        <v>159</v>
      </c>
      <c r="B42" s="10">
        <f>14000000*1.1</f>
        <v>15400000.000000002</v>
      </c>
      <c r="D42" s="8">
        <f>IF(D78&lt;C78,$B42,0)</f>
        <v>15400000.000000002</v>
      </c>
      <c r="E42" s="8">
        <f t="shared" ref="E42:Y42" si="10">IF(E78&lt;D78,$B42,0)</f>
        <v>0</v>
      </c>
      <c r="F42" s="8">
        <f t="shared" si="10"/>
        <v>0</v>
      </c>
      <c r="G42" s="8">
        <f t="shared" si="10"/>
        <v>0</v>
      </c>
      <c r="H42" s="8">
        <f t="shared" si="10"/>
        <v>15400000.000000002</v>
      </c>
      <c r="I42" s="8">
        <f t="shared" si="10"/>
        <v>0</v>
      </c>
      <c r="J42" s="8">
        <f t="shared" si="10"/>
        <v>0</v>
      </c>
      <c r="K42" s="8">
        <f t="shared" si="10"/>
        <v>0</v>
      </c>
      <c r="L42" s="8">
        <f t="shared" si="10"/>
        <v>15400000.000000002</v>
      </c>
      <c r="M42" s="8">
        <f t="shared" si="10"/>
        <v>0</v>
      </c>
      <c r="N42" s="8">
        <f t="shared" si="10"/>
        <v>0</v>
      </c>
      <c r="O42" s="8">
        <f t="shared" si="10"/>
        <v>0</v>
      </c>
      <c r="P42" s="8">
        <f t="shared" si="10"/>
        <v>15400000.000000002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8">
        <f t="shared" si="10"/>
        <v>0</v>
      </c>
      <c r="U42" s="8">
        <f t="shared" si="10"/>
        <v>15400000.000000002</v>
      </c>
      <c r="V42" s="8">
        <f t="shared" si="10"/>
        <v>0</v>
      </c>
      <c r="W42" s="8">
        <f t="shared" si="10"/>
        <v>0</v>
      </c>
      <c r="X42" s="8">
        <f t="shared" si="10"/>
        <v>0</v>
      </c>
      <c r="Y42" s="8">
        <f t="shared" si="10"/>
        <v>15400000.000000002</v>
      </c>
    </row>
    <row r="43" spans="1:25" s="64" customFormat="1" ht="15.75" thickTop="1" x14ac:dyDescent="0.25"/>
    <row r="44" spans="1:25" ht="20.25" thickBot="1" x14ac:dyDescent="0.35">
      <c r="A44" s="62" t="s">
        <v>172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ht="18.75" thickTop="1" thickBot="1" x14ac:dyDescent="0.35">
      <c r="A45" s="16" t="str">
        <f>A38</f>
        <v>Replace All IGBTs and Equipment</v>
      </c>
      <c r="C45" s="19">
        <f>B25</f>
        <v>45</v>
      </c>
      <c r="D45" s="8">
        <f>$B$34*($B$22-D75)</f>
        <v>528000</v>
      </c>
      <c r="E45" s="8">
        <f t="shared" ref="E45:Y46" si="11">$B$34*($B$22-E75)</f>
        <v>528000</v>
      </c>
      <c r="F45" s="8">
        <f t="shared" si="11"/>
        <v>528000</v>
      </c>
      <c r="G45" s="8">
        <f t="shared" si="11"/>
        <v>528000</v>
      </c>
      <c r="H45" s="8">
        <f t="shared" si="11"/>
        <v>528000</v>
      </c>
      <c r="I45" s="8">
        <f t="shared" si="11"/>
        <v>528000</v>
      </c>
      <c r="J45" s="8">
        <f t="shared" si="11"/>
        <v>528000</v>
      </c>
      <c r="K45" s="8">
        <f t="shared" si="11"/>
        <v>528000</v>
      </c>
      <c r="L45" s="8">
        <f t="shared" si="11"/>
        <v>528000</v>
      </c>
      <c r="M45" s="8">
        <f t="shared" si="11"/>
        <v>528000</v>
      </c>
      <c r="N45" s="8">
        <f t="shared" si="11"/>
        <v>528000</v>
      </c>
      <c r="O45" s="8">
        <f t="shared" si="11"/>
        <v>528000</v>
      </c>
      <c r="P45" s="8">
        <f t="shared" si="11"/>
        <v>528000</v>
      </c>
      <c r="Q45" s="8">
        <f t="shared" si="11"/>
        <v>528000</v>
      </c>
      <c r="R45" s="8">
        <f t="shared" si="11"/>
        <v>528000</v>
      </c>
      <c r="S45" s="8">
        <f t="shared" si="11"/>
        <v>528000</v>
      </c>
      <c r="T45" s="8">
        <f t="shared" si="11"/>
        <v>528000</v>
      </c>
      <c r="U45" s="8">
        <f t="shared" si="11"/>
        <v>528000</v>
      </c>
      <c r="V45" s="8">
        <f t="shared" si="11"/>
        <v>528000</v>
      </c>
      <c r="W45" s="8">
        <f t="shared" si="11"/>
        <v>528000</v>
      </c>
      <c r="X45" s="8">
        <f t="shared" si="11"/>
        <v>528000</v>
      </c>
      <c r="Y45" s="8">
        <f t="shared" si="11"/>
        <v>528000</v>
      </c>
    </row>
    <row r="46" spans="1:25" ht="18.75" thickTop="1" thickBot="1" x14ac:dyDescent="0.35">
      <c r="A46" s="16" t="str">
        <f t="shared" ref="A46:A49" si="12">A39</f>
        <v>Staged Replacement Building</v>
      </c>
      <c r="C46" s="19">
        <f>C45</f>
        <v>45</v>
      </c>
      <c r="D46" s="8">
        <f t="shared" ref="D46:S46" si="13">$B$34*($B$22-D76)</f>
        <v>105600</v>
      </c>
      <c r="E46" s="8">
        <f t="shared" si="13"/>
        <v>105600</v>
      </c>
      <c r="F46" s="8">
        <f t="shared" si="13"/>
        <v>105600</v>
      </c>
      <c r="G46" s="8">
        <f t="shared" si="13"/>
        <v>105600</v>
      </c>
      <c r="H46" s="8">
        <f t="shared" si="13"/>
        <v>105600</v>
      </c>
      <c r="I46" s="8">
        <f t="shared" si="13"/>
        <v>105600</v>
      </c>
      <c r="J46" s="8">
        <f t="shared" si="13"/>
        <v>105600</v>
      </c>
      <c r="K46" s="8">
        <f t="shared" si="13"/>
        <v>105600</v>
      </c>
      <c r="L46" s="8">
        <f t="shared" si="13"/>
        <v>105600</v>
      </c>
      <c r="M46" s="8">
        <f t="shared" si="13"/>
        <v>105600</v>
      </c>
      <c r="N46" s="8">
        <f t="shared" si="13"/>
        <v>105600</v>
      </c>
      <c r="O46" s="8">
        <f t="shared" si="13"/>
        <v>105600</v>
      </c>
      <c r="P46" s="8">
        <f t="shared" si="13"/>
        <v>211200</v>
      </c>
      <c r="Q46" s="8">
        <f t="shared" si="13"/>
        <v>211200</v>
      </c>
      <c r="R46" s="8">
        <f t="shared" si="13"/>
        <v>211200</v>
      </c>
      <c r="S46" s="8">
        <f t="shared" si="13"/>
        <v>211200</v>
      </c>
      <c r="T46" s="8">
        <f t="shared" si="11"/>
        <v>211200</v>
      </c>
      <c r="U46" s="8">
        <f t="shared" si="11"/>
        <v>211200</v>
      </c>
      <c r="V46" s="8">
        <f t="shared" si="11"/>
        <v>211200</v>
      </c>
      <c r="W46" s="8">
        <f t="shared" si="11"/>
        <v>211200</v>
      </c>
      <c r="X46" s="8">
        <f t="shared" si="11"/>
        <v>211200</v>
      </c>
      <c r="Y46" s="8">
        <f t="shared" si="11"/>
        <v>211200</v>
      </c>
    </row>
    <row r="47" spans="1:25" ht="18.75" thickTop="1" thickBot="1" x14ac:dyDescent="0.35">
      <c r="A47" s="16" t="str">
        <f t="shared" si="12"/>
        <v>Capex replacement contract</v>
      </c>
      <c r="D47" s="8">
        <f>D46</f>
        <v>105600</v>
      </c>
      <c r="E47" s="8">
        <f t="shared" ref="E47:Y47" si="14">E46</f>
        <v>105600</v>
      </c>
      <c r="F47" s="8">
        <f t="shared" si="14"/>
        <v>105600</v>
      </c>
      <c r="G47" s="8">
        <f t="shared" si="14"/>
        <v>105600</v>
      </c>
      <c r="H47" s="8">
        <f t="shared" si="14"/>
        <v>105600</v>
      </c>
      <c r="I47" s="8">
        <f t="shared" si="14"/>
        <v>105600</v>
      </c>
      <c r="J47" s="8">
        <f t="shared" si="14"/>
        <v>105600</v>
      </c>
      <c r="K47" s="8">
        <f t="shared" si="14"/>
        <v>105600</v>
      </c>
      <c r="L47" s="8">
        <f t="shared" si="14"/>
        <v>105600</v>
      </c>
      <c r="M47" s="8">
        <f t="shared" si="14"/>
        <v>105600</v>
      </c>
      <c r="N47" s="8">
        <f t="shared" si="14"/>
        <v>105600</v>
      </c>
      <c r="O47" s="8">
        <f t="shared" si="14"/>
        <v>105600</v>
      </c>
      <c r="P47" s="8">
        <f t="shared" si="14"/>
        <v>211200</v>
      </c>
      <c r="Q47" s="8">
        <f t="shared" si="14"/>
        <v>211200</v>
      </c>
      <c r="R47" s="8">
        <f t="shared" si="14"/>
        <v>211200</v>
      </c>
      <c r="S47" s="8">
        <f t="shared" si="14"/>
        <v>211200</v>
      </c>
      <c r="T47" s="8">
        <f t="shared" si="14"/>
        <v>211200</v>
      </c>
      <c r="U47" s="8">
        <f t="shared" si="14"/>
        <v>211200</v>
      </c>
      <c r="V47" s="8">
        <f t="shared" si="14"/>
        <v>211200</v>
      </c>
      <c r="W47" s="8">
        <f t="shared" si="14"/>
        <v>211200</v>
      </c>
      <c r="X47" s="8">
        <f t="shared" si="14"/>
        <v>211200</v>
      </c>
      <c r="Y47" s="8">
        <f t="shared" si="14"/>
        <v>211200</v>
      </c>
    </row>
    <row r="48" spans="1:25" ht="18.75" thickTop="1" thickBot="1" x14ac:dyDescent="0.35">
      <c r="A48" s="16" t="str">
        <f t="shared" si="12"/>
        <v>Cannibalise</v>
      </c>
      <c r="B48" s="10">
        <v>0</v>
      </c>
      <c r="C48" s="19">
        <f>C46</f>
        <v>45</v>
      </c>
      <c r="D48" s="8">
        <f>$B$48</f>
        <v>0</v>
      </c>
      <c r="E48" s="8">
        <f t="shared" ref="E48:Y48" si="15">$B$48</f>
        <v>0</v>
      </c>
      <c r="F48" s="8">
        <f t="shared" si="15"/>
        <v>0</v>
      </c>
      <c r="G48" s="8">
        <f t="shared" si="15"/>
        <v>0</v>
      </c>
      <c r="H48" s="8">
        <f t="shared" si="15"/>
        <v>0</v>
      </c>
      <c r="I48" s="8">
        <f t="shared" si="15"/>
        <v>0</v>
      </c>
      <c r="J48" s="8">
        <f t="shared" si="15"/>
        <v>0</v>
      </c>
      <c r="K48" s="8">
        <f t="shared" si="15"/>
        <v>0</v>
      </c>
      <c r="L48" s="8">
        <f t="shared" si="15"/>
        <v>0</v>
      </c>
      <c r="M48" s="8">
        <f t="shared" si="15"/>
        <v>0</v>
      </c>
      <c r="N48" s="8">
        <f t="shared" si="15"/>
        <v>0</v>
      </c>
      <c r="O48" s="8">
        <f t="shared" si="15"/>
        <v>0</v>
      </c>
      <c r="P48" s="8">
        <f t="shared" si="15"/>
        <v>0</v>
      </c>
      <c r="Q48" s="8">
        <f t="shared" si="15"/>
        <v>0</v>
      </c>
      <c r="R48" s="8">
        <f t="shared" si="15"/>
        <v>0</v>
      </c>
      <c r="S48" s="8">
        <f t="shared" si="15"/>
        <v>0</v>
      </c>
      <c r="T48" s="8">
        <f t="shared" si="15"/>
        <v>0</v>
      </c>
      <c r="U48" s="8">
        <f t="shared" si="15"/>
        <v>0</v>
      </c>
      <c r="V48" s="8">
        <f t="shared" si="15"/>
        <v>0</v>
      </c>
      <c r="W48" s="8">
        <f t="shared" si="15"/>
        <v>0</v>
      </c>
      <c r="X48" s="8">
        <f t="shared" si="15"/>
        <v>0</v>
      </c>
      <c r="Y48" s="8">
        <f t="shared" si="15"/>
        <v>0</v>
      </c>
    </row>
    <row r="49" spans="1:27" s="64" customFormat="1" ht="18.75" thickTop="1" thickBot="1" x14ac:dyDescent="0.35">
      <c r="A49" s="16" t="str">
        <f t="shared" si="12"/>
        <v>Staged Replacement Phase</v>
      </c>
      <c r="C49" s="19">
        <f>C46</f>
        <v>45</v>
      </c>
      <c r="D49" s="8">
        <f>$B$34*($B$22-D78)</f>
        <v>35200</v>
      </c>
      <c r="E49" s="8">
        <f t="shared" ref="E49:Y49" si="16">$B$34*($B$22-E78)</f>
        <v>35200</v>
      </c>
      <c r="F49" s="8">
        <f t="shared" si="16"/>
        <v>35200</v>
      </c>
      <c r="G49" s="8">
        <f t="shared" si="16"/>
        <v>35200</v>
      </c>
      <c r="H49" s="8">
        <f t="shared" si="16"/>
        <v>70400</v>
      </c>
      <c r="I49" s="8">
        <f t="shared" si="16"/>
        <v>70400</v>
      </c>
      <c r="J49" s="8">
        <f t="shared" si="16"/>
        <v>70400</v>
      </c>
      <c r="K49" s="8">
        <f t="shared" si="16"/>
        <v>70400</v>
      </c>
      <c r="L49" s="8">
        <f t="shared" si="16"/>
        <v>105600</v>
      </c>
      <c r="M49" s="8">
        <f t="shared" si="16"/>
        <v>105600</v>
      </c>
      <c r="N49" s="8">
        <f t="shared" si="16"/>
        <v>105600</v>
      </c>
      <c r="O49" s="8">
        <f t="shared" si="16"/>
        <v>105600</v>
      </c>
      <c r="P49" s="8">
        <f t="shared" si="16"/>
        <v>140800</v>
      </c>
      <c r="Q49" s="8">
        <f t="shared" si="16"/>
        <v>140800</v>
      </c>
      <c r="R49" s="8">
        <f t="shared" si="16"/>
        <v>140800</v>
      </c>
      <c r="S49" s="8">
        <f t="shared" si="16"/>
        <v>140800</v>
      </c>
      <c r="T49" s="8">
        <f t="shared" si="16"/>
        <v>140800</v>
      </c>
      <c r="U49" s="8">
        <f t="shared" si="16"/>
        <v>176000</v>
      </c>
      <c r="V49" s="8">
        <f t="shared" si="16"/>
        <v>176000</v>
      </c>
      <c r="W49" s="8">
        <f t="shared" si="16"/>
        <v>176000</v>
      </c>
      <c r="X49" s="8">
        <f t="shared" si="16"/>
        <v>176000</v>
      </c>
      <c r="Y49" s="8">
        <f t="shared" si="16"/>
        <v>211200</v>
      </c>
    </row>
    <row r="50" spans="1:27" s="57" customFormat="1" ht="15.75" thickTop="1" x14ac:dyDescent="0.25"/>
    <row r="51" spans="1:27" ht="20.25" thickBot="1" x14ac:dyDescent="0.35">
      <c r="A51" s="62" t="s">
        <v>114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57"/>
    </row>
    <row r="52" spans="1:27" ht="18.75" thickTop="1" thickBot="1" x14ac:dyDescent="0.35">
      <c r="A52" s="16" t="s">
        <v>80</v>
      </c>
      <c r="B52" s="8">
        <f>B55-SUM(B53:B54)</f>
        <v>402723372.01533258</v>
      </c>
      <c r="D52" s="7">
        <f>B52</f>
        <v>402723372.01533258</v>
      </c>
      <c r="E52" s="7">
        <f>D52</f>
        <v>402723372.01533258</v>
      </c>
      <c r="F52" s="7">
        <f t="shared" ref="F52:I52" si="17">E52</f>
        <v>402723372.01533258</v>
      </c>
      <c r="G52" s="7">
        <f t="shared" si="17"/>
        <v>402723372.01533258</v>
      </c>
      <c r="H52" s="7">
        <f t="shared" si="17"/>
        <v>402723372.01533258</v>
      </c>
      <c r="I52" s="7">
        <f t="shared" si="17"/>
        <v>402723372.01533258</v>
      </c>
      <c r="J52" s="7">
        <f t="shared" ref="J52:Y52" si="18">I52</f>
        <v>402723372.01533258</v>
      </c>
      <c r="K52" s="7">
        <f t="shared" si="18"/>
        <v>402723372.01533258</v>
      </c>
      <c r="L52" s="7">
        <f t="shared" si="18"/>
        <v>402723372.01533258</v>
      </c>
      <c r="M52" s="7">
        <f t="shared" si="18"/>
        <v>402723372.01533258</v>
      </c>
      <c r="N52" s="7">
        <f t="shared" si="18"/>
        <v>402723372.01533258</v>
      </c>
      <c r="O52" s="7">
        <f t="shared" si="18"/>
        <v>402723372.01533258</v>
      </c>
      <c r="P52" s="7">
        <f t="shared" si="18"/>
        <v>402723372.01533258</v>
      </c>
      <c r="Q52" s="7">
        <f t="shared" si="18"/>
        <v>402723372.01533258</v>
      </c>
      <c r="R52" s="7">
        <f t="shared" si="18"/>
        <v>402723372.01533258</v>
      </c>
      <c r="S52" s="7">
        <f t="shared" si="18"/>
        <v>402723372.01533258</v>
      </c>
      <c r="T52" s="7">
        <f t="shared" si="18"/>
        <v>402723372.01533258</v>
      </c>
      <c r="U52" s="7">
        <f t="shared" si="18"/>
        <v>402723372.01533258</v>
      </c>
      <c r="V52" s="7">
        <f t="shared" si="18"/>
        <v>402723372.01533258</v>
      </c>
      <c r="W52" s="7">
        <f t="shared" si="18"/>
        <v>402723372.01533258</v>
      </c>
      <c r="X52" s="7">
        <f t="shared" si="18"/>
        <v>402723372.01533258</v>
      </c>
      <c r="Y52" s="7">
        <f t="shared" si="18"/>
        <v>402723372.01533258</v>
      </c>
      <c r="Z52" s="57"/>
    </row>
    <row r="53" spans="1:27" s="45" customFormat="1" ht="18.75" thickTop="1" thickBot="1" x14ac:dyDescent="0.35">
      <c r="A53" s="16" t="s">
        <v>81</v>
      </c>
      <c r="B53" s="8">
        <v>195618976.03284374</v>
      </c>
      <c r="D53" s="7">
        <f>B53</f>
        <v>195618976.03284374</v>
      </c>
      <c r="E53" s="7">
        <f t="shared" ref="E53:I54" si="19">D53</f>
        <v>195618976.03284374</v>
      </c>
      <c r="F53" s="7">
        <f t="shared" si="19"/>
        <v>195618976.03284374</v>
      </c>
      <c r="G53" s="7">
        <f t="shared" si="19"/>
        <v>195618976.03284374</v>
      </c>
      <c r="H53" s="7">
        <f t="shared" si="19"/>
        <v>195618976.03284374</v>
      </c>
      <c r="I53" s="7">
        <f t="shared" si="19"/>
        <v>195618976.03284374</v>
      </c>
      <c r="J53" s="7">
        <f t="shared" ref="J53:Y53" si="20">I53</f>
        <v>195618976.03284374</v>
      </c>
      <c r="K53" s="7">
        <f t="shared" si="20"/>
        <v>195618976.03284374</v>
      </c>
      <c r="L53" s="7">
        <f t="shared" si="20"/>
        <v>195618976.03284374</v>
      </c>
      <c r="M53" s="7">
        <f t="shared" si="20"/>
        <v>195618976.03284374</v>
      </c>
      <c r="N53" s="7">
        <f t="shared" si="20"/>
        <v>195618976.03284374</v>
      </c>
      <c r="O53" s="7">
        <f t="shared" si="20"/>
        <v>195618976.03284374</v>
      </c>
      <c r="P53" s="7">
        <f t="shared" si="20"/>
        <v>195618976.03284374</v>
      </c>
      <c r="Q53" s="7">
        <f t="shared" si="20"/>
        <v>195618976.03284374</v>
      </c>
      <c r="R53" s="7">
        <f t="shared" si="20"/>
        <v>195618976.03284374</v>
      </c>
      <c r="S53" s="7">
        <f t="shared" si="20"/>
        <v>195618976.03284374</v>
      </c>
      <c r="T53" s="7">
        <f t="shared" si="20"/>
        <v>195618976.03284374</v>
      </c>
      <c r="U53" s="7">
        <f t="shared" si="20"/>
        <v>195618976.03284374</v>
      </c>
      <c r="V53" s="7">
        <f t="shared" si="20"/>
        <v>195618976.03284374</v>
      </c>
      <c r="W53" s="7">
        <f t="shared" si="20"/>
        <v>195618976.03284374</v>
      </c>
      <c r="X53" s="7">
        <f t="shared" si="20"/>
        <v>195618976.03284374</v>
      </c>
      <c r="Y53" s="7">
        <f t="shared" si="20"/>
        <v>195618976.03284374</v>
      </c>
      <c r="Z53" s="57"/>
    </row>
    <row r="54" spans="1:27" s="45" customFormat="1" ht="18.75" thickTop="1" thickBot="1" x14ac:dyDescent="0.35">
      <c r="A54" s="16" t="s">
        <v>82</v>
      </c>
      <c r="B54" s="8">
        <v>37140699.26098495</v>
      </c>
      <c r="D54" s="7">
        <f>B54</f>
        <v>37140699.26098495</v>
      </c>
      <c r="E54" s="7">
        <f t="shared" si="19"/>
        <v>37140699.26098495</v>
      </c>
      <c r="F54" s="7">
        <f t="shared" si="19"/>
        <v>37140699.26098495</v>
      </c>
      <c r="G54" s="7">
        <f t="shared" si="19"/>
        <v>37140699.26098495</v>
      </c>
      <c r="H54" s="7">
        <f t="shared" si="19"/>
        <v>37140699.26098495</v>
      </c>
      <c r="I54" s="7">
        <f t="shared" si="19"/>
        <v>37140699.26098495</v>
      </c>
      <c r="J54" s="7">
        <f t="shared" ref="J54:Y54" si="21">I54</f>
        <v>37140699.26098495</v>
      </c>
      <c r="K54" s="7">
        <f t="shared" si="21"/>
        <v>37140699.26098495</v>
      </c>
      <c r="L54" s="7">
        <f t="shared" si="21"/>
        <v>37140699.26098495</v>
      </c>
      <c r="M54" s="7">
        <f t="shared" si="21"/>
        <v>37140699.26098495</v>
      </c>
      <c r="N54" s="7">
        <f t="shared" si="21"/>
        <v>37140699.26098495</v>
      </c>
      <c r="O54" s="7">
        <f t="shared" si="21"/>
        <v>37140699.26098495</v>
      </c>
      <c r="P54" s="7">
        <f t="shared" si="21"/>
        <v>37140699.26098495</v>
      </c>
      <c r="Q54" s="7">
        <f t="shared" si="21"/>
        <v>37140699.26098495</v>
      </c>
      <c r="R54" s="7">
        <f t="shared" si="21"/>
        <v>37140699.26098495</v>
      </c>
      <c r="S54" s="7">
        <f t="shared" si="21"/>
        <v>37140699.26098495</v>
      </c>
      <c r="T54" s="7">
        <f t="shared" si="21"/>
        <v>37140699.26098495</v>
      </c>
      <c r="U54" s="7">
        <f t="shared" si="21"/>
        <v>37140699.26098495</v>
      </c>
      <c r="V54" s="7">
        <f t="shared" si="21"/>
        <v>37140699.26098495</v>
      </c>
      <c r="W54" s="7">
        <f t="shared" si="21"/>
        <v>37140699.26098495</v>
      </c>
      <c r="X54" s="7">
        <f t="shared" si="21"/>
        <v>37140699.26098495</v>
      </c>
      <c r="Y54" s="7">
        <f t="shared" si="21"/>
        <v>37140699.26098495</v>
      </c>
      <c r="Z54" s="57"/>
    </row>
    <row r="55" spans="1:27" s="57" customFormat="1" ht="15.75" thickTop="1" x14ac:dyDescent="0.25">
      <c r="A55" s="64"/>
      <c r="B55" s="10">
        <v>635483047.30916131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7" ht="20.25" thickBot="1" x14ac:dyDescent="0.35">
      <c r="A56" s="62" t="s">
        <v>115</v>
      </c>
      <c r="C56" s="47"/>
      <c r="D56" s="63"/>
      <c r="E56" s="63"/>
      <c r="F56" s="63"/>
      <c r="G56" s="63"/>
      <c r="H56" s="63"/>
      <c r="I56" s="63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1:27" s="54" customFormat="1" ht="18.75" thickTop="1" thickBot="1" x14ac:dyDescent="0.35">
      <c r="A57" s="16" t="str">
        <f>A45</f>
        <v>Replace All IGBTs and Equipment</v>
      </c>
      <c r="D57" s="8">
        <f>IF(D75&lt;C75,1000000,0)</f>
        <v>1000000</v>
      </c>
      <c r="E57" s="8">
        <f>IF(E75&lt;D75,1000000,0)</f>
        <v>0</v>
      </c>
      <c r="F57" s="8">
        <f>IF(F75&lt;E75,1000000,0)</f>
        <v>0</v>
      </c>
      <c r="G57" s="8">
        <f t="shared" ref="G57:Y57" si="22">IF(G75&lt;F75,1000000,0)</f>
        <v>0</v>
      </c>
      <c r="H57" s="8">
        <f t="shared" si="22"/>
        <v>0</v>
      </c>
      <c r="I57" s="8">
        <f t="shared" si="22"/>
        <v>0</v>
      </c>
      <c r="J57" s="8">
        <f t="shared" si="22"/>
        <v>0</v>
      </c>
      <c r="K57" s="8">
        <f t="shared" si="22"/>
        <v>0</v>
      </c>
      <c r="L57" s="8">
        <f t="shared" si="22"/>
        <v>0</v>
      </c>
      <c r="M57" s="8">
        <f t="shared" si="22"/>
        <v>0</v>
      </c>
      <c r="N57" s="8">
        <f t="shared" si="22"/>
        <v>0</v>
      </c>
      <c r="O57" s="8">
        <f t="shared" si="22"/>
        <v>0</v>
      </c>
      <c r="P57" s="8">
        <f t="shared" si="22"/>
        <v>0</v>
      </c>
      <c r="Q57" s="8">
        <f t="shared" si="22"/>
        <v>0</v>
      </c>
      <c r="R57" s="8">
        <f t="shared" si="22"/>
        <v>0</v>
      </c>
      <c r="S57" s="8">
        <f t="shared" si="22"/>
        <v>0</v>
      </c>
      <c r="T57" s="8">
        <f t="shared" si="22"/>
        <v>0</v>
      </c>
      <c r="U57" s="8">
        <f t="shared" si="22"/>
        <v>0</v>
      </c>
      <c r="V57" s="8">
        <f t="shared" si="22"/>
        <v>0</v>
      </c>
      <c r="W57" s="8">
        <f t="shared" si="22"/>
        <v>0</v>
      </c>
      <c r="X57" s="8">
        <f t="shared" si="22"/>
        <v>0</v>
      </c>
      <c r="Y57" s="8">
        <f t="shared" si="22"/>
        <v>0</v>
      </c>
    </row>
    <row r="58" spans="1:27" ht="18.75" thickTop="1" thickBot="1" x14ac:dyDescent="0.35">
      <c r="A58" s="16" t="str">
        <f>A46</f>
        <v>Staged Replacement Building</v>
      </c>
      <c r="D58" s="8">
        <f t="shared" ref="D58:Y58" si="23">IF(D76&lt;C76,$B$16*$B$35,0)</f>
        <v>592</v>
      </c>
      <c r="E58" s="8">
        <f t="shared" si="23"/>
        <v>0</v>
      </c>
      <c r="F58" s="8">
        <f t="shared" si="23"/>
        <v>0</v>
      </c>
      <c r="G58" s="8">
        <f t="shared" si="23"/>
        <v>0</v>
      </c>
      <c r="H58" s="8">
        <f t="shared" si="23"/>
        <v>0</v>
      </c>
      <c r="I58" s="8">
        <f t="shared" si="23"/>
        <v>0</v>
      </c>
      <c r="J58" s="8">
        <f t="shared" si="23"/>
        <v>0</v>
      </c>
      <c r="K58" s="8">
        <f t="shared" si="23"/>
        <v>0</v>
      </c>
      <c r="L58" s="8">
        <f t="shared" si="23"/>
        <v>0</v>
      </c>
      <c r="M58" s="8">
        <f t="shared" si="23"/>
        <v>0</v>
      </c>
      <c r="N58" s="8">
        <f t="shared" si="23"/>
        <v>0</v>
      </c>
      <c r="O58" s="8">
        <f t="shared" si="23"/>
        <v>0</v>
      </c>
      <c r="P58" s="8">
        <f t="shared" si="23"/>
        <v>592</v>
      </c>
      <c r="Q58" s="8">
        <f t="shared" si="23"/>
        <v>0</v>
      </c>
      <c r="R58" s="8">
        <f t="shared" si="23"/>
        <v>0</v>
      </c>
      <c r="S58" s="8">
        <f t="shared" si="23"/>
        <v>0</v>
      </c>
      <c r="T58" s="8">
        <f t="shared" si="23"/>
        <v>0</v>
      </c>
      <c r="U58" s="8">
        <f t="shared" si="23"/>
        <v>0</v>
      </c>
      <c r="V58" s="8">
        <f t="shared" si="23"/>
        <v>0</v>
      </c>
      <c r="W58" s="8">
        <f t="shared" si="23"/>
        <v>0</v>
      </c>
      <c r="X58" s="8">
        <f t="shared" si="23"/>
        <v>0</v>
      </c>
      <c r="Y58" s="8">
        <f t="shared" si="23"/>
        <v>0</v>
      </c>
    </row>
    <row r="59" spans="1:27" ht="18.75" thickTop="1" thickBot="1" x14ac:dyDescent="0.35">
      <c r="A59" s="16" t="str">
        <f>A48</f>
        <v>Cannibalise</v>
      </c>
      <c r="D59" s="8">
        <f t="shared" ref="D59:Y59" si="24">IF(D77&lt;C77,$B$16*$B$35*2,0)</f>
        <v>1184</v>
      </c>
      <c r="E59" s="8">
        <f t="shared" si="24"/>
        <v>0</v>
      </c>
      <c r="F59" s="8">
        <f t="shared" si="24"/>
        <v>0</v>
      </c>
      <c r="G59" s="8">
        <f t="shared" si="24"/>
        <v>0</v>
      </c>
      <c r="H59" s="8">
        <f t="shared" si="24"/>
        <v>0</v>
      </c>
      <c r="I59" s="8">
        <f t="shared" si="24"/>
        <v>0</v>
      </c>
      <c r="J59" s="8">
        <f t="shared" si="24"/>
        <v>0</v>
      </c>
      <c r="K59" s="8">
        <f t="shared" si="24"/>
        <v>0</v>
      </c>
      <c r="L59" s="8">
        <f t="shared" si="24"/>
        <v>0</v>
      </c>
      <c r="M59" s="8">
        <f t="shared" si="24"/>
        <v>0</v>
      </c>
      <c r="N59" s="8">
        <f t="shared" si="24"/>
        <v>0</v>
      </c>
      <c r="O59" s="8">
        <f t="shared" si="24"/>
        <v>0</v>
      </c>
      <c r="P59" s="8">
        <f t="shared" si="24"/>
        <v>0</v>
      </c>
      <c r="Q59" s="8">
        <f t="shared" si="24"/>
        <v>0</v>
      </c>
      <c r="R59" s="8">
        <f t="shared" si="24"/>
        <v>0</v>
      </c>
      <c r="S59" s="8">
        <f t="shared" si="24"/>
        <v>0</v>
      </c>
      <c r="T59" s="8">
        <f t="shared" si="24"/>
        <v>0</v>
      </c>
      <c r="U59" s="8">
        <f t="shared" si="24"/>
        <v>0</v>
      </c>
      <c r="V59" s="8">
        <f t="shared" si="24"/>
        <v>0</v>
      </c>
      <c r="W59" s="8">
        <f t="shared" si="24"/>
        <v>0</v>
      </c>
      <c r="X59" s="8">
        <f t="shared" si="24"/>
        <v>0</v>
      </c>
      <c r="Y59" s="8">
        <f t="shared" si="24"/>
        <v>0</v>
      </c>
    </row>
    <row r="60" spans="1:27" s="64" customFormat="1" ht="18.75" thickTop="1" thickBot="1" x14ac:dyDescent="0.35">
      <c r="A60" s="16" t="str">
        <f>A49</f>
        <v>Staged Replacement Phase</v>
      </c>
      <c r="D60" s="8">
        <f>IF(D78&lt;C78,$B$13*$B$35,0)</f>
        <v>197.33333333333331</v>
      </c>
      <c r="E60" s="8">
        <f t="shared" ref="E60:Y60" si="25">IF(E78&lt;D78,$B$13*$B$35,0)</f>
        <v>0</v>
      </c>
      <c r="F60" s="8">
        <f t="shared" si="25"/>
        <v>0</v>
      </c>
      <c r="G60" s="8">
        <f t="shared" si="25"/>
        <v>0</v>
      </c>
      <c r="H60" s="8">
        <f t="shared" si="25"/>
        <v>197.33333333333331</v>
      </c>
      <c r="I60" s="8">
        <f t="shared" si="25"/>
        <v>0</v>
      </c>
      <c r="J60" s="8">
        <f t="shared" si="25"/>
        <v>0</v>
      </c>
      <c r="K60" s="8">
        <f t="shared" si="25"/>
        <v>0</v>
      </c>
      <c r="L60" s="8">
        <f t="shared" si="25"/>
        <v>197.33333333333331</v>
      </c>
      <c r="M60" s="8">
        <f t="shared" si="25"/>
        <v>0</v>
      </c>
      <c r="N60" s="8">
        <f t="shared" si="25"/>
        <v>0</v>
      </c>
      <c r="O60" s="8">
        <f t="shared" si="25"/>
        <v>0</v>
      </c>
      <c r="P60" s="8">
        <f t="shared" si="25"/>
        <v>197.33333333333331</v>
      </c>
      <c r="Q60" s="8">
        <f t="shared" si="25"/>
        <v>0</v>
      </c>
      <c r="R60" s="8">
        <f t="shared" si="25"/>
        <v>0</v>
      </c>
      <c r="S60" s="8">
        <f t="shared" si="25"/>
        <v>0</v>
      </c>
      <c r="T60" s="8">
        <f t="shared" si="25"/>
        <v>0</v>
      </c>
      <c r="U60" s="8">
        <f t="shared" si="25"/>
        <v>197.33333333333331</v>
      </c>
      <c r="V60" s="8">
        <f t="shared" si="25"/>
        <v>0</v>
      </c>
      <c r="W60" s="8">
        <f t="shared" si="25"/>
        <v>0</v>
      </c>
      <c r="X60" s="8">
        <f t="shared" si="25"/>
        <v>0</v>
      </c>
      <c r="Y60" s="8">
        <f t="shared" si="25"/>
        <v>197.33333333333331</v>
      </c>
    </row>
    <row r="61" spans="1:27" s="57" customFormat="1" ht="15.75" thickTop="1" x14ac:dyDescent="0.25">
      <c r="A61" s="64"/>
      <c r="B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</row>
    <row r="62" spans="1:27" s="57" customFormat="1" ht="20.25" thickBot="1" x14ac:dyDescent="0.35">
      <c r="A62" s="47" t="s">
        <v>116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7" s="45" customFormat="1" ht="18.75" thickTop="1" thickBot="1" x14ac:dyDescent="0.35">
      <c r="A63" s="16" t="str">
        <f>A57</f>
        <v>Replace All IGBTs and Equipment</v>
      </c>
      <c r="C63" s="8">
        <f>$B$33</f>
        <v>4425</v>
      </c>
      <c r="D63" s="8">
        <f t="shared" ref="D63:Y63" si="26">C63-$B$25-(C75-D75)*$B$13+D57</f>
        <v>999940</v>
      </c>
      <c r="E63" s="8">
        <f t="shared" si="26"/>
        <v>999895</v>
      </c>
      <c r="F63" s="8">
        <f t="shared" si="26"/>
        <v>999850</v>
      </c>
      <c r="G63" s="8">
        <f t="shared" si="26"/>
        <v>999805</v>
      </c>
      <c r="H63" s="8">
        <f t="shared" si="26"/>
        <v>999760</v>
      </c>
      <c r="I63" s="8">
        <f t="shared" si="26"/>
        <v>999715</v>
      </c>
      <c r="J63" s="8">
        <f t="shared" si="26"/>
        <v>999670</v>
      </c>
      <c r="K63" s="8">
        <f t="shared" si="26"/>
        <v>999625</v>
      </c>
      <c r="L63" s="8">
        <f t="shared" si="26"/>
        <v>999580</v>
      </c>
      <c r="M63" s="8">
        <f t="shared" si="26"/>
        <v>999535</v>
      </c>
      <c r="N63" s="8">
        <f t="shared" si="26"/>
        <v>999490</v>
      </c>
      <c r="O63" s="8">
        <f t="shared" si="26"/>
        <v>999445</v>
      </c>
      <c r="P63" s="8">
        <f t="shared" si="26"/>
        <v>999400</v>
      </c>
      <c r="Q63" s="8">
        <f t="shared" si="26"/>
        <v>999355</v>
      </c>
      <c r="R63" s="8">
        <f t="shared" si="26"/>
        <v>999310</v>
      </c>
      <c r="S63" s="8">
        <f t="shared" si="26"/>
        <v>999265</v>
      </c>
      <c r="T63" s="8">
        <f t="shared" si="26"/>
        <v>999220</v>
      </c>
      <c r="U63" s="8">
        <f t="shared" si="26"/>
        <v>999175</v>
      </c>
      <c r="V63" s="8">
        <f t="shared" si="26"/>
        <v>999130</v>
      </c>
      <c r="W63" s="8">
        <f t="shared" si="26"/>
        <v>999085</v>
      </c>
      <c r="X63" s="8">
        <f t="shared" si="26"/>
        <v>999040</v>
      </c>
      <c r="Y63" s="8">
        <f t="shared" si="26"/>
        <v>998995</v>
      </c>
    </row>
    <row r="64" spans="1:27" ht="18.75" thickTop="1" thickBot="1" x14ac:dyDescent="0.35">
      <c r="A64" s="16" t="str">
        <f>A58</f>
        <v>Staged Replacement Building</v>
      </c>
      <c r="C64" s="8">
        <f t="shared" ref="C64:C66" si="27">$B$33</f>
        <v>4425</v>
      </c>
      <c r="D64" s="8">
        <f t="shared" ref="D64:Y64" si="28">C64-$B$25-(C76-D76)*$B$13+D58</f>
        <v>4084</v>
      </c>
      <c r="E64" s="8">
        <f t="shared" si="28"/>
        <v>4039</v>
      </c>
      <c r="F64" s="8">
        <f t="shared" si="28"/>
        <v>3994</v>
      </c>
      <c r="G64" s="8">
        <f t="shared" si="28"/>
        <v>3949</v>
      </c>
      <c r="H64" s="8">
        <f t="shared" si="28"/>
        <v>3904</v>
      </c>
      <c r="I64" s="8">
        <f t="shared" si="28"/>
        <v>3859</v>
      </c>
      <c r="J64" s="8">
        <f t="shared" si="28"/>
        <v>3814</v>
      </c>
      <c r="K64" s="8">
        <f t="shared" si="28"/>
        <v>3769</v>
      </c>
      <c r="L64" s="8">
        <f t="shared" si="28"/>
        <v>3724</v>
      </c>
      <c r="M64" s="8">
        <f t="shared" si="28"/>
        <v>3679</v>
      </c>
      <c r="N64" s="8">
        <f t="shared" si="28"/>
        <v>3634</v>
      </c>
      <c r="O64" s="8">
        <f t="shared" si="28"/>
        <v>3589</v>
      </c>
      <c r="P64" s="8">
        <f t="shared" si="28"/>
        <v>3248</v>
      </c>
      <c r="Q64" s="8">
        <f t="shared" si="28"/>
        <v>3203</v>
      </c>
      <c r="R64" s="8">
        <f t="shared" si="28"/>
        <v>3158</v>
      </c>
      <c r="S64" s="8">
        <f t="shared" si="28"/>
        <v>3113</v>
      </c>
      <c r="T64" s="8">
        <f t="shared" si="28"/>
        <v>3068</v>
      </c>
      <c r="U64" s="8">
        <f t="shared" si="28"/>
        <v>3023</v>
      </c>
      <c r="V64" s="8">
        <f t="shared" si="28"/>
        <v>2978</v>
      </c>
      <c r="W64" s="8">
        <f t="shared" si="28"/>
        <v>2933</v>
      </c>
      <c r="X64" s="8">
        <f t="shared" si="28"/>
        <v>2888</v>
      </c>
      <c r="Y64" s="8">
        <f t="shared" si="28"/>
        <v>2843</v>
      </c>
    </row>
    <row r="65" spans="1:25" ht="18.75" thickTop="1" thickBot="1" x14ac:dyDescent="0.35">
      <c r="A65" s="16" t="str">
        <f>A59</f>
        <v>Cannibalise</v>
      </c>
      <c r="C65" s="8">
        <f t="shared" si="27"/>
        <v>4425</v>
      </c>
      <c r="D65" s="8">
        <f t="shared" ref="D65:Y65" si="29">C65-$B$25-(C77-D77)*$B$13+D59</f>
        <v>3788</v>
      </c>
      <c r="E65" s="8">
        <f t="shared" si="29"/>
        <v>3743</v>
      </c>
      <c r="F65" s="8">
        <f t="shared" si="29"/>
        <v>3698</v>
      </c>
      <c r="G65" s="8">
        <f t="shared" si="29"/>
        <v>3653</v>
      </c>
      <c r="H65" s="8">
        <f t="shared" si="29"/>
        <v>3608</v>
      </c>
      <c r="I65" s="8">
        <f t="shared" si="29"/>
        <v>3563</v>
      </c>
      <c r="J65" s="8">
        <f t="shared" si="29"/>
        <v>3518</v>
      </c>
      <c r="K65" s="8">
        <f t="shared" si="29"/>
        <v>3473</v>
      </c>
      <c r="L65" s="8">
        <f t="shared" si="29"/>
        <v>3428</v>
      </c>
      <c r="M65" s="8">
        <f t="shared" si="29"/>
        <v>3383</v>
      </c>
      <c r="N65" s="8">
        <f t="shared" si="29"/>
        <v>3338</v>
      </c>
      <c r="O65" s="8">
        <f t="shared" si="29"/>
        <v>3293</v>
      </c>
      <c r="P65" s="8">
        <f t="shared" si="29"/>
        <v>3248</v>
      </c>
      <c r="Q65" s="8">
        <f t="shared" si="29"/>
        <v>3203</v>
      </c>
      <c r="R65" s="8">
        <f t="shared" si="29"/>
        <v>3158</v>
      </c>
      <c r="S65" s="8">
        <f t="shared" si="29"/>
        <v>3113</v>
      </c>
      <c r="T65" s="8">
        <f t="shared" si="29"/>
        <v>3068</v>
      </c>
      <c r="U65" s="8">
        <f t="shared" si="29"/>
        <v>3023</v>
      </c>
      <c r="V65" s="8">
        <f t="shared" si="29"/>
        <v>2978</v>
      </c>
      <c r="W65" s="8">
        <f t="shared" si="29"/>
        <v>2933</v>
      </c>
      <c r="X65" s="8">
        <f t="shared" si="29"/>
        <v>2888</v>
      </c>
      <c r="Y65" s="8">
        <f t="shared" si="29"/>
        <v>2843</v>
      </c>
    </row>
    <row r="66" spans="1:25" s="64" customFormat="1" ht="18.75" thickTop="1" thickBot="1" x14ac:dyDescent="0.35">
      <c r="A66" s="16" t="str">
        <f>A60</f>
        <v>Staged Replacement Phase</v>
      </c>
      <c r="C66" s="8">
        <f t="shared" si="27"/>
        <v>4425</v>
      </c>
      <c r="D66" s="8">
        <f t="shared" ref="D66:Y66" si="30">C66-$B$25-(C78-D78)*$B$13+D60</f>
        <v>4281.333333333333</v>
      </c>
      <c r="E66" s="8">
        <f t="shared" si="30"/>
        <v>4236.333333333333</v>
      </c>
      <c r="F66" s="8">
        <f t="shared" si="30"/>
        <v>4191.333333333333</v>
      </c>
      <c r="G66" s="8">
        <f t="shared" si="30"/>
        <v>4146.333333333333</v>
      </c>
      <c r="H66" s="8">
        <f t="shared" si="30"/>
        <v>4002.6666666666665</v>
      </c>
      <c r="I66" s="8">
        <f t="shared" si="30"/>
        <v>3957.6666666666665</v>
      </c>
      <c r="J66" s="8">
        <f t="shared" si="30"/>
        <v>3912.6666666666665</v>
      </c>
      <c r="K66" s="8">
        <f t="shared" si="30"/>
        <v>3867.6666666666665</v>
      </c>
      <c r="L66" s="8">
        <f t="shared" si="30"/>
        <v>3724</v>
      </c>
      <c r="M66" s="8">
        <f t="shared" si="30"/>
        <v>3679</v>
      </c>
      <c r="N66" s="8">
        <f t="shared" si="30"/>
        <v>3634</v>
      </c>
      <c r="O66" s="8">
        <f t="shared" si="30"/>
        <v>3589</v>
      </c>
      <c r="P66" s="8">
        <f t="shared" si="30"/>
        <v>3445.3333333333335</v>
      </c>
      <c r="Q66" s="8">
        <f t="shared" si="30"/>
        <v>3400.3333333333335</v>
      </c>
      <c r="R66" s="8">
        <f t="shared" si="30"/>
        <v>3355.3333333333335</v>
      </c>
      <c r="S66" s="8">
        <f t="shared" si="30"/>
        <v>3310.3333333333335</v>
      </c>
      <c r="T66" s="8">
        <f t="shared" si="30"/>
        <v>3265.3333333333335</v>
      </c>
      <c r="U66" s="8">
        <f t="shared" si="30"/>
        <v>3121.666666666667</v>
      </c>
      <c r="V66" s="8">
        <f t="shared" si="30"/>
        <v>3076.666666666667</v>
      </c>
      <c r="W66" s="8">
        <f t="shared" si="30"/>
        <v>3031.666666666667</v>
      </c>
      <c r="X66" s="8">
        <f t="shared" si="30"/>
        <v>2986.666666666667</v>
      </c>
      <c r="Y66" s="8">
        <f t="shared" si="30"/>
        <v>2843.0000000000005</v>
      </c>
    </row>
    <row r="67" spans="1:25" s="57" customFormat="1" ht="15.75" thickTop="1" x14ac:dyDescent="0.25"/>
    <row r="68" spans="1:25" s="64" customFormat="1" ht="20.25" thickBot="1" x14ac:dyDescent="0.35">
      <c r="A68" s="47" t="s">
        <v>155</v>
      </c>
    </row>
    <row r="69" spans="1:25" s="64" customFormat="1" ht="18.75" thickTop="1" thickBot="1" x14ac:dyDescent="0.35">
      <c r="A69" s="16" t="str">
        <f>A63</f>
        <v>Replace All IGBTs and Equipment</v>
      </c>
      <c r="C69" s="8">
        <f t="shared" ref="C69:Y69" si="31">C75*$B$13+$C$45</f>
        <v>4485</v>
      </c>
      <c r="D69" s="8">
        <f t="shared" si="31"/>
        <v>45</v>
      </c>
      <c r="E69" s="8">
        <f t="shared" si="31"/>
        <v>45</v>
      </c>
      <c r="F69" s="8">
        <f t="shared" si="31"/>
        <v>45</v>
      </c>
      <c r="G69" s="8">
        <f t="shared" si="31"/>
        <v>45</v>
      </c>
      <c r="H69" s="8">
        <f t="shared" si="31"/>
        <v>45</v>
      </c>
      <c r="I69" s="8">
        <f t="shared" si="31"/>
        <v>45</v>
      </c>
      <c r="J69" s="8">
        <f t="shared" si="31"/>
        <v>45</v>
      </c>
      <c r="K69" s="8">
        <f t="shared" si="31"/>
        <v>45</v>
      </c>
      <c r="L69" s="8">
        <f t="shared" si="31"/>
        <v>45</v>
      </c>
      <c r="M69" s="8">
        <f t="shared" si="31"/>
        <v>45</v>
      </c>
      <c r="N69" s="8">
        <f t="shared" si="31"/>
        <v>45</v>
      </c>
      <c r="O69" s="8">
        <f t="shared" si="31"/>
        <v>45</v>
      </c>
      <c r="P69" s="8">
        <f t="shared" si="31"/>
        <v>45</v>
      </c>
      <c r="Q69" s="8">
        <f t="shared" si="31"/>
        <v>45</v>
      </c>
      <c r="R69" s="8">
        <f t="shared" si="31"/>
        <v>45</v>
      </c>
      <c r="S69" s="8">
        <f t="shared" si="31"/>
        <v>45</v>
      </c>
      <c r="T69" s="8">
        <f t="shared" si="31"/>
        <v>45</v>
      </c>
      <c r="U69" s="8">
        <f t="shared" si="31"/>
        <v>45</v>
      </c>
      <c r="V69" s="8">
        <f t="shared" si="31"/>
        <v>45</v>
      </c>
      <c r="W69" s="8">
        <f t="shared" si="31"/>
        <v>45</v>
      </c>
      <c r="X69" s="8">
        <f t="shared" si="31"/>
        <v>45</v>
      </c>
      <c r="Y69" s="8">
        <f t="shared" si="31"/>
        <v>45</v>
      </c>
    </row>
    <row r="70" spans="1:25" s="64" customFormat="1" ht="18.75" thickTop="1" thickBot="1" x14ac:dyDescent="0.35">
      <c r="A70" s="16" t="str">
        <f>A64</f>
        <v>Staged Replacement Building</v>
      </c>
      <c r="C70" s="8">
        <f t="shared" ref="C70:Y70" si="32">C76*$B$13+$C$46</f>
        <v>4485</v>
      </c>
      <c r="D70" s="8">
        <f t="shared" si="32"/>
        <v>3597</v>
      </c>
      <c r="E70" s="8">
        <f t="shared" si="32"/>
        <v>3597</v>
      </c>
      <c r="F70" s="8">
        <f t="shared" si="32"/>
        <v>3597</v>
      </c>
      <c r="G70" s="8">
        <f t="shared" si="32"/>
        <v>3597</v>
      </c>
      <c r="H70" s="8">
        <f t="shared" si="32"/>
        <v>3597</v>
      </c>
      <c r="I70" s="8">
        <f t="shared" si="32"/>
        <v>3597</v>
      </c>
      <c r="J70" s="8">
        <f t="shared" si="32"/>
        <v>3597</v>
      </c>
      <c r="K70" s="8">
        <f t="shared" si="32"/>
        <v>3597</v>
      </c>
      <c r="L70" s="8">
        <f t="shared" si="32"/>
        <v>3597</v>
      </c>
      <c r="M70" s="8">
        <f t="shared" si="32"/>
        <v>3597</v>
      </c>
      <c r="N70" s="8">
        <f t="shared" si="32"/>
        <v>3597</v>
      </c>
      <c r="O70" s="8">
        <f t="shared" si="32"/>
        <v>3597</v>
      </c>
      <c r="P70" s="8">
        <f t="shared" si="32"/>
        <v>2709</v>
      </c>
      <c r="Q70" s="8">
        <f t="shared" si="32"/>
        <v>2709</v>
      </c>
      <c r="R70" s="8">
        <f t="shared" si="32"/>
        <v>2709</v>
      </c>
      <c r="S70" s="8">
        <f t="shared" si="32"/>
        <v>2709</v>
      </c>
      <c r="T70" s="8">
        <f t="shared" si="32"/>
        <v>2709</v>
      </c>
      <c r="U70" s="8">
        <f t="shared" si="32"/>
        <v>2709</v>
      </c>
      <c r="V70" s="8">
        <f t="shared" si="32"/>
        <v>2709</v>
      </c>
      <c r="W70" s="8">
        <f t="shared" si="32"/>
        <v>2709</v>
      </c>
      <c r="X70" s="8">
        <f t="shared" si="32"/>
        <v>2709</v>
      </c>
      <c r="Y70" s="8">
        <f t="shared" si="32"/>
        <v>2709</v>
      </c>
    </row>
    <row r="71" spans="1:25" s="64" customFormat="1" ht="18.75" thickTop="1" thickBot="1" x14ac:dyDescent="0.35">
      <c r="A71" s="16" t="str">
        <f>A65</f>
        <v>Cannibalise</v>
      </c>
      <c r="C71" s="8">
        <f>C77*$B$13+$C$48</f>
        <v>4485</v>
      </c>
      <c r="D71" s="8">
        <f>D77*$B$13+$C$48</f>
        <v>2709</v>
      </c>
      <c r="E71" s="8">
        <f t="shared" ref="E71:Y71" si="33">E77*$B$13+$C$46</f>
        <v>2709</v>
      </c>
      <c r="F71" s="8">
        <f t="shared" si="33"/>
        <v>2709</v>
      </c>
      <c r="G71" s="8">
        <f t="shared" si="33"/>
        <v>2709</v>
      </c>
      <c r="H71" s="8">
        <f t="shared" si="33"/>
        <v>2709</v>
      </c>
      <c r="I71" s="8">
        <f t="shared" si="33"/>
        <v>2709</v>
      </c>
      <c r="J71" s="8">
        <f t="shared" si="33"/>
        <v>2709</v>
      </c>
      <c r="K71" s="8">
        <f t="shared" si="33"/>
        <v>2709</v>
      </c>
      <c r="L71" s="8">
        <f t="shared" si="33"/>
        <v>2709</v>
      </c>
      <c r="M71" s="8">
        <f t="shared" si="33"/>
        <v>2709</v>
      </c>
      <c r="N71" s="8">
        <f t="shared" si="33"/>
        <v>2709</v>
      </c>
      <c r="O71" s="8">
        <f t="shared" si="33"/>
        <v>2709</v>
      </c>
      <c r="P71" s="8">
        <f t="shared" si="33"/>
        <v>2709</v>
      </c>
      <c r="Q71" s="8">
        <f t="shared" si="33"/>
        <v>2709</v>
      </c>
      <c r="R71" s="8">
        <f t="shared" si="33"/>
        <v>2709</v>
      </c>
      <c r="S71" s="8">
        <f t="shared" si="33"/>
        <v>2709</v>
      </c>
      <c r="T71" s="8">
        <f t="shared" si="33"/>
        <v>2709</v>
      </c>
      <c r="U71" s="8">
        <f t="shared" si="33"/>
        <v>2709</v>
      </c>
      <c r="V71" s="8">
        <f t="shared" si="33"/>
        <v>2709</v>
      </c>
      <c r="W71" s="8">
        <f t="shared" si="33"/>
        <v>2709</v>
      </c>
      <c r="X71" s="8">
        <f t="shared" si="33"/>
        <v>2709</v>
      </c>
      <c r="Y71" s="8">
        <f t="shared" si="33"/>
        <v>2709</v>
      </c>
    </row>
    <row r="72" spans="1:25" s="64" customFormat="1" ht="18.75" thickTop="1" thickBot="1" x14ac:dyDescent="0.35">
      <c r="A72" s="16" t="str">
        <f>A66</f>
        <v>Staged Replacement Phase</v>
      </c>
      <c r="C72" s="8">
        <f>C78*$B$13+$C$49</f>
        <v>4485</v>
      </c>
      <c r="D72" s="8">
        <f>D78*$B$13+$C$49</f>
        <v>4189</v>
      </c>
      <c r="E72" s="8">
        <f t="shared" ref="E72:Y72" si="34">E78*$B$13+$C$46</f>
        <v>4189</v>
      </c>
      <c r="F72" s="8">
        <f t="shared" si="34"/>
        <v>4189</v>
      </c>
      <c r="G72" s="8">
        <f t="shared" si="34"/>
        <v>4189</v>
      </c>
      <c r="H72" s="8">
        <f t="shared" si="34"/>
        <v>3893</v>
      </c>
      <c r="I72" s="8">
        <f t="shared" si="34"/>
        <v>3893</v>
      </c>
      <c r="J72" s="8">
        <f t="shared" si="34"/>
        <v>3893</v>
      </c>
      <c r="K72" s="8">
        <f t="shared" si="34"/>
        <v>3893</v>
      </c>
      <c r="L72" s="8">
        <f t="shared" si="34"/>
        <v>3597</v>
      </c>
      <c r="M72" s="8">
        <f t="shared" si="34"/>
        <v>3597</v>
      </c>
      <c r="N72" s="8">
        <f t="shared" si="34"/>
        <v>3597</v>
      </c>
      <c r="O72" s="8">
        <f t="shared" si="34"/>
        <v>3597</v>
      </c>
      <c r="P72" s="8">
        <f t="shared" si="34"/>
        <v>3301</v>
      </c>
      <c r="Q72" s="8">
        <f t="shared" si="34"/>
        <v>3301</v>
      </c>
      <c r="R72" s="8">
        <f t="shared" si="34"/>
        <v>3301</v>
      </c>
      <c r="S72" s="8">
        <f t="shared" si="34"/>
        <v>3301</v>
      </c>
      <c r="T72" s="8">
        <f t="shared" si="34"/>
        <v>3301</v>
      </c>
      <c r="U72" s="8">
        <f t="shared" si="34"/>
        <v>3005</v>
      </c>
      <c r="V72" s="8">
        <f t="shared" si="34"/>
        <v>3005</v>
      </c>
      <c r="W72" s="8">
        <f t="shared" si="34"/>
        <v>3005</v>
      </c>
      <c r="X72" s="8">
        <f t="shared" si="34"/>
        <v>3005</v>
      </c>
      <c r="Y72" s="8">
        <f t="shared" si="34"/>
        <v>2709</v>
      </c>
    </row>
    <row r="73" spans="1:25" s="64" customFormat="1" ht="15.75" thickTop="1" x14ac:dyDescent="0.25"/>
    <row r="74" spans="1:25" s="57" customFormat="1" ht="20.25" thickBot="1" x14ac:dyDescent="0.35">
      <c r="A74" s="47" t="s">
        <v>163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1:25" s="45" customFormat="1" ht="18.75" thickTop="1" thickBot="1" x14ac:dyDescent="0.35">
      <c r="A75" s="16" t="str">
        <f>"Operating Gen One phases under "&amp;A45</f>
        <v>Operating Gen One phases under Replace All IGBTs and Equipment</v>
      </c>
      <c r="C75" s="10">
        <v>15</v>
      </c>
      <c r="D75" s="8">
        <f t="shared" ref="D75:Y75" si="35">IF(C63&gt;(C75*$B$16+$C$46),C75,0)</f>
        <v>0</v>
      </c>
      <c r="E75" s="8">
        <f t="shared" si="35"/>
        <v>0</v>
      </c>
      <c r="F75" s="8">
        <f t="shared" si="35"/>
        <v>0</v>
      </c>
      <c r="G75" s="8">
        <f t="shared" si="35"/>
        <v>0</v>
      </c>
      <c r="H75" s="8">
        <f t="shared" si="35"/>
        <v>0</v>
      </c>
      <c r="I75" s="8">
        <f t="shared" si="35"/>
        <v>0</v>
      </c>
      <c r="J75" s="8">
        <f t="shared" si="35"/>
        <v>0</v>
      </c>
      <c r="K75" s="8">
        <f t="shared" si="35"/>
        <v>0</v>
      </c>
      <c r="L75" s="8">
        <f t="shared" si="35"/>
        <v>0</v>
      </c>
      <c r="M75" s="8">
        <f t="shared" si="35"/>
        <v>0</v>
      </c>
      <c r="N75" s="8">
        <f t="shared" si="35"/>
        <v>0</v>
      </c>
      <c r="O75" s="8">
        <f t="shared" si="35"/>
        <v>0</v>
      </c>
      <c r="P75" s="8">
        <f t="shared" si="35"/>
        <v>0</v>
      </c>
      <c r="Q75" s="8">
        <f t="shared" si="35"/>
        <v>0</v>
      </c>
      <c r="R75" s="8">
        <f t="shared" si="35"/>
        <v>0</v>
      </c>
      <c r="S75" s="8">
        <f t="shared" si="35"/>
        <v>0</v>
      </c>
      <c r="T75" s="8">
        <f t="shared" si="35"/>
        <v>0</v>
      </c>
      <c r="U75" s="8">
        <f t="shared" si="35"/>
        <v>0</v>
      </c>
      <c r="V75" s="8">
        <f t="shared" si="35"/>
        <v>0</v>
      </c>
      <c r="W75" s="8">
        <f t="shared" si="35"/>
        <v>0</v>
      </c>
      <c r="X75" s="8">
        <f t="shared" si="35"/>
        <v>0</v>
      </c>
      <c r="Y75" s="8">
        <f t="shared" si="35"/>
        <v>0</v>
      </c>
    </row>
    <row r="76" spans="1:25" s="45" customFormat="1" ht="18.75" thickTop="1" thickBot="1" x14ac:dyDescent="0.35">
      <c r="A76" s="16" t="str">
        <f>"Operating Gen One phases under "&amp;A46</f>
        <v>Operating Gen One phases under Staged Replacement Building</v>
      </c>
      <c r="C76" s="10">
        <v>15</v>
      </c>
      <c r="D76" s="8">
        <f>IF(C64&gt;C70,C76,C76-3)</f>
        <v>12</v>
      </c>
      <c r="E76" s="8">
        <f t="shared" ref="E76:Y76" si="36">IF(D64&gt;D70,D76,D76-3)</f>
        <v>12</v>
      </c>
      <c r="F76" s="8">
        <f t="shared" si="36"/>
        <v>12</v>
      </c>
      <c r="G76" s="8">
        <f t="shared" si="36"/>
        <v>12</v>
      </c>
      <c r="H76" s="8">
        <f t="shared" si="36"/>
        <v>12</v>
      </c>
      <c r="I76" s="8">
        <f t="shared" si="36"/>
        <v>12</v>
      </c>
      <c r="J76" s="8">
        <f t="shared" si="36"/>
        <v>12</v>
      </c>
      <c r="K76" s="8">
        <f t="shared" si="36"/>
        <v>12</v>
      </c>
      <c r="L76" s="8">
        <f t="shared" si="36"/>
        <v>12</v>
      </c>
      <c r="M76" s="8">
        <f t="shared" si="36"/>
        <v>12</v>
      </c>
      <c r="N76" s="8">
        <f t="shared" si="36"/>
        <v>12</v>
      </c>
      <c r="O76" s="8">
        <f t="shared" si="36"/>
        <v>12</v>
      </c>
      <c r="P76" s="8">
        <f t="shared" si="36"/>
        <v>9</v>
      </c>
      <c r="Q76" s="8">
        <f t="shared" si="36"/>
        <v>9</v>
      </c>
      <c r="R76" s="8">
        <f t="shared" si="36"/>
        <v>9</v>
      </c>
      <c r="S76" s="8">
        <f t="shared" si="36"/>
        <v>9</v>
      </c>
      <c r="T76" s="8">
        <f t="shared" si="36"/>
        <v>9</v>
      </c>
      <c r="U76" s="8">
        <f t="shared" si="36"/>
        <v>9</v>
      </c>
      <c r="V76" s="8">
        <f t="shared" si="36"/>
        <v>9</v>
      </c>
      <c r="W76" s="8">
        <f t="shared" si="36"/>
        <v>9</v>
      </c>
      <c r="X76" s="8">
        <f t="shared" si="36"/>
        <v>9</v>
      </c>
      <c r="Y76" s="8">
        <f t="shared" si="36"/>
        <v>9</v>
      </c>
    </row>
    <row r="77" spans="1:25" s="45" customFormat="1" ht="18.75" thickTop="1" thickBot="1" x14ac:dyDescent="0.35">
      <c r="A77" s="16" t="str">
        <f>"Operating Gen One phases under "&amp;A48</f>
        <v>Operating Gen One phases under Cannibalise</v>
      </c>
      <c r="C77" s="10">
        <v>15</v>
      </c>
      <c r="D77" s="8">
        <f>IF(C65&gt;C71,C77,C77-6)</f>
        <v>9</v>
      </c>
      <c r="E77" s="8">
        <f t="shared" ref="E77:Y77" si="37">IF(D65&gt;D71,D77,D77-6)</f>
        <v>9</v>
      </c>
      <c r="F77" s="8">
        <f t="shared" si="37"/>
        <v>9</v>
      </c>
      <c r="G77" s="8">
        <f t="shared" si="37"/>
        <v>9</v>
      </c>
      <c r="H77" s="8">
        <f t="shared" si="37"/>
        <v>9</v>
      </c>
      <c r="I77" s="8">
        <f t="shared" si="37"/>
        <v>9</v>
      </c>
      <c r="J77" s="8">
        <f t="shared" si="37"/>
        <v>9</v>
      </c>
      <c r="K77" s="8">
        <f t="shared" si="37"/>
        <v>9</v>
      </c>
      <c r="L77" s="8">
        <f t="shared" si="37"/>
        <v>9</v>
      </c>
      <c r="M77" s="8">
        <f t="shared" si="37"/>
        <v>9</v>
      </c>
      <c r="N77" s="8">
        <f t="shared" si="37"/>
        <v>9</v>
      </c>
      <c r="O77" s="8">
        <f t="shared" si="37"/>
        <v>9</v>
      </c>
      <c r="P77" s="8">
        <f t="shared" si="37"/>
        <v>9</v>
      </c>
      <c r="Q77" s="8">
        <f t="shared" si="37"/>
        <v>9</v>
      </c>
      <c r="R77" s="8">
        <f t="shared" si="37"/>
        <v>9</v>
      </c>
      <c r="S77" s="8">
        <f t="shared" si="37"/>
        <v>9</v>
      </c>
      <c r="T77" s="8">
        <f t="shared" si="37"/>
        <v>9</v>
      </c>
      <c r="U77" s="8">
        <f t="shared" si="37"/>
        <v>9</v>
      </c>
      <c r="V77" s="8">
        <f t="shared" si="37"/>
        <v>9</v>
      </c>
      <c r="W77" s="8">
        <f t="shared" si="37"/>
        <v>9</v>
      </c>
      <c r="X77" s="8">
        <f t="shared" si="37"/>
        <v>9</v>
      </c>
      <c r="Y77" s="8">
        <f t="shared" si="37"/>
        <v>9</v>
      </c>
    </row>
    <row r="78" spans="1:25" s="64" customFormat="1" ht="18.75" thickTop="1" thickBot="1" x14ac:dyDescent="0.35">
      <c r="A78" s="16" t="str">
        <f>"Operating Gen One phases under "&amp;A49</f>
        <v>Operating Gen One phases under Staged Replacement Phase</v>
      </c>
      <c r="C78" s="10">
        <v>15</v>
      </c>
      <c r="D78" s="8">
        <f>IF(C66&gt;C72,C78,C78-1)</f>
        <v>14</v>
      </c>
      <c r="E78" s="8">
        <f t="shared" ref="E78:Y78" si="38">IF(D66&gt;D72,D78,D78-1)</f>
        <v>14</v>
      </c>
      <c r="F78" s="8">
        <f t="shared" si="38"/>
        <v>14</v>
      </c>
      <c r="G78" s="8">
        <f t="shared" si="38"/>
        <v>14</v>
      </c>
      <c r="H78" s="8">
        <f t="shared" si="38"/>
        <v>13</v>
      </c>
      <c r="I78" s="8">
        <f t="shared" si="38"/>
        <v>13</v>
      </c>
      <c r="J78" s="8">
        <f t="shared" si="38"/>
        <v>13</v>
      </c>
      <c r="K78" s="8">
        <f t="shared" si="38"/>
        <v>13</v>
      </c>
      <c r="L78" s="8">
        <f t="shared" si="38"/>
        <v>12</v>
      </c>
      <c r="M78" s="8">
        <f t="shared" si="38"/>
        <v>12</v>
      </c>
      <c r="N78" s="8">
        <f t="shared" si="38"/>
        <v>12</v>
      </c>
      <c r="O78" s="8">
        <f t="shared" si="38"/>
        <v>12</v>
      </c>
      <c r="P78" s="8">
        <f t="shared" si="38"/>
        <v>11</v>
      </c>
      <c r="Q78" s="8">
        <f t="shared" si="38"/>
        <v>11</v>
      </c>
      <c r="R78" s="8">
        <f t="shared" si="38"/>
        <v>11</v>
      </c>
      <c r="S78" s="8">
        <f t="shared" si="38"/>
        <v>11</v>
      </c>
      <c r="T78" s="8">
        <f t="shared" si="38"/>
        <v>11</v>
      </c>
      <c r="U78" s="8">
        <f t="shared" si="38"/>
        <v>10</v>
      </c>
      <c r="V78" s="8">
        <f t="shared" si="38"/>
        <v>10</v>
      </c>
      <c r="W78" s="8">
        <f t="shared" si="38"/>
        <v>10</v>
      </c>
      <c r="X78" s="8">
        <f t="shared" si="38"/>
        <v>10</v>
      </c>
      <c r="Y78" s="8">
        <f t="shared" si="38"/>
        <v>9</v>
      </c>
    </row>
    <row r="79" spans="1:25" ht="15.75" thickTop="1" x14ac:dyDescent="0.25"/>
    <row r="80" spans="1:25" ht="18" thickBot="1" x14ac:dyDescent="0.35">
      <c r="A80" s="16" t="str">
        <f>"Value "&amp;A45</f>
        <v>Value Replace All IGBTs and Equipment</v>
      </c>
      <c r="D80" s="8">
        <f>SUM(D$52:D$54)</f>
        <v>635483047.30916119</v>
      </c>
      <c r="E80" s="8">
        <f t="shared" ref="E80:Y80" si="39">SUM(E$52:E$54)</f>
        <v>635483047.30916119</v>
      </c>
      <c r="F80" s="8">
        <f t="shared" si="39"/>
        <v>635483047.30916119</v>
      </c>
      <c r="G80" s="8">
        <f t="shared" si="39"/>
        <v>635483047.30916119</v>
      </c>
      <c r="H80" s="8">
        <f t="shared" si="39"/>
        <v>635483047.30916119</v>
      </c>
      <c r="I80" s="8">
        <f t="shared" si="39"/>
        <v>635483047.30916119</v>
      </c>
      <c r="J80" s="8">
        <f t="shared" si="39"/>
        <v>635483047.30916119</v>
      </c>
      <c r="K80" s="8">
        <f t="shared" si="39"/>
        <v>635483047.30916119</v>
      </c>
      <c r="L80" s="8">
        <f t="shared" si="39"/>
        <v>635483047.30916119</v>
      </c>
      <c r="M80" s="8">
        <f t="shared" si="39"/>
        <v>635483047.30916119</v>
      </c>
      <c r="N80" s="8">
        <f t="shared" si="39"/>
        <v>635483047.30916119</v>
      </c>
      <c r="O80" s="8">
        <f t="shared" si="39"/>
        <v>635483047.30916119</v>
      </c>
      <c r="P80" s="8">
        <f t="shared" si="39"/>
        <v>635483047.30916119</v>
      </c>
      <c r="Q80" s="8">
        <f t="shared" si="39"/>
        <v>635483047.30916119</v>
      </c>
      <c r="R80" s="8">
        <f t="shared" si="39"/>
        <v>635483047.30916119</v>
      </c>
      <c r="S80" s="8">
        <f t="shared" si="39"/>
        <v>635483047.30916119</v>
      </c>
      <c r="T80" s="8">
        <f t="shared" si="39"/>
        <v>635483047.30916119</v>
      </c>
      <c r="U80" s="8">
        <f t="shared" si="39"/>
        <v>635483047.30916119</v>
      </c>
      <c r="V80" s="8">
        <f t="shared" si="39"/>
        <v>635483047.30916119</v>
      </c>
      <c r="W80" s="8">
        <f t="shared" si="39"/>
        <v>635483047.30916119</v>
      </c>
      <c r="X80" s="8">
        <f t="shared" si="39"/>
        <v>635483047.30916119</v>
      </c>
      <c r="Y80" s="8">
        <f t="shared" si="39"/>
        <v>635483047.30916119</v>
      </c>
    </row>
    <row r="81" spans="1:25" ht="18.75" thickTop="1" thickBot="1" x14ac:dyDescent="0.35">
      <c r="A81" s="16" t="str">
        <f>"Value "&amp;A46</f>
        <v>Value Staged Replacement Building</v>
      </c>
      <c r="D81" s="8">
        <f t="shared" ref="D81:S84" si="40">SUM(D$52:D$54)</f>
        <v>635483047.30916119</v>
      </c>
      <c r="E81" s="8">
        <f t="shared" si="40"/>
        <v>635483047.30916119</v>
      </c>
      <c r="F81" s="8">
        <f t="shared" si="40"/>
        <v>635483047.30916119</v>
      </c>
      <c r="G81" s="8">
        <f t="shared" si="40"/>
        <v>635483047.30916119</v>
      </c>
      <c r="H81" s="8">
        <f t="shared" si="40"/>
        <v>635483047.30916119</v>
      </c>
      <c r="I81" s="8">
        <f t="shared" si="40"/>
        <v>635483047.30916119</v>
      </c>
      <c r="J81" s="8">
        <f t="shared" si="40"/>
        <v>635483047.30916119</v>
      </c>
      <c r="K81" s="8">
        <f t="shared" si="40"/>
        <v>635483047.30916119</v>
      </c>
      <c r="L81" s="8">
        <f t="shared" si="40"/>
        <v>635483047.30916119</v>
      </c>
      <c r="M81" s="8">
        <f t="shared" si="40"/>
        <v>635483047.30916119</v>
      </c>
      <c r="N81" s="8">
        <f t="shared" si="40"/>
        <v>635483047.30916119</v>
      </c>
      <c r="O81" s="8">
        <f t="shared" si="40"/>
        <v>635483047.30916119</v>
      </c>
      <c r="P81" s="8">
        <f t="shared" si="40"/>
        <v>635483047.30916119</v>
      </c>
      <c r="Q81" s="8">
        <f t="shared" si="40"/>
        <v>635483047.30916119</v>
      </c>
      <c r="R81" s="8">
        <f t="shared" si="40"/>
        <v>635483047.30916119</v>
      </c>
      <c r="S81" s="8">
        <f t="shared" si="40"/>
        <v>635483047.30916119</v>
      </c>
      <c r="T81" s="8">
        <f t="shared" ref="T81:Y81" si="41">SUM(T$52:T$54)</f>
        <v>635483047.30916119</v>
      </c>
      <c r="U81" s="8">
        <f t="shared" si="41"/>
        <v>635483047.30916119</v>
      </c>
      <c r="V81" s="8">
        <f t="shared" si="41"/>
        <v>635483047.30916119</v>
      </c>
      <c r="W81" s="8">
        <f t="shared" si="41"/>
        <v>635483047.30916119</v>
      </c>
      <c r="X81" s="8">
        <f t="shared" si="41"/>
        <v>635483047.30916119</v>
      </c>
      <c r="Y81" s="8">
        <f t="shared" si="41"/>
        <v>635483047.30916119</v>
      </c>
    </row>
    <row r="82" spans="1:25" ht="18.75" thickTop="1" thickBot="1" x14ac:dyDescent="0.35">
      <c r="A82" s="16" t="str">
        <f>"Value "&amp;A47</f>
        <v>Value Capex replacement contract</v>
      </c>
      <c r="D82" s="8">
        <f t="shared" si="40"/>
        <v>635483047.30916119</v>
      </c>
      <c r="E82" s="8">
        <f t="shared" ref="E82:Y82" si="42">SUM(E$52:E$54)</f>
        <v>635483047.30916119</v>
      </c>
      <c r="F82" s="8">
        <f t="shared" si="42"/>
        <v>635483047.30916119</v>
      </c>
      <c r="G82" s="8">
        <f t="shared" si="42"/>
        <v>635483047.30916119</v>
      </c>
      <c r="H82" s="8">
        <f t="shared" si="42"/>
        <v>635483047.30916119</v>
      </c>
      <c r="I82" s="8">
        <f t="shared" si="42"/>
        <v>635483047.30916119</v>
      </c>
      <c r="J82" s="8">
        <f t="shared" si="42"/>
        <v>635483047.30916119</v>
      </c>
      <c r="K82" s="8">
        <f t="shared" si="42"/>
        <v>635483047.30916119</v>
      </c>
      <c r="L82" s="8">
        <f t="shared" si="42"/>
        <v>635483047.30916119</v>
      </c>
      <c r="M82" s="8">
        <f t="shared" si="42"/>
        <v>635483047.30916119</v>
      </c>
      <c r="N82" s="8">
        <f t="shared" si="42"/>
        <v>635483047.30916119</v>
      </c>
      <c r="O82" s="8">
        <f t="shared" si="42"/>
        <v>635483047.30916119</v>
      </c>
      <c r="P82" s="8">
        <f t="shared" si="42"/>
        <v>635483047.30916119</v>
      </c>
      <c r="Q82" s="8">
        <f t="shared" si="42"/>
        <v>635483047.30916119</v>
      </c>
      <c r="R82" s="8">
        <f t="shared" si="42"/>
        <v>635483047.30916119</v>
      </c>
      <c r="S82" s="8">
        <f t="shared" si="42"/>
        <v>635483047.30916119</v>
      </c>
      <c r="T82" s="8">
        <f t="shared" si="42"/>
        <v>635483047.30916119</v>
      </c>
      <c r="U82" s="8">
        <f t="shared" si="42"/>
        <v>635483047.30916119</v>
      </c>
      <c r="V82" s="8">
        <f t="shared" si="42"/>
        <v>635483047.30916119</v>
      </c>
      <c r="W82" s="8">
        <f t="shared" si="42"/>
        <v>635483047.30916119</v>
      </c>
      <c r="X82" s="8">
        <f t="shared" si="42"/>
        <v>635483047.30916119</v>
      </c>
      <c r="Y82" s="8">
        <f t="shared" si="42"/>
        <v>635483047.30916119</v>
      </c>
    </row>
    <row r="83" spans="1:25" ht="18.75" thickTop="1" thickBot="1" x14ac:dyDescent="0.35">
      <c r="A83" s="16" t="str">
        <f>"Value "&amp;A48</f>
        <v>Value Cannibalise</v>
      </c>
      <c r="D83" s="8">
        <f t="shared" ref="D83:Y83" si="43">IF(D77=15,SUM(D52:D54),IF(D77&gt;=9,SUM(D52:D53),IF(D77&gt;=3,D52,0)))</f>
        <v>598342348.04817629</v>
      </c>
      <c r="E83" s="8">
        <f t="shared" si="43"/>
        <v>598342348.04817629</v>
      </c>
      <c r="F83" s="8">
        <f t="shared" si="43"/>
        <v>598342348.04817629</v>
      </c>
      <c r="G83" s="8">
        <f t="shared" si="43"/>
        <v>598342348.04817629</v>
      </c>
      <c r="H83" s="8">
        <f t="shared" si="43"/>
        <v>598342348.04817629</v>
      </c>
      <c r="I83" s="8">
        <f t="shared" si="43"/>
        <v>598342348.04817629</v>
      </c>
      <c r="J83" s="8">
        <f t="shared" si="43"/>
        <v>598342348.04817629</v>
      </c>
      <c r="K83" s="8">
        <f t="shared" si="43"/>
        <v>598342348.04817629</v>
      </c>
      <c r="L83" s="8">
        <f t="shared" si="43"/>
        <v>598342348.04817629</v>
      </c>
      <c r="M83" s="8">
        <f t="shared" si="43"/>
        <v>598342348.04817629</v>
      </c>
      <c r="N83" s="8">
        <f t="shared" si="43"/>
        <v>598342348.04817629</v>
      </c>
      <c r="O83" s="8">
        <f t="shared" si="43"/>
        <v>598342348.04817629</v>
      </c>
      <c r="P83" s="8">
        <f t="shared" si="43"/>
        <v>598342348.04817629</v>
      </c>
      <c r="Q83" s="8">
        <f t="shared" si="43"/>
        <v>598342348.04817629</v>
      </c>
      <c r="R83" s="8">
        <f t="shared" si="43"/>
        <v>598342348.04817629</v>
      </c>
      <c r="S83" s="8">
        <f t="shared" si="43"/>
        <v>598342348.04817629</v>
      </c>
      <c r="T83" s="8">
        <f t="shared" si="43"/>
        <v>598342348.04817629</v>
      </c>
      <c r="U83" s="8">
        <f t="shared" si="43"/>
        <v>598342348.04817629</v>
      </c>
      <c r="V83" s="8">
        <f t="shared" si="43"/>
        <v>598342348.04817629</v>
      </c>
      <c r="W83" s="8">
        <f t="shared" si="43"/>
        <v>598342348.04817629</v>
      </c>
      <c r="X83" s="8">
        <f t="shared" si="43"/>
        <v>598342348.04817629</v>
      </c>
      <c r="Y83" s="8">
        <f t="shared" si="43"/>
        <v>598342348.04817629</v>
      </c>
    </row>
    <row r="84" spans="1:25" s="64" customFormat="1" ht="18.75" thickTop="1" thickBot="1" x14ac:dyDescent="0.35">
      <c r="A84" s="16" t="str">
        <f>"Value "&amp;A49</f>
        <v>Value Staged Replacement Phase</v>
      </c>
      <c r="D84" s="8">
        <f t="shared" si="40"/>
        <v>635483047.30916119</v>
      </c>
      <c r="E84" s="8">
        <f t="shared" si="40"/>
        <v>635483047.30916119</v>
      </c>
      <c r="F84" s="8">
        <f t="shared" si="40"/>
        <v>635483047.30916119</v>
      </c>
      <c r="G84" s="8">
        <f t="shared" si="40"/>
        <v>635483047.30916119</v>
      </c>
      <c r="H84" s="8">
        <f t="shared" si="40"/>
        <v>635483047.30916119</v>
      </c>
      <c r="I84" s="8">
        <f t="shared" si="40"/>
        <v>635483047.30916119</v>
      </c>
      <c r="J84" s="8">
        <f t="shared" si="40"/>
        <v>635483047.30916119</v>
      </c>
      <c r="K84" s="8">
        <f t="shared" si="40"/>
        <v>635483047.30916119</v>
      </c>
      <c r="L84" s="8">
        <f t="shared" si="40"/>
        <v>635483047.30916119</v>
      </c>
      <c r="M84" s="8">
        <f t="shared" si="40"/>
        <v>635483047.30916119</v>
      </c>
      <c r="N84" s="8">
        <f t="shared" si="40"/>
        <v>635483047.30916119</v>
      </c>
      <c r="O84" s="8">
        <f t="shared" si="40"/>
        <v>635483047.30916119</v>
      </c>
      <c r="P84" s="8">
        <f t="shared" si="40"/>
        <v>635483047.30916119</v>
      </c>
      <c r="Q84" s="8">
        <f t="shared" si="40"/>
        <v>635483047.30916119</v>
      </c>
      <c r="R84" s="8">
        <f t="shared" si="40"/>
        <v>635483047.30916119</v>
      </c>
      <c r="S84" s="8">
        <f t="shared" si="40"/>
        <v>635483047.30916119</v>
      </c>
      <c r="T84" s="8">
        <f t="shared" ref="T84:Y84" si="44">SUM(T$52:T$54)</f>
        <v>635483047.30916119</v>
      </c>
      <c r="U84" s="8">
        <f t="shared" si="44"/>
        <v>635483047.30916119</v>
      </c>
      <c r="V84" s="8">
        <f t="shared" si="44"/>
        <v>635483047.30916119</v>
      </c>
      <c r="W84" s="8">
        <f t="shared" si="44"/>
        <v>635483047.30916119</v>
      </c>
      <c r="X84" s="8">
        <f t="shared" si="44"/>
        <v>635483047.30916119</v>
      </c>
      <c r="Y84" s="8">
        <f t="shared" si="44"/>
        <v>635483047.30916119</v>
      </c>
    </row>
    <row r="85" spans="1:25" ht="15.75" thickTop="1" x14ac:dyDescent="0.25"/>
    <row r="86" spans="1:25" ht="18" thickBot="1" x14ac:dyDescent="0.35">
      <c r="A86" s="16" t="s">
        <v>70</v>
      </c>
      <c r="B86" s="48">
        <v>2.3611391326675335E-2</v>
      </c>
      <c r="C86" s="56"/>
    </row>
    <row r="87" spans="1:25" s="45" customFormat="1" ht="15.75" thickTop="1" x14ac:dyDescent="0.25">
      <c r="A87" s="4"/>
      <c r="B87" s="4"/>
    </row>
    <row r="88" spans="1:25" s="45" customFormat="1" ht="18" thickBot="1" x14ac:dyDescent="0.35">
      <c r="A88" s="50" t="s">
        <v>162</v>
      </c>
      <c r="B88" s="10">
        <v>44584.432558909321</v>
      </c>
    </row>
    <row r="89" spans="1:25" s="45" customFormat="1" ht="18.75" thickTop="1" thickBot="1" x14ac:dyDescent="0.35">
      <c r="A89" s="50" t="s">
        <v>83</v>
      </c>
      <c r="B89" s="10">
        <f>B88/1.25</f>
        <v>35667.546047127456</v>
      </c>
    </row>
    <row r="90" spans="1:25" ht="15.75" thickTop="1" x14ac:dyDescent="0.25"/>
    <row r="91" spans="1:25" ht="18" thickBot="1" x14ac:dyDescent="0.35">
      <c r="A91" s="16" t="str">
        <f>"Maintenance opex for "&amp;A45</f>
        <v>Maintenance opex for Replace All IGBTs and Equipment</v>
      </c>
      <c r="D91" s="8">
        <f>D75*$B$88+(15-D75)*$B$89</f>
        <v>535013.19070691185</v>
      </c>
      <c r="E91" s="8">
        <f t="shared" ref="E91:Y91" si="45">E75*$B$88+(15-E75)*$B$89</f>
        <v>535013.19070691185</v>
      </c>
      <c r="F91" s="8">
        <f t="shared" si="45"/>
        <v>535013.19070691185</v>
      </c>
      <c r="G91" s="8">
        <f t="shared" si="45"/>
        <v>535013.19070691185</v>
      </c>
      <c r="H91" s="8">
        <f t="shared" si="45"/>
        <v>535013.19070691185</v>
      </c>
      <c r="I91" s="8">
        <f t="shared" si="45"/>
        <v>535013.19070691185</v>
      </c>
      <c r="J91" s="8">
        <f t="shared" si="45"/>
        <v>535013.19070691185</v>
      </c>
      <c r="K91" s="8">
        <f t="shared" si="45"/>
        <v>535013.19070691185</v>
      </c>
      <c r="L91" s="8">
        <f t="shared" si="45"/>
        <v>535013.19070691185</v>
      </c>
      <c r="M91" s="8">
        <f t="shared" si="45"/>
        <v>535013.19070691185</v>
      </c>
      <c r="N91" s="8">
        <f t="shared" si="45"/>
        <v>535013.19070691185</v>
      </c>
      <c r="O91" s="8">
        <f t="shared" si="45"/>
        <v>535013.19070691185</v>
      </c>
      <c r="P91" s="8">
        <f t="shared" si="45"/>
        <v>535013.19070691185</v>
      </c>
      <c r="Q91" s="8">
        <f t="shared" si="45"/>
        <v>535013.19070691185</v>
      </c>
      <c r="R91" s="8">
        <f t="shared" si="45"/>
        <v>535013.19070691185</v>
      </c>
      <c r="S91" s="8">
        <f t="shared" si="45"/>
        <v>535013.19070691185</v>
      </c>
      <c r="T91" s="8">
        <f t="shared" si="45"/>
        <v>535013.19070691185</v>
      </c>
      <c r="U91" s="8">
        <f t="shared" si="45"/>
        <v>535013.19070691185</v>
      </c>
      <c r="V91" s="8">
        <f t="shared" si="45"/>
        <v>535013.19070691185</v>
      </c>
      <c r="W91" s="8">
        <f t="shared" si="45"/>
        <v>535013.19070691185</v>
      </c>
      <c r="X91" s="8">
        <f t="shared" si="45"/>
        <v>535013.19070691185</v>
      </c>
      <c r="Y91" s="8">
        <f t="shared" si="45"/>
        <v>535013.19070691185</v>
      </c>
    </row>
    <row r="92" spans="1:25" ht="18.75" thickTop="1" thickBot="1" x14ac:dyDescent="0.35">
      <c r="A92" s="16" t="str">
        <f>"Maintenance opex for "&amp;A46</f>
        <v>Maintenance opex for Staged Replacement Building</v>
      </c>
      <c r="D92" s="8">
        <f>D76*$B$88+(15-D76)*$B$89</f>
        <v>642015.82884829422</v>
      </c>
      <c r="E92" s="8">
        <f t="shared" ref="E92:Y92" si="46">E76*$B$88+(15-E76)*$B$89</f>
        <v>642015.82884829422</v>
      </c>
      <c r="F92" s="8">
        <f t="shared" si="46"/>
        <v>642015.82884829422</v>
      </c>
      <c r="G92" s="8">
        <f t="shared" si="46"/>
        <v>642015.82884829422</v>
      </c>
      <c r="H92" s="8">
        <f t="shared" si="46"/>
        <v>642015.82884829422</v>
      </c>
      <c r="I92" s="8">
        <f t="shared" si="46"/>
        <v>642015.82884829422</v>
      </c>
      <c r="J92" s="8">
        <f t="shared" si="46"/>
        <v>642015.82884829422</v>
      </c>
      <c r="K92" s="8">
        <f t="shared" si="46"/>
        <v>642015.82884829422</v>
      </c>
      <c r="L92" s="8">
        <f t="shared" si="46"/>
        <v>642015.82884829422</v>
      </c>
      <c r="M92" s="8">
        <f t="shared" si="46"/>
        <v>642015.82884829422</v>
      </c>
      <c r="N92" s="8">
        <f t="shared" si="46"/>
        <v>642015.82884829422</v>
      </c>
      <c r="O92" s="8">
        <f t="shared" si="46"/>
        <v>642015.82884829422</v>
      </c>
      <c r="P92" s="8">
        <f t="shared" si="46"/>
        <v>615265.16931294859</v>
      </c>
      <c r="Q92" s="8">
        <f t="shared" si="46"/>
        <v>615265.16931294859</v>
      </c>
      <c r="R92" s="8">
        <f t="shared" si="46"/>
        <v>615265.16931294859</v>
      </c>
      <c r="S92" s="8">
        <f t="shared" si="46"/>
        <v>615265.16931294859</v>
      </c>
      <c r="T92" s="8">
        <f t="shared" si="46"/>
        <v>615265.16931294859</v>
      </c>
      <c r="U92" s="8">
        <f t="shared" si="46"/>
        <v>615265.16931294859</v>
      </c>
      <c r="V92" s="8">
        <f t="shared" si="46"/>
        <v>615265.16931294859</v>
      </c>
      <c r="W92" s="8">
        <f t="shared" si="46"/>
        <v>615265.16931294859</v>
      </c>
      <c r="X92" s="8">
        <f t="shared" si="46"/>
        <v>615265.16931294859</v>
      </c>
      <c r="Y92" s="8">
        <f t="shared" si="46"/>
        <v>615265.16931294859</v>
      </c>
    </row>
    <row r="93" spans="1:25" s="64" customFormat="1" ht="18.75" thickTop="1" thickBot="1" x14ac:dyDescent="0.35">
      <c r="A93" s="16" t="str">
        <f>"Maintenance opex for "&amp;A47</f>
        <v>Maintenance opex for Capex replacement contract</v>
      </c>
      <c r="D93" s="8">
        <f>D92</f>
        <v>642015.82884829422</v>
      </c>
      <c r="E93" s="8">
        <f t="shared" ref="E93:Y93" si="47">E92</f>
        <v>642015.82884829422</v>
      </c>
      <c r="F93" s="8">
        <f t="shared" si="47"/>
        <v>642015.82884829422</v>
      </c>
      <c r="G93" s="8">
        <f t="shared" si="47"/>
        <v>642015.82884829422</v>
      </c>
      <c r="H93" s="8">
        <f t="shared" si="47"/>
        <v>642015.82884829422</v>
      </c>
      <c r="I93" s="8">
        <f t="shared" si="47"/>
        <v>642015.82884829422</v>
      </c>
      <c r="J93" s="8">
        <f t="shared" si="47"/>
        <v>642015.82884829422</v>
      </c>
      <c r="K93" s="8">
        <f t="shared" si="47"/>
        <v>642015.82884829422</v>
      </c>
      <c r="L93" s="8">
        <f t="shared" si="47"/>
        <v>642015.82884829422</v>
      </c>
      <c r="M93" s="8">
        <f t="shared" si="47"/>
        <v>642015.82884829422</v>
      </c>
      <c r="N93" s="8">
        <f t="shared" si="47"/>
        <v>642015.82884829422</v>
      </c>
      <c r="O93" s="8">
        <f t="shared" si="47"/>
        <v>642015.82884829422</v>
      </c>
      <c r="P93" s="8">
        <f t="shared" si="47"/>
        <v>615265.16931294859</v>
      </c>
      <c r="Q93" s="8">
        <f t="shared" si="47"/>
        <v>615265.16931294859</v>
      </c>
      <c r="R93" s="8">
        <f t="shared" si="47"/>
        <v>615265.16931294859</v>
      </c>
      <c r="S93" s="8">
        <f t="shared" si="47"/>
        <v>615265.16931294859</v>
      </c>
      <c r="T93" s="8">
        <f t="shared" si="47"/>
        <v>615265.16931294859</v>
      </c>
      <c r="U93" s="8">
        <f t="shared" si="47"/>
        <v>615265.16931294859</v>
      </c>
      <c r="V93" s="8">
        <f t="shared" si="47"/>
        <v>615265.16931294859</v>
      </c>
      <c r="W93" s="8">
        <f t="shared" si="47"/>
        <v>615265.16931294859</v>
      </c>
      <c r="X93" s="8">
        <f t="shared" si="47"/>
        <v>615265.16931294859</v>
      </c>
      <c r="Y93" s="8">
        <f t="shared" si="47"/>
        <v>615265.16931294859</v>
      </c>
    </row>
    <row r="94" spans="1:25" ht="18.75" thickTop="1" thickBot="1" x14ac:dyDescent="0.35">
      <c r="A94" s="16" t="str">
        <f>"Maintenance opex for "&amp;A48</f>
        <v>Maintenance opex for Cannibalise</v>
      </c>
      <c r="D94" s="8">
        <f>D77*$B$88+(15-D77)*$B$89</f>
        <v>615265.16931294859</v>
      </c>
      <c r="E94" s="8">
        <f t="shared" ref="E94:Y94" si="48">E77*$B$88+(15-E77)*$B$89</f>
        <v>615265.16931294859</v>
      </c>
      <c r="F94" s="8">
        <f t="shared" si="48"/>
        <v>615265.16931294859</v>
      </c>
      <c r="G94" s="8">
        <f t="shared" si="48"/>
        <v>615265.16931294859</v>
      </c>
      <c r="H94" s="8">
        <f t="shared" si="48"/>
        <v>615265.16931294859</v>
      </c>
      <c r="I94" s="8">
        <f t="shared" si="48"/>
        <v>615265.16931294859</v>
      </c>
      <c r="J94" s="8">
        <f t="shared" si="48"/>
        <v>615265.16931294859</v>
      </c>
      <c r="K94" s="8">
        <f t="shared" si="48"/>
        <v>615265.16931294859</v>
      </c>
      <c r="L94" s="8">
        <f t="shared" si="48"/>
        <v>615265.16931294859</v>
      </c>
      <c r="M94" s="8">
        <f t="shared" si="48"/>
        <v>615265.16931294859</v>
      </c>
      <c r="N94" s="8">
        <f t="shared" si="48"/>
        <v>615265.16931294859</v>
      </c>
      <c r="O94" s="8">
        <f t="shared" si="48"/>
        <v>615265.16931294859</v>
      </c>
      <c r="P94" s="8">
        <f t="shared" si="48"/>
        <v>615265.16931294859</v>
      </c>
      <c r="Q94" s="8">
        <f t="shared" si="48"/>
        <v>615265.16931294859</v>
      </c>
      <c r="R94" s="8">
        <f t="shared" si="48"/>
        <v>615265.16931294859</v>
      </c>
      <c r="S94" s="8">
        <f t="shared" si="48"/>
        <v>615265.16931294859</v>
      </c>
      <c r="T94" s="8">
        <f t="shared" si="48"/>
        <v>615265.16931294859</v>
      </c>
      <c r="U94" s="8">
        <f t="shared" si="48"/>
        <v>615265.16931294859</v>
      </c>
      <c r="V94" s="8">
        <f t="shared" si="48"/>
        <v>615265.16931294859</v>
      </c>
      <c r="W94" s="8">
        <f t="shared" si="48"/>
        <v>615265.16931294859</v>
      </c>
      <c r="X94" s="8">
        <f t="shared" si="48"/>
        <v>615265.16931294859</v>
      </c>
      <c r="Y94" s="8">
        <f t="shared" si="48"/>
        <v>615265.16931294859</v>
      </c>
    </row>
    <row r="95" spans="1:25" s="64" customFormat="1" ht="18.75" thickTop="1" thickBot="1" x14ac:dyDescent="0.35">
      <c r="A95" s="16" t="str">
        <f>"Maintenance opex for "&amp;A49</f>
        <v>Maintenance opex for Staged Replacement Phase</v>
      </c>
      <c r="D95" s="8">
        <f>D78*$B$88+($B$22-D78)*$B$89</f>
        <v>659849.601871858</v>
      </c>
      <c r="E95" s="8">
        <f t="shared" ref="E95:Y95" si="49">E78*$B$88+($B$22-E78)*$B$89</f>
        <v>659849.601871858</v>
      </c>
      <c r="F95" s="8">
        <f t="shared" si="49"/>
        <v>659849.601871858</v>
      </c>
      <c r="G95" s="8">
        <f t="shared" si="49"/>
        <v>659849.601871858</v>
      </c>
      <c r="H95" s="8">
        <f t="shared" si="49"/>
        <v>650932.71536007605</v>
      </c>
      <c r="I95" s="8">
        <f t="shared" si="49"/>
        <v>650932.71536007605</v>
      </c>
      <c r="J95" s="8">
        <f t="shared" si="49"/>
        <v>650932.71536007605</v>
      </c>
      <c r="K95" s="8">
        <f t="shared" si="49"/>
        <v>650932.71536007605</v>
      </c>
      <c r="L95" s="8">
        <f t="shared" si="49"/>
        <v>642015.82884829422</v>
      </c>
      <c r="M95" s="8">
        <f t="shared" si="49"/>
        <v>642015.82884829422</v>
      </c>
      <c r="N95" s="8">
        <f t="shared" si="49"/>
        <v>642015.82884829422</v>
      </c>
      <c r="O95" s="8">
        <f t="shared" si="49"/>
        <v>642015.82884829422</v>
      </c>
      <c r="P95" s="8">
        <f t="shared" si="49"/>
        <v>633098.94233651238</v>
      </c>
      <c r="Q95" s="8">
        <f t="shared" si="49"/>
        <v>633098.94233651238</v>
      </c>
      <c r="R95" s="8">
        <f t="shared" si="49"/>
        <v>633098.94233651238</v>
      </c>
      <c r="S95" s="8">
        <f t="shared" si="49"/>
        <v>633098.94233651238</v>
      </c>
      <c r="T95" s="8">
        <f t="shared" si="49"/>
        <v>633098.94233651238</v>
      </c>
      <c r="U95" s="8">
        <f t="shared" si="49"/>
        <v>624182.05582473055</v>
      </c>
      <c r="V95" s="8">
        <f t="shared" si="49"/>
        <v>624182.05582473055</v>
      </c>
      <c r="W95" s="8">
        <f t="shared" si="49"/>
        <v>624182.05582473055</v>
      </c>
      <c r="X95" s="8">
        <f t="shared" si="49"/>
        <v>624182.05582473055</v>
      </c>
      <c r="Y95" s="8">
        <f t="shared" si="49"/>
        <v>615265.16931294859</v>
      </c>
    </row>
    <row r="96" spans="1:25" ht="15.75" thickTop="1" x14ac:dyDescent="0.25"/>
    <row r="97" spans="1:25" ht="20.25" thickBot="1" x14ac:dyDescent="0.35">
      <c r="A97" s="47" t="s">
        <v>85</v>
      </c>
    </row>
    <row r="98" spans="1:25" ht="18.75" thickTop="1" thickBot="1" x14ac:dyDescent="0.35">
      <c r="A98" s="16" t="str">
        <f>A45</f>
        <v>Replace All IGBTs and Equipment</v>
      </c>
      <c r="D98" s="8">
        <f>D91+D45+D38</f>
        <v>34063013.190706916</v>
      </c>
      <c r="E98" s="8">
        <f t="shared" ref="E98:Y102" si="50">E91+E45+E38</f>
        <v>1063013.190706912</v>
      </c>
      <c r="F98" s="8">
        <f t="shared" si="50"/>
        <v>1063013.190706912</v>
      </c>
      <c r="G98" s="8">
        <f t="shared" si="50"/>
        <v>1063013.190706912</v>
      </c>
      <c r="H98" s="8">
        <f t="shared" si="50"/>
        <v>1063013.190706912</v>
      </c>
      <c r="I98" s="8">
        <f t="shared" si="50"/>
        <v>1063013.190706912</v>
      </c>
      <c r="J98" s="8">
        <f t="shared" si="50"/>
        <v>1063013.190706912</v>
      </c>
      <c r="K98" s="8">
        <f t="shared" si="50"/>
        <v>1063013.190706912</v>
      </c>
      <c r="L98" s="8">
        <f t="shared" si="50"/>
        <v>1063013.190706912</v>
      </c>
      <c r="M98" s="8">
        <f t="shared" si="50"/>
        <v>1063013.190706912</v>
      </c>
      <c r="N98" s="8">
        <f t="shared" si="50"/>
        <v>1063013.190706912</v>
      </c>
      <c r="O98" s="8">
        <f t="shared" si="50"/>
        <v>1063013.190706912</v>
      </c>
      <c r="P98" s="8">
        <f t="shared" si="50"/>
        <v>1063013.190706912</v>
      </c>
      <c r="Q98" s="8">
        <f t="shared" si="50"/>
        <v>1063013.190706912</v>
      </c>
      <c r="R98" s="8">
        <f t="shared" si="50"/>
        <v>1063013.190706912</v>
      </c>
      <c r="S98" s="8">
        <f t="shared" si="50"/>
        <v>1063013.190706912</v>
      </c>
      <c r="T98" s="8">
        <f t="shared" si="50"/>
        <v>1063013.190706912</v>
      </c>
      <c r="U98" s="8">
        <f t="shared" si="50"/>
        <v>1063013.190706912</v>
      </c>
      <c r="V98" s="8">
        <f t="shared" si="50"/>
        <v>1063013.190706912</v>
      </c>
      <c r="W98" s="8">
        <f t="shared" si="50"/>
        <v>1063013.190706912</v>
      </c>
      <c r="X98" s="8">
        <f t="shared" si="50"/>
        <v>1063013.190706912</v>
      </c>
      <c r="Y98" s="8">
        <f t="shared" si="50"/>
        <v>1063013.190706912</v>
      </c>
    </row>
    <row r="99" spans="1:25" ht="18.75" thickTop="1" thickBot="1" x14ac:dyDescent="0.35">
      <c r="A99" s="16" t="str">
        <f>A46</f>
        <v>Staged Replacement Building</v>
      </c>
      <c r="D99" s="8">
        <f t="shared" ref="D99:S102" si="51">D92+D46+D39</f>
        <v>22747615.828848295</v>
      </c>
      <c r="E99" s="8">
        <f t="shared" si="51"/>
        <v>747615.82884829422</v>
      </c>
      <c r="F99" s="8">
        <f t="shared" si="51"/>
        <v>747615.82884829422</v>
      </c>
      <c r="G99" s="8">
        <f t="shared" si="51"/>
        <v>747615.82884829422</v>
      </c>
      <c r="H99" s="8">
        <f t="shared" si="51"/>
        <v>747615.82884829422</v>
      </c>
      <c r="I99" s="8">
        <f t="shared" si="51"/>
        <v>747615.82884829422</v>
      </c>
      <c r="J99" s="8">
        <f t="shared" si="51"/>
        <v>747615.82884829422</v>
      </c>
      <c r="K99" s="8">
        <f t="shared" si="51"/>
        <v>747615.82884829422</v>
      </c>
      <c r="L99" s="8">
        <f t="shared" si="51"/>
        <v>747615.82884829422</v>
      </c>
      <c r="M99" s="8">
        <f t="shared" si="51"/>
        <v>747615.82884829422</v>
      </c>
      <c r="N99" s="8">
        <f t="shared" si="51"/>
        <v>747615.82884829422</v>
      </c>
      <c r="O99" s="8">
        <f t="shared" si="51"/>
        <v>747615.82884829422</v>
      </c>
      <c r="P99" s="8">
        <f t="shared" si="51"/>
        <v>22826465.16931295</v>
      </c>
      <c r="Q99" s="8">
        <f t="shared" si="51"/>
        <v>826465.16931294859</v>
      </c>
      <c r="R99" s="8">
        <f t="shared" si="51"/>
        <v>826465.16931294859</v>
      </c>
      <c r="S99" s="8">
        <f t="shared" si="51"/>
        <v>826465.16931294859</v>
      </c>
      <c r="T99" s="8">
        <f t="shared" si="50"/>
        <v>826465.16931294859</v>
      </c>
      <c r="U99" s="8">
        <f t="shared" si="50"/>
        <v>826465.16931294859</v>
      </c>
      <c r="V99" s="8">
        <f t="shared" si="50"/>
        <v>826465.16931294859</v>
      </c>
      <c r="W99" s="8">
        <f t="shared" si="50"/>
        <v>826465.16931294859</v>
      </c>
      <c r="X99" s="8">
        <f t="shared" si="50"/>
        <v>826465.16931294859</v>
      </c>
      <c r="Y99" s="8">
        <f t="shared" si="50"/>
        <v>826465.16931294859</v>
      </c>
    </row>
    <row r="100" spans="1:25" ht="18.75" thickTop="1" thickBot="1" x14ac:dyDescent="0.35">
      <c r="A100" s="16" t="str">
        <f>A47</f>
        <v>Capex replacement contract</v>
      </c>
      <c r="D100" s="8">
        <f t="shared" si="51"/>
        <v>4047615.8288482949</v>
      </c>
      <c r="E100" s="8">
        <f t="shared" si="50"/>
        <v>4047615.8288482949</v>
      </c>
      <c r="F100" s="8">
        <f t="shared" si="50"/>
        <v>4047615.8288482949</v>
      </c>
      <c r="G100" s="8">
        <f t="shared" si="50"/>
        <v>4047615.8288482949</v>
      </c>
      <c r="H100" s="8">
        <f t="shared" si="50"/>
        <v>4047615.8288482949</v>
      </c>
      <c r="I100" s="8">
        <f t="shared" si="50"/>
        <v>4047615.8288482949</v>
      </c>
      <c r="J100" s="8">
        <f t="shared" si="50"/>
        <v>4047615.8288482949</v>
      </c>
      <c r="K100" s="8">
        <f t="shared" si="50"/>
        <v>4047615.8288482949</v>
      </c>
      <c r="L100" s="8">
        <f t="shared" si="50"/>
        <v>4047615.8288482949</v>
      </c>
      <c r="M100" s="8">
        <f t="shared" si="50"/>
        <v>4047615.8288482949</v>
      </c>
      <c r="N100" s="8">
        <f t="shared" si="50"/>
        <v>4047615.8288482949</v>
      </c>
      <c r="O100" s="8">
        <f t="shared" si="50"/>
        <v>2397615.8288482944</v>
      </c>
      <c r="P100" s="8">
        <f t="shared" si="50"/>
        <v>2476465.1693129488</v>
      </c>
      <c r="Q100" s="8">
        <f t="shared" si="50"/>
        <v>2476465.1693129488</v>
      </c>
      <c r="R100" s="8">
        <f t="shared" si="50"/>
        <v>2476465.1693129488</v>
      </c>
      <c r="S100" s="8">
        <f t="shared" si="50"/>
        <v>2476465.1693129488</v>
      </c>
      <c r="T100" s="8">
        <f t="shared" si="50"/>
        <v>2476465.1693129488</v>
      </c>
      <c r="U100" s="8">
        <f t="shared" si="50"/>
        <v>2476465.1693129488</v>
      </c>
      <c r="V100" s="8">
        <f t="shared" si="50"/>
        <v>2476465.1693129488</v>
      </c>
      <c r="W100" s="8">
        <f t="shared" si="50"/>
        <v>2476465.1693129488</v>
      </c>
      <c r="X100" s="8">
        <f t="shared" si="50"/>
        <v>2476465.1693129488</v>
      </c>
      <c r="Y100" s="8">
        <f t="shared" si="50"/>
        <v>2476465.1693129488</v>
      </c>
    </row>
    <row r="101" spans="1:25" ht="18.75" thickTop="1" thickBot="1" x14ac:dyDescent="0.35">
      <c r="A101" s="16" t="str">
        <f>A48</f>
        <v>Cannibalise</v>
      </c>
      <c r="D101" s="8">
        <f t="shared" si="51"/>
        <v>890265.16931294859</v>
      </c>
      <c r="E101" s="8">
        <f t="shared" si="50"/>
        <v>615265.16931294859</v>
      </c>
      <c r="F101" s="8">
        <f t="shared" si="50"/>
        <v>615265.16931294859</v>
      </c>
      <c r="G101" s="8">
        <f t="shared" si="50"/>
        <v>615265.16931294859</v>
      </c>
      <c r="H101" s="8">
        <f t="shared" si="50"/>
        <v>615265.16931294859</v>
      </c>
      <c r="I101" s="8">
        <f t="shared" si="50"/>
        <v>615265.16931294859</v>
      </c>
      <c r="J101" s="8">
        <f t="shared" si="50"/>
        <v>615265.16931294859</v>
      </c>
      <c r="K101" s="8">
        <f t="shared" si="50"/>
        <v>615265.16931294859</v>
      </c>
      <c r="L101" s="8">
        <f t="shared" si="50"/>
        <v>615265.16931294859</v>
      </c>
      <c r="M101" s="8">
        <f t="shared" si="50"/>
        <v>615265.16931294859</v>
      </c>
      <c r="N101" s="8">
        <f t="shared" si="50"/>
        <v>615265.16931294859</v>
      </c>
      <c r="O101" s="8">
        <f t="shared" si="50"/>
        <v>615265.16931294859</v>
      </c>
      <c r="P101" s="8">
        <f t="shared" si="50"/>
        <v>615265.16931294859</v>
      </c>
      <c r="Q101" s="8">
        <f t="shared" si="50"/>
        <v>615265.16931294859</v>
      </c>
      <c r="R101" s="8">
        <f t="shared" si="50"/>
        <v>615265.16931294859</v>
      </c>
      <c r="S101" s="8">
        <f t="shared" si="50"/>
        <v>615265.16931294859</v>
      </c>
      <c r="T101" s="8">
        <f t="shared" si="50"/>
        <v>615265.16931294859</v>
      </c>
      <c r="U101" s="8">
        <f t="shared" si="50"/>
        <v>615265.16931294859</v>
      </c>
      <c r="V101" s="8">
        <f t="shared" si="50"/>
        <v>615265.16931294859</v>
      </c>
      <c r="W101" s="8">
        <f t="shared" si="50"/>
        <v>615265.16931294859</v>
      </c>
      <c r="X101" s="8">
        <f t="shared" si="50"/>
        <v>615265.16931294859</v>
      </c>
      <c r="Y101" s="8">
        <f t="shared" si="50"/>
        <v>615265.16931294859</v>
      </c>
    </row>
    <row r="102" spans="1:25" s="64" customFormat="1" ht="18.75" thickTop="1" thickBot="1" x14ac:dyDescent="0.35">
      <c r="A102" s="16" t="str">
        <f>A49</f>
        <v>Staged Replacement Phase</v>
      </c>
      <c r="D102" s="8">
        <f t="shared" si="51"/>
        <v>16095049.601871859</v>
      </c>
      <c r="E102" s="8">
        <f t="shared" si="50"/>
        <v>695049.601871858</v>
      </c>
      <c r="F102" s="8">
        <f t="shared" si="50"/>
        <v>695049.601871858</v>
      </c>
      <c r="G102" s="8">
        <f t="shared" si="50"/>
        <v>695049.601871858</v>
      </c>
      <c r="H102" s="8">
        <f t="shared" si="50"/>
        <v>16121332.715360077</v>
      </c>
      <c r="I102" s="8">
        <f t="shared" si="50"/>
        <v>721332.71536007605</v>
      </c>
      <c r="J102" s="8">
        <f t="shared" si="50"/>
        <v>721332.71536007605</v>
      </c>
      <c r="K102" s="8">
        <f t="shared" si="50"/>
        <v>721332.71536007605</v>
      </c>
      <c r="L102" s="8">
        <f t="shared" si="50"/>
        <v>16147615.828848297</v>
      </c>
      <c r="M102" s="8">
        <f t="shared" si="50"/>
        <v>747615.82884829422</v>
      </c>
      <c r="N102" s="8">
        <f t="shared" si="50"/>
        <v>747615.82884829422</v>
      </c>
      <c r="O102" s="8">
        <f t="shared" si="50"/>
        <v>747615.82884829422</v>
      </c>
      <c r="P102" s="8">
        <f t="shared" si="50"/>
        <v>16173898.942336515</v>
      </c>
      <c r="Q102" s="8">
        <f t="shared" si="50"/>
        <v>773898.94233651238</v>
      </c>
      <c r="R102" s="8">
        <f t="shared" si="50"/>
        <v>773898.94233651238</v>
      </c>
      <c r="S102" s="8">
        <f t="shared" si="50"/>
        <v>773898.94233651238</v>
      </c>
      <c r="T102" s="8">
        <f t="shared" si="50"/>
        <v>773898.94233651238</v>
      </c>
      <c r="U102" s="8">
        <f t="shared" si="50"/>
        <v>16200182.055824732</v>
      </c>
      <c r="V102" s="8">
        <f t="shared" si="50"/>
        <v>800182.05582473055</v>
      </c>
      <c r="W102" s="8">
        <f t="shared" si="50"/>
        <v>800182.05582473055</v>
      </c>
      <c r="X102" s="8">
        <f t="shared" si="50"/>
        <v>800182.05582473055</v>
      </c>
      <c r="Y102" s="8">
        <f t="shared" si="50"/>
        <v>16226465.16931295</v>
      </c>
    </row>
    <row r="103" spans="1:25" ht="15.75" thickTop="1" x14ac:dyDescent="0.25"/>
    <row r="104" spans="1:25" ht="20.25" thickBot="1" x14ac:dyDescent="0.35">
      <c r="A104" s="47" t="s">
        <v>86</v>
      </c>
      <c r="D104">
        <v>1</v>
      </c>
      <c r="E104">
        <v>2</v>
      </c>
      <c r="F104" s="45">
        <v>3</v>
      </c>
      <c r="G104" s="45">
        <v>4</v>
      </c>
      <c r="H104" s="45">
        <v>5</v>
      </c>
      <c r="I104" s="45">
        <v>6</v>
      </c>
      <c r="J104" s="45">
        <v>7</v>
      </c>
      <c r="K104" s="45">
        <v>8</v>
      </c>
      <c r="L104" s="45">
        <v>9</v>
      </c>
      <c r="M104" s="45">
        <v>10</v>
      </c>
      <c r="N104" s="45">
        <v>11</v>
      </c>
      <c r="O104" s="45">
        <v>12</v>
      </c>
      <c r="P104" s="45">
        <v>13</v>
      </c>
      <c r="Q104" s="45">
        <v>14</v>
      </c>
      <c r="R104" s="45">
        <v>15</v>
      </c>
      <c r="S104" s="45">
        <v>16</v>
      </c>
      <c r="T104" s="45">
        <v>17</v>
      </c>
      <c r="U104" s="45">
        <v>18</v>
      </c>
      <c r="V104" s="45">
        <v>19</v>
      </c>
      <c r="W104" s="45">
        <v>20</v>
      </c>
      <c r="X104" s="45">
        <v>21</v>
      </c>
      <c r="Y104" s="45">
        <v>22</v>
      </c>
    </row>
    <row r="105" spans="1:25" ht="18.75" thickTop="1" thickBot="1" x14ac:dyDescent="0.35">
      <c r="A105" s="16" t="str">
        <f>A98</f>
        <v>Replace All IGBTs and Equipment</v>
      </c>
      <c r="D105" s="8">
        <f t="shared" ref="D105:Y105" si="52">(D80-D98)/(1+$B$86)^D$104</f>
        <v>587547226.62764609</v>
      </c>
      <c r="E105" s="8">
        <f t="shared" si="52"/>
        <v>605489572.53110754</v>
      </c>
      <c r="F105" s="8">
        <f t="shared" si="52"/>
        <v>591522894.00213563</v>
      </c>
      <c r="G105" s="8">
        <f t="shared" si="52"/>
        <v>577878381.39968193</v>
      </c>
      <c r="H105" s="8">
        <f t="shared" si="52"/>
        <v>564548603.40183318</v>
      </c>
      <c r="I105" s="8">
        <f t="shared" si="52"/>
        <v>551526300.10314441</v>
      </c>
      <c r="J105" s="8">
        <f t="shared" si="52"/>
        <v>538804379.0606178</v>
      </c>
      <c r="K105" s="8">
        <f t="shared" si="52"/>
        <v>526375911.4308877</v>
      </c>
      <c r="L105" s="8">
        <f t="shared" si="52"/>
        <v>514234128.19650829</v>
      </c>
      <c r="M105" s="8">
        <f t="shared" si="52"/>
        <v>502372416.47928822</v>
      </c>
      <c r="N105" s="8">
        <f t="shared" si="52"/>
        <v>490784315.93866569</v>
      </c>
      <c r="O105" s="8">
        <f t="shared" si="52"/>
        <v>479463515.25315994</v>
      </c>
      <c r="P105" s="8">
        <f t="shared" si="52"/>
        <v>468403848.68298519</v>
      </c>
      <c r="Q105" s="8">
        <f t="shared" si="52"/>
        <v>457599292.71195334</v>
      </c>
      <c r="R105" s="8">
        <f t="shared" si="52"/>
        <v>447043962.76683784</v>
      </c>
      <c r="S105" s="8">
        <f t="shared" si="52"/>
        <v>436732110.01241016</v>
      </c>
      <c r="T105" s="8">
        <f t="shared" si="52"/>
        <v>426658118.22040528</v>
      </c>
      <c r="U105" s="8">
        <f t="shared" si="52"/>
        <v>416816500.71070921</v>
      </c>
      <c r="V105" s="8">
        <f t="shared" si="52"/>
        <v>407201897.36310428</v>
      </c>
      <c r="W105" s="8">
        <f t="shared" si="52"/>
        <v>397809071.69794273</v>
      </c>
      <c r="X105" s="8">
        <f t="shared" si="52"/>
        <v>388632908.02416044</v>
      </c>
      <c r="Y105" s="8">
        <f t="shared" si="52"/>
        <v>379668408.65307647</v>
      </c>
    </row>
    <row r="106" spans="1:25" ht="18.75" thickTop="1" thickBot="1" x14ac:dyDescent="0.35">
      <c r="A106" s="16" t="str">
        <f>A99</f>
        <v>Staged Replacement Building</v>
      </c>
      <c r="D106" s="8">
        <f t="shared" ref="D106:Y106" si="53">(D81-D99)/(1+$B$86)^D$104</f>
        <v>598601614.51130676</v>
      </c>
      <c r="E106" s="8">
        <f t="shared" si="53"/>
        <v>605790587.3218441</v>
      </c>
      <c r="F106" s="8">
        <f t="shared" si="53"/>
        <v>591816965.35898757</v>
      </c>
      <c r="G106" s="8">
        <f t="shared" si="53"/>
        <v>578165669.48512506</v>
      </c>
      <c r="H106" s="8">
        <f t="shared" si="53"/>
        <v>564829264.6839149</v>
      </c>
      <c r="I106" s="8">
        <f t="shared" si="53"/>
        <v>551800487.4407022</v>
      </c>
      <c r="J106" s="8">
        <f t="shared" si="53"/>
        <v>539072241.78653216</v>
      </c>
      <c r="K106" s="8">
        <f t="shared" si="53"/>
        <v>526637595.43341452</v>
      </c>
      <c r="L106" s="8">
        <f t="shared" si="53"/>
        <v>514489775.99873483</v>
      </c>
      <c r="M106" s="8">
        <f t="shared" si="53"/>
        <v>502622167.31675714</v>
      </c>
      <c r="N106" s="8">
        <f t="shared" si="53"/>
        <v>491028305.83520758</v>
      </c>
      <c r="O106" s="8">
        <f t="shared" si="53"/>
        <v>479701877.09497738</v>
      </c>
      <c r="P106" s="8">
        <f t="shared" si="53"/>
        <v>452335496.29942381</v>
      </c>
      <c r="Q106" s="8">
        <f t="shared" si="53"/>
        <v>457769911.86245465</v>
      </c>
      <c r="R106" s="8">
        <f t="shared" si="53"/>
        <v>447210646.28750497</v>
      </c>
      <c r="S106" s="8">
        <f t="shared" si="53"/>
        <v>436894948.68544519</v>
      </c>
      <c r="T106" s="8">
        <f t="shared" si="53"/>
        <v>426817200.7339595</v>
      </c>
      <c r="U106" s="8">
        <f t="shared" si="53"/>
        <v>416971913.7071864</v>
      </c>
      <c r="V106" s="8">
        <f t="shared" si="53"/>
        <v>407353725.48634911</v>
      </c>
      <c r="W106" s="8">
        <f t="shared" si="53"/>
        <v>397957397.63934129</v>
      </c>
      <c r="X106" s="8">
        <f t="shared" si="53"/>
        <v>388777812.56767702</v>
      </c>
      <c r="Y106" s="8">
        <f t="shared" si="53"/>
        <v>379809970.71925163</v>
      </c>
    </row>
    <row r="107" spans="1:25" ht="18.75" thickTop="1" thickBot="1" x14ac:dyDescent="0.35">
      <c r="A107" s="16" t="str">
        <f>A100</f>
        <v>Capex replacement contract</v>
      </c>
      <c r="D107" s="8">
        <f t="shared" ref="D107:Y107" si="54">(D82-D100)/(1+$B$86)^D$104</f>
        <v>616870266.22664523</v>
      </c>
      <c r="E107" s="8">
        <f t="shared" si="54"/>
        <v>602641072.04506207</v>
      </c>
      <c r="F107" s="8">
        <f t="shared" si="54"/>
        <v>588740099.17376471</v>
      </c>
      <c r="G107" s="8">
        <f t="shared" si="54"/>
        <v>575159776.61279666</v>
      </c>
      <c r="H107" s="8">
        <f t="shared" si="54"/>
        <v>561892708.00058949</v>
      </c>
      <c r="I107" s="8">
        <f t="shared" si="54"/>
        <v>548931667.58562088</v>
      </c>
      <c r="J107" s="8">
        <f t="shared" si="54"/>
        <v>536269596.2909959</v>
      </c>
      <c r="K107" s="8">
        <f t="shared" si="54"/>
        <v>523899597.86980414</v>
      </c>
      <c r="L107" s="8">
        <f t="shared" si="54"/>
        <v>511814935.14916039</v>
      </c>
      <c r="M107" s="8">
        <f t="shared" si="54"/>
        <v>500009026.36088353</v>
      </c>
      <c r="N107" s="8">
        <f t="shared" si="54"/>
        <v>488475441.55681503</v>
      </c>
      <c r="O107" s="8">
        <f t="shared" si="54"/>
        <v>478454888.10090029</v>
      </c>
      <c r="P107" s="8">
        <f t="shared" si="54"/>
        <v>467360271.3822974</v>
      </c>
      <c r="Q107" s="8">
        <f t="shared" si="54"/>
        <v>456579787.35129565</v>
      </c>
      <c r="R107" s="8">
        <f t="shared" si="54"/>
        <v>446047974.08471078</v>
      </c>
      <c r="S107" s="8">
        <f t="shared" si="54"/>
        <v>435759095.55539423</v>
      </c>
      <c r="T107" s="8">
        <f t="shared" si="54"/>
        <v>425707548.04772007</v>
      </c>
      <c r="U107" s="8">
        <f t="shared" si="54"/>
        <v>415887857.10558754</v>
      </c>
      <c r="V107" s="8">
        <f t="shared" si="54"/>
        <v>406294674.55082381</v>
      </c>
      <c r="W107" s="8">
        <f t="shared" si="54"/>
        <v>396922775.57036191</v>
      </c>
      <c r="X107" s="8">
        <f t="shared" si="54"/>
        <v>387767055.87060821</v>
      </c>
      <c r="Y107" s="8">
        <f t="shared" si="54"/>
        <v>378822528.89744967</v>
      </c>
    </row>
    <row r="108" spans="1:25" ht="18.75" thickTop="1" thickBot="1" x14ac:dyDescent="0.35">
      <c r="A108" s="16" t="str">
        <f>A101</f>
        <v>Cannibalise</v>
      </c>
      <c r="D108" s="8">
        <f t="shared" ref="D108:Y108" si="55">(D83-D101)/(1+$B$86)^D$104</f>
        <v>583670803.13997066</v>
      </c>
      <c r="E108" s="8">
        <f t="shared" si="55"/>
        <v>570469872.38586199</v>
      </c>
      <c r="F108" s="8">
        <f t="shared" si="55"/>
        <v>557310984.63694441</v>
      </c>
      <c r="G108" s="8">
        <f t="shared" si="55"/>
        <v>544455629.70399201</v>
      </c>
      <c r="H108" s="8">
        <f t="shared" si="55"/>
        <v>531896806.07045376</v>
      </c>
      <c r="I108" s="8">
        <f t="shared" si="55"/>
        <v>519627673.72203279</v>
      </c>
      <c r="J108" s="8">
        <f t="shared" si="55"/>
        <v>507641550.421354</v>
      </c>
      <c r="K108" s="8">
        <f t="shared" si="55"/>
        <v>495931908.06856239</v>
      </c>
      <c r="L108" s="8">
        <f t="shared" si="55"/>
        <v>484492369.14587122</v>
      </c>
      <c r="M108" s="8">
        <f t="shared" si="55"/>
        <v>473316703.24412233</v>
      </c>
      <c r="N108" s="8">
        <f t="shared" si="55"/>
        <v>462398823.6694681</v>
      </c>
      <c r="O108" s="8">
        <f t="shared" si="55"/>
        <v>451732784.1283257</v>
      </c>
      <c r="P108" s="8">
        <f t="shared" si="55"/>
        <v>441312775.4887985</v>
      </c>
      <c r="Q108" s="8">
        <f t="shared" si="55"/>
        <v>431133122.61680156</v>
      </c>
      <c r="R108" s="8">
        <f t="shared" si="55"/>
        <v>421188281.28516769</v>
      </c>
      <c r="S108" s="8">
        <f t="shared" si="55"/>
        <v>411472835.15404886</v>
      </c>
      <c r="T108" s="8">
        <f t="shared" si="55"/>
        <v>401981492.82097173</v>
      </c>
      <c r="U108" s="8">
        <f t="shared" si="55"/>
        <v>392709084.9389379</v>
      </c>
      <c r="V108" s="8">
        <f t="shared" si="55"/>
        <v>383650561.40100014</v>
      </c>
      <c r="W108" s="8">
        <f t="shared" si="55"/>
        <v>374800988.58978206</v>
      </c>
      <c r="X108" s="8">
        <f t="shared" si="55"/>
        <v>366155546.69044125</v>
      </c>
      <c r="Y108" s="8">
        <f t="shared" si="55"/>
        <v>357709527.065615</v>
      </c>
    </row>
    <row r="109" spans="1:25" s="64" customFormat="1" ht="18.75" thickTop="1" thickBot="1" x14ac:dyDescent="0.35">
      <c r="A109" s="16" t="str">
        <f>A102</f>
        <v>Staged Replacement Phase</v>
      </c>
      <c r="D109" s="8">
        <f t="shared" ref="D109:Y109" si="56">(D84-D102)/(1+$B$86)^D$104</f>
        <v>605100727.63504231</v>
      </c>
      <c r="E109" s="8">
        <f t="shared" si="56"/>
        <v>605840756.45363343</v>
      </c>
      <c r="F109" s="8">
        <f t="shared" si="56"/>
        <v>591865977.25179625</v>
      </c>
      <c r="G109" s="8">
        <f t="shared" si="56"/>
        <v>578213550.83269882</v>
      </c>
      <c r="H109" s="8">
        <f t="shared" si="56"/>
        <v>551148721.93523669</v>
      </c>
      <c r="I109" s="8">
        <f t="shared" si="56"/>
        <v>551823336.38549864</v>
      </c>
      <c r="J109" s="8">
        <f t="shared" si="56"/>
        <v>539094563.68035829</v>
      </c>
      <c r="K109" s="8">
        <f t="shared" si="56"/>
        <v>526659402.43362504</v>
      </c>
      <c r="L109" s="8">
        <f t="shared" si="56"/>
        <v>502007185.36738729</v>
      </c>
      <c r="M109" s="8">
        <f t="shared" si="56"/>
        <v>502622167.31675714</v>
      </c>
      <c r="N109" s="8">
        <f t="shared" si="56"/>
        <v>491028305.83520758</v>
      </c>
      <c r="O109" s="8">
        <f t="shared" si="56"/>
        <v>479701877.09497738</v>
      </c>
      <c r="P109" s="8">
        <f t="shared" si="56"/>
        <v>457247206.92764205</v>
      </c>
      <c r="Q109" s="8">
        <f t="shared" si="56"/>
        <v>457807827.22923267</v>
      </c>
      <c r="R109" s="8">
        <f t="shared" si="56"/>
        <v>447247687.06987542</v>
      </c>
      <c r="S109" s="8">
        <f t="shared" si="56"/>
        <v>436931135.05723071</v>
      </c>
      <c r="T109" s="8">
        <f t="shared" si="56"/>
        <v>426852552.40363818</v>
      </c>
      <c r="U109" s="8">
        <f t="shared" si="56"/>
        <v>406871320.20298362</v>
      </c>
      <c r="V109" s="8">
        <f t="shared" si="56"/>
        <v>407370595.27782071</v>
      </c>
      <c r="W109" s="8">
        <f t="shared" si="56"/>
        <v>397973878.29949665</v>
      </c>
      <c r="X109" s="8">
        <f t="shared" si="56"/>
        <v>388793913.07251221</v>
      </c>
      <c r="Y109" s="8">
        <f t="shared" si="56"/>
        <v>370593847.04910016</v>
      </c>
    </row>
    <row r="110" spans="1:25" ht="15.75" thickTop="1" x14ac:dyDescent="0.25"/>
    <row r="111" spans="1:25" ht="20.25" thickBot="1" x14ac:dyDescent="0.35">
      <c r="A111" s="47" t="s">
        <v>99</v>
      </c>
    </row>
    <row r="112" spans="1:25" ht="18.75" thickTop="1" thickBot="1" x14ac:dyDescent="0.35">
      <c r="A112" s="16" t="str">
        <f>A45</f>
        <v>Replace All IGBTs and Equipment</v>
      </c>
      <c r="D112" s="8">
        <f>B38*$B$86</f>
        <v>779175.91378028609</v>
      </c>
    </row>
    <row r="113" spans="1:8" ht="18.75" thickTop="1" thickBot="1" x14ac:dyDescent="0.35">
      <c r="A113" s="16" t="str">
        <f>A46</f>
        <v>Staged Replacement Building</v>
      </c>
      <c r="D113" s="8">
        <f>B39*$B$86</f>
        <v>519450.60918685736</v>
      </c>
    </row>
    <row r="114" spans="1:8" ht="18.75" thickTop="1" thickBot="1" x14ac:dyDescent="0.35">
      <c r="A114" s="16" t="str">
        <f>A47</f>
        <v>Capex replacement contract</v>
      </c>
      <c r="D114" s="8">
        <f>B40*$B$86</f>
        <v>77917.591378028621</v>
      </c>
    </row>
    <row r="115" spans="1:8" ht="18.75" thickTop="1" thickBot="1" x14ac:dyDescent="0.35">
      <c r="A115" s="16" t="str">
        <f>A48</f>
        <v>Cannibalise</v>
      </c>
      <c r="D115" s="8">
        <f>B41*$B$86</f>
        <v>6493.1326148357175</v>
      </c>
    </row>
    <row r="116" spans="1:8" s="64" customFormat="1" ht="18.75" thickTop="1" thickBot="1" x14ac:dyDescent="0.35">
      <c r="A116" s="16" t="str">
        <f>A49</f>
        <v>Staged Replacement Phase</v>
      </c>
      <c r="D116" s="8">
        <f>B42*$B$86</f>
        <v>363615.42643080023</v>
      </c>
    </row>
    <row r="117" spans="1:8" ht="15.75" thickTop="1" x14ac:dyDescent="0.25"/>
    <row r="118" spans="1:8" ht="20.25" thickBot="1" x14ac:dyDescent="0.35">
      <c r="A118" s="47" t="s">
        <v>100</v>
      </c>
      <c r="E118" t="s">
        <v>146</v>
      </c>
      <c r="G118" t="s">
        <v>143</v>
      </c>
    </row>
    <row r="119" spans="1:8" ht="18.75" thickTop="1" thickBot="1" x14ac:dyDescent="0.35">
      <c r="A119" s="16" t="str">
        <f>A112</f>
        <v>Replace All IGBTs and Equipment</v>
      </c>
      <c r="D119" s="8">
        <f>NPV($B$86,$D98:$Y98)</f>
        <v>50317078.841545574</v>
      </c>
      <c r="E119" s="7">
        <f>INDEX(VCU!$C$9:$C$35,MATCH(A5,VCU!$A$9:$A$35,0))*1000000</f>
        <v>1953866.4936190809</v>
      </c>
      <c r="F119" s="8">
        <f>D119+E119</f>
        <v>52270945.335164659</v>
      </c>
      <c r="G119" s="7">
        <f>'Replacement k'!$C$7</f>
        <v>15032135.188859819</v>
      </c>
      <c r="H119" s="8">
        <f>F119+G119</f>
        <v>67303080.524024472</v>
      </c>
    </row>
    <row r="120" spans="1:8" ht="18.75" thickTop="1" thickBot="1" x14ac:dyDescent="0.35">
      <c r="A120" s="16" t="str">
        <f>A113</f>
        <v>Staged Replacement Building</v>
      </c>
      <c r="D120" s="8">
        <f>NPV($B$86,$D99:$Y99)</f>
        <v>50975265.853710532</v>
      </c>
      <c r="E120" s="7">
        <f>INDEX(VCU!$C$9:$C$35,MATCH(A6,VCU!$A$9:$A$35,0))*1000000</f>
        <v>1953866.4936190809</v>
      </c>
      <c r="F120" s="8">
        <f t="shared" ref="F120:F122" si="57">D120+E120</f>
        <v>52929132.347329617</v>
      </c>
      <c r="G120" s="7">
        <f>'Replacement k'!$C$7</f>
        <v>15032135.188859819</v>
      </c>
      <c r="H120" s="8">
        <f>F120+G120</f>
        <v>67961267.536189437</v>
      </c>
    </row>
    <row r="121" spans="1:8" ht="18.75" thickTop="1" thickBot="1" x14ac:dyDescent="0.35">
      <c r="A121" s="16" t="str">
        <f>A114</f>
        <v>Capex replacement contract</v>
      </c>
      <c r="D121" s="8">
        <f>NPV($B$86,$D100:$Y100)</f>
        <v>57122198.720520735</v>
      </c>
      <c r="E121" s="7">
        <f>INDEX(VCU!$C$9:$C$35,MATCH(A7,VCU!$A$9:$A$35,0))*1000000</f>
        <v>0</v>
      </c>
      <c r="F121" s="8">
        <f t="shared" si="57"/>
        <v>57122198.720520735</v>
      </c>
      <c r="H121" s="8">
        <f>F121+G121</f>
        <v>57122198.720520735</v>
      </c>
    </row>
    <row r="122" spans="1:8" ht="18.75" thickTop="1" thickBot="1" x14ac:dyDescent="0.35">
      <c r="A122" s="16" t="str">
        <f>A115</f>
        <v>Cannibalise</v>
      </c>
      <c r="D122" s="8">
        <f>NPV($B$86,$D101:$Y101)</f>
        <v>10732249.330458099</v>
      </c>
      <c r="E122" s="7">
        <f>INDEX(VCU!$C$9:$C$35,MATCH(A8,VCU!$A$9:$A$35,0))*1000000</f>
        <v>1758479.8442571724</v>
      </c>
      <c r="F122" s="8">
        <f t="shared" si="57"/>
        <v>12490729.174715271</v>
      </c>
      <c r="G122" s="7">
        <f>'Replacement k'!$C$7</f>
        <v>15032135.188859819</v>
      </c>
      <c r="H122" s="8">
        <f>F122+G122</f>
        <v>27522864.36357509</v>
      </c>
    </row>
    <row r="123" spans="1:8" s="64" customFormat="1" ht="18.75" thickTop="1" thickBot="1" x14ac:dyDescent="0.35">
      <c r="A123" s="16" t="str">
        <f>A116</f>
        <v>Staged Replacement Phase</v>
      </c>
      <c r="D123" s="8">
        <f>NPV($B$86,$D102:$Y102)</f>
        <v>84634307.298056602</v>
      </c>
      <c r="E123" s="7">
        <f>INDEX(VCU!$C$9:$C$35,MATCH(A9,VCU!$A$9:$A$35,0))*1000000</f>
        <v>1908797.1374436608</v>
      </c>
      <c r="F123" s="8">
        <f t="shared" ref="F123" si="58">D123+E123</f>
        <v>86543104.435500264</v>
      </c>
      <c r="G123" s="7">
        <f>'Replacement k'!$C$7</f>
        <v>15032135.188859819</v>
      </c>
      <c r="H123" s="8">
        <f>F123+G123</f>
        <v>101575239.62436008</v>
      </c>
    </row>
    <row r="124" spans="1:8" ht="15.75" thickTop="1" x14ac:dyDescent="0.25"/>
  </sheetData>
  <scenarios current="2" show="2">
    <scenario name="Higher failure" locked="1" count="2" user="Allen, Mark" comment="Created by Allen, Mark on 23/01/2019_x000a_Modified by Allen, Mark on 23/01/2019">
      <inputCells r="B25" val="67"/>
      <inputCells r="B35" val="0.606060606060606" numFmtId="9"/>
    </scenario>
    <scenario name="Lower Failure" locked="1" count="2" user="Allen, Mark" comment="Created by Allen, Mark on 23/01/2019_x000a_Modified by Allen, Mark on 23/01/2019">
      <inputCells r="B25" val="22"/>
      <inputCells r="B35" val="0.733333333333333" numFmtId="9"/>
    </scenario>
    <scenario name="Default" locked="1" count="2" user="Allen, Mark" comment="Created by Allen, Mark on 23/01/2019_x000a_Modified by Allen, Mark on 23/01/2019">
      <inputCells r="B25" val="44"/>
      <inputCells r="B35" val="0.666666666666667" numFmtId="9"/>
    </scenario>
    <scenario name="ABB recovery ratio" locked="1" count="1" user="Allen, Mark" comment="Created by Allen, Mark on 23/01/2019_x000a_Modified by Allen, Mark on 23/01/2019">
      <inputCells r="B35" val="0.4" numFmtId="9"/>
    </scenario>
  </scenarios>
  <mergeCells count="1">
    <mergeCell ref="B2:D2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BI35"/>
  <sheetViews>
    <sheetView topLeftCell="A17" workbookViewId="0">
      <selection activeCell="I42" sqref="I42"/>
    </sheetView>
  </sheetViews>
  <sheetFormatPr defaultRowHeight="15" x14ac:dyDescent="0.25"/>
  <cols>
    <col min="1" max="1" width="42" bestFit="1" customWidth="1"/>
  </cols>
  <sheetData>
    <row r="1" spans="1:61" x14ac:dyDescent="0.25">
      <c r="D1" t="str">
        <f>IGBTs!D1</f>
        <v>FY 21</v>
      </c>
      <c r="E1" s="57" t="str">
        <f>IGBTs!E1</f>
        <v>FY 22</v>
      </c>
      <c r="F1" s="57" t="str">
        <f>IGBTs!F1</f>
        <v>FY 23</v>
      </c>
      <c r="G1" s="57" t="str">
        <f>IGBTs!G1</f>
        <v>FY 24</v>
      </c>
      <c r="H1" s="57" t="str">
        <f>IGBTs!H1</f>
        <v>FY 25</v>
      </c>
      <c r="I1" s="57" t="str">
        <f>IGBTs!I1</f>
        <v>FY 26</v>
      </c>
      <c r="J1" s="57" t="str">
        <f>IGBTs!J1</f>
        <v>FY 27</v>
      </c>
      <c r="K1" s="57" t="str">
        <f>IGBTs!K1</f>
        <v>FY 28</v>
      </c>
      <c r="L1" s="57" t="str">
        <f>IGBTs!L1</f>
        <v>FY 29</v>
      </c>
      <c r="M1" s="57" t="str">
        <f>IGBTs!M1</f>
        <v>FY 30</v>
      </c>
      <c r="N1" s="57" t="str">
        <f>IGBTs!N1</f>
        <v>FY 31</v>
      </c>
      <c r="O1" s="57" t="str">
        <f>IGBTs!O1</f>
        <v>FY 32</v>
      </c>
      <c r="P1" s="57" t="str">
        <f>IGBTs!P1</f>
        <v>FY 33</v>
      </c>
      <c r="Q1" s="57" t="str">
        <f>IGBTs!Q1</f>
        <v>FY 34</v>
      </c>
      <c r="R1" s="57" t="str">
        <f>IGBTs!R1</f>
        <v>FY 35</v>
      </c>
      <c r="S1" s="57" t="str">
        <f>IGBTs!S1</f>
        <v>FY 36</v>
      </c>
      <c r="T1" s="57" t="str">
        <f>IGBTs!T1</f>
        <v>FY 37</v>
      </c>
      <c r="U1" s="57" t="str">
        <f>IGBTs!U1</f>
        <v>FY 38</v>
      </c>
      <c r="V1" s="57" t="str">
        <f>IGBTs!V1</f>
        <v>FY 39</v>
      </c>
      <c r="W1" s="57" t="str">
        <f>IGBTs!W1</f>
        <v>FY 40</v>
      </c>
      <c r="X1" s="57" t="str">
        <f>IGBTs!X1</f>
        <v>FY 41</v>
      </c>
      <c r="Y1" s="57" t="str">
        <f>IGBTs!Y1</f>
        <v>FY 42</v>
      </c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</row>
    <row r="2" spans="1:61" x14ac:dyDescent="0.25">
      <c r="D2">
        <v>1</v>
      </c>
      <c r="E2">
        <v>2</v>
      </c>
      <c r="F2" s="57">
        <v>3</v>
      </c>
      <c r="G2" s="57">
        <v>4</v>
      </c>
      <c r="H2" s="57">
        <v>5</v>
      </c>
      <c r="I2" s="57">
        <v>6</v>
      </c>
      <c r="J2" s="57">
        <v>7</v>
      </c>
      <c r="K2" s="57">
        <v>8</v>
      </c>
      <c r="L2" s="57">
        <v>9</v>
      </c>
      <c r="M2" s="57">
        <v>10</v>
      </c>
      <c r="N2" s="57">
        <v>11</v>
      </c>
      <c r="O2" s="57">
        <v>12</v>
      </c>
      <c r="P2" s="57">
        <v>13</v>
      </c>
      <c r="Q2" s="57">
        <v>14</v>
      </c>
      <c r="R2" s="57">
        <v>15</v>
      </c>
      <c r="S2" s="57">
        <v>16</v>
      </c>
      <c r="T2" s="57">
        <v>17</v>
      </c>
      <c r="U2" s="57">
        <v>18</v>
      </c>
      <c r="V2" s="57">
        <v>19</v>
      </c>
      <c r="W2" s="57">
        <v>20</v>
      </c>
      <c r="X2" s="57">
        <v>21</v>
      </c>
      <c r="Y2" s="57">
        <v>22</v>
      </c>
    </row>
    <row r="3" spans="1:61" x14ac:dyDescent="0.25">
      <c r="A3" s="19" t="s">
        <v>103</v>
      </c>
      <c r="B3" s="10">
        <v>1</v>
      </c>
    </row>
    <row r="4" spans="1:61" s="57" customFormat="1" x14ac:dyDescent="0.25">
      <c r="A4" s="19" t="s">
        <v>107</v>
      </c>
      <c r="B4" s="10">
        <v>15</v>
      </c>
    </row>
    <row r="5" spans="1:61" x14ac:dyDescent="0.25">
      <c r="A5" s="19" t="s">
        <v>104</v>
      </c>
      <c r="B5" s="10">
        <f>B3*B4</f>
        <v>15</v>
      </c>
    </row>
    <row r="6" spans="1:61" x14ac:dyDescent="0.25">
      <c r="A6" s="19" t="s">
        <v>102</v>
      </c>
      <c r="B6" s="59">
        <v>0.6</v>
      </c>
    </row>
    <row r="7" spans="1:61" x14ac:dyDescent="0.25">
      <c r="A7" s="19" t="s">
        <v>105</v>
      </c>
      <c r="B7" s="59">
        <v>2</v>
      </c>
    </row>
    <row r="9" spans="1:61" s="57" customFormat="1" ht="20.25" thickBot="1" x14ac:dyDescent="0.35">
      <c r="A9" s="47" t="str">
        <f>IGBTs!A5</f>
        <v>Replace All IGBTs and Equipment</v>
      </c>
      <c r="B9" s="47"/>
      <c r="C9" s="61">
        <f>C11</f>
        <v>1.9538664936190808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61" ht="18.75" thickTop="1" thickBot="1" x14ac:dyDescent="0.35">
      <c r="A10" s="16" t="s">
        <v>106</v>
      </c>
      <c r="C10" s="60"/>
      <c r="D10" s="56">
        <f>IF(IGBTs!D75&lt;IGBTs!C75,VCU!$B$7,0)</f>
        <v>2</v>
      </c>
      <c r="E10" s="56">
        <f>IF(IGBTs!E75&lt;IGBTs!D75,VCU!$B$7,0)</f>
        <v>0</v>
      </c>
      <c r="F10" s="56">
        <f>IF(IGBTs!F75&lt;IGBTs!E75,VCU!$B$7,0)</f>
        <v>0</v>
      </c>
      <c r="G10" s="56">
        <f>IF(IGBTs!G75&lt;IGBTs!F75,VCU!$B$7,0)</f>
        <v>0</v>
      </c>
      <c r="H10" s="56">
        <f>IF(IGBTs!H75&lt;IGBTs!G75,VCU!$B$7,0)</f>
        <v>0</v>
      </c>
      <c r="I10" s="56">
        <f>IF(IGBTs!I75&lt;IGBTs!H75,VCU!$B$7,0)</f>
        <v>0</v>
      </c>
      <c r="J10" s="56">
        <f>IF(IGBTs!J75&lt;IGBTs!I75,VCU!$B$7,0)</f>
        <v>0</v>
      </c>
      <c r="K10" s="56">
        <f>IF(IGBTs!K75&lt;IGBTs!J75,VCU!$B$7,0)</f>
        <v>0</v>
      </c>
      <c r="L10" s="56">
        <f>IF(IGBTs!L75&lt;IGBTs!K75,VCU!$B$7,0)</f>
        <v>0</v>
      </c>
      <c r="M10" s="56">
        <f>IF(IGBTs!M75&lt;IGBTs!L75,VCU!$B$7,0)</f>
        <v>0</v>
      </c>
      <c r="N10" s="56">
        <f>IF(IGBTs!N75&lt;IGBTs!M75,VCU!$B$7,0)</f>
        <v>0</v>
      </c>
      <c r="O10" s="56">
        <f>IF(IGBTs!O75&lt;IGBTs!N75,VCU!$B$7,0)</f>
        <v>0</v>
      </c>
      <c r="P10" s="56">
        <f>IF(IGBTs!P75&lt;IGBTs!O75,VCU!$B$7,0)</f>
        <v>0</v>
      </c>
      <c r="Q10" s="56">
        <f>IF(IGBTs!Q75&lt;IGBTs!P75,VCU!$B$7,0)</f>
        <v>0</v>
      </c>
      <c r="R10" s="56">
        <f>IF(IGBTs!R75&lt;IGBTs!Q75,VCU!$B$7,0)</f>
        <v>0</v>
      </c>
      <c r="S10" s="56">
        <f>IF(IGBTs!S75&lt;IGBTs!R75,VCU!$B$7,0)</f>
        <v>0</v>
      </c>
      <c r="T10" s="56">
        <f>IF(IGBTs!T75&lt;IGBTs!S75,VCU!$B$7,0)</f>
        <v>0</v>
      </c>
      <c r="U10" s="56">
        <f>IF(IGBTs!U75&lt;IGBTs!T75,VCU!$B$7,0)</f>
        <v>0</v>
      </c>
      <c r="V10" s="56">
        <f>IF(IGBTs!V75&lt;IGBTs!U75,VCU!$B$7,0)</f>
        <v>0</v>
      </c>
      <c r="W10" s="56">
        <f>IF(IGBTs!W75&lt;IGBTs!V75,VCU!$B$7,0)</f>
        <v>0</v>
      </c>
      <c r="X10" s="56">
        <f>IF(IGBTs!X75&lt;IGBTs!W75,VCU!$B$7,0)</f>
        <v>0</v>
      </c>
      <c r="Y10" s="56">
        <f>IF(IGBTs!Y75&lt;IGBTs!X75,VCU!$B$7,0)</f>
        <v>0</v>
      </c>
    </row>
    <row r="11" spans="1:61" ht="15.75" thickTop="1" x14ac:dyDescent="0.25">
      <c r="A11" t="s">
        <v>110</v>
      </c>
      <c r="C11" s="60">
        <f>SUM(D11:Y11)</f>
        <v>1.9538664936190808</v>
      </c>
      <c r="D11" s="56">
        <f>D10/(1+IGBTs!$B$86)^D$2</f>
        <v>1.9538664936190808</v>
      </c>
      <c r="E11" s="56">
        <f>E10/(1+IGBTs!$B$86)^E$2</f>
        <v>0</v>
      </c>
      <c r="F11" s="56">
        <f>F10/(1+IGBTs!$B$86)^F$2</f>
        <v>0</v>
      </c>
      <c r="G11" s="56">
        <f>G10/(1+IGBTs!$B$86)^G$2</f>
        <v>0</v>
      </c>
      <c r="H11" s="56">
        <f>H10/(1+IGBTs!$B$86)^H$2</f>
        <v>0</v>
      </c>
      <c r="I11" s="56">
        <f>I10/(1+IGBTs!$B$86)^I$2</f>
        <v>0</v>
      </c>
      <c r="J11" s="56">
        <f>J10/(1+IGBTs!$B$86)^J$2</f>
        <v>0</v>
      </c>
      <c r="K11" s="56">
        <f>K10/(1+IGBTs!$B$86)^K$2</f>
        <v>0</v>
      </c>
      <c r="L11" s="56">
        <f>L10/(1+IGBTs!$B$86)^L$2</f>
        <v>0</v>
      </c>
      <c r="M11" s="56">
        <f>M10/(1+IGBTs!$B$86)^M$2</f>
        <v>0</v>
      </c>
      <c r="N11" s="56">
        <f>N10/(1+IGBTs!$B$86)^N$2</f>
        <v>0</v>
      </c>
      <c r="O11" s="56">
        <f>O10/(1+IGBTs!$B$86)^O$2</f>
        <v>0</v>
      </c>
      <c r="P11" s="56">
        <f>P10/(1+IGBTs!$B$86)^P$2</f>
        <v>0</v>
      </c>
      <c r="Q11" s="56">
        <f>Q10/(1+IGBTs!$B$86)^Q$2</f>
        <v>0</v>
      </c>
      <c r="R11" s="56">
        <f>R10/(1+IGBTs!$B$86)^R$2</f>
        <v>0</v>
      </c>
      <c r="S11" s="56">
        <f>S10/(1+IGBTs!$B$86)^S$2</f>
        <v>0</v>
      </c>
      <c r="T11" s="56">
        <f>T10/(1+IGBTs!$B$86)^T$2</f>
        <v>0</v>
      </c>
      <c r="U11" s="56">
        <f>U10/(1+IGBTs!$B$86)^U$2</f>
        <v>0</v>
      </c>
      <c r="V11" s="56">
        <f>V10/(1+IGBTs!$B$86)^V$2</f>
        <v>0</v>
      </c>
      <c r="W11" s="56">
        <f>W10/(1+IGBTs!$B$86)^W$2</f>
        <v>0</v>
      </c>
      <c r="X11" s="56">
        <f>X10/(1+IGBTs!$B$86)^X$2</f>
        <v>0</v>
      </c>
      <c r="Y11" s="56">
        <f>Y10/(1+IGBTs!$B$86)^Y$2</f>
        <v>0</v>
      </c>
    </row>
    <row r="12" spans="1:61" s="57" customFormat="1" x14ac:dyDescent="0.25"/>
    <row r="13" spans="1:61" ht="20.25" thickBot="1" x14ac:dyDescent="0.35">
      <c r="A13" s="47" t="str">
        <f>IGBTs!A6</f>
        <v>Staged Replacement Building</v>
      </c>
      <c r="B13" s="47"/>
      <c r="C13" s="61">
        <f>MIN(C14:C17)</f>
        <v>1.9538664936190808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61" ht="18.75" thickTop="1" thickBot="1" x14ac:dyDescent="0.35">
      <c r="A14" s="16" t="s">
        <v>108</v>
      </c>
      <c r="C14" s="60"/>
      <c r="D14" s="56">
        <f>IF(IGBTs!D76&lt;IGBTs!C76,3*$B$6,0)</f>
        <v>1.7999999999999998</v>
      </c>
      <c r="E14" s="56">
        <f>IF(IGBTs!E76&lt;IGBTs!D76,3*$B$6,0)</f>
        <v>0</v>
      </c>
      <c r="F14" s="56">
        <f>IF(IGBTs!F76&lt;IGBTs!E76,3*$B$6,0)</f>
        <v>0</v>
      </c>
      <c r="G14" s="56">
        <f>IF(IGBTs!G76&lt;IGBTs!F76,3*$B$6,0)</f>
        <v>0</v>
      </c>
      <c r="H14" s="56">
        <f>IF(IGBTs!H76&lt;IGBTs!G76,3*$B$6,0)</f>
        <v>0</v>
      </c>
      <c r="I14" s="56">
        <f>IF(IGBTs!I76&lt;IGBTs!H76,3*$B$6,0)</f>
        <v>0</v>
      </c>
      <c r="J14" s="56">
        <f>IF(IGBTs!J76&lt;IGBTs!I76,3*$B$6,0)</f>
        <v>0</v>
      </c>
      <c r="K14" s="56">
        <f>IF(IGBTs!K76&lt;IGBTs!J76,3*$B$6,0)</f>
        <v>0</v>
      </c>
      <c r="L14" s="56">
        <f>IF(IGBTs!L76&lt;IGBTs!K76,3*$B$6,0)</f>
        <v>0</v>
      </c>
      <c r="M14" s="56">
        <f>IF(IGBTs!M76&lt;IGBTs!L76,3*$B$6,0)</f>
        <v>0</v>
      </c>
      <c r="N14" s="56">
        <f>IF(IGBTs!N76&lt;IGBTs!M76,3*$B$6,0)</f>
        <v>0</v>
      </c>
      <c r="O14" s="56">
        <f>IF(IGBTs!O76&lt;IGBTs!N76,3*$B$6,0)</f>
        <v>0</v>
      </c>
      <c r="P14" s="56">
        <f>IF(IGBTs!P76&lt;IGBTs!O76,3*$B$6,0)</f>
        <v>1.7999999999999998</v>
      </c>
      <c r="Q14" s="56">
        <f>IF(IGBTs!Q76&lt;IGBTs!P76,3*$B$6,0)</f>
        <v>0</v>
      </c>
      <c r="R14" s="56">
        <f>IF(IGBTs!R76&lt;IGBTs!Q76,3*$B$6,0)</f>
        <v>0</v>
      </c>
      <c r="S14" s="56">
        <f>IF(IGBTs!S76&lt;IGBTs!R76,3*$B$6,0)</f>
        <v>0</v>
      </c>
      <c r="T14" s="56">
        <f>IF(IGBTs!T76&lt;IGBTs!S76,3*$B$6,0)</f>
        <v>0</v>
      </c>
      <c r="U14" s="56">
        <f>IF(IGBTs!U76&lt;IGBTs!T76,3*$B$6,0)</f>
        <v>0</v>
      </c>
      <c r="V14" s="56">
        <f>IF(IGBTs!V76&lt;IGBTs!U76,3*$B$6,0)</f>
        <v>0</v>
      </c>
      <c r="W14" s="56">
        <f>IF(IGBTs!W76&lt;IGBTs!V76,3*$B$6,0)</f>
        <v>0</v>
      </c>
      <c r="X14" s="56">
        <f>IF(IGBTs!X76&lt;IGBTs!W76,3*$B$6,0)</f>
        <v>0</v>
      </c>
      <c r="Y14" s="56">
        <f>IF(IGBTs!Y76&lt;IGBTs!X76,3*$B$6,0)</f>
        <v>0</v>
      </c>
    </row>
    <row r="15" spans="1:61" ht="15.75" thickTop="1" x14ac:dyDescent="0.25">
      <c r="A15" s="57" t="s">
        <v>110</v>
      </c>
      <c r="B15" s="57"/>
      <c r="C15" s="60">
        <f>SUM(D15:Y15)</f>
        <v>3.0874525788602396</v>
      </c>
      <c r="D15" s="56">
        <f>D14/(1+IGBTs!$B$86)^D$2</f>
        <v>1.7584798442571725</v>
      </c>
      <c r="E15" s="56">
        <f>E14/(1+IGBTs!$B$86)^E$2</f>
        <v>0</v>
      </c>
      <c r="F15" s="56">
        <f>F14/(1+IGBTs!$B$86)^F$2</f>
        <v>0</v>
      </c>
      <c r="G15" s="56">
        <f>G14/(1+IGBTs!$B$86)^G$2</f>
        <v>0</v>
      </c>
      <c r="H15" s="56">
        <f>H14/(1+IGBTs!$B$86)^H$2</f>
        <v>0</v>
      </c>
      <c r="I15" s="56">
        <f>I14/(1+IGBTs!$B$86)^I$2</f>
        <v>0</v>
      </c>
      <c r="J15" s="56">
        <f>J14/(1+IGBTs!$B$86)^J$2</f>
        <v>0</v>
      </c>
      <c r="K15" s="56">
        <f>K14/(1+IGBTs!$B$86)^K$2</f>
        <v>0</v>
      </c>
      <c r="L15" s="56">
        <f>L14/(1+IGBTs!$B$86)^L$2</f>
        <v>0</v>
      </c>
      <c r="M15" s="56">
        <f>M14/(1+IGBTs!$B$86)^M$2</f>
        <v>0</v>
      </c>
      <c r="N15" s="56">
        <f>N14/(1+IGBTs!$B$86)^N$2</f>
        <v>0</v>
      </c>
      <c r="O15" s="56">
        <f>O14/(1+IGBTs!$B$86)^O$2</f>
        <v>0</v>
      </c>
      <c r="P15" s="56">
        <f>P14/(1+IGBTs!$B$86)^P$2</f>
        <v>1.3289727346030673</v>
      </c>
      <c r="Q15" s="56">
        <f>Q14/(1+IGBTs!$B$86)^Q$2</f>
        <v>0</v>
      </c>
      <c r="R15" s="56">
        <f>R14/(1+IGBTs!$B$86)^R$2</f>
        <v>0</v>
      </c>
      <c r="S15" s="56">
        <f>S14/(1+IGBTs!$B$86)^S$2</f>
        <v>0</v>
      </c>
      <c r="T15" s="56">
        <f>T14/(1+IGBTs!$B$86)^T$2</f>
        <v>0</v>
      </c>
      <c r="U15" s="56">
        <f>U14/(1+IGBTs!$B$86)^U$2</f>
        <v>0</v>
      </c>
      <c r="V15" s="56">
        <f>V14/(1+IGBTs!$B$86)^V$2</f>
        <v>0</v>
      </c>
      <c r="W15" s="56">
        <f>W14/(1+IGBTs!$B$86)^W$2</f>
        <v>0</v>
      </c>
      <c r="X15" s="56">
        <f>X14/(1+IGBTs!$B$86)^X$2</f>
        <v>0</v>
      </c>
      <c r="Y15" s="56">
        <f>Y14/(1+IGBTs!$B$86)^Y$2</f>
        <v>0</v>
      </c>
    </row>
    <row r="16" spans="1:61" ht="18" thickBot="1" x14ac:dyDescent="0.35">
      <c r="A16" s="16" t="s">
        <v>109</v>
      </c>
      <c r="D16" s="56">
        <f>IF(SUM($C$16:C16)=0,IF(IGBTs!C76&lt;IGBTs!D76,0,$B$7),0)</f>
        <v>2</v>
      </c>
      <c r="E16" s="56">
        <f>IF(SUM($C$16:D16)=0,IF(IGBTs!D76&lt;IGBTs!E76,0,$B$7),0)</f>
        <v>0</v>
      </c>
      <c r="F16" s="56">
        <f>IF(SUM($C$16:E16)=0,IF(IGBTs!E76&lt;IGBTs!F76,0,$B$7),0)</f>
        <v>0</v>
      </c>
      <c r="G16" s="56">
        <f>IF(SUM($C$16:F16)=0,IF(IGBTs!F76&lt;IGBTs!G76,0,$B$7),0)</f>
        <v>0</v>
      </c>
      <c r="H16" s="56">
        <f>IF(SUM($C$16:G16)=0,IF(IGBTs!G76&lt;IGBTs!H76,0,$B$7),0)</f>
        <v>0</v>
      </c>
      <c r="I16" s="56">
        <f>IF(SUM($C$16:H16)=0,IF(IGBTs!H76&lt;IGBTs!I76,0,$B$7),0)</f>
        <v>0</v>
      </c>
      <c r="J16" s="56">
        <f>IF(SUM($C$16:I16)=0,IF(IGBTs!I76&lt;IGBTs!J76,0,$B$7),0)</f>
        <v>0</v>
      </c>
      <c r="K16" s="56">
        <f>IF(SUM($C$16:J16)=0,IF(IGBTs!J76&lt;IGBTs!K76,0,$B$7),0)</f>
        <v>0</v>
      </c>
      <c r="L16" s="56">
        <f>IF(SUM($C$16:K16)=0,IF(IGBTs!K76&lt;IGBTs!L76,0,$B$7),0)</f>
        <v>0</v>
      </c>
      <c r="M16" s="56">
        <f>IF(SUM($C$16:L16)=0,IF(IGBTs!L76&lt;IGBTs!M76,0,$B$7),0)</f>
        <v>0</v>
      </c>
      <c r="N16" s="56">
        <f>IF(SUM($C$16:M16)=0,IF(IGBTs!M76&lt;IGBTs!N76,0,$B$7),0)</f>
        <v>0</v>
      </c>
      <c r="O16" s="56">
        <f>IF(SUM($C$16:N16)=0,IF(IGBTs!N76&lt;IGBTs!O76,0,$B$7),0)</f>
        <v>0</v>
      </c>
      <c r="P16" s="56">
        <f>IF(SUM($C$16:O16)=0,IF(IGBTs!O76&lt;IGBTs!P76,0,$B$7),0)</f>
        <v>0</v>
      </c>
      <c r="Q16" s="56">
        <f>IF(SUM($C$16:P16)=0,IF(IGBTs!P76&lt;IGBTs!Q76,0,$B$7),0)</f>
        <v>0</v>
      </c>
      <c r="R16" s="56">
        <f>IF(SUM($C$16:Q16)=0,IF(IGBTs!Q76&lt;IGBTs!R76,0,$B$7),0)</f>
        <v>0</v>
      </c>
      <c r="S16" s="56">
        <f>IF(SUM($C$16:R16)=0,IF(IGBTs!R76&lt;IGBTs!S76,0,$B$7),0)</f>
        <v>0</v>
      </c>
      <c r="T16" s="56">
        <f>IF(SUM($C$16:S16)=0,IF(IGBTs!S76&lt;IGBTs!T76,0,$B$7),0)</f>
        <v>0</v>
      </c>
      <c r="U16" s="56">
        <f>IF(SUM($C$16:T16)=0,IF(IGBTs!T76&lt;IGBTs!U76,0,$B$7),0)</f>
        <v>0</v>
      </c>
      <c r="V16" s="56">
        <f>IF(SUM($C$16:U16)=0,IF(IGBTs!U76&lt;IGBTs!V76,0,$B$7),0)</f>
        <v>0</v>
      </c>
      <c r="W16" s="56">
        <f>IF(SUM($C$16:V16)=0,IF(IGBTs!V76&lt;IGBTs!W76,0,$B$7),0)</f>
        <v>0</v>
      </c>
      <c r="X16" s="56">
        <f>IF(SUM($C$16:W16)=0,IF(IGBTs!W76&lt;IGBTs!X76,0,$B$7),0)</f>
        <v>0</v>
      </c>
      <c r="Y16" s="56">
        <f>IF(SUM($C$16:X16)=0,IF(IGBTs!X76&lt;IGBTs!Y76,0,$B$7),0)</f>
        <v>0</v>
      </c>
    </row>
    <row r="17" spans="1:25" s="57" customFormat="1" ht="15.75" thickTop="1" x14ac:dyDescent="0.25">
      <c r="A17" s="57" t="s">
        <v>110</v>
      </c>
      <c r="C17" s="60">
        <f>SUM(D17:Y17)</f>
        <v>1.9538664936190808</v>
      </c>
      <c r="D17" s="56">
        <f>D16/(1+IGBTs!$B$86)^D$2</f>
        <v>1.9538664936190808</v>
      </c>
      <c r="E17" s="56">
        <f>E16/(1+IGBTs!$B$86)^E$2</f>
        <v>0</v>
      </c>
      <c r="F17" s="56">
        <f>F16/(1+IGBTs!$B$86)^F$2</f>
        <v>0</v>
      </c>
      <c r="G17" s="56">
        <f>G16/(1+IGBTs!$B$86)^G$2</f>
        <v>0</v>
      </c>
      <c r="H17" s="56">
        <f>H16/(1+IGBTs!$B$86)^H$2</f>
        <v>0</v>
      </c>
      <c r="I17" s="56">
        <f>I16/(1+IGBTs!$B$86)^I$2</f>
        <v>0</v>
      </c>
      <c r="J17" s="56">
        <f>J16/(1+IGBTs!$B$86)^J$2</f>
        <v>0</v>
      </c>
      <c r="K17" s="56">
        <f>K16/(1+IGBTs!$B$86)^K$2</f>
        <v>0</v>
      </c>
      <c r="L17" s="56">
        <f>L16/(1+IGBTs!$B$86)^L$2</f>
        <v>0</v>
      </c>
      <c r="M17" s="56">
        <f>M16/(1+IGBTs!$B$86)^M$2</f>
        <v>0</v>
      </c>
      <c r="N17" s="56">
        <f>N16/(1+IGBTs!$B$86)^N$2</f>
        <v>0</v>
      </c>
      <c r="O17" s="56">
        <f>O16/(1+IGBTs!$B$86)^O$2</f>
        <v>0</v>
      </c>
      <c r="P17" s="56">
        <f>P16/(1+IGBTs!$B$86)^P$2</f>
        <v>0</v>
      </c>
      <c r="Q17" s="56">
        <f>Q16/(1+IGBTs!$B$86)^Q$2</f>
        <v>0</v>
      </c>
      <c r="R17" s="56">
        <f>R16/(1+IGBTs!$B$86)^R$2</f>
        <v>0</v>
      </c>
      <c r="S17" s="56">
        <f>S16/(1+IGBTs!$B$86)^S$2</f>
        <v>0</v>
      </c>
      <c r="T17" s="56">
        <f>T16/(1+IGBTs!$B$86)^T$2</f>
        <v>0</v>
      </c>
      <c r="U17" s="56">
        <f>U16/(1+IGBTs!$B$86)^U$2</f>
        <v>0</v>
      </c>
      <c r="V17" s="56">
        <f>V16/(1+IGBTs!$B$86)^V$2</f>
        <v>0</v>
      </c>
      <c r="W17" s="56">
        <f>W16/(1+IGBTs!$B$86)^W$2</f>
        <v>0</v>
      </c>
      <c r="X17" s="56">
        <f>X16/(1+IGBTs!$B$86)^X$2</f>
        <v>0</v>
      </c>
      <c r="Y17" s="56">
        <f>Y16/(1+IGBTs!$B$86)^Y$2</f>
        <v>0</v>
      </c>
    </row>
    <row r="18" spans="1:25" s="57" customFormat="1" x14ac:dyDescent="0.25">
      <c r="C18" s="60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</row>
    <row r="19" spans="1:25" ht="20.25" thickBot="1" x14ac:dyDescent="0.35">
      <c r="A19" s="47" t="str">
        <f>IGBTs!A7</f>
        <v>Capex replacement contract</v>
      </c>
      <c r="B19" s="47"/>
      <c r="C19" s="61">
        <f>MIN(C20:C23)</f>
        <v>0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18.75" thickTop="1" thickBot="1" x14ac:dyDescent="0.35">
      <c r="A20" s="16" t="s">
        <v>49</v>
      </c>
      <c r="C20" s="60"/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</row>
    <row r="21" spans="1:25" ht="15.75" thickTop="1" x14ac:dyDescent="0.25">
      <c r="A21" s="57" t="s">
        <v>110</v>
      </c>
      <c r="B21" s="57"/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</row>
    <row r="22" spans="1:25" ht="18" thickBot="1" x14ac:dyDescent="0.35">
      <c r="A22" s="16" t="s">
        <v>109</v>
      </c>
      <c r="C22" s="60"/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</row>
    <row r="23" spans="1:25" s="57" customFormat="1" ht="15.75" thickTop="1" x14ac:dyDescent="0.25">
      <c r="A23" s="57" t="s">
        <v>110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</row>
    <row r="24" spans="1:25" s="57" customFormat="1" x14ac:dyDescent="0.25"/>
    <row r="25" spans="1:25" ht="20.25" thickBot="1" x14ac:dyDescent="0.35">
      <c r="A25" s="47" t="str">
        <f>IGBTs!A8</f>
        <v>Cannibalise</v>
      </c>
      <c r="B25" s="47"/>
      <c r="C25" s="61">
        <f>MIN(C27:C29)</f>
        <v>1.7584798442571725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1:25" ht="18.75" thickTop="1" thickBot="1" x14ac:dyDescent="0.35">
      <c r="A26" s="16" t="s">
        <v>49</v>
      </c>
      <c r="D26" s="56">
        <f>IF(IGBTs!D77&lt;IGBTs!C77,3*$B$6,0)</f>
        <v>1.7999999999999998</v>
      </c>
      <c r="E26" s="56">
        <f>IF(IGBTs!E77&lt;IGBTs!D77,3*$B$6,0)</f>
        <v>0</v>
      </c>
      <c r="F26" s="56">
        <f>IF(IGBTs!F77&lt;IGBTs!E77,3*$B$6,0)</f>
        <v>0</v>
      </c>
      <c r="G26" s="56">
        <f>IF(IGBTs!G77&lt;IGBTs!F77,3*$B$6,0)</f>
        <v>0</v>
      </c>
      <c r="H26" s="56">
        <f>IF(IGBTs!H77&lt;IGBTs!G77,3*$B$6,0)</f>
        <v>0</v>
      </c>
      <c r="I26" s="56">
        <f>IF(IGBTs!I77&lt;IGBTs!H77,3*$B$6,0)</f>
        <v>0</v>
      </c>
      <c r="J26" s="56">
        <f>IF(IGBTs!J77&lt;IGBTs!I77,3*$B$6,0)</f>
        <v>0</v>
      </c>
      <c r="K26" s="56">
        <f>IF(IGBTs!K77&lt;IGBTs!J77,3*$B$6,0)</f>
        <v>0</v>
      </c>
      <c r="L26" s="56">
        <f>IF(IGBTs!L77&lt;IGBTs!K77,3*$B$6,0)</f>
        <v>0</v>
      </c>
      <c r="M26" s="56">
        <f>IF(IGBTs!M77&lt;IGBTs!L77,3*$B$6,0)</f>
        <v>0</v>
      </c>
      <c r="N26" s="56">
        <f>IF(IGBTs!N77&lt;IGBTs!M77,3*$B$6,0)</f>
        <v>0</v>
      </c>
      <c r="O26" s="56">
        <f>IF(IGBTs!O77&lt;IGBTs!N77,3*$B$6,0)</f>
        <v>0</v>
      </c>
      <c r="P26" s="56">
        <f>IF(IGBTs!P77&lt;IGBTs!O77,3*$B$6,0)</f>
        <v>0</v>
      </c>
      <c r="Q26" s="56">
        <f>IF(IGBTs!Q77&lt;IGBTs!P77,3*$B$6,0)</f>
        <v>0</v>
      </c>
      <c r="R26" s="56">
        <f>IF(IGBTs!R77&lt;IGBTs!Q77,3*$B$6,0)</f>
        <v>0</v>
      </c>
      <c r="S26" s="56">
        <f>IF(IGBTs!S77&lt;IGBTs!R77,3*$B$6,0)</f>
        <v>0</v>
      </c>
      <c r="T26" s="56">
        <f>IF(IGBTs!T77&lt;IGBTs!S77,3*$B$6,0)</f>
        <v>0</v>
      </c>
      <c r="U26" s="56">
        <f>IF(IGBTs!U77&lt;IGBTs!T77,3*$B$6,0)</f>
        <v>0</v>
      </c>
      <c r="V26" s="56">
        <f>IF(IGBTs!V77&lt;IGBTs!U77,3*$B$6,0)</f>
        <v>0</v>
      </c>
      <c r="W26" s="56">
        <f>IF(IGBTs!W77&lt;IGBTs!V77,3*$B$6,0)</f>
        <v>0</v>
      </c>
      <c r="X26" s="56">
        <f>IF(IGBTs!X77&lt;IGBTs!W77,3*$B$6,0)</f>
        <v>0</v>
      </c>
      <c r="Y26" s="56">
        <f>IF(IGBTs!Y77&lt;IGBTs!X77,3*$B$6,0)</f>
        <v>0</v>
      </c>
    </row>
    <row r="27" spans="1:25" ht="15.75" thickTop="1" x14ac:dyDescent="0.25">
      <c r="A27" s="57" t="s">
        <v>110</v>
      </c>
      <c r="B27" s="57"/>
      <c r="C27" s="60">
        <f>SUM(D27:Y27)</f>
        <v>1.7584798442571725</v>
      </c>
      <c r="D27" s="56">
        <f>D26/(1+IGBTs!$B$86)^D$2</f>
        <v>1.7584798442571725</v>
      </c>
      <c r="E27" s="56">
        <f>E26/(1+IGBTs!$B$86)^E$2</f>
        <v>0</v>
      </c>
      <c r="F27" s="56">
        <f>F26/(1+IGBTs!$B$86)^F$2</f>
        <v>0</v>
      </c>
      <c r="G27" s="56">
        <f>G26/(1+IGBTs!$B$86)^G$2</f>
        <v>0</v>
      </c>
      <c r="H27" s="56">
        <f>H26/(1+IGBTs!$B$86)^H$2</f>
        <v>0</v>
      </c>
      <c r="I27" s="56">
        <f>I26/(1+IGBTs!$B$86)^I$2</f>
        <v>0</v>
      </c>
      <c r="J27" s="56">
        <f>J26/(1+IGBTs!$B$86)^J$2</f>
        <v>0</v>
      </c>
      <c r="K27" s="56">
        <f>K26/(1+IGBTs!$B$86)^K$2</f>
        <v>0</v>
      </c>
      <c r="L27" s="56">
        <f>L26/(1+IGBTs!$B$86)^L$2</f>
        <v>0</v>
      </c>
      <c r="M27" s="56">
        <f>M26/(1+IGBTs!$B$86)^M$2</f>
        <v>0</v>
      </c>
      <c r="N27" s="56">
        <f>N26/(1+IGBTs!$B$86)^N$2</f>
        <v>0</v>
      </c>
      <c r="O27" s="56">
        <f>O26/(1+IGBTs!$B$86)^O$2</f>
        <v>0</v>
      </c>
      <c r="P27" s="56">
        <f>P26/(1+IGBTs!$B$86)^P$2</f>
        <v>0</v>
      </c>
      <c r="Q27" s="56">
        <f>Q26/(1+IGBTs!$B$86)^Q$2</f>
        <v>0</v>
      </c>
      <c r="R27" s="56">
        <f>R26/(1+IGBTs!$B$86)^R$2</f>
        <v>0</v>
      </c>
      <c r="S27" s="56">
        <f>S26/(1+IGBTs!$B$86)^S$2</f>
        <v>0</v>
      </c>
      <c r="T27" s="56">
        <f>T26/(1+IGBTs!$B$86)^T$2</f>
        <v>0</v>
      </c>
      <c r="U27" s="56">
        <f>U26/(1+IGBTs!$B$86)^U$2</f>
        <v>0</v>
      </c>
      <c r="V27" s="56">
        <f>V26/(1+IGBTs!$B$86)^V$2</f>
        <v>0</v>
      </c>
      <c r="W27" s="56">
        <f>W26/(1+IGBTs!$B$86)^W$2</f>
        <v>0</v>
      </c>
      <c r="X27" s="56">
        <f>X26/(1+IGBTs!$B$86)^X$2</f>
        <v>0</v>
      </c>
      <c r="Y27" s="56">
        <f>Y26/(1+IGBTs!$B$86)^Y$2</f>
        <v>0</v>
      </c>
    </row>
    <row r="28" spans="1:25" s="57" customFormat="1" ht="18" thickBot="1" x14ac:dyDescent="0.35">
      <c r="A28" s="16" t="s">
        <v>109</v>
      </c>
      <c r="D28" s="56">
        <f>IF(SUM($C$28:C28)=0,IF(IGBTs!C77&lt;IGBTs!D77,0,$B$7),0)</f>
        <v>2</v>
      </c>
      <c r="E28" s="56">
        <f>IF(SUM($C$28:D28)=0,IF(IGBTs!D77&lt;IGBTs!E77,0,$B$7),0)</f>
        <v>0</v>
      </c>
      <c r="F28" s="56">
        <f>IF(SUM($C$28:E28)=0,IF(IGBTs!E77&lt;IGBTs!F77,0,$B$7),0)</f>
        <v>0</v>
      </c>
      <c r="G28" s="56">
        <f>IF(SUM($C$28:F28)=0,IF(IGBTs!F77&lt;IGBTs!G77,0,$B$7),0)</f>
        <v>0</v>
      </c>
      <c r="H28" s="56">
        <f>IF(SUM($C$28:G28)=0,IF(IGBTs!G77&lt;IGBTs!H77,0,$B$7),0)</f>
        <v>0</v>
      </c>
      <c r="I28" s="56">
        <f>IF(SUM($C$28:H28)=0,IF(IGBTs!H77&lt;IGBTs!I77,0,$B$7),0)</f>
        <v>0</v>
      </c>
      <c r="J28" s="56">
        <f>IF(SUM($C$28:I28)=0,IF(IGBTs!I77&lt;IGBTs!J77,0,$B$7),0)</f>
        <v>0</v>
      </c>
      <c r="K28" s="56">
        <f>IF(SUM($C$28:J28)=0,IF(IGBTs!J77&lt;IGBTs!K77,0,$B$7),0)</f>
        <v>0</v>
      </c>
      <c r="L28" s="56">
        <f>IF(SUM($C$28:K28)=0,IF(IGBTs!K77&lt;IGBTs!L77,0,$B$7),0)</f>
        <v>0</v>
      </c>
      <c r="M28" s="56">
        <f>IF(SUM($C$28:L28)=0,IF(IGBTs!L77&lt;IGBTs!M77,0,$B$7),0)</f>
        <v>0</v>
      </c>
      <c r="N28" s="56">
        <f>IF(SUM($C$28:M28)=0,IF(IGBTs!M77&lt;IGBTs!N77,0,$B$7),0)</f>
        <v>0</v>
      </c>
      <c r="O28" s="56">
        <f>IF(SUM($C$28:N28)=0,IF(IGBTs!N77&lt;IGBTs!O77,0,$B$7),0)</f>
        <v>0</v>
      </c>
      <c r="P28" s="56">
        <f>IF(SUM($C$28:O28)=0,IF(IGBTs!O77&lt;IGBTs!P77,0,$B$7),0)</f>
        <v>0</v>
      </c>
      <c r="Q28" s="56">
        <f>IF(SUM($C$28:P28)=0,IF(IGBTs!P77&lt;IGBTs!Q77,0,$B$7),0)</f>
        <v>0</v>
      </c>
      <c r="R28" s="56">
        <f>IF(SUM($C$28:Q28)=0,IF(IGBTs!Q77&lt;IGBTs!R77,0,$B$7),0)</f>
        <v>0</v>
      </c>
      <c r="S28" s="56">
        <f>IF(SUM($C$28:R28)=0,IF(IGBTs!R77&lt;IGBTs!S77,0,$B$7),0)</f>
        <v>0</v>
      </c>
      <c r="T28" s="56">
        <f>IF(SUM($C$28:S28)=0,IF(IGBTs!S77&lt;IGBTs!T77,0,$B$7),0)</f>
        <v>0</v>
      </c>
      <c r="U28" s="56">
        <f>IF(SUM($C$28:T28)=0,IF(IGBTs!T77&lt;IGBTs!U77,0,$B$7),0)</f>
        <v>0</v>
      </c>
      <c r="V28" s="56">
        <f>IF(SUM($C$28:U28)=0,IF(IGBTs!U77&lt;IGBTs!V77,0,$B$7),0)</f>
        <v>0</v>
      </c>
      <c r="W28" s="56">
        <f>IF(SUM($C$28:V28)=0,IF(IGBTs!V77&lt;IGBTs!W77,0,$B$7),0)</f>
        <v>0</v>
      </c>
      <c r="X28" s="56">
        <f>IF(SUM($C$28:W28)=0,IF(IGBTs!W77&lt;IGBTs!X77,0,$B$7),0)</f>
        <v>0</v>
      </c>
      <c r="Y28" s="56">
        <f>IF(SUM($C$28:X28)=0,IF(IGBTs!X77&lt;IGBTs!Y77,0,$B$7),0)</f>
        <v>0</v>
      </c>
    </row>
    <row r="29" spans="1:25" s="57" customFormat="1" ht="15.75" thickTop="1" x14ac:dyDescent="0.25">
      <c r="A29" s="57" t="s">
        <v>110</v>
      </c>
      <c r="C29" s="60">
        <f>SUM(D29:Y29)</f>
        <v>1.9538664936190808</v>
      </c>
      <c r="D29" s="56">
        <f>D28/(1+IGBTs!$B$86)^D$2</f>
        <v>1.9538664936190808</v>
      </c>
      <c r="E29" s="56">
        <f>E28/(1+IGBTs!$B$86)^E$2</f>
        <v>0</v>
      </c>
      <c r="F29" s="56">
        <f>F28/(1+IGBTs!$B$86)^F$2</f>
        <v>0</v>
      </c>
      <c r="G29" s="56">
        <f>G28/(1+IGBTs!$B$86)^G$2</f>
        <v>0</v>
      </c>
      <c r="H29" s="56">
        <f>H28/(1+IGBTs!$B$86)^H$2</f>
        <v>0</v>
      </c>
      <c r="I29" s="56">
        <f>I28/(1+IGBTs!$B$86)^I$2</f>
        <v>0</v>
      </c>
      <c r="J29" s="56">
        <f>J28/(1+IGBTs!$B$86)^J$2</f>
        <v>0</v>
      </c>
      <c r="K29" s="56">
        <f>K28/(1+IGBTs!$B$86)^K$2</f>
        <v>0</v>
      </c>
      <c r="L29" s="56">
        <f>L28/(1+IGBTs!$B$86)^L$2</f>
        <v>0</v>
      </c>
      <c r="M29" s="56">
        <f>M28/(1+IGBTs!$B$86)^M$2</f>
        <v>0</v>
      </c>
      <c r="N29" s="56">
        <f>N28/(1+IGBTs!$B$86)^N$2</f>
        <v>0</v>
      </c>
      <c r="O29" s="56">
        <f>O28/(1+IGBTs!$B$86)^O$2</f>
        <v>0</v>
      </c>
      <c r="P29" s="56">
        <f>P28/(1+IGBTs!$B$86)^P$2</f>
        <v>0</v>
      </c>
      <c r="Q29" s="56">
        <f>Q28/(1+IGBTs!$B$86)^Q$2</f>
        <v>0</v>
      </c>
      <c r="R29" s="56">
        <f>R28/(1+IGBTs!$B$86)^R$2</f>
        <v>0</v>
      </c>
      <c r="S29" s="56">
        <f>S28/(1+IGBTs!$B$86)^S$2</f>
        <v>0</v>
      </c>
      <c r="T29" s="56">
        <f>T28/(1+IGBTs!$B$86)^T$2</f>
        <v>0</v>
      </c>
      <c r="U29" s="56">
        <f>U28/(1+IGBTs!$B$86)^U$2</f>
        <v>0</v>
      </c>
      <c r="V29" s="56">
        <f>V28/(1+IGBTs!$B$86)^V$2</f>
        <v>0</v>
      </c>
      <c r="W29" s="56">
        <f>W28/(1+IGBTs!$B$86)^W$2</f>
        <v>0</v>
      </c>
      <c r="X29" s="56">
        <f>X28/(1+IGBTs!$B$86)^X$2</f>
        <v>0</v>
      </c>
      <c r="Y29" s="56">
        <f>Y28/(1+IGBTs!$B$86)^Y$2</f>
        <v>0</v>
      </c>
    </row>
    <row r="31" spans="1:25" ht="20.25" thickBot="1" x14ac:dyDescent="0.35">
      <c r="A31" s="47" t="str">
        <f>IGBTs!A9</f>
        <v>Staged Replacement Phase</v>
      </c>
      <c r="C31" s="61">
        <f>MIN(C33:C35)</f>
        <v>1.9087971374436608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25" ht="18.75" thickTop="1" thickBot="1" x14ac:dyDescent="0.35">
      <c r="A32" s="16" t="s">
        <v>49</v>
      </c>
      <c r="C32" s="64"/>
      <c r="D32" s="56">
        <f>IF(IGBTs!D78&lt;IGBTs!C78,$B$6,0)</f>
        <v>0.6</v>
      </c>
      <c r="E32" s="56">
        <f>IF(IGBTs!E78&lt;IGBTs!D78,$B$6,0)</f>
        <v>0</v>
      </c>
      <c r="F32" s="56">
        <f>IF(IGBTs!F78&lt;IGBTs!E78,$B$6,0)</f>
        <v>0</v>
      </c>
      <c r="G32" s="56">
        <f>IF(IGBTs!G78&lt;IGBTs!F78,$B$6,0)</f>
        <v>0</v>
      </c>
      <c r="H32" s="56">
        <f>IF(IGBTs!H78&lt;IGBTs!G78,$B$6,0)</f>
        <v>0.6</v>
      </c>
      <c r="I32" s="56">
        <f>IF(IGBTs!I78&lt;IGBTs!H78,$B$6,0)</f>
        <v>0</v>
      </c>
      <c r="J32" s="56">
        <f>IF(IGBTs!J78&lt;IGBTs!I78,$B$6,0)</f>
        <v>0</v>
      </c>
      <c r="K32" s="56">
        <f>IF(IGBTs!K78&lt;IGBTs!J78,$B$6,0)</f>
        <v>0</v>
      </c>
      <c r="L32" s="56">
        <f>IF(IGBTs!L78&lt;IGBTs!K78,$B$6,0)</f>
        <v>0.6</v>
      </c>
      <c r="M32" s="56">
        <f>IF(IGBTs!M78&lt;IGBTs!L78,$B$6,0)</f>
        <v>0</v>
      </c>
      <c r="N32" s="56">
        <f>IF(IGBTs!N78&lt;IGBTs!M78,$B$6,0)</f>
        <v>0</v>
      </c>
      <c r="O32" s="56">
        <f>IF(IGBTs!O78&lt;IGBTs!N78,$B$6,0)</f>
        <v>0</v>
      </c>
      <c r="P32" s="56">
        <f>IF(IGBTs!P78&lt;IGBTs!O78,$B$6,0)</f>
        <v>0.6</v>
      </c>
      <c r="Q32" s="56">
        <f>IF(IGBTs!Q78&lt;IGBTs!P78,$B$6,0)</f>
        <v>0</v>
      </c>
      <c r="R32" s="56">
        <f>IF(IGBTs!R78&lt;IGBTs!Q78,$B$6,0)</f>
        <v>0</v>
      </c>
      <c r="S32" s="56">
        <f>IF(IGBTs!S78&lt;IGBTs!R78,$B$6,0)</f>
        <v>0</v>
      </c>
      <c r="T32" s="56">
        <f>IF(IGBTs!T78&lt;IGBTs!S78,$B$6,0)</f>
        <v>0</v>
      </c>
      <c r="U32" s="56">
        <f>IF(IGBTs!U78&lt;IGBTs!T78,$B$6,0)</f>
        <v>0.6</v>
      </c>
      <c r="V32" s="56">
        <f>IF(IGBTs!V78&lt;IGBTs!U78,$B$6,0)</f>
        <v>0</v>
      </c>
      <c r="W32" s="56">
        <f>IF(IGBTs!W78&lt;IGBTs!V78,$B$6,0)</f>
        <v>0</v>
      </c>
      <c r="X32" s="56">
        <f>IF(IGBTs!X78&lt;IGBTs!W78,$B$6,0)</f>
        <v>0</v>
      </c>
      <c r="Y32" s="56">
        <f>IF(IGBTs!Y78&lt;IGBTs!X78,$B$6,0)</f>
        <v>0.6</v>
      </c>
    </row>
    <row r="33" spans="1:25" ht="15.75" thickTop="1" x14ac:dyDescent="0.25">
      <c r="A33" s="64" t="s">
        <v>110</v>
      </c>
      <c r="C33" s="60">
        <f>SUM(D33:Y33)</f>
        <v>2.80267711047488</v>
      </c>
      <c r="D33" s="56">
        <f>D32/(1+IGBTs!$B$86)^D$2</f>
        <v>0.58615994808572425</v>
      </c>
      <c r="E33" s="56">
        <f>E32/(1+IGBTs!$B$86)^E$2</f>
        <v>0</v>
      </c>
      <c r="F33" s="56">
        <f>F32/(1+IGBTs!$B$86)^F$2</f>
        <v>0</v>
      </c>
      <c r="G33" s="56">
        <f>G32/(1+IGBTs!$B$86)^G$2</f>
        <v>0</v>
      </c>
      <c r="H33" s="56">
        <f>H32/(1+IGBTs!$B$86)^H$2</f>
        <v>0.53391939696824731</v>
      </c>
      <c r="I33" s="56">
        <f>I32/(1+IGBTs!$B$86)^I$2</f>
        <v>0</v>
      </c>
      <c r="J33" s="56">
        <f>J32/(1+IGBTs!$B$86)^J$2</f>
        <v>0</v>
      </c>
      <c r="K33" s="56">
        <f>K32/(1+IGBTs!$B$86)^K$2</f>
        <v>0</v>
      </c>
      <c r="L33" s="56">
        <f>L32/(1+IGBTs!$B$86)^L$2</f>
        <v>0.4863346999226329</v>
      </c>
      <c r="M33" s="56">
        <f>M32/(1+IGBTs!$B$86)^M$2</f>
        <v>0</v>
      </c>
      <c r="N33" s="56">
        <f>N32/(1+IGBTs!$B$86)^N$2</f>
        <v>0</v>
      </c>
      <c r="O33" s="56">
        <f>O32/(1+IGBTs!$B$86)^O$2</f>
        <v>0</v>
      </c>
      <c r="P33" s="56">
        <f>P32/(1+IGBTs!$B$86)^P$2</f>
        <v>0.44299091153435577</v>
      </c>
      <c r="Q33" s="56">
        <f>Q32/(1+IGBTs!$B$86)^Q$2</f>
        <v>0</v>
      </c>
      <c r="R33" s="56">
        <f>R32/(1+IGBTs!$B$86)^R$2</f>
        <v>0</v>
      </c>
      <c r="S33" s="56">
        <f>S32/(1+IGBTs!$B$86)^S$2</f>
        <v>0</v>
      </c>
      <c r="T33" s="56">
        <f>T32/(1+IGBTs!$B$86)^T$2</f>
        <v>0</v>
      </c>
      <c r="U33" s="56">
        <f>U32/(1+IGBTs!$B$86)^U$2</f>
        <v>0.39420240058139555</v>
      </c>
      <c r="V33" s="56">
        <f>V32/(1+IGBTs!$B$86)^V$2</f>
        <v>0</v>
      </c>
      <c r="W33" s="56">
        <f>W32/(1+IGBTs!$B$86)^W$2</f>
        <v>0</v>
      </c>
      <c r="X33" s="56">
        <f>X32/(1+IGBTs!$B$86)^X$2</f>
        <v>0</v>
      </c>
      <c r="Y33" s="56">
        <f>Y32/(1+IGBTs!$B$86)^Y$2</f>
        <v>0.35906975338252412</v>
      </c>
    </row>
    <row r="34" spans="1:25" ht="18" thickBot="1" x14ac:dyDescent="0.35">
      <c r="A34" s="16" t="s">
        <v>109</v>
      </c>
      <c r="C34" s="64"/>
      <c r="D34" s="56">
        <f>IF(SUM($C$34:C34)=0,IF(IGBTs!C82&lt;IGBTs!D82,0,$B$7),0)</f>
        <v>0</v>
      </c>
      <c r="E34" s="56">
        <f>IF(SUM($C$34:D34)=0,IF(IGBTs!D82&lt;IGBTs!E82,0,$B$7),0)</f>
        <v>2</v>
      </c>
      <c r="F34" s="56">
        <f>IF(SUM($C$34:E34)=0,IF(IGBTs!E82&lt;IGBTs!F82,0,$B$7),0)</f>
        <v>0</v>
      </c>
      <c r="G34" s="56">
        <f>IF(SUM($C$34:F34)=0,IF(IGBTs!F82&lt;IGBTs!G82,0,$B$7),0)</f>
        <v>0</v>
      </c>
      <c r="H34" s="56">
        <f>IF(SUM($C$34:G34)=0,IF(IGBTs!G82&lt;IGBTs!H82,0,$B$7),0)</f>
        <v>0</v>
      </c>
      <c r="I34" s="56">
        <f>IF(SUM($C$34:H34)=0,IF(IGBTs!H82&lt;IGBTs!I82,0,$B$7),0)</f>
        <v>0</v>
      </c>
      <c r="J34" s="56">
        <f>IF(SUM($C$34:I34)=0,IF(IGBTs!I82&lt;IGBTs!J82,0,$B$7),0)</f>
        <v>0</v>
      </c>
      <c r="K34" s="56">
        <f>IF(SUM($C$34:J34)=0,IF(IGBTs!J82&lt;IGBTs!K82,0,$B$7),0)</f>
        <v>0</v>
      </c>
      <c r="L34" s="56">
        <f>IF(SUM($C$34:K34)=0,IF(IGBTs!K82&lt;IGBTs!L82,0,$B$7),0)</f>
        <v>0</v>
      </c>
      <c r="M34" s="56">
        <f>IF(SUM($C$34:L34)=0,IF(IGBTs!L82&lt;IGBTs!M82,0,$B$7),0)</f>
        <v>0</v>
      </c>
      <c r="N34" s="56">
        <f>IF(SUM($C$34:M34)=0,IF(IGBTs!M82&lt;IGBTs!N82,0,$B$7),0)</f>
        <v>0</v>
      </c>
      <c r="O34" s="56">
        <f>IF(SUM($C$34:N34)=0,IF(IGBTs!N82&lt;IGBTs!O82,0,$B$7),0)</f>
        <v>0</v>
      </c>
      <c r="P34" s="56">
        <f>IF(SUM($C$34:O34)=0,IF(IGBTs!O82&lt;IGBTs!P82,0,$B$7),0)</f>
        <v>0</v>
      </c>
      <c r="Q34" s="56">
        <f>IF(SUM($C$34:P34)=0,IF(IGBTs!P82&lt;IGBTs!Q82,0,$B$7),0)</f>
        <v>0</v>
      </c>
      <c r="R34" s="56">
        <f>IF(SUM($C$34:Q34)=0,IF(IGBTs!Q82&lt;IGBTs!R82,0,$B$7),0)</f>
        <v>0</v>
      </c>
      <c r="S34" s="56">
        <f>IF(SUM($C$34:R34)=0,IF(IGBTs!R82&lt;IGBTs!S82,0,$B$7),0)</f>
        <v>0</v>
      </c>
      <c r="T34" s="56">
        <f>IF(SUM($C$34:S34)=0,IF(IGBTs!S82&lt;IGBTs!T82,0,$B$7),0)</f>
        <v>0</v>
      </c>
      <c r="U34" s="56">
        <f>IF(SUM($C$34:T34)=0,IF(IGBTs!T82&lt;IGBTs!U82,0,$B$7),0)</f>
        <v>0</v>
      </c>
      <c r="V34" s="56">
        <f>IF(SUM($C$34:U34)=0,IF(IGBTs!U82&lt;IGBTs!V82,0,$B$7),0)</f>
        <v>0</v>
      </c>
      <c r="W34" s="56">
        <f>IF(SUM($C$34:V34)=0,IF(IGBTs!V82&lt;IGBTs!W82,0,$B$7),0)</f>
        <v>0</v>
      </c>
      <c r="X34" s="56">
        <f>IF(SUM($C$34:W34)=0,IF(IGBTs!W82&lt;IGBTs!X82,0,$B$7),0)</f>
        <v>0</v>
      </c>
      <c r="Y34" s="56">
        <f>IF(SUM($C$34:X34)=0,IF(IGBTs!X82&lt;IGBTs!Y82,0,$B$7),0)</f>
        <v>0</v>
      </c>
    </row>
    <row r="35" spans="1:25" ht="15.75" thickTop="1" x14ac:dyDescent="0.25">
      <c r="A35" s="64" t="s">
        <v>110</v>
      </c>
      <c r="C35" s="60">
        <f>SUM(D35:Y35)</f>
        <v>1.9087971374436608</v>
      </c>
      <c r="D35" s="56">
        <f>D34/(1+IGBTs!$B$86)^D$2</f>
        <v>0</v>
      </c>
      <c r="E35" s="56">
        <f>E34/(1+IGBTs!$B$86)^E$2</f>
        <v>1.9087971374436608</v>
      </c>
      <c r="F35" s="56">
        <f>F34/(1+IGBTs!$B$86)^F$2</f>
        <v>0</v>
      </c>
      <c r="G35" s="56">
        <f>G34/(1+IGBTs!$B$86)^G$2</f>
        <v>0</v>
      </c>
      <c r="H35" s="56">
        <f>H34/(1+IGBTs!$B$86)^H$2</f>
        <v>0</v>
      </c>
      <c r="I35" s="56">
        <f>I34/(1+IGBTs!$B$86)^I$2</f>
        <v>0</v>
      </c>
      <c r="J35" s="56">
        <f>J34/(1+IGBTs!$B$86)^J$2</f>
        <v>0</v>
      </c>
      <c r="K35" s="56">
        <f>K34/(1+IGBTs!$B$86)^K$2</f>
        <v>0</v>
      </c>
      <c r="L35" s="56">
        <f>L34/(1+IGBTs!$B$86)^L$2</f>
        <v>0</v>
      </c>
      <c r="M35" s="56">
        <f>M34/(1+IGBTs!$B$86)^M$2</f>
        <v>0</v>
      </c>
      <c r="N35" s="56">
        <f>N34/(1+IGBTs!$B$86)^N$2</f>
        <v>0</v>
      </c>
      <c r="O35" s="56">
        <f>O34/(1+IGBTs!$B$86)^O$2</f>
        <v>0</v>
      </c>
      <c r="P35" s="56">
        <f>P34/(1+IGBTs!$B$86)^P$2</f>
        <v>0</v>
      </c>
      <c r="Q35" s="56">
        <f>Q34/(1+IGBTs!$B$86)^Q$2</f>
        <v>0</v>
      </c>
      <c r="R35" s="56">
        <f>R34/(1+IGBTs!$B$86)^R$2</f>
        <v>0</v>
      </c>
      <c r="S35" s="56">
        <f>S34/(1+IGBTs!$B$86)^S$2</f>
        <v>0</v>
      </c>
      <c r="T35" s="56">
        <f>T34/(1+IGBTs!$B$86)^T$2</f>
        <v>0</v>
      </c>
      <c r="U35" s="56">
        <f>U34/(1+IGBTs!$B$86)^U$2</f>
        <v>0</v>
      </c>
      <c r="V35" s="56">
        <f>V34/(1+IGBTs!$B$86)^V$2</f>
        <v>0</v>
      </c>
      <c r="W35" s="56">
        <f>W34/(1+IGBTs!$B$86)^W$2</f>
        <v>0</v>
      </c>
      <c r="X35" s="56">
        <f>X34/(1+IGBTs!$B$86)^X$2</f>
        <v>0</v>
      </c>
      <c r="Y35" s="56">
        <f>Y34/(1+IGBTs!$B$86)^Y$2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30"/>
  <sheetViews>
    <sheetView workbookViewId="0">
      <selection activeCell="H27" sqref="H27"/>
    </sheetView>
  </sheetViews>
  <sheetFormatPr defaultRowHeight="15" x14ac:dyDescent="0.25"/>
  <cols>
    <col min="1" max="1" width="37" bestFit="1" customWidth="1"/>
    <col min="2" max="2" width="13.5703125" bestFit="1" customWidth="1"/>
    <col min="4" max="9" width="9.28515625" bestFit="1" customWidth="1"/>
    <col min="10" max="25" width="6.85546875" bestFit="1" customWidth="1"/>
  </cols>
  <sheetData>
    <row r="1" spans="1:25" ht="20.25" thickBot="1" x14ac:dyDescent="0.35">
      <c r="A1" s="47" t="s">
        <v>71</v>
      </c>
      <c r="D1" s="16" t="str">
        <f>IGBTs!D1</f>
        <v>FY 21</v>
      </c>
      <c r="E1" s="16" t="str">
        <f>IGBTs!E1</f>
        <v>FY 22</v>
      </c>
      <c r="F1" s="16" t="str">
        <f>IGBTs!F1</f>
        <v>FY 23</v>
      </c>
      <c r="G1" s="16" t="str">
        <f>IGBTs!G1</f>
        <v>FY 24</v>
      </c>
      <c r="H1" s="16" t="str">
        <f>IGBTs!H1</f>
        <v>FY 25</v>
      </c>
      <c r="I1" s="16" t="str">
        <f>IGBTs!I1</f>
        <v>FY 26</v>
      </c>
      <c r="J1" s="16" t="str">
        <f>IGBTs!J1</f>
        <v>FY 27</v>
      </c>
      <c r="K1" s="16" t="str">
        <f>IGBTs!K1</f>
        <v>FY 28</v>
      </c>
      <c r="L1" s="16" t="str">
        <f>IGBTs!L1</f>
        <v>FY 29</v>
      </c>
      <c r="M1" s="16" t="str">
        <f>IGBTs!M1</f>
        <v>FY 30</v>
      </c>
      <c r="N1" s="16" t="str">
        <f>IGBTs!N1</f>
        <v>FY 31</v>
      </c>
      <c r="O1" s="16" t="str">
        <f>IGBTs!O1</f>
        <v>FY 32</v>
      </c>
      <c r="P1" s="16" t="str">
        <f>IGBTs!P1</f>
        <v>FY 33</v>
      </c>
      <c r="Q1" s="16" t="str">
        <f>IGBTs!Q1</f>
        <v>FY 34</v>
      </c>
      <c r="R1" s="16" t="str">
        <f>IGBTs!R1</f>
        <v>FY 35</v>
      </c>
      <c r="S1" s="16" t="str">
        <f>IGBTs!S1</f>
        <v>FY 36</v>
      </c>
      <c r="T1" s="16" t="str">
        <f>IGBTs!T1</f>
        <v>FY 37</v>
      </c>
      <c r="U1" s="16" t="str">
        <f>IGBTs!U1</f>
        <v>FY 38</v>
      </c>
      <c r="V1" s="16" t="str">
        <f>IGBTs!V1</f>
        <v>FY 39</v>
      </c>
      <c r="W1" s="16" t="str">
        <f>IGBTs!W1</f>
        <v>FY 40</v>
      </c>
      <c r="X1" s="16" t="str">
        <f>IGBTs!X1</f>
        <v>FY 41</v>
      </c>
      <c r="Y1" s="16" t="str">
        <f>IGBTs!Y1</f>
        <v>FY 42</v>
      </c>
    </row>
    <row r="2" spans="1:25" ht="15.75" thickTop="1" x14ac:dyDescent="0.25">
      <c r="B2" t="s">
        <v>51</v>
      </c>
    </row>
    <row r="3" spans="1:25" x14ac:dyDescent="0.25">
      <c r="A3" s="19" t="s">
        <v>79</v>
      </c>
      <c r="B3" s="52">
        <f>Tables!N18</f>
        <v>11400000</v>
      </c>
    </row>
    <row r="5" spans="1:25" x14ac:dyDescent="0.25">
      <c r="A5" s="28" t="s">
        <v>72</v>
      </c>
      <c r="B5" s="48">
        <f>IGBTs!B86</f>
        <v>2.3611391326675335E-2</v>
      </c>
    </row>
    <row r="6" spans="1:25" s="64" customFormat="1" x14ac:dyDescent="0.25">
      <c r="A6" s="28" t="s">
        <v>169</v>
      </c>
      <c r="B6" s="48">
        <v>2.0878189697088878E-2</v>
      </c>
    </row>
    <row r="8" spans="1:25" x14ac:dyDescent="0.25">
      <c r="A8" s="19" t="s">
        <v>73</v>
      </c>
      <c r="B8" s="19">
        <v>2042</v>
      </c>
    </row>
    <row r="10" spans="1:25" x14ac:dyDescent="0.25">
      <c r="A10" t="s">
        <v>74</v>
      </c>
      <c r="B10" s="13">
        <f>B3/1000000-Y18</f>
        <v>0</v>
      </c>
    </row>
    <row r="11" spans="1:25" x14ac:dyDescent="0.25">
      <c r="D11" t="s">
        <v>78</v>
      </c>
    </row>
    <row r="12" spans="1:25" x14ac:dyDescent="0.25">
      <c r="A12" s="8" t="s">
        <v>120</v>
      </c>
      <c r="D12" s="79">
        <v>0.39845416735716277</v>
      </c>
      <c r="E12" s="13">
        <f>D12</f>
        <v>0.39845416735716277</v>
      </c>
      <c r="F12" s="13">
        <f t="shared" ref="F12:Y12" si="0">E12</f>
        <v>0.39845416735716277</v>
      </c>
      <c r="G12" s="13">
        <f t="shared" si="0"/>
        <v>0.39845416735716277</v>
      </c>
      <c r="H12" s="13">
        <f t="shared" si="0"/>
        <v>0.39845416735716277</v>
      </c>
      <c r="I12" s="13">
        <f t="shared" si="0"/>
        <v>0.39845416735716277</v>
      </c>
      <c r="J12" s="13">
        <f t="shared" si="0"/>
        <v>0.39845416735716277</v>
      </c>
      <c r="K12" s="13">
        <f t="shared" si="0"/>
        <v>0.39845416735716277</v>
      </c>
      <c r="L12" s="13">
        <f t="shared" si="0"/>
        <v>0.39845416735716277</v>
      </c>
      <c r="M12" s="13">
        <f t="shared" si="0"/>
        <v>0.39845416735716277</v>
      </c>
      <c r="N12" s="13">
        <f t="shared" si="0"/>
        <v>0.39845416735716277</v>
      </c>
      <c r="O12" s="13">
        <f t="shared" si="0"/>
        <v>0.39845416735716277</v>
      </c>
      <c r="P12" s="13">
        <f t="shared" si="0"/>
        <v>0.39845416735716277</v>
      </c>
      <c r="Q12" s="13">
        <f t="shared" si="0"/>
        <v>0.39845416735716277</v>
      </c>
      <c r="R12" s="13">
        <f t="shared" si="0"/>
        <v>0.39845416735716277</v>
      </c>
      <c r="S12" s="13">
        <f t="shared" si="0"/>
        <v>0.39845416735716277</v>
      </c>
      <c r="T12" s="13">
        <f t="shared" si="0"/>
        <v>0.39845416735716277</v>
      </c>
      <c r="U12" s="13">
        <f t="shared" si="0"/>
        <v>0.39845416735716277</v>
      </c>
      <c r="V12" s="13">
        <f t="shared" si="0"/>
        <v>0.39845416735716277</v>
      </c>
      <c r="W12" s="13">
        <f t="shared" si="0"/>
        <v>0.39845416735716277</v>
      </c>
      <c r="X12" s="13">
        <f t="shared" si="0"/>
        <v>0.39845416735716277</v>
      </c>
      <c r="Y12" s="13">
        <f t="shared" si="0"/>
        <v>0.39845416735716277</v>
      </c>
    </row>
    <row r="14" spans="1:25" x14ac:dyDescent="0.25">
      <c r="A14" t="s">
        <v>88</v>
      </c>
      <c r="D14" s="13">
        <v>0</v>
      </c>
      <c r="E14" s="13">
        <f>D18</f>
        <v>0.40731769683860924</v>
      </c>
      <c r="F14" s="13">
        <f t="shared" ref="F14:Y14" si="1">E18</f>
        <v>0.82369609051517567</v>
      </c>
      <c r="G14" s="13">
        <f t="shared" si="1"/>
        <v>1.2493367343327513</v>
      </c>
      <c r="H14" s="13">
        <f t="shared" si="1"/>
        <v>1.6844456651053914</v>
      </c>
      <c r="I14" s="13">
        <f t="shared" si="1"/>
        <v>2.1292335028929181</v>
      </c>
      <c r="J14" s="13">
        <f t="shared" si="1"/>
        <v>2.5839155529542612</v>
      </c>
      <c r="K14" s="13">
        <f t="shared" si="1"/>
        <v>3.0487119099687323</v>
      </c>
      <c r="L14" s="13">
        <f t="shared" si="1"/>
        <v>3.5238475645756759</v>
      </c>
      <c r="M14" s="13">
        <f t="shared" si="1"/>
        <v>4.0095525122840776</v>
      </c>
      <c r="N14" s="13">
        <f t="shared" si="1"/>
        <v>4.5060618648048365</v>
      </c>
      <c r="O14" s="13">
        <f t="shared" si="1"/>
        <v>5.0136159638596105</v>
      </c>
      <c r="P14" s="13">
        <f t="shared" si="1"/>
        <v>5.5324604975213054</v>
      </c>
      <c r="Q14" s="13">
        <f t="shared" si="1"/>
        <v>6.0628466191425394</v>
      </c>
      <c r="R14" s="13">
        <f t="shared" si="1"/>
        <v>6.6050310689296472</v>
      </c>
      <c r="S14" s="13">
        <f t="shared" si="1"/>
        <v>7.1592762982210694</v>
      </c>
      <c r="T14" s="13">
        <f t="shared" si="1"/>
        <v>7.7258505965302886</v>
      </c>
      <c r="U14" s="13">
        <f t="shared" si="1"/>
        <v>8.3050282214148119</v>
      </c>
      <c r="V14" s="13">
        <f t="shared" si="1"/>
        <v>8.8970895312340623</v>
      </c>
      <c r="W14" s="13">
        <f t="shared" si="1"/>
        <v>9.502321120860433</v>
      </c>
      <c r="X14" s="13">
        <f t="shared" si="1"/>
        <v>10.121015960409215</v>
      </c>
      <c r="Y14" s="13">
        <f t="shared" si="1"/>
        <v>10.753473537054543</v>
      </c>
    </row>
    <row r="15" spans="1:25" x14ac:dyDescent="0.25">
      <c r="A15" t="s">
        <v>75</v>
      </c>
      <c r="D15" s="13">
        <f>D12</f>
        <v>0.39845416735716277</v>
      </c>
      <c r="E15" s="13">
        <f>E12</f>
        <v>0.39845416735716277</v>
      </c>
      <c r="F15" s="13">
        <f t="shared" ref="F15:Y15" si="2">F12</f>
        <v>0.39845416735716277</v>
      </c>
      <c r="G15" s="13">
        <f t="shared" si="2"/>
        <v>0.39845416735716277</v>
      </c>
      <c r="H15" s="13">
        <f t="shared" si="2"/>
        <v>0.39845416735716277</v>
      </c>
      <c r="I15" s="13">
        <f t="shared" si="2"/>
        <v>0.39845416735716277</v>
      </c>
      <c r="J15" s="13">
        <f t="shared" si="2"/>
        <v>0.39845416735716277</v>
      </c>
      <c r="K15" s="13">
        <f t="shared" si="2"/>
        <v>0.39845416735716277</v>
      </c>
      <c r="L15" s="13">
        <f t="shared" si="2"/>
        <v>0.39845416735716277</v>
      </c>
      <c r="M15" s="13">
        <f t="shared" si="2"/>
        <v>0.39845416735716277</v>
      </c>
      <c r="N15" s="13">
        <f t="shared" si="2"/>
        <v>0.39845416735716277</v>
      </c>
      <c r="O15" s="13">
        <f t="shared" si="2"/>
        <v>0.39845416735716277</v>
      </c>
      <c r="P15" s="13">
        <f t="shared" si="2"/>
        <v>0.39845416735716277</v>
      </c>
      <c r="Q15" s="13">
        <f t="shared" si="2"/>
        <v>0.39845416735716277</v>
      </c>
      <c r="R15" s="13">
        <f t="shared" si="2"/>
        <v>0.39845416735716277</v>
      </c>
      <c r="S15" s="13">
        <f t="shared" si="2"/>
        <v>0.39845416735716277</v>
      </c>
      <c r="T15" s="13">
        <f t="shared" si="2"/>
        <v>0.39845416735716277</v>
      </c>
      <c r="U15" s="13">
        <f t="shared" si="2"/>
        <v>0.39845416735716277</v>
      </c>
      <c r="V15" s="13">
        <f t="shared" si="2"/>
        <v>0.39845416735716277</v>
      </c>
      <c r="W15" s="13">
        <f t="shared" si="2"/>
        <v>0.39845416735716277</v>
      </c>
      <c r="X15" s="13">
        <f t="shared" si="2"/>
        <v>0.39845416735716277</v>
      </c>
      <c r="Y15" s="13">
        <f t="shared" si="2"/>
        <v>0.39845416735716277</v>
      </c>
    </row>
    <row r="16" spans="1:25" x14ac:dyDescent="0.25">
      <c r="A16" t="s">
        <v>76</v>
      </c>
      <c r="D16" s="13">
        <f>(D$14+D$15)/2*$B5</f>
        <v>4.7040286356072776E-3</v>
      </c>
      <c r="E16" s="13">
        <f t="shared" ref="E16:Y16" si="3">(E$14+E$15)/2*$B5</f>
        <v>9.5126974027755339E-3</v>
      </c>
      <c r="F16" s="13">
        <f t="shared" si="3"/>
        <v>1.4428333999310478E-2</v>
      </c>
      <c r="G16" s="13">
        <f t="shared" si="3"/>
        <v>1.9453317902167883E-2</v>
      </c>
      <c r="H16" s="13">
        <f t="shared" si="3"/>
        <v>2.4590081519269932E-2</v>
      </c>
      <c r="I16" s="13">
        <f t="shared" si="3"/>
        <v>2.9841111366943472E-2</v>
      </c>
      <c r="J16" s="13">
        <f t="shared" si="3"/>
        <v>3.5208949273550151E-2</v>
      </c>
      <c r="K16" s="13">
        <f t="shared" si="3"/>
        <v>4.0696193609891039E-2</v>
      </c>
      <c r="L16" s="13">
        <f t="shared" si="3"/>
        <v>4.6305500546981335E-2</v>
      </c>
      <c r="M16" s="13">
        <f t="shared" si="3"/>
        <v>5.2039585341804064E-2</v>
      </c>
      <c r="N16" s="13">
        <f t="shared" si="3"/>
        <v>5.7901223651664981E-2</v>
      </c>
      <c r="O16" s="13">
        <f t="shared" si="3"/>
        <v>6.3893252877785189E-2</v>
      </c>
      <c r="P16" s="13">
        <f t="shared" si="3"/>
        <v>7.0018573538781506E-2</v>
      </c>
      <c r="Q16" s="13">
        <f t="shared" si="3"/>
        <v>7.6280150674699801E-2</v>
      </c>
      <c r="R16" s="13">
        <f t="shared" si="3"/>
        <v>8.2681015282280571E-2</v>
      </c>
      <c r="S16" s="13">
        <f t="shared" si="3"/>
        <v>8.922426578215191E-2</v>
      </c>
      <c r="T16" s="13">
        <f t="shared" si="3"/>
        <v>9.5913069518659633E-2</v>
      </c>
      <c r="U16" s="13">
        <f t="shared" si="3"/>
        <v>0.10275066429306105</v>
      </c>
      <c r="V16" s="13">
        <f t="shared" si="3"/>
        <v>0.10974035993082421</v>
      </c>
      <c r="W16" s="13">
        <f t="shared" si="3"/>
        <v>0.1168855398837912</v>
      </c>
      <c r="X16" s="13">
        <f t="shared" si="3"/>
        <v>0.12418966286798165</v>
      </c>
      <c r="Y16" s="13">
        <f t="shared" si="3"/>
        <v>0.13165626453782844</v>
      </c>
    </row>
    <row r="17" spans="1:25" s="64" customFormat="1" x14ac:dyDescent="0.25">
      <c r="A17" s="64" t="s">
        <v>170</v>
      </c>
      <c r="D17" s="13">
        <f>(D$14+D$15)/2*$B6</f>
        <v>4.1595008458392216E-3</v>
      </c>
      <c r="E17" s="13">
        <f t="shared" ref="E17:Y17" si="4">(E$14+E$15)/2*$B6</f>
        <v>8.4115289166281342E-3</v>
      </c>
      <c r="F17" s="13">
        <f t="shared" si="4"/>
        <v>1.2758142461102386E-2</v>
      </c>
      <c r="G17" s="13">
        <f t="shared" si="4"/>
        <v>1.7201445513309578E-2</v>
      </c>
      <c r="H17" s="13">
        <f t="shared" si="4"/>
        <v>2.1743588911093927E-2</v>
      </c>
      <c r="I17" s="13">
        <f t="shared" si="4"/>
        <v>2.6386771337236915E-2</v>
      </c>
      <c r="J17" s="13">
        <f t="shared" si="4"/>
        <v>3.1133240383757907E-2</v>
      </c>
      <c r="K17" s="13">
        <f t="shared" si="4"/>
        <v>3.5985293639889893E-2</v>
      </c>
      <c r="L17" s="13">
        <f t="shared" si="4"/>
        <v>4.094527980425703E-2</v>
      </c>
      <c r="M17" s="13">
        <f t="shared" si="4"/>
        <v>4.6015599821792354E-2</v>
      </c>
      <c r="N17" s="13">
        <f t="shared" si="4"/>
        <v>5.1198708045945937E-2</v>
      </c>
      <c r="O17" s="13">
        <f t="shared" si="4"/>
        <v>5.6497113426746244E-2</v>
      </c>
      <c r="P17" s="13">
        <f t="shared" si="4"/>
        <v>6.1913380725289485E-2</v>
      </c>
      <c r="Q17" s="13">
        <f t="shared" si="4"/>
        <v>6.7450131755245168E-2</v>
      </c>
      <c r="R17" s="13">
        <f t="shared" si="4"/>
        <v>7.3110046651978677E-2</v>
      </c>
      <c r="S17" s="13">
        <f t="shared" si="4"/>
        <v>7.8895865169905086E-2</v>
      </c>
      <c r="T17" s="13">
        <f t="shared" si="4"/>
        <v>8.4810388008702539E-2</v>
      </c>
      <c r="U17" s="13">
        <f t="shared" si="4"/>
        <v>9.0856478169026755E-2</v>
      </c>
      <c r="V17" s="13">
        <f t="shared" si="4"/>
        <v>9.703706233838337E-2</v>
      </c>
      <c r="W17" s="13">
        <f t="shared" si="4"/>
        <v>0.10335513230782838</v>
      </c>
      <c r="X17" s="13">
        <f t="shared" si="4"/>
        <v>0.1098137464201831</v>
      </c>
      <c r="Y17" s="13">
        <f t="shared" si="4"/>
        <v>0.11641603105046423</v>
      </c>
    </row>
    <row r="18" spans="1:25" x14ac:dyDescent="0.25">
      <c r="A18" t="s">
        <v>77</v>
      </c>
      <c r="D18" s="13">
        <f>SUM(D14:D17)</f>
        <v>0.40731769683860924</v>
      </c>
      <c r="E18" s="13">
        <f t="shared" ref="E18:Y18" si="5">SUM(E14:E17)</f>
        <v>0.82369609051517567</v>
      </c>
      <c r="F18" s="13">
        <f t="shared" si="5"/>
        <v>1.2493367343327513</v>
      </c>
      <c r="G18" s="13">
        <f t="shared" si="5"/>
        <v>1.6844456651053914</v>
      </c>
      <c r="H18" s="13">
        <f t="shared" si="5"/>
        <v>2.1292335028929181</v>
      </c>
      <c r="I18" s="13">
        <f t="shared" si="5"/>
        <v>2.5839155529542612</v>
      </c>
      <c r="J18" s="13">
        <f t="shared" si="5"/>
        <v>3.0487119099687323</v>
      </c>
      <c r="K18" s="13">
        <f t="shared" si="5"/>
        <v>3.5238475645756759</v>
      </c>
      <c r="L18" s="13">
        <f t="shared" si="5"/>
        <v>4.0095525122840776</v>
      </c>
      <c r="M18" s="13">
        <f t="shared" si="5"/>
        <v>4.5060618648048365</v>
      </c>
      <c r="N18" s="13">
        <f t="shared" si="5"/>
        <v>5.0136159638596105</v>
      </c>
      <c r="O18" s="13">
        <f t="shared" si="5"/>
        <v>5.5324604975213054</v>
      </c>
      <c r="P18" s="13">
        <f t="shared" si="5"/>
        <v>6.0628466191425394</v>
      </c>
      <c r="Q18" s="13">
        <f t="shared" si="5"/>
        <v>6.6050310689296472</v>
      </c>
      <c r="R18" s="13">
        <f t="shared" si="5"/>
        <v>7.1592762982210694</v>
      </c>
      <c r="S18" s="13">
        <f t="shared" si="5"/>
        <v>7.7258505965302886</v>
      </c>
      <c r="T18" s="13">
        <f t="shared" si="5"/>
        <v>8.3050282214148119</v>
      </c>
      <c r="U18" s="13">
        <f t="shared" si="5"/>
        <v>8.8970895312340623</v>
      </c>
      <c r="V18" s="13">
        <f t="shared" si="5"/>
        <v>9.502321120860433</v>
      </c>
      <c r="W18" s="13">
        <f t="shared" si="5"/>
        <v>10.121015960409215</v>
      </c>
      <c r="X18" s="13">
        <f t="shared" si="5"/>
        <v>10.753473537054543</v>
      </c>
      <c r="Y18" s="13">
        <f t="shared" si="5"/>
        <v>11.399999999999997</v>
      </c>
    </row>
    <row r="30" spans="1:25" x14ac:dyDescent="0.25">
      <c r="I30" s="4"/>
      <c r="J30" s="70"/>
      <c r="K30" s="71"/>
      <c r="L30" s="5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</sheetPr>
  <dimension ref="A1:AB7"/>
  <sheetViews>
    <sheetView workbookViewId="0">
      <selection activeCell="G20" sqref="G20"/>
    </sheetView>
  </sheetViews>
  <sheetFormatPr defaultRowHeight="15" x14ac:dyDescent="0.25"/>
  <cols>
    <col min="1" max="1" width="28.28515625" bestFit="1" customWidth="1"/>
    <col min="3" max="3" width="13.28515625" bestFit="1" customWidth="1"/>
    <col min="4" max="4" width="10.5703125" bestFit="1" customWidth="1"/>
    <col min="5" max="18" width="12" bestFit="1" customWidth="1"/>
    <col min="19" max="21" width="13.28515625" bestFit="1" customWidth="1"/>
    <col min="22" max="25" width="12" bestFit="1" customWidth="1"/>
  </cols>
  <sheetData>
    <row r="1" spans="1:28" ht="15.75" thickBot="1" x14ac:dyDescent="0.3">
      <c r="A1" s="77" t="s">
        <v>144</v>
      </c>
      <c r="B1" s="77" t="str">
        <f>IGBTs!B1</f>
        <v>Inputs</v>
      </c>
      <c r="C1" s="77" t="str">
        <f>IGBTs!C1</f>
        <v>Required/starting</v>
      </c>
      <c r="D1" s="77" t="str">
        <f>IGBTs!D1</f>
        <v>FY 21</v>
      </c>
      <c r="E1" s="77" t="str">
        <f>IGBTs!E1</f>
        <v>FY 22</v>
      </c>
      <c r="F1" s="77" t="str">
        <f>IGBTs!F1</f>
        <v>FY 23</v>
      </c>
      <c r="G1" s="77" t="str">
        <f>IGBTs!G1</f>
        <v>FY 24</v>
      </c>
      <c r="H1" s="77" t="str">
        <f>IGBTs!H1</f>
        <v>FY 25</v>
      </c>
      <c r="I1" s="77" t="str">
        <f>IGBTs!I1</f>
        <v>FY 26</v>
      </c>
      <c r="J1" s="77" t="str">
        <f>IGBTs!J1</f>
        <v>FY 27</v>
      </c>
      <c r="K1" s="77" t="str">
        <f>IGBTs!K1</f>
        <v>FY 28</v>
      </c>
      <c r="L1" s="77" t="str">
        <f>IGBTs!L1</f>
        <v>FY 29</v>
      </c>
      <c r="M1" s="77" t="str">
        <f>IGBTs!M1</f>
        <v>FY 30</v>
      </c>
      <c r="N1" s="77" t="str">
        <f>IGBTs!N1</f>
        <v>FY 31</v>
      </c>
      <c r="O1" s="77" t="str">
        <f>IGBTs!O1</f>
        <v>FY 32</v>
      </c>
      <c r="P1" s="77" t="str">
        <f>IGBTs!P1</f>
        <v>FY 33</v>
      </c>
      <c r="Q1" s="77" t="str">
        <f>IGBTs!Q1</f>
        <v>FY 34</v>
      </c>
      <c r="R1" s="77" t="str">
        <f>IGBTs!R1</f>
        <v>FY 35</v>
      </c>
      <c r="S1" s="77" t="str">
        <f>IGBTs!S1</f>
        <v>FY 36</v>
      </c>
      <c r="T1" s="77" t="str">
        <f>IGBTs!T1</f>
        <v>FY 37</v>
      </c>
      <c r="U1" s="77" t="str">
        <f>IGBTs!U1</f>
        <v>FY 38</v>
      </c>
      <c r="V1" s="77" t="str">
        <f>IGBTs!V1</f>
        <v>FY 39</v>
      </c>
      <c r="W1" s="77" t="str">
        <f>IGBTs!W1</f>
        <v>FY 40</v>
      </c>
      <c r="X1" s="77" t="str">
        <f>IGBTs!X1</f>
        <v>FY 41</v>
      </c>
      <c r="Y1" s="77" t="str">
        <f>IGBTs!Y1</f>
        <v>FY 42</v>
      </c>
      <c r="Z1" s="64"/>
      <c r="AA1" s="64"/>
      <c r="AB1" s="64"/>
    </row>
    <row r="2" spans="1:28" x14ac:dyDescent="0.25">
      <c r="D2">
        <v>1</v>
      </c>
      <c r="E2">
        <f>D2+1</f>
        <v>2</v>
      </c>
      <c r="F2" s="64">
        <f t="shared" ref="F2:Y2" si="0">E2+1</f>
        <v>3</v>
      </c>
      <c r="G2" s="64">
        <f t="shared" si="0"/>
        <v>4</v>
      </c>
      <c r="H2" s="64">
        <f t="shared" si="0"/>
        <v>5</v>
      </c>
      <c r="I2" s="64">
        <f t="shared" si="0"/>
        <v>6</v>
      </c>
      <c r="J2" s="64">
        <f t="shared" si="0"/>
        <v>7</v>
      </c>
      <c r="K2" s="64">
        <f t="shared" si="0"/>
        <v>8</v>
      </c>
      <c r="L2" s="64">
        <f t="shared" si="0"/>
        <v>9</v>
      </c>
      <c r="M2" s="64">
        <f t="shared" si="0"/>
        <v>10</v>
      </c>
      <c r="N2" s="64">
        <f t="shared" si="0"/>
        <v>11</v>
      </c>
      <c r="O2" s="64">
        <f t="shared" si="0"/>
        <v>12</v>
      </c>
      <c r="P2" s="64">
        <f t="shared" si="0"/>
        <v>13</v>
      </c>
      <c r="Q2" s="64">
        <f t="shared" si="0"/>
        <v>14</v>
      </c>
      <c r="R2" s="64">
        <f t="shared" si="0"/>
        <v>15</v>
      </c>
      <c r="S2" s="64">
        <f t="shared" si="0"/>
        <v>16</v>
      </c>
      <c r="T2" s="64">
        <f t="shared" si="0"/>
        <v>17</v>
      </c>
      <c r="U2" s="64">
        <f t="shared" si="0"/>
        <v>18</v>
      </c>
      <c r="V2" s="64">
        <f t="shared" si="0"/>
        <v>19</v>
      </c>
      <c r="W2" s="64">
        <f t="shared" si="0"/>
        <v>20</v>
      </c>
      <c r="X2" s="64">
        <f t="shared" si="0"/>
        <v>21</v>
      </c>
      <c r="Y2" s="64">
        <f t="shared" si="0"/>
        <v>22</v>
      </c>
    </row>
    <row r="3" spans="1:28" x14ac:dyDescent="0.25">
      <c r="A3" t="s">
        <v>142</v>
      </c>
      <c r="S3" s="7">
        <v>6728738.2200000007</v>
      </c>
      <c r="T3" s="7">
        <v>4331955.100000008</v>
      </c>
      <c r="U3" s="7">
        <v>3973563.7679239619</v>
      </c>
    </row>
    <row r="4" spans="1:28" x14ac:dyDescent="0.25">
      <c r="A4" t="s">
        <v>147</v>
      </c>
      <c r="B4" s="22">
        <v>0.1</v>
      </c>
      <c r="C4" s="7">
        <v>107171.43389734707</v>
      </c>
      <c r="D4" s="8">
        <f>C4</f>
        <v>107171.43389734707</v>
      </c>
      <c r="E4" s="8">
        <f t="shared" ref="E4:Y4" si="1">D4</f>
        <v>107171.43389734707</v>
      </c>
      <c r="F4" s="8">
        <f t="shared" si="1"/>
        <v>107171.43389734707</v>
      </c>
      <c r="G4" s="8">
        <f t="shared" si="1"/>
        <v>107171.43389734707</v>
      </c>
      <c r="H4" s="8">
        <f t="shared" si="1"/>
        <v>107171.43389734707</v>
      </c>
      <c r="I4" s="8">
        <f t="shared" si="1"/>
        <v>107171.43389734707</v>
      </c>
      <c r="J4" s="8">
        <f t="shared" si="1"/>
        <v>107171.43389734707</v>
      </c>
      <c r="K4" s="8">
        <f t="shared" si="1"/>
        <v>107171.43389734707</v>
      </c>
      <c r="L4" s="8">
        <f t="shared" si="1"/>
        <v>107171.43389734707</v>
      </c>
      <c r="M4" s="8">
        <f t="shared" si="1"/>
        <v>107171.43389734707</v>
      </c>
      <c r="N4" s="8">
        <f t="shared" si="1"/>
        <v>107171.43389734707</v>
      </c>
      <c r="O4" s="8">
        <f t="shared" si="1"/>
        <v>107171.43389734707</v>
      </c>
      <c r="P4" s="8">
        <f t="shared" si="1"/>
        <v>107171.43389734707</v>
      </c>
      <c r="Q4" s="8">
        <f t="shared" si="1"/>
        <v>107171.43389734707</v>
      </c>
      <c r="R4" s="8">
        <f t="shared" si="1"/>
        <v>107171.43389734707</v>
      </c>
      <c r="S4" s="8">
        <f t="shared" si="1"/>
        <v>107171.43389734707</v>
      </c>
      <c r="T4" s="8">
        <f t="shared" si="1"/>
        <v>107171.43389734707</v>
      </c>
      <c r="U4" s="8">
        <f t="shared" si="1"/>
        <v>107171.43389734707</v>
      </c>
      <c r="V4" s="8">
        <f t="shared" si="1"/>
        <v>107171.43389734707</v>
      </c>
      <c r="W4" s="8">
        <f t="shared" si="1"/>
        <v>107171.43389734707</v>
      </c>
      <c r="X4" s="8">
        <f t="shared" si="1"/>
        <v>107171.43389734707</v>
      </c>
      <c r="Y4" s="8">
        <f t="shared" si="1"/>
        <v>107171.43389734707</v>
      </c>
    </row>
    <row r="5" spans="1:28" x14ac:dyDescent="0.25">
      <c r="A5" t="s">
        <v>148</v>
      </c>
      <c r="B5" s="22">
        <v>0.2</v>
      </c>
      <c r="C5" s="7">
        <v>179548.35816136078</v>
      </c>
      <c r="D5" s="8">
        <f>C5</f>
        <v>179548.35816136078</v>
      </c>
      <c r="E5" s="8">
        <f t="shared" ref="E5:Y5" si="2">D5</f>
        <v>179548.35816136078</v>
      </c>
      <c r="F5" s="8">
        <f t="shared" si="2"/>
        <v>179548.35816136078</v>
      </c>
      <c r="G5" s="8">
        <f t="shared" si="2"/>
        <v>179548.35816136078</v>
      </c>
      <c r="H5" s="8">
        <f t="shared" si="2"/>
        <v>179548.35816136078</v>
      </c>
      <c r="I5" s="8">
        <f t="shared" si="2"/>
        <v>179548.35816136078</v>
      </c>
      <c r="J5" s="8">
        <f t="shared" si="2"/>
        <v>179548.35816136078</v>
      </c>
      <c r="K5" s="8">
        <f t="shared" si="2"/>
        <v>179548.35816136078</v>
      </c>
      <c r="L5" s="8">
        <f t="shared" si="2"/>
        <v>179548.35816136078</v>
      </c>
      <c r="M5" s="8">
        <f t="shared" si="2"/>
        <v>179548.35816136078</v>
      </c>
      <c r="N5" s="8">
        <f t="shared" si="2"/>
        <v>179548.35816136078</v>
      </c>
      <c r="O5" s="8">
        <f t="shared" si="2"/>
        <v>179548.35816136078</v>
      </c>
      <c r="P5" s="8">
        <f t="shared" si="2"/>
        <v>179548.35816136078</v>
      </c>
      <c r="Q5" s="8">
        <f t="shared" si="2"/>
        <v>179548.35816136078</v>
      </c>
      <c r="R5" s="8">
        <f t="shared" si="2"/>
        <v>179548.35816136078</v>
      </c>
      <c r="S5" s="8">
        <f t="shared" si="2"/>
        <v>179548.35816136078</v>
      </c>
      <c r="T5" s="8">
        <f t="shared" si="2"/>
        <v>179548.35816136078</v>
      </c>
      <c r="U5" s="8">
        <f t="shared" si="2"/>
        <v>179548.35816136078</v>
      </c>
      <c r="V5" s="8">
        <f t="shared" si="2"/>
        <v>179548.35816136078</v>
      </c>
      <c r="W5" s="8">
        <f t="shared" si="2"/>
        <v>179548.35816136078</v>
      </c>
      <c r="X5" s="8">
        <f t="shared" si="2"/>
        <v>179548.35816136078</v>
      </c>
      <c r="Y5" s="8">
        <f t="shared" si="2"/>
        <v>179548.35816136078</v>
      </c>
    </row>
    <row r="6" spans="1:28" x14ac:dyDescent="0.25">
      <c r="D6" s="8">
        <f>SUM(D3:D5)/(1+IGBTs!$B$86)^D$2</f>
        <v>280106.09738046973</v>
      </c>
      <c r="E6" s="8">
        <f>SUM(E3:E5)/(1+IGBTs!$B$86)^E$2</f>
        <v>273644.95916505158</v>
      </c>
      <c r="F6" s="8">
        <f>SUM(F3:F5)/(1+IGBTs!$B$86)^F$2</f>
        <v>267332.85843017796</v>
      </c>
      <c r="G6" s="8">
        <f>SUM(G3:G5)/(1+IGBTs!$B$86)^G$2</f>
        <v>261166.35736506898</v>
      </c>
      <c r="H6" s="8">
        <f>SUM(H3:H5)/(1+IGBTs!$B$86)^H$2</f>
        <v>255142.09745807759</v>
      </c>
      <c r="I6" s="8">
        <f>SUM(I3:I5)/(1+IGBTs!$B$86)^I$2</f>
        <v>249256.7976675159</v>
      </c>
      <c r="J6" s="8">
        <f>SUM(J3:J5)/(1+IGBTs!$B$86)^J$2</f>
        <v>243507.25263467498</v>
      </c>
      <c r="K6" s="8">
        <f>SUM(K3:K5)/(1+IGBTs!$B$86)^K$2</f>
        <v>237890.33093806403</v>
      </c>
      <c r="L6" s="8">
        <f>SUM(L3:L5)/(1+IGBTs!$B$86)^L$2</f>
        <v>232402.97338791899</v>
      </c>
      <c r="M6" s="8">
        <f>SUM(M3:M5)/(1+IGBTs!$B$86)^M$2</f>
        <v>227042.19136005087</v>
      </c>
      <c r="N6" s="8">
        <f>SUM(N3:N5)/(1+IGBTs!$B$86)^N$2</f>
        <v>221805.06516812748</v>
      </c>
      <c r="O6" s="8">
        <f>SUM(O3:O5)/(1+IGBTs!$B$86)^O$2</f>
        <v>216688.74247350049</v>
      </c>
      <c r="P6" s="8">
        <f>SUM(P3:P5)/(1+IGBTs!$B$86)^P$2</f>
        <v>211690.43673171321</v>
      </c>
      <c r="Q6" s="8">
        <f>SUM(Q3:Q5)/(1+IGBTs!$B$86)^Q$2</f>
        <v>206807.42567484215</v>
      </c>
      <c r="R6" s="8">
        <f>SUM(R3:R5)/(1+IGBTs!$B$86)^R$2</f>
        <v>202037.04982884624</v>
      </c>
      <c r="S6" s="8">
        <f>SUM(S3:S5)/(1+IGBTs!$B$86)^S$2</f>
        <v>4829412.0859017577</v>
      </c>
      <c r="T6" s="8">
        <f>SUM(T3:T5)/(1+IGBTs!$B$86)^T$2</f>
        <v>3106136.364145257</v>
      </c>
      <c r="U6" s="8">
        <f>SUM(U3:U5)/(1+IGBTs!$B$86)^U$2</f>
        <v>2799023.3441710374</v>
      </c>
      <c r="V6" s="8">
        <f>SUM(V3:V5)/(1+IGBTs!$B$86)^V$2</f>
        <v>184030.82667477889</v>
      </c>
      <c r="W6" s="8">
        <f>SUM(W3:W5)/(1+IGBTs!$B$86)^W$2</f>
        <v>179785.83301643553</v>
      </c>
      <c r="X6" s="8">
        <f>SUM(X3:X5)/(1+IGBTs!$B$86)^X$2</f>
        <v>175638.75757910422</v>
      </c>
      <c r="Y6" s="8">
        <f>SUM(Y3:Y5)/(1+IGBTs!$B$86)^Y$2</f>
        <v>171587.34170734804</v>
      </c>
    </row>
    <row r="7" spans="1:28" x14ac:dyDescent="0.25">
      <c r="A7" t="s">
        <v>15</v>
      </c>
      <c r="C7" s="8">
        <f>SUM(D6:Y6)</f>
        <v>15032135.188859819</v>
      </c>
    </row>
  </sheetData>
  <scenarios current="0" show="0">
    <scenario name="Early replacement" locked="1" count="6" user="Allen, Mark" comment="Created by Allen, Mark on 23/01/2019">
      <inputCells r="U3" val="0"/>
      <inputCells r="T3" val="0"/>
      <inputCells r="S3" val="0"/>
      <inputCells r="N3" val="3973564"/>
      <inputCells r="O3" val="2999284"/>
      <inputCells r="P3" val="6728738"/>
    </scenario>
  </scenario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D23"/>
  <sheetViews>
    <sheetView workbookViewId="0">
      <selection activeCell="G19" sqref="G19"/>
    </sheetView>
  </sheetViews>
  <sheetFormatPr defaultRowHeight="15" x14ac:dyDescent="0.25"/>
  <cols>
    <col min="2" max="2" width="18" bestFit="1" customWidth="1"/>
    <col min="3" max="3" width="13.42578125" bestFit="1" customWidth="1"/>
    <col min="4" max="4" width="9.5703125" bestFit="1" customWidth="1"/>
  </cols>
  <sheetData>
    <row r="1" spans="2:4" ht="15.75" thickBot="1" x14ac:dyDescent="0.3">
      <c r="B1" t="s">
        <v>19</v>
      </c>
      <c r="C1" s="9">
        <v>43646</v>
      </c>
      <c r="D1" s="9">
        <v>44012</v>
      </c>
    </row>
    <row r="2" spans="2:4" ht="15.75" thickTop="1" x14ac:dyDescent="0.25">
      <c r="B2" s="5" t="str">
        <f>B8</f>
        <v>Converter Stations</v>
      </c>
      <c r="C2" s="11">
        <f>C8*(1+Data!$B$5)</f>
        <v>6.8271235466005775</v>
      </c>
      <c r="D2" s="11">
        <f>D8*(1+Data!$B$5)^2</f>
        <v>7.1639727469443182</v>
      </c>
    </row>
    <row r="3" spans="2:4" x14ac:dyDescent="0.25">
      <c r="B3" s="5" t="str">
        <f t="shared" ref="B3:B5" si="0">B9</f>
        <v xml:space="preserve">Transmission lines </v>
      </c>
      <c r="C3" s="11">
        <f>C9*(1+Data!$B$5)</f>
        <v>1.4023576151032415</v>
      </c>
      <c r="D3" s="11">
        <f>D9*(1+Data!$B$5)^2</f>
        <v>0.67383132893681719</v>
      </c>
    </row>
    <row r="4" spans="2:4" x14ac:dyDescent="0.25">
      <c r="B4" s="5" t="str">
        <f t="shared" si="0"/>
        <v xml:space="preserve">Easements </v>
      </c>
      <c r="C4" s="11">
        <f>C10*(1+Data!$B$5)</f>
        <v>0</v>
      </c>
      <c r="D4" s="11">
        <f>D10*(1+Data!$B$5)^2</f>
        <v>0</v>
      </c>
    </row>
    <row r="5" spans="2:4" x14ac:dyDescent="0.25">
      <c r="B5" s="5" t="str">
        <f t="shared" si="0"/>
        <v>Total</v>
      </c>
      <c r="C5" s="11">
        <f>SUM(C2:C4)</f>
        <v>8.2294811617038199</v>
      </c>
      <c r="D5" s="11">
        <f>SUM(D2:D4)</f>
        <v>7.8378040758811354</v>
      </c>
    </row>
    <row r="6" spans="2:4" x14ac:dyDescent="0.25">
      <c r="B6" s="12"/>
    </row>
    <row r="7" spans="2:4" x14ac:dyDescent="0.25">
      <c r="B7" t="s">
        <v>20</v>
      </c>
    </row>
    <row r="8" spans="2:4" x14ac:dyDescent="0.25">
      <c r="B8" t="str">
        <f>Data!A1</f>
        <v>Converter Stations</v>
      </c>
      <c r="C8" s="13">
        <f>SUMIF('Forecast Capex'!$K$7:$K$103,$B8,'Forecast Capex'!B$7:B$103)/1000*(1+Data!$B$5)^(COLUMN()-2)</f>
        <v>6.6663075872496069</v>
      </c>
      <c r="D8" s="13">
        <f>SUMIF('Forecast Capex'!$K$7:$K$103,$B8,'Forecast Capex'!C$7:C$103)/1000*(1+Data!$B$5)^(COLUMN()-2)</f>
        <v>6.830446556007761</v>
      </c>
    </row>
    <row r="9" spans="2:4" x14ac:dyDescent="0.25">
      <c r="B9" t="str">
        <f>Data!A2</f>
        <v xml:space="preserve">Transmission lines </v>
      </c>
      <c r="C9" s="13">
        <f>SUMIF('Forecast Capex'!$K$7:$K$103,$B9,'Forecast Capex'!B$7:B$103)/1000*(1+Data!$B$5)^(COLUMN()-2)</f>
        <v>1.3693244520607679</v>
      </c>
      <c r="D9" s="13">
        <f>SUMIF('Forecast Capex'!$K$7:$K$103,$B9,'Forecast Capex'!C$7:C$103)/1000*(1+Data!$B$5)^(COLUMN()-2)</f>
        <v>0.64246041165214796</v>
      </c>
    </row>
    <row r="10" spans="2:4" x14ac:dyDescent="0.25">
      <c r="B10" t="str">
        <f>Data!A3</f>
        <v xml:space="preserve">Easements </v>
      </c>
      <c r="C10" s="13">
        <f>SUMIF('Forecast Capex'!$K$7:$K$103,$B10,'Forecast Capex'!B$7:B$103)/1000*(1+Data!$B$5)^(COLUMN()-2)</f>
        <v>0</v>
      </c>
      <c r="D10" s="13">
        <f>SUMIF('Forecast Capex'!$K$7:$K$103,$B10,'Forecast Capex'!C$7:C$103)/1000*(1+Data!$B$5)^(COLUMN()-2)</f>
        <v>0</v>
      </c>
    </row>
    <row r="11" spans="2:4" x14ac:dyDescent="0.25">
      <c r="B11" s="5" t="s">
        <v>15</v>
      </c>
      <c r="C11" s="13">
        <f>SUM(C8:C10)</f>
        <v>8.0356320393103751</v>
      </c>
      <c r="D11" s="13">
        <f>SUM(D8:D10)</f>
        <v>7.4729069676599087</v>
      </c>
    </row>
    <row r="13" spans="2:4" ht="15.75" thickBot="1" x14ac:dyDescent="0.3">
      <c r="B13" s="64" t="s">
        <v>177</v>
      </c>
      <c r="C13" s="9">
        <v>43646</v>
      </c>
      <c r="D13" s="9">
        <v>44012</v>
      </c>
    </row>
    <row r="14" spans="2:4" ht="15.75" thickTop="1" x14ac:dyDescent="0.25">
      <c r="B14" s="5" t="str">
        <f>B2</f>
        <v>Converter Stations</v>
      </c>
      <c r="C14" s="11">
        <f>C8*(1+Data!$B$5)^2</f>
        <v>6.9918189808247808</v>
      </c>
      <c r="D14" s="11">
        <f>D8*(1+Data!$B$5)^2</f>
        <v>7.1639727469443182</v>
      </c>
    </row>
    <row r="15" spans="2:4" x14ac:dyDescent="0.25">
      <c r="B15" s="5" t="str">
        <f t="shared" ref="B15:B16" si="1">B3</f>
        <v xml:space="preserve">Transmission lines </v>
      </c>
      <c r="C15" s="11">
        <f>C9*(1+Data!$B$5)^2</f>
        <v>1.4361876600380588</v>
      </c>
      <c r="D15" s="11">
        <f>D9*(1+Data!$B$5)^2</f>
        <v>0.67383132893681719</v>
      </c>
    </row>
    <row r="16" spans="2:4" x14ac:dyDescent="0.25">
      <c r="B16" s="5" t="str">
        <f t="shared" si="1"/>
        <v xml:space="preserve">Easements </v>
      </c>
      <c r="C16" s="11">
        <f>C10*(1+Data!$B$5)^2</f>
        <v>0</v>
      </c>
      <c r="D16" s="11">
        <f>D10*(1+Data!$B$5)^2</f>
        <v>0</v>
      </c>
    </row>
    <row r="17" spans="2:4" x14ac:dyDescent="0.25">
      <c r="B17" s="5" t="str">
        <f>B5</f>
        <v>Total</v>
      </c>
      <c r="C17" s="11">
        <f>SUM(C14:C16)</f>
        <v>8.42800664086284</v>
      </c>
      <c r="D17" s="11">
        <f>SUM(D14:D16)</f>
        <v>7.8378040758811354</v>
      </c>
    </row>
    <row r="18" spans="2:4" ht="15.75" thickBot="1" x14ac:dyDescent="0.3"/>
    <row r="19" spans="2:4" ht="16.5" thickTop="1" thickBot="1" x14ac:dyDescent="0.3">
      <c r="B19" s="2" t="s">
        <v>22</v>
      </c>
      <c r="C19" s="2"/>
      <c r="D19" s="2"/>
    </row>
    <row r="20" spans="2:4" ht="16.5" thickTop="1" thickBot="1" x14ac:dyDescent="0.3">
      <c r="B20" s="2" t="s">
        <v>23</v>
      </c>
      <c r="C20" s="3"/>
      <c r="D20" s="3"/>
    </row>
    <row r="21" spans="2:4" ht="16.5" thickTop="1" thickBot="1" x14ac:dyDescent="0.3">
      <c r="B21" s="2" t="s">
        <v>24</v>
      </c>
      <c r="C21" s="15"/>
      <c r="D21" s="15"/>
    </row>
    <row r="22" spans="2:4" ht="16.5" thickTop="1" thickBot="1" x14ac:dyDescent="0.3">
      <c r="B22" s="2" t="s">
        <v>25</v>
      </c>
      <c r="C22" s="2"/>
      <c r="D22" s="2"/>
    </row>
    <row r="23" spans="2:4" ht="15.75" thickTop="1" x14ac:dyDescent="0.25"/>
  </sheetData>
  <conditionalFormatting sqref="C22:D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I16"/>
  <sheetViews>
    <sheetView workbookViewId="0">
      <selection activeCell="G26" sqref="G26"/>
    </sheetView>
  </sheetViews>
  <sheetFormatPr defaultRowHeight="15" x14ac:dyDescent="0.25"/>
  <cols>
    <col min="2" max="2" width="18" bestFit="1" customWidth="1"/>
    <col min="3" max="3" width="10.85546875" bestFit="1" customWidth="1"/>
    <col min="4" max="5" width="10.5703125" bestFit="1" customWidth="1"/>
    <col min="6" max="7" width="9.5703125" bestFit="1" customWidth="1"/>
  </cols>
  <sheetData>
    <row r="1" spans="2:9" ht="15.75" thickBot="1" x14ac:dyDescent="0.3">
      <c r="B1" t="s">
        <v>18</v>
      </c>
      <c r="C1" s="9">
        <v>44377</v>
      </c>
      <c r="D1" s="9">
        <v>44742</v>
      </c>
      <c r="E1" s="9">
        <v>45107</v>
      </c>
      <c r="F1" s="9">
        <v>45473</v>
      </c>
      <c r="G1" s="9">
        <v>45838</v>
      </c>
      <c r="I1" t="s">
        <v>15</v>
      </c>
    </row>
    <row r="2" spans="2:9" ht="15.75" thickTop="1" x14ac:dyDescent="0.25">
      <c r="B2" s="5" t="str">
        <f>B7</f>
        <v>Transmission Assets</v>
      </c>
      <c r="C2" s="80">
        <f>C7*(1+Data!$B$5)^2</f>
        <v>11.222043908104165</v>
      </c>
      <c r="D2" s="80">
        <f>D7*(1+Data!$B$5)^2</f>
        <v>7.8153518201387318</v>
      </c>
      <c r="E2" s="80">
        <f>E7*(1+Data!$B$5)^2</f>
        <v>6.7646345882505239</v>
      </c>
      <c r="F2" s="80">
        <f>F7*(1+Data!$B$5)^2</f>
        <v>8.1012626979713573</v>
      </c>
      <c r="G2" s="80">
        <f>G7*(1+Data!$B$5)^2</f>
        <v>4.5058757236124283</v>
      </c>
      <c r="H2" s="72"/>
      <c r="I2" s="81">
        <f>SUM(C2:G2)</f>
        <v>38.409168738077206</v>
      </c>
    </row>
    <row r="3" spans="2:9" s="64" customFormat="1" x14ac:dyDescent="0.25">
      <c r="B3" s="5" t="str">
        <f>B8</f>
        <v>Restoration and Rectification</v>
      </c>
      <c r="C3" s="80">
        <f>C8*(1+Data!$B$5)^2</f>
        <v>0.41791042100203513</v>
      </c>
      <c r="D3" s="80">
        <f>D8*(1+Data!$B$5)^2</f>
        <v>0.41791042100203513</v>
      </c>
      <c r="E3" s="80">
        <f>E8*(1+Data!$B$5)^2</f>
        <v>0.41791042100203513</v>
      </c>
      <c r="F3" s="80">
        <f>F8*(1+Data!$B$5)^2</f>
        <v>0.41791042100203513</v>
      </c>
      <c r="G3" s="80">
        <f>G8*(1+Data!$B$5)^2</f>
        <v>0.41791042100203513</v>
      </c>
      <c r="H3" s="72"/>
      <c r="I3" s="81">
        <f>SUM(C3:G3)</f>
        <v>2.0895521050101755</v>
      </c>
    </row>
    <row r="4" spans="2:9" x14ac:dyDescent="0.25">
      <c r="B4" s="5" t="str">
        <f>B9</f>
        <v>Total</v>
      </c>
      <c r="C4" s="80">
        <f>SUM(C2:C3)</f>
        <v>11.639954329106201</v>
      </c>
      <c r="D4" s="80">
        <f t="shared" ref="D4:G4" si="0">SUM(D2:D3)</f>
        <v>8.2332622411407677</v>
      </c>
      <c r="E4" s="80">
        <f t="shared" si="0"/>
        <v>7.1825450092525589</v>
      </c>
      <c r="F4" s="80">
        <f t="shared" si="0"/>
        <v>8.5191731189733932</v>
      </c>
      <c r="G4" s="80">
        <f t="shared" si="0"/>
        <v>4.9237861446144633</v>
      </c>
      <c r="H4" s="72"/>
      <c r="I4" s="81">
        <f t="shared" ref="I4" si="1">SUM(C4:G4)</f>
        <v>40.498720843087376</v>
      </c>
    </row>
    <row r="6" spans="2:9" x14ac:dyDescent="0.25">
      <c r="B6" t="s">
        <v>16</v>
      </c>
      <c r="I6" s="12" t="s">
        <v>15</v>
      </c>
    </row>
    <row r="7" spans="2:9" x14ac:dyDescent="0.25">
      <c r="B7" s="13" t="str">
        <f>Data!A7</f>
        <v>Transmission Assets</v>
      </c>
      <c r="C7" s="13">
        <f>SUMIF('Forecast Capex'!$K$7:$K$103,$B7,'Forecast Capex'!D$7:D$103)/1000</f>
        <v>10.699590000000002</v>
      </c>
      <c r="D7" s="13">
        <f>SUMIF('Forecast Capex'!$K$7:$K$103,$B7,'Forecast Capex'!E$7:E$103)/1000</f>
        <v>7.4515000000000002</v>
      </c>
      <c r="E7" s="13">
        <f>SUMIF('Forecast Capex'!$K$7:$K$103,$B7,'Forecast Capex'!F$7:F$103)/1000</f>
        <v>6.4497</v>
      </c>
      <c r="F7" s="13">
        <f>SUMIF('Forecast Capex'!$K$7:$K$103,$B7,'Forecast Capex'!G$7:G$103)/1000</f>
        <v>7.7240999999999991</v>
      </c>
      <c r="G7" s="13">
        <f>SUMIF('Forecast Capex'!$K$7:$K$103,$B7,'Forecast Capex'!H$7:H$103)/1000</f>
        <v>4.2961</v>
      </c>
      <c r="I7" s="13">
        <f>SUM(C7:G7)</f>
        <v>36.620990000000006</v>
      </c>
    </row>
    <row r="8" spans="2:9" s="64" customFormat="1" x14ac:dyDescent="0.25">
      <c r="B8" s="13" t="str">
        <f>Data!A8</f>
        <v>Restoration and Rectification</v>
      </c>
      <c r="C8" s="13">
        <f>SUMIF('Forecast Capex'!$K$7:$K$103,$B8,'Forecast Capex'!D$7:D$103)/1000</f>
        <v>0.39845416735716277</v>
      </c>
      <c r="D8" s="13">
        <f>SUMIF('Forecast Capex'!$K$7:$K$103,$B8,'Forecast Capex'!E$7:E$103)/1000</f>
        <v>0.39845416735716277</v>
      </c>
      <c r="E8" s="13">
        <f>SUMIF('Forecast Capex'!$K$7:$K$103,$B8,'Forecast Capex'!F$7:F$103)/1000</f>
        <v>0.39845416735716277</v>
      </c>
      <c r="F8" s="13">
        <f>SUMIF('Forecast Capex'!$K$7:$K$103,$B8,'Forecast Capex'!G$7:G$103)/1000</f>
        <v>0.39845416735716277</v>
      </c>
      <c r="G8" s="13">
        <f>SUMIF('Forecast Capex'!$K$7:$K$103,$B8,'Forecast Capex'!H$7:H$103)/1000</f>
        <v>0.39845416735716277</v>
      </c>
      <c r="I8" s="13">
        <f>SUM(C8:G8)</f>
        <v>1.992270836785814</v>
      </c>
    </row>
    <row r="9" spans="2:9" x14ac:dyDescent="0.25">
      <c r="B9" s="5" t="s">
        <v>15</v>
      </c>
      <c r="C9" s="6">
        <f>SUM(C7:C8)</f>
        <v>11.098044167357164</v>
      </c>
      <c r="D9" s="6">
        <f t="shared" ref="D9:G9" si="2">SUM(D7:D8)</f>
        <v>7.8499541673571631</v>
      </c>
      <c r="E9" s="6">
        <f t="shared" si="2"/>
        <v>6.8481541673571629</v>
      </c>
      <c r="F9" s="6">
        <f t="shared" si="2"/>
        <v>8.122554167357162</v>
      </c>
      <c r="G9" s="6">
        <f t="shared" si="2"/>
        <v>4.6945541673571629</v>
      </c>
      <c r="I9" s="13">
        <f t="shared" ref="I9" si="3">SUM(C9:G9)</f>
        <v>38.613260836785813</v>
      </c>
    </row>
    <row r="12" spans="2:9" ht="15.75" thickBot="1" x14ac:dyDescent="0.3"/>
    <row r="13" spans="2:9" ht="16.5" thickTop="1" thickBot="1" x14ac:dyDescent="0.3">
      <c r="B13" s="2" t="s">
        <v>22</v>
      </c>
      <c r="C13" s="3">
        <f>C9</f>
        <v>11.098044167357164</v>
      </c>
      <c r="D13" s="3">
        <f t="shared" ref="D13:G13" si="4">D9</f>
        <v>7.8499541673571631</v>
      </c>
      <c r="E13" s="3">
        <f t="shared" si="4"/>
        <v>6.8481541673571629</v>
      </c>
      <c r="F13" s="3">
        <f t="shared" si="4"/>
        <v>8.122554167357162</v>
      </c>
      <c r="G13" s="3">
        <f t="shared" si="4"/>
        <v>4.6945541673571629</v>
      </c>
    </row>
    <row r="14" spans="2:9" ht="16.5" thickTop="1" thickBot="1" x14ac:dyDescent="0.3">
      <c r="B14" s="2" t="s">
        <v>23</v>
      </c>
      <c r="C14" s="17">
        <f>'Forecast Capex'!D2/1000</f>
        <v>11.098044167357164</v>
      </c>
      <c r="D14" s="17">
        <f>'Forecast Capex'!E2/1000</f>
        <v>7.8499541673571631</v>
      </c>
      <c r="E14" s="17">
        <f>'Forecast Capex'!F2/1000</f>
        <v>6.8481541673571629</v>
      </c>
      <c r="F14" s="17">
        <f>'Forecast Capex'!G2/1000</f>
        <v>8.122554167357162</v>
      </c>
      <c r="G14" s="17">
        <f>'Forecast Capex'!H2/1000</f>
        <v>4.6945541673571629</v>
      </c>
    </row>
    <row r="15" spans="2:9" ht="16.5" thickTop="1" thickBot="1" x14ac:dyDescent="0.3">
      <c r="B15" s="2" t="s">
        <v>25</v>
      </c>
      <c r="C15" s="3">
        <f>C9-C14</f>
        <v>0</v>
      </c>
      <c r="D15" s="3">
        <f t="shared" ref="D15:G15" si="5">D9-D14</f>
        <v>0</v>
      </c>
      <c r="E15" s="3">
        <f t="shared" si="5"/>
        <v>0</v>
      </c>
      <c r="F15" s="3">
        <f t="shared" si="5"/>
        <v>0</v>
      </c>
      <c r="G15" s="3">
        <f t="shared" si="5"/>
        <v>0</v>
      </c>
    </row>
    <row r="16" spans="2:9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D56BFB5048764FBBCA08C566CDFDB8" ma:contentTypeVersion="0" ma:contentTypeDescription="Create a new document." ma:contentTypeScope="" ma:versionID="576060b25521d478bc1c815fe327e30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AF2F70-9B29-4EE0-A6BF-F1EFDF552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0355F2-CB82-4A13-8969-555B411D45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2EADCC-178A-412D-AF2B-0A3E7256586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Data</vt:lpstr>
      <vt:lpstr>Forecast Capex</vt:lpstr>
      <vt:lpstr>Projects by size</vt:lpstr>
      <vt:lpstr>IGBTs</vt:lpstr>
      <vt:lpstr>VCU</vt:lpstr>
      <vt:lpstr>Recl &amp; Rest</vt:lpstr>
      <vt:lpstr>Replacement k</vt:lpstr>
      <vt:lpstr>RAB</vt:lpstr>
      <vt:lpstr>PTRM</vt:lpstr>
      <vt:lpstr>Tables</vt:lpstr>
      <vt:lpstr>Tables!_Ref345583960</vt:lpstr>
      <vt:lpstr>Tables!_Toc535872142</vt:lpstr>
      <vt:lpstr>Asset1</vt:lpstr>
      <vt:lpstr>Asset2</vt:lpstr>
      <vt:lpstr>Asset3</vt:lpstr>
    </vt:vector>
  </TitlesOfParts>
  <Company>APA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Allen, Mark</dc:creator>
  <cp:lastModifiedBy>Petersen, Adam</cp:lastModifiedBy>
  <cp:lastPrinted>2018-12-07T01:04:09Z</cp:lastPrinted>
  <dcterms:created xsi:type="dcterms:W3CDTF">2018-10-25T05:17:52Z</dcterms:created>
  <dcterms:modified xsi:type="dcterms:W3CDTF">2019-02-05T03:06:32Z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0x01010008D56BFB5048764FBBCA08C566CDFDB8</vt:lpwstr>
  </property>
  <property fmtid="{D5CDD505-2E9C-101B-9397-08002B2CF9AE}" pid="3" name="_MarkAsFinal">
    <vt:bool>true</vt:bool>
  </property>
</Properties>
</file>