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AER\Directlink 2020 reset\1 Proposal\WEB\"/>
    </mc:Choice>
  </mc:AlternateContent>
  <bookViews>
    <workbookView xWindow="0" yWindow="0" windowWidth="28800" windowHeight="11700"/>
  </bookViews>
  <sheets>
    <sheet name="Input│ Historic Opex" sheetId="1" r:id="rId1"/>
    <sheet name="Input│ Other" sheetId="2" r:id="rId2"/>
    <sheet name="Input│ Forecast" sheetId="10" r:id="rId3"/>
    <sheet name="Calc│Forecast" sheetId="4" r:id="rId4"/>
    <sheet name="Outputs│PTRM" sheetId="6" r:id="rId5"/>
    <sheet name="Outputs│Tables" sheetId="7" r:id="rId6"/>
    <sheet name="Outputs│Graphs" sheetId="8" r:id="rId7"/>
  </sheets>
  <externalReferences>
    <externalReference r:id="rId8"/>
  </externalReferences>
  <definedNames>
    <definedName name="CRCP_y1">'[1]Business &amp; other details'!$C$39</definedName>
    <definedName name="CRCP_y2">'[1]Business &amp; other details'!$D$39</definedName>
    <definedName name="CRCP_y3">'[1]Business &amp; other details'!$E$39</definedName>
    <definedName name="CRCP_y4">'[1]Business &amp; other details'!$F$39</definedName>
    <definedName name="CRCP_y5">'[1]Business &amp; other details'!$G$39</definedName>
    <definedName name="dms_DollarReal">'[1]Business &amp; other details'!$C$74</definedName>
    <definedName name="dms_EBSS_status">'[1]Business &amp; other details'!$C$62</definedName>
    <definedName name="dms_PRCP_BaseYear">'[1]7.5 EBSS'!$C$24</definedName>
    <definedName name="dms_RPT">'[1]Business &amp; other details'!$C$66</definedName>
    <definedName name="dms_RPTMonth">'[1]Business &amp; other details'!$C$73</definedName>
    <definedName name="dms_TradingName">'[1]Business &amp; other details'!$C$14</definedName>
    <definedName name="FRCP_y1">'[1]Business &amp; other details'!$C$35</definedName>
    <definedName name="FRCP_y2">'[1]Business &amp; other details'!$D$35</definedName>
    <definedName name="FRCP_y3">'[1]Business &amp; other details'!$E$35</definedName>
    <definedName name="FRCP_y4">'[1]Business &amp; other details'!$F$35</definedName>
    <definedName name="FRCP_y5">'[1]Business &amp; other details'!$G$35</definedName>
    <definedName name="PRCP_y1">'[1]Business &amp; other details'!$C$44</definedName>
    <definedName name="PRCP_y2">'[1]Business &amp; other details'!$D$44</definedName>
    <definedName name="PRCP_y3">'[1]Business &amp; other details'!$E$44</definedName>
    <definedName name="PRCP_y4">'[1]Business &amp; other details'!$F$44</definedName>
    <definedName name="PRCP_y5">'[1]Business &amp; other details'!$G$44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1" i="4" l="1"/>
  <c r="E81" i="4"/>
  <c r="F81" i="4"/>
  <c r="G81" i="4"/>
  <c r="H81" i="4"/>
  <c r="I81" i="4"/>
  <c r="J81" i="4"/>
  <c r="C13" i="10"/>
  <c r="G67" i="7"/>
  <c r="H67" i="7"/>
  <c r="I67" i="7"/>
  <c r="J67" i="7"/>
  <c r="K67" i="7"/>
  <c r="L67" i="7"/>
  <c r="F67" i="7"/>
  <c r="G60" i="7"/>
  <c r="H60" i="7"/>
  <c r="I60" i="7"/>
  <c r="J60" i="7"/>
  <c r="K60" i="7"/>
  <c r="L60" i="7"/>
  <c r="F60" i="7"/>
  <c r="I54" i="7"/>
  <c r="J54" i="7"/>
  <c r="K54" i="7"/>
  <c r="L54" i="7"/>
  <c r="H54" i="7"/>
  <c r="G54" i="7"/>
  <c r="F54" i="7"/>
  <c r="N46" i="7" l="1"/>
  <c r="O46" i="7"/>
  <c r="P46" i="7"/>
  <c r="Q46" i="7"/>
  <c r="R46" i="7"/>
  <c r="S46" i="7"/>
  <c r="M46" i="7"/>
  <c r="Q45" i="7"/>
  <c r="R45" i="7"/>
  <c r="S45" i="7"/>
  <c r="N45" i="7"/>
  <c r="O45" i="7"/>
  <c r="P45" i="7"/>
  <c r="M45" i="7"/>
  <c r="J46" i="7"/>
  <c r="K46" i="7"/>
  <c r="L46" i="7"/>
  <c r="I46" i="7"/>
  <c r="J34" i="7" l="1"/>
  <c r="K34" i="7"/>
  <c r="L34" i="7"/>
  <c r="M34" i="7"/>
  <c r="I34" i="7"/>
  <c r="F36" i="7"/>
  <c r="F37" i="7" s="1"/>
  <c r="H23" i="1" l="1"/>
  <c r="C17" i="10"/>
  <c r="N14" i="8"/>
  <c r="O14" i="8"/>
  <c r="P14" i="8"/>
  <c r="Q14" i="8"/>
  <c r="R14" i="8"/>
  <c r="S14" i="8"/>
  <c r="T14" i="8"/>
  <c r="U14" i="8"/>
  <c r="V14" i="8"/>
  <c r="M14" i="8"/>
  <c r="J15" i="7"/>
  <c r="J16" i="7"/>
  <c r="J17" i="7"/>
  <c r="J18" i="7"/>
  <c r="J19" i="7"/>
  <c r="J20" i="7"/>
  <c r="K15" i="7"/>
  <c r="K16" i="7"/>
  <c r="K17" i="7"/>
  <c r="K18" i="7"/>
  <c r="K19" i="7"/>
  <c r="C24" i="4"/>
  <c r="D32" i="4"/>
  <c r="D38" i="4"/>
  <c r="D39" i="4"/>
  <c r="F80" i="1"/>
  <c r="G80" i="1"/>
  <c r="H80" i="1"/>
  <c r="H81" i="1" s="1"/>
  <c r="I15" i="7"/>
  <c r="I18" i="7"/>
  <c r="G23" i="1"/>
  <c r="G82" i="1" s="1"/>
  <c r="D52" i="4"/>
  <c r="D53" i="4"/>
  <c r="H16" i="2"/>
  <c r="I48" i="1"/>
  <c r="I49" i="1"/>
  <c r="I51" i="1"/>
  <c r="I52" i="1"/>
  <c r="I54" i="1"/>
  <c r="E32" i="4"/>
  <c r="E38" i="4"/>
  <c r="E39" i="4"/>
  <c r="E52" i="4"/>
  <c r="E53" i="4"/>
  <c r="I16" i="7"/>
  <c r="I17" i="7"/>
  <c r="I19" i="7"/>
  <c r="I20" i="7"/>
  <c r="G16" i="2"/>
  <c r="F32" i="4"/>
  <c r="F38" i="4"/>
  <c r="F39" i="4" s="1"/>
  <c r="F52" i="4"/>
  <c r="G32" i="4"/>
  <c r="G38" i="4"/>
  <c r="G39" i="4"/>
  <c r="G52" i="4"/>
  <c r="G53" i="4"/>
  <c r="H32" i="4"/>
  <c r="H38" i="4"/>
  <c r="H39" i="4" s="1"/>
  <c r="H52" i="4"/>
  <c r="H53" i="4"/>
  <c r="I32" i="4"/>
  <c r="I38" i="4"/>
  <c r="I39" i="4"/>
  <c r="I52" i="4"/>
  <c r="I53" i="4"/>
  <c r="J32" i="4"/>
  <c r="J38" i="4"/>
  <c r="J39" i="4" s="1"/>
  <c r="J52" i="4"/>
  <c r="C16" i="2"/>
  <c r="I22" i="8"/>
  <c r="I21" i="8"/>
  <c r="I20" i="8"/>
  <c r="B53" i="4"/>
  <c r="A38" i="4"/>
  <c r="A53" i="4" s="1"/>
  <c r="C38" i="4"/>
  <c r="C53" i="4" s="1"/>
  <c r="D78" i="4"/>
  <c r="E78" i="4"/>
  <c r="F78" i="4"/>
  <c r="G78" i="4"/>
  <c r="H78" i="4"/>
  <c r="I78" i="4"/>
  <c r="J78" i="4"/>
  <c r="C78" i="4"/>
  <c r="D67" i="4"/>
  <c r="E67" i="4"/>
  <c r="F67" i="4"/>
  <c r="G67" i="4"/>
  <c r="H67" i="4"/>
  <c r="I67" i="4"/>
  <c r="J67" i="4"/>
  <c r="C67" i="4"/>
  <c r="A80" i="4"/>
  <c r="A81" i="4"/>
  <c r="A82" i="4"/>
  <c r="A83" i="4"/>
  <c r="A84" i="4"/>
  <c r="A85" i="4"/>
  <c r="A79" i="4"/>
  <c r="G51" i="7"/>
  <c r="F51" i="7"/>
  <c r="B65" i="4"/>
  <c r="B68" i="4"/>
  <c r="B63" i="4"/>
  <c r="B64" i="4"/>
  <c r="A59" i="4"/>
  <c r="B79" i="4"/>
  <c r="B80" i="4"/>
  <c r="B81" i="4"/>
  <c r="B82" i="4"/>
  <c r="B83" i="4"/>
  <c r="B84" i="4"/>
  <c r="B85" i="4"/>
  <c r="F15" i="7"/>
  <c r="B27" i="1"/>
  <c r="A15" i="2"/>
  <c r="E12" i="6"/>
  <c r="B71" i="1"/>
  <c r="B70" i="1"/>
  <c r="B69" i="1"/>
  <c r="B68" i="1"/>
  <c r="B67" i="1"/>
  <c r="B66" i="1"/>
  <c r="C25" i="10"/>
  <c r="D47" i="4"/>
  <c r="I24" i="10"/>
  <c r="A10" i="2"/>
  <c r="A10" i="10"/>
  <c r="I21" i="10"/>
  <c r="H21" i="10"/>
  <c r="G21" i="10"/>
  <c r="F21" i="10"/>
  <c r="E21" i="10"/>
  <c r="D21" i="10"/>
  <c r="C21" i="10"/>
  <c r="D25" i="10"/>
  <c r="E47" i="4"/>
  <c r="E25" i="10"/>
  <c r="F25" i="10"/>
  <c r="F47" i="4"/>
  <c r="G25" i="10"/>
  <c r="G47" i="4"/>
  <c r="H25" i="10"/>
  <c r="H47" i="4"/>
  <c r="I25" i="10"/>
  <c r="J47" i="4"/>
  <c r="I47" i="4"/>
  <c r="A30" i="1"/>
  <c r="H20" i="7"/>
  <c r="H19" i="7"/>
  <c r="H18" i="7"/>
  <c r="G18" i="7"/>
  <c r="H16" i="7"/>
  <c r="G16" i="7"/>
  <c r="H15" i="7"/>
  <c r="G15" i="7"/>
  <c r="A27" i="1"/>
  <c r="A10" i="8"/>
  <c r="L14" i="8"/>
  <c r="K14" i="8"/>
  <c r="F16" i="7"/>
  <c r="F17" i="7"/>
  <c r="F18" i="7" s="1"/>
  <c r="F19" i="7" s="1"/>
  <c r="A10" i="7"/>
  <c r="P25" i="6"/>
  <c r="O25" i="6"/>
  <c r="N25" i="6"/>
  <c r="M25" i="6"/>
  <c r="L25" i="6"/>
  <c r="A10" i="6"/>
  <c r="C39" i="4"/>
  <c r="B23" i="4"/>
  <c r="C17" i="4"/>
  <c r="B17" i="4"/>
  <c r="B20" i="4"/>
  <c r="B24" i="4"/>
  <c r="B27" i="4"/>
  <c r="B31" i="4"/>
  <c r="B32" i="4"/>
  <c r="B35" i="4"/>
  <c r="B38" i="4"/>
  <c r="A10" i="4"/>
  <c r="F18" i="2"/>
  <c r="A16" i="2"/>
  <c r="D12" i="2"/>
  <c r="B64" i="1"/>
  <c r="A64" i="1"/>
  <c r="A71" i="1" s="1"/>
  <c r="B63" i="1"/>
  <c r="A63" i="1"/>
  <c r="A70" i="1" s="1"/>
  <c r="B62" i="1"/>
  <c r="A62" i="1"/>
  <c r="A69" i="1"/>
  <c r="B61" i="1"/>
  <c r="A61" i="1"/>
  <c r="A68" i="1" s="1"/>
  <c r="B60" i="1"/>
  <c r="A60" i="1"/>
  <c r="B59" i="1"/>
  <c r="A59" i="1"/>
  <c r="A67" i="1"/>
  <c r="A58" i="1"/>
  <c r="A66" i="1" s="1"/>
  <c r="B49" i="1"/>
  <c r="B51" i="1"/>
  <c r="B52" i="1" s="1"/>
  <c r="B54" i="1" s="1"/>
  <c r="B40" i="1"/>
  <c r="H34" i="1"/>
  <c r="G34" i="1"/>
  <c r="F34" i="1"/>
  <c r="E34" i="1"/>
  <c r="D34" i="1"/>
  <c r="B28" i="1"/>
  <c r="B29" i="1" s="1"/>
  <c r="B30" i="1" s="1"/>
  <c r="I23" i="1"/>
  <c r="A10" i="1"/>
  <c r="H17" i="7"/>
  <c r="H21" i="7" s="1"/>
  <c r="L15" i="8" s="1"/>
  <c r="G81" i="1"/>
  <c r="G19" i="7"/>
  <c r="G17" i="7"/>
  <c r="F81" i="1"/>
  <c r="G20" i="7"/>
  <c r="J45" i="7"/>
  <c r="K45" i="7"/>
  <c r="L45" i="7"/>
  <c r="B39" i="4"/>
  <c r="B41" i="4"/>
  <c r="E12" i="2"/>
  <c r="B69" i="4"/>
  <c r="B70" i="4"/>
  <c r="B71" i="4"/>
  <c r="B72" i="4"/>
  <c r="B73" i="4"/>
  <c r="B74" i="4"/>
  <c r="B46" i="4"/>
  <c r="F12" i="2"/>
  <c r="B51" i="4"/>
  <c r="B55" i="4"/>
  <c r="B48" i="4"/>
  <c r="B54" i="4"/>
  <c r="B52" i="4"/>
  <c r="D16" i="2"/>
  <c r="G12" i="2"/>
  <c r="H12" i="2"/>
  <c r="F16" i="2"/>
  <c r="I12" i="2"/>
  <c r="J12" i="2"/>
  <c r="K12" i="2"/>
  <c r="L12" i="2"/>
  <c r="M12" i="2"/>
  <c r="N12" i="2"/>
  <c r="O12" i="2"/>
  <c r="D23" i="1" l="1"/>
  <c r="D82" i="1" s="1"/>
  <c r="J79" i="1"/>
  <c r="G18" i="2"/>
  <c r="H18" i="2" s="1"/>
  <c r="I18" i="2" s="1"/>
  <c r="J18" i="2" s="1"/>
  <c r="D12" i="10"/>
  <c r="E12" i="10" s="1"/>
  <c r="F12" i="10" s="1"/>
  <c r="G12" i="10" s="1"/>
  <c r="H12" i="10" s="1"/>
  <c r="I12" i="10" s="1"/>
  <c r="I40" i="1"/>
  <c r="G40" i="1"/>
  <c r="G43" i="1" s="1"/>
  <c r="H51" i="7"/>
  <c r="G83" i="1"/>
  <c r="E23" i="1"/>
  <c r="E82" i="1" s="1"/>
  <c r="J40" i="1"/>
  <c r="J53" i="4"/>
  <c r="F53" i="4"/>
  <c r="B53" i="1"/>
  <c r="E80" i="1"/>
  <c r="E81" i="1" s="1"/>
  <c r="E83" i="1" s="1"/>
  <c r="F40" i="1"/>
  <c r="F43" i="1" s="1"/>
  <c r="H40" i="1"/>
  <c r="H43" i="1" s="1"/>
  <c r="F23" i="1"/>
  <c r="F82" i="1" s="1"/>
  <c r="F83" i="1" s="1"/>
  <c r="D80" i="1"/>
  <c r="J80" i="1" s="1"/>
  <c r="J81" i="1" s="1"/>
  <c r="F21" i="7"/>
  <c r="F27" i="7" s="1"/>
  <c r="F28" i="7" s="1"/>
  <c r="F29" i="7" s="1"/>
  <c r="F20" i="7"/>
  <c r="J51" i="7"/>
  <c r="G21" i="7"/>
  <c r="K15" i="8" s="1"/>
  <c r="I45" i="7"/>
  <c r="I51" i="7"/>
  <c r="K20" i="7"/>
  <c r="K21" i="7" s="1"/>
  <c r="K28" i="7" s="1"/>
  <c r="I21" i="7"/>
  <c r="I28" i="7" s="1"/>
  <c r="I53" i="1"/>
  <c r="I55" i="1" s="1"/>
  <c r="I60" i="1" s="1"/>
  <c r="J21" i="7"/>
  <c r="J28" i="7" s="1"/>
  <c r="D81" i="1"/>
  <c r="D83" i="1" s="1"/>
  <c r="I13" i="2"/>
  <c r="D13" i="10" l="1"/>
  <c r="I27" i="7"/>
  <c r="M16" i="8"/>
  <c r="I59" i="1"/>
  <c r="I58" i="1"/>
  <c r="I61" i="1"/>
  <c r="O15" i="8"/>
  <c r="M15" i="8"/>
  <c r="H82" i="1"/>
  <c r="I63" i="1"/>
  <c r="I62" i="1"/>
  <c r="N15" i="8"/>
  <c r="J13" i="2"/>
  <c r="I15" i="2" s="1"/>
  <c r="I16" i="2"/>
  <c r="I43" i="1" s="1"/>
  <c r="L27" i="7" s="1"/>
  <c r="O16" i="8"/>
  <c r="K27" i="7"/>
  <c r="N16" i="8"/>
  <c r="J27" i="7"/>
  <c r="J29" i="7" s="1"/>
  <c r="E13" i="10" l="1"/>
  <c r="F13" i="10" s="1"/>
  <c r="G13" i="10" s="1"/>
  <c r="H13" i="10" s="1"/>
  <c r="I13" i="10" s="1"/>
  <c r="G63" i="4"/>
  <c r="G71" i="7"/>
  <c r="I73" i="7"/>
  <c r="D63" i="4"/>
  <c r="D70" i="4" s="1"/>
  <c r="L17" i="7" s="1"/>
  <c r="H63" i="4"/>
  <c r="G70" i="7"/>
  <c r="K70" i="7"/>
  <c r="H71" i="7"/>
  <c r="L71" i="7"/>
  <c r="I72" i="7"/>
  <c r="F73" i="7"/>
  <c r="J73" i="7"/>
  <c r="E63" i="4"/>
  <c r="I63" i="4"/>
  <c r="H70" i="7"/>
  <c r="L70" i="7"/>
  <c r="I71" i="7"/>
  <c r="F72" i="7"/>
  <c r="J72" i="7"/>
  <c r="G73" i="7"/>
  <c r="K73" i="7"/>
  <c r="F63" i="4"/>
  <c r="J63" i="4"/>
  <c r="I70" i="7"/>
  <c r="F71" i="7"/>
  <c r="J71" i="7"/>
  <c r="G72" i="7"/>
  <c r="K72" i="7"/>
  <c r="H73" i="7"/>
  <c r="L73" i="7"/>
  <c r="F70" i="7"/>
  <c r="J70" i="7"/>
  <c r="K71" i="7"/>
  <c r="H72" i="7"/>
  <c r="L72" i="7"/>
  <c r="K29" i="7"/>
  <c r="I29" i="7"/>
  <c r="I64" i="1"/>
  <c r="I67" i="1"/>
  <c r="I66" i="1"/>
  <c r="I70" i="1"/>
  <c r="H83" i="1"/>
  <c r="J82" i="1"/>
  <c r="J83" i="1" s="1"/>
  <c r="I68" i="1"/>
  <c r="I69" i="1"/>
  <c r="F15" i="2"/>
  <c r="I35" i="7" s="1"/>
  <c r="E15" i="2"/>
  <c r="K13" i="2"/>
  <c r="J15" i="2"/>
  <c r="D15" i="2"/>
  <c r="N20" i="8" s="1"/>
  <c r="J16" i="2"/>
  <c r="J43" i="1" s="1"/>
  <c r="M27" i="7" s="1"/>
  <c r="N27" i="7" s="1"/>
  <c r="C15" i="2"/>
  <c r="G15" i="2"/>
  <c r="H15" i="2"/>
  <c r="K36" i="7" s="1"/>
  <c r="J36" i="7" l="1"/>
  <c r="K35" i="7"/>
  <c r="K37" i="7" s="1"/>
  <c r="J35" i="7"/>
  <c r="J37" i="7" s="1"/>
  <c r="M35" i="7"/>
  <c r="I36" i="7"/>
  <c r="I37" i="7" s="1"/>
  <c r="L35" i="7"/>
  <c r="I71" i="1"/>
  <c r="E45" i="4"/>
  <c r="I45" i="4"/>
  <c r="J45" i="4"/>
  <c r="H45" i="4"/>
  <c r="F45" i="4"/>
  <c r="C45" i="4"/>
  <c r="G45" i="4"/>
  <c r="D45" i="4"/>
  <c r="M20" i="8"/>
  <c r="M21" i="8"/>
  <c r="E29" i="1"/>
  <c r="E27" i="1"/>
  <c r="E28" i="1"/>
  <c r="O20" i="8"/>
  <c r="O21" i="8"/>
  <c r="L13" i="2"/>
  <c r="K15" i="2"/>
  <c r="K16" i="2"/>
  <c r="H28" i="1"/>
  <c r="C31" i="4" s="1"/>
  <c r="H29" i="1"/>
  <c r="H27" i="1"/>
  <c r="D29" i="1"/>
  <c r="D27" i="1"/>
  <c r="D28" i="1"/>
  <c r="F27" i="1"/>
  <c r="F28" i="1"/>
  <c r="F29" i="1"/>
  <c r="P21" i="8"/>
  <c r="G28" i="1"/>
  <c r="G27" i="1"/>
  <c r="G29" i="1"/>
  <c r="Q21" i="8"/>
  <c r="E70" i="4"/>
  <c r="M17" i="7" s="1"/>
  <c r="N21" i="8"/>
  <c r="N35" i="7" l="1"/>
  <c r="F30" i="1"/>
  <c r="H30" i="1"/>
  <c r="C13" i="4" s="1"/>
  <c r="C20" i="4" s="1"/>
  <c r="C27" i="4" s="1"/>
  <c r="D27" i="4" s="1"/>
  <c r="F55" i="7" s="1"/>
  <c r="M13" i="2"/>
  <c r="L15" i="2"/>
  <c r="L16" i="2"/>
  <c r="E30" i="1"/>
  <c r="D30" i="1"/>
  <c r="C32" i="4"/>
  <c r="C52" i="4"/>
  <c r="C63" i="4" s="1"/>
  <c r="G30" i="1"/>
  <c r="F70" i="4"/>
  <c r="N17" i="7" s="1"/>
  <c r="F68" i="7" l="1"/>
  <c r="C35" i="4"/>
  <c r="C41" i="4" s="1"/>
  <c r="C46" i="4" s="1"/>
  <c r="C48" i="4" s="1"/>
  <c r="C54" i="4" s="1"/>
  <c r="D35" i="4"/>
  <c r="D41" i="4" s="1"/>
  <c r="E27" i="4"/>
  <c r="G55" i="7" s="1"/>
  <c r="G70" i="4"/>
  <c r="O17" i="7" s="1"/>
  <c r="M15" i="2"/>
  <c r="N13" i="2"/>
  <c r="M16" i="2"/>
  <c r="C70" i="4"/>
  <c r="C81" i="4" s="1"/>
  <c r="G68" i="7" l="1"/>
  <c r="E35" i="4"/>
  <c r="E41" i="4" s="1"/>
  <c r="F27" i="4"/>
  <c r="H55" i="7" s="1"/>
  <c r="D46" i="4"/>
  <c r="D48" i="4" s="1"/>
  <c r="C51" i="4"/>
  <c r="C55" i="4" s="1"/>
  <c r="N15" i="2"/>
  <c r="O13" i="2"/>
  <c r="N16" i="2"/>
  <c r="H70" i="4"/>
  <c r="P17" i="7" s="1"/>
  <c r="C59" i="4" l="1"/>
  <c r="C64" i="4" s="1"/>
  <c r="D54" i="4"/>
  <c r="F56" i="7"/>
  <c r="H68" i="7"/>
  <c r="D51" i="4"/>
  <c r="D55" i="4" s="1"/>
  <c r="F35" i="4"/>
  <c r="F41" i="4" s="1"/>
  <c r="G27" i="4"/>
  <c r="I55" i="7" s="1"/>
  <c r="E46" i="4"/>
  <c r="E48" i="4" s="1"/>
  <c r="I70" i="4"/>
  <c r="Q17" i="7" s="1"/>
  <c r="O15" i="2"/>
  <c r="O16" i="2"/>
  <c r="C72" i="4" l="1"/>
  <c r="C83" i="4" s="1"/>
  <c r="C68" i="4"/>
  <c r="C79" i="4" s="1"/>
  <c r="C85" i="4" s="1"/>
  <c r="C69" i="4"/>
  <c r="C80" i="4" s="1"/>
  <c r="C73" i="4"/>
  <c r="C84" i="4" s="1"/>
  <c r="C71" i="4"/>
  <c r="C82" i="4" s="1"/>
  <c r="C65" i="4"/>
  <c r="D64" i="4"/>
  <c r="F63" i="7"/>
  <c r="D59" i="4"/>
  <c r="E54" i="4"/>
  <c r="G56" i="7"/>
  <c r="I68" i="7"/>
  <c r="F69" i="7"/>
  <c r="F74" i="7" s="1"/>
  <c r="F61" i="7"/>
  <c r="F64" i="7" s="1"/>
  <c r="F65" i="7" s="1"/>
  <c r="E51" i="4"/>
  <c r="G35" i="4"/>
  <c r="G41" i="4" s="1"/>
  <c r="H27" i="4"/>
  <c r="J55" i="7" s="1"/>
  <c r="F46" i="4"/>
  <c r="F48" i="4" s="1"/>
  <c r="D73" i="4"/>
  <c r="D68" i="4"/>
  <c r="D79" i="4" s="1"/>
  <c r="D65" i="4"/>
  <c r="F76" i="7" s="1"/>
  <c r="F77" i="7" s="1"/>
  <c r="F78" i="7" s="1"/>
  <c r="D71" i="4"/>
  <c r="D69" i="4"/>
  <c r="D72" i="4"/>
  <c r="J70" i="4"/>
  <c r="R17" i="7" s="1"/>
  <c r="C74" i="4"/>
  <c r="C76" i="4" s="1"/>
  <c r="D83" i="4" l="1"/>
  <c r="L19" i="7" s="1"/>
  <c r="D82" i="4"/>
  <c r="L18" i="7" s="1"/>
  <c r="F54" i="4"/>
  <c r="H56" i="7"/>
  <c r="J68" i="7"/>
  <c r="G69" i="7"/>
  <c r="G74" i="7" s="1"/>
  <c r="G61" i="7"/>
  <c r="L16" i="7"/>
  <c r="D80" i="4"/>
  <c r="L20" i="7"/>
  <c r="D84" i="4"/>
  <c r="E55" i="4"/>
  <c r="F51" i="4"/>
  <c r="F55" i="4" s="1"/>
  <c r="D74" i="4"/>
  <c r="D76" i="4" s="1"/>
  <c r="H35" i="4"/>
  <c r="H41" i="4" s="1"/>
  <c r="I27" i="4"/>
  <c r="K55" i="7" s="1"/>
  <c r="G46" i="4"/>
  <c r="G48" i="4" s="1"/>
  <c r="G63" i="7" l="1"/>
  <c r="E59" i="4"/>
  <c r="E64" i="4" s="1"/>
  <c r="G54" i="4"/>
  <c r="I56" i="7"/>
  <c r="G64" i="7"/>
  <c r="G65" i="7" s="1"/>
  <c r="H69" i="7"/>
  <c r="H74" i="7" s="1"/>
  <c r="H61" i="7"/>
  <c r="K68" i="7"/>
  <c r="F64" i="4"/>
  <c r="F68" i="4" s="1"/>
  <c r="H63" i="7"/>
  <c r="F59" i="4"/>
  <c r="F71" i="4"/>
  <c r="G51" i="4"/>
  <c r="G55" i="4" s="1"/>
  <c r="J27" i="4"/>
  <c r="I35" i="4"/>
  <c r="I41" i="4" s="1"/>
  <c r="H46" i="4"/>
  <c r="H48" i="4" s="1"/>
  <c r="L15" i="7"/>
  <c r="L21" i="7" s="1"/>
  <c r="D85" i="4"/>
  <c r="E71" i="4" l="1"/>
  <c r="E65" i="4"/>
  <c r="G76" i="7" s="1"/>
  <c r="G77" i="7" s="1"/>
  <c r="G78" i="7" s="1"/>
  <c r="E68" i="4"/>
  <c r="E73" i="4"/>
  <c r="E72" i="4"/>
  <c r="E69" i="4"/>
  <c r="F79" i="4"/>
  <c r="F82" i="4"/>
  <c r="N18" i="7" s="1"/>
  <c r="I63" i="7"/>
  <c r="G59" i="4"/>
  <c r="G64" i="4" s="1"/>
  <c r="I69" i="7"/>
  <c r="I74" i="7" s="1"/>
  <c r="I61" i="7"/>
  <c r="I64" i="7" s="1"/>
  <c r="I65" i="7" s="1"/>
  <c r="J35" i="4"/>
  <c r="J41" i="4" s="1"/>
  <c r="J46" i="4" s="1"/>
  <c r="J48" i="4" s="1"/>
  <c r="L55" i="7"/>
  <c r="F65" i="4"/>
  <c r="H76" i="7" s="1"/>
  <c r="H77" i="7" s="1"/>
  <c r="H78" i="7" s="1"/>
  <c r="F72" i="4"/>
  <c r="F73" i="4"/>
  <c r="H54" i="4"/>
  <c r="J56" i="7"/>
  <c r="F69" i="4"/>
  <c r="F74" i="4" s="1"/>
  <c r="H64" i="7"/>
  <c r="H65" i="7" s="1"/>
  <c r="H51" i="4"/>
  <c r="H55" i="4" s="1"/>
  <c r="P20" i="8"/>
  <c r="L28" i="7"/>
  <c r="N15" i="7"/>
  <c r="I46" i="4"/>
  <c r="I48" i="4" s="1"/>
  <c r="G68" i="4"/>
  <c r="G79" i="4" s="1"/>
  <c r="G73" i="4"/>
  <c r="G65" i="4"/>
  <c r="I76" i="7" s="1"/>
  <c r="I77" i="7" s="1"/>
  <c r="I78" i="7" s="1"/>
  <c r="G72" i="4"/>
  <c r="G69" i="4"/>
  <c r="G71" i="4"/>
  <c r="F76" i="4" l="1"/>
  <c r="G15" i="6"/>
  <c r="J54" i="4"/>
  <c r="L56" i="7"/>
  <c r="L69" i="7" s="1"/>
  <c r="F84" i="4"/>
  <c r="N20" i="7" s="1"/>
  <c r="E84" i="4"/>
  <c r="M20" i="7" s="1"/>
  <c r="F80" i="4"/>
  <c r="F83" i="4"/>
  <c r="N19" i="7" s="1"/>
  <c r="E79" i="4"/>
  <c r="E74" i="4"/>
  <c r="E76" i="4" s="1"/>
  <c r="J69" i="7"/>
  <c r="J74" i="7" s="1"/>
  <c r="J61" i="7"/>
  <c r="E80" i="4"/>
  <c r="M16" i="7" s="1"/>
  <c r="O18" i="7"/>
  <c r="G82" i="4"/>
  <c r="G84" i="4"/>
  <c r="O20" i="7" s="1"/>
  <c r="O16" i="7"/>
  <c r="G80" i="4"/>
  <c r="G83" i="4"/>
  <c r="O19" i="7" s="1"/>
  <c r="I54" i="4"/>
  <c r="K56" i="7"/>
  <c r="H64" i="4"/>
  <c r="H72" i="4" s="1"/>
  <c r="J63" i="7"/>
  <c r="H59" i="4"/>
  <c r="L61" i="7"/>
  <c r="L68" i="7"/>
  <c r="L74" i="7" s="1"/>
  <c r="E83" i="4"/>
  <c r="M19" i="7" s="1"/>
  <c r="E82" i="4"/>
  <c r="M18" i="7" s="1"/>
  <c r="J51" i="4"/>
  <c r="J55" i="4" s="1"/>
  <c r="L36" i="7"/>
  <c r="L29" i="7"/>
  <c r="I51" i="4"/>
  <c r="I55" i="4" s="1"/>
  <c r="G74" i="4"/>
  <c r="H68" i="4"/>
  <c r="H79" i="4" s="1"/>
  <c r="H73" i="4"/>
  <c r="H71" i="4"/>
  <c r="H83" i="4" l="1"/>
  <c r="P19" i="7" s="1"/>
  <c r="P20" i="7"/>
  <c r="H84" i="4"/>
  <c r="K63" i="7"/>
  <c r="I59" i="4"/>
  <c r="F85" i="4"/>
  <c r="R17" i="8" s="1"/>
  <c r="M22" i="8" s="1"/>
  <c r="P18" i="7"/>
  <c r="H82" i="4"/>
  <c r="H69" i="4"/>
  <c r="H65" i="4"/>
  <c r="J76" i="7" s="1"/>
  <c r="J77" i="7" s="1"/>
  <c r="J78" i="7" s="1"/>
  <c r="L63" i="7"/>
  <c r="L64" i="7" s="1"/>
  <c r="L65" i="7" s="1"/>
  <c r="J59" i="4"/>
  <c r="J64" i="4" s="1"/>
  <c r="K69" i="7"/>
  <c r="K74" i="7" s="1"/>
  <c r="K61" i="7"/>
  <c r="K64" i="7" s="1"/>
  <c r="K65" i="7" s="1"/>
  <c r="J64" i="7"/>
  <c r="J65" i="7" s="1"/>
  <c r="E85" i="4"/>
  <c r="M15" i="7"/>
  <c r="M21" i="7" s="1"/>
  <c r="N16" i="7"/>
  <c r="N21" i="7" s="1"/>
  <c r="F52" i="7" s="1"/>
  <c r="L37" i="7"/>
  <c r="H74" i="4"/>
  <c r="G85" i="4"/>
  <c r="S17" i="8" s="1"/>
  <c r="N22" i="8" s="1"/>
  <c r="O15" i="7"/>
  <c r="O21" i="7" s="1"/>
  <c r="G52" i="7" s="1"/>
  <c r="H15" i="6"/>
  <c r="G76" i="4"/>
  <c r="I64" i="4"/>
  <c r="J72" i="4" l="1"/>
  <c r="J65" i="4"/>
  <c r="L76" i="7" s="1"/>
  <c r="L77" i="7" s="1"/>
  <c r="L78" i="7" s="1"/>
  <c r="J69" i="4"/>
  <c r="J68" i="4"/>
  <c r="J79" i="4" s="1"/>
  <c r="J73" i="4"/>
  <c r="J71" i="4"/>
  <c r="Q20" i="8"/>
  <c r="M28" i="7"/>
  <c r="H80" i="4"/>
  <c r="H85" i="4" s="1"/>
  <c r="T17" i="8" s="1"/>
  <c r="O22" i="8" s="1"/>
  <c r="R15" i="7"/>
  <c r="I15" i="6"/>
  <c r="H76" i="4"/>
  <c r="I65" i="4"/>
  <c r="K76" i="7" s="1"/>
  <c r="K77" i="7" s="1"/>
  <c r="K78" i="7" s="1"/>
  <c r="I69" i="4"/>
  <c r="I72" i="4"/>
  <c r="I73" i="4"/>
  <c r="I68" i="4"/>
  <c r="I79" i="4" s="1"/>
  <c r="I71" i="4"/>
  <c r="P15" i="7"/>
  <c r="I82" i="4" l="1"/>
  <c r="Q18" i="7" s="1"/>
  <c r="Q16" i="7"/>
  <c r="I80" i="4"/>
  <c r="J80" i="4"/>
  <c r="J85" i="4" s="1"/>
  <c r="V17" i="8" s="1"/>
  <c r="Q22" i="8" s="1"/>
  <c r="P21" i="7"/>
  <c r="H52" i="7" s="1"/>
  <c r="I84" i="4"/>
  <c r="Q20" i="7" s="1"/>
  <c r="P16" i="7"/>
  <c r="J82" i="4"/>
  <c r="R18" i="7" s="1"/>
  <c r="Q19" i="7"/>
  <c r="I83" i="4"/>
  <c r="J74" i="4"/>
  <c r="M29" i="7"/>
  <c r="N28" i="7"/>
  <c r="N29" i="7" s="1"/>
  <c r="M36" i="7"/>
  <c r="J84" i="4"/>
  <c r="R20" i="7" s="1"/>
  <c r="R19" i="7"/>
  <c r="J83" i="4"/>
  <c r="I74" i="4"/>
  <c r="R16" i="7" l="1"/>
  <c r="R21" i="7" s="1"/>
  <c r="J52" i="7" s="1"/>
  <c r="K15" i="6"/>
  <c r="J76" i="4"/>
  <c r="M37" i="7"/>
  <c r="N36" i="7"/>
  <c r="N37" i="7" s="1"/>
  <c r="J15" i="6"/>
  <c r="I76" i="4"/>
  <c r="I85" i="4"/>
  <c r="U17" i="8" s="1"/>
  <c r="P22" i="8" s="1"/>
  <c r="Q15" i="7"/>
  <c r="Q21" i="7" s="1"/>
  <c r="I52" i="7" s="1"/>
  <c r="K52" i="7" s="1"/>
  <c r="G24" i="6" l="1"/>
  <c r="G25" i="6" s="1"/>
  <c r="H24" i="6" l="1"/>
  <c r="H25" i="6" s="1"/>
  <c r="I24" i="6" l="1"/>
  <c r="I25" i="6" s="1"/>
  <c r="J24" i="6" l="1"/>
  <c r="J25" i="6" s="1"/>
  <c r="K24" i="6" l="1"/>
  <c r="K25" i="6" s="1"/>
</calcChain>
</file>

<file path=xl/sharedStrings.xml><?xml version="1.0" encoding="utf-8"?>
<sst xmlns="http://schemas.openxmlformats.org/spreadsheetml/2006/main" count="268" uniqueCount="142">
  <si>
    <t>Unit</t>
  </si>
  <si>
    <t>2013/14</t>
  </si>
  <si>
    <t>2014/15</t>
  </si>
  <si>
    <t>2015/16</t>
  </si>
  <si>
    <t>2016/17</t>
  </si>
  <si>
    <t>2017/18</t>
  </si>
  <si>
    <t>Historic Opex from Regulatory Accounts</t>
  </si>
  <si>
    <t>$'000 nominal</t>
  </si>
  <si>
    <t>Debt raising costs</t>
  </si>
  <si>
    <t>$ nominal</t>
  </si>
  <si>
    <t>Source: Regulatory Accounts</t>
  </si>
  <si>
    <t>Insurance</t>
  </si>
  <si>
    <t>Other</t>
  </si>
  <si>
    <t>real $2017</t>
  </si>
  <si>
    <t>Growth Opex</t>
  </si>
  <si>
    <t>Operating Expenditure</t>
  </si>
  <si>
    <t>Total Allowance</t>
  </si>
  <si>
    <t>2018/19</t>
  </si>
  <si>
    <t>2019/20</t>
  </si>
  <si>
    <t>2020/21</t>
  </si>
  <si>
    <t>2021/22</t>
  </si>
  <si>
    <t>2022/23</t>
  </si>
  <si>
    <t>2023/24</t>
  </si>
  <si>
    <t>Step changes</t>
  </si>
  <si>
    <t>Total Step Changes</t>
  </si>
  <si>
    <t>AER's Final Decision</t>
  </si>
  <si>
    <t>Total</t>
  </si>
  <si>
    <t>AER Total Operating Expenditure</t>
  </si>
  <si>
    <t>$000 nominal</t>
  </si>
  <si>
    <t>RIN calculation</t>
  </si>
  <si>
    <t>NETWORK OPERATIONS AND MAINTENANCE</t>
  </si>
  <si>
    <t>Operating and maintenance expenses</t>
  </si>
  <si>
    <t>$m nominal</t>
  </si>
  <si>
    <t>Management fees and expenses</t>
  </si>
  <si>
    <t>OTHER COSTS</t>
  </si>
  <si>
    <t>Tax on property and capital</t>
  </si>
  <si>
    <t>Accounting/audit fees</t>
  </si>
  <si>
    <t>TOTAL</t>
  </si>
  <si>
    <t>Proportions</t>
  </si>
  <si>
    <t>Percent</t>
  </si>
  <si>
    <t>2012/13</t>
  </si>
  <si>
    <t>2024/25</t>
  </si>
  <si>
    <t>Inflation Value</t>
  </si>
  <si>
    <t>Date</t>
  </si>
  <si>
    <t>ABS CPI All Australian</t>
  </si>
  <si>
    <t>Index</t>
  </si>
  <si>
    <t>Source: ABS</t>
  </si>
  <si>
    <t>AER</t>
  </si>
  <si>
    <t>AER baseline to real $2012</t>
  </si>
  <si>
    <t>Debt Raising Costs</t>
  </si>
  <si>
    <t>Efficient Base Year</t>
  </si>
  <si>
    <t>Total Operating Expenditure</t>
  </si>
  <si>
    <t>Less one off costs</t>
  </si>
  <si>
    <t>Total one off costs</t>
  </si>
  <si>
    <t>Efficient Base Year Less one off costs</t>
  </si>
  <si>
    <t>Less base year items forecast separately</t>
  </si>
  <si>
    <t>Total items forecast separately</t>
  </si>
  <si>
    <t>Starting Base Year Opex</t>
  </si>
  <si>
    <t>Separate Forecasts</t>
  </si>
  <si>
    <t>Total of Separate Forecasts</t>
  </si>
  <si>
    <t>Baseline forecast Opex</t>
  </si>
  <si>
    <t>Step Changes</t>
  </si>
  <si>
    <t>Total Step changes</t>
  </si>
  <si>
    <t>Total Opex Forecast</t>
  </si>
  <si>
    <t>Allocation in dollars</t>
  </si>
  <si>
    <t>Year</t>
  </si>
  <si>
    <t>Opex</t>
  </si>
  <si>
    <t>Total operating expenditure</t>
  </si>
  <si>
    <t>Total operating expenditure vs AER forecast (nominal $m)</t>
  </si>
  <si>
    <t>AER forecast</t>
  </si>
  <si>
    <t>Directlink Actuals</t>
  </si>
  <si>
    <t>Difference</t>
  </si>
  <si>
    <t>Insurance (nominal $000)</t>
  </si>
  <si>
    <t>Total operating expenditure less debt raising costs</t>
  </si>
  <si>
    <t>Actuals vs AER Forecast</t>
  </si>
  <si>
    <t>Operating Expenditure (actual)</t>
  </si>
  <si>
    <t>AER Forecast</t>
  </si>
  <si>
    <t>Operating Expenditure (forecast)</t>
  </si>
  <si>
    <t>Total operating expenditure actual and forecast</t>
  </si>
  <si>
    <t>Forecast Insurance</t>
  </si>
  <si>
    <t>Labour Escalator</t>
  </si>
  <si>
    <t>Total Opex</t>
  </si>
  <si>
    <t>Labour as percent of Opex</t>
  </si>
  <si>
    <t>Insurance cost</t>
  </si>
  <si>
    <t>Forecast CPI</t>
  </si>
  <si>
    <t>$ real 2017/18</t>
  </si>
  <si>
    <t>CPI</t>
  </si>
  <si>
    <t>Base Year 2017/18</t>
  </si>
  <si>
    <t>Real Cost Escalation</t>
  </si>
  <si>
    <t>Proportion of Labour Opex</t>
  </si>
  <si>
    <t>Labour cost</t>
  </si>
  <si>
    <t>Escalation</t>
  </si>
  <si>
    <t>Labour Cost</t>
  </si>
  <si>
    <t>Non Labour Opex</t>
  </si>
  <si>
    <t>Labour Opex</t>
  </si>
  <si>
    <t>Labour Cost Escalators</t>
  </si>
  <si>
    <t xml:space="preserve">Deloitte Access Economics </t>
  </si>
  <si>
    <t>Source</t>
  </si>
  <si>
    <t>percent</t>
  </si>
  <si>
    <t>index</t>
  </si>
  <si>
    <t>Total Labour</t>
  </si>
  <si>
    <t>Source: AER - Directlink transmission determination - 2018-19 return on debt update - PTRM - March 2018 - PUBLIC.XLSM</t>
  </si>
  <si>
    <t>Calculation of Forecast Operating Expenditure</t>
  </si>
  <si>
    <t>Non insurance Opex</t>
  </si>
  <si>
    <t>Calculation for Tables</t>
  </si>
  <si>
    <t>Check cell</t>
  </si>
  <si>
    <t>Real $2017/18 '000</t>
  </si>
  <si>
    <t>Historic opex in $2019/20 real</t>
  </si>
  <si>
    <t>Historic Operating Expenditure less debt raising costs ($m nominal)</t>
  </si>
  <si>
    <t>Operating Expenditure in $nominal</t>
  </si>
  <si>
    <t>Total Opex ($000 Real 2019/20)</t>
  </si>
  <si>
    <t>Real $2019/20</t>
  </si>
  <si>
    <t>Insurance Opex</t>
  </si>
  <si>
    <t>Total forecast operating expenditure excluding Debt Raising Costs (real 2019/20 $m)</t>
  </si>
  <si>
    <t>Labour based non O&amp;M</t>
  </si>
  <si>
    <t>Labour based O&amp;M</t>
  </si>
  <si>
    <t>Nominal</t>
  </si>
  <si>
    <t>Real 2019/20</t>
  </si>
  <si>
    <t>Year 1</t>
  </si>
  <si>
    <t>Year 2</t>
  </si>
  <si>
    <t>Year 3</t>
  </si>
  <si>
    <t>Year 4</t>
  </si>
  <si>
    <t>Year 5</t>
  </si>
  <si>
    <t>AER Forecast $2014/15</t>
  </si>
  <si>
    <t>Total operating expenditure vs AER forecast ($m real FY20)</t>
  </si>
  <si>
    <t>$m FY18</t>
  </si>
  <si>
    <t>Efficient historic opex</t>
  </si>
  <si>
    <t>Real price changes</t>
  </si>
  <si>
    <t>Output growth</t>
  </si>
  <si>
    <t>Productivity growth</t>
  </si>
  <si>
    <t>Category specific forecasts</t>
  </si>
  <si>
    <t>Check</t>
  </si>
  <si>
    <t>Rin Table 2.16.1 ('000 2017/18)</t>
  </si>
  <si>
    <t>Rin Table 2.16.1 ($m FY20)</t>
  </si>
  <si>
    <t>Deloitte Access Ecoonomics, Labour Price Growth Forecasts:Prepared for the Australian Energy Regulator, 19 July 2018, p 40; calculation</t>
  </si>
  <si>
    <t>NETWORK OPERATIONS &amp; MAINTENANCE</t>
  </si>
  <si>
    <t>Operating &amp; Maintenance Costs</t>
  </si>
  <si>
    <t xml:space="preserve">Commercial Management Fees </t>
  </si>
  <si>
    <t>Tax on Property &amp; Capital</t>
  </si>
  <si>
    <t>Accounting/Audit Fees</t>
  </si>
  <si>
    <t>Legal fees</t>
  </si>
  <si>
    <t>Total Operating expenditure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</si>
</sst>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$&quot;#,##0;[Red]\-&quot;$&quot;#,##0"/>
    <numFmt numFmtId="41" formatCode="_-* #,##0_-;\-* #,##0_-;_-* &quot;-&quot;_-;_-@_-"/>
    <numFmt numFmtId="43" formatCode="_-* #,##0.00_-;\-* #,##0.00_-;_-* &quot;-&quot;??_-;_-@_-"/>
    <numFmt numFmtId="164" formatCode="0.0%"/>
    <numFmt numFmtId="165" formatCode="_-* #,##0.0_-;\-* #,##0.0_-;_-* &quot;-&quot;??_-;_-@_-"/>
    <numFmt numFmtId="166" formatCode="_-* #,##0_-;\-* #,##0_-;_-* &quot;-&quot;??_-;_-@_-"/>
  </numFmts>
  <fonts count="22" x14ac:knownFonts="1">
    <font>
      <sz val="11"/>
      <color theme="1"/>
      <name val="Century Gothic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Century Gothic"/>
      <family val="2"/>
    </font>
    <font>
      <b/>
      <sz val="14"/>
      <color rgb="FFFFFFFF"/>
      <name val="Arial Narrow"/>
      <family val="2"/>
    </font>
    <font>
      <sz val="14"/>
      <color rgb="FF25282A"/>
      <name val="Century Gothic"/>
      <family val="2"/>
    </font>
    <font>
      <sz val="12"/>
      <color theme="5" tint="-0.24994659260841701"/>
      <name val="Century Gothic"/>
      <family val="2"/>
    </font>
    <font>
      <sz val="11"/>
      <color theme="5" tint="-0.24994659260841701"/>
      <name val="Century Gothic"/>
      <family val="2"/>
    </font>
    <font>
      <sz val="11"/>
      <color rgb="FFFA7D00"/>
      <name val="Century Gothic"/>
      <family val="2"/>
    </font>
    <font>
      <b/>
      <sz val="11"/>
      <color theme="5" tint="0.79998168889431442"/>
      <name val="Century Gothic"/>
      <family val="2"/>
    </font>
    <font>
      <b/>
      <sz val="11"/>
      <color theme="5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theme="5" tint="-0.499984740745262"/>
      <name val="Calibri"/>
      <family val="2"/>
      <scheme val="minor"/>
    </font>
    <font>
      <b/>
      <sz val="18"/>
      <color theme="5" tint="-0.24994659260841701"/>
      <name val="Calibri Light"/>
      <family val="2"/>
      <scheme val="major"/>
    </font>
    <font>
      <b/>
      <sz val="10"/>
      <color theme="5" tint="-0.499984740745262"/>
      <name val="Century Gothic"/>
      <family val="2"/>
    </font>
    <font>
      <i/>
      <sz val="8"/>
      <color theme="1"/>
      <name val="Century Gothic"/>
      <family val="2"/>
    </font>
    <font>
      <b/>
      <sz val="11"/>
      <color rgb="FF7030A0"/>
      <name val="Century Gothic"/>
      <family val="2"/>
    </font>
    <font>
      <sz val="11"/>
      <color theme="0" tint="-0.34998626667073579"/>
      <name val="Century Gothic"/>
      <family val="2"/>
    </font>
    <font>
      <b/>
      <sz val="8"/>
      <color theme="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BE7D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A5A5A5"/>
      </patternFill>
    </fill>
  </fills>
  <borders count="1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 style="medium">
        <color theme="5" tint="0.39994506668294322"/>
      </left>
      <right style="medium">
        <color theme="5" tint="0.39994506668294322"/>
      </right>
      <top style="medium">
        <color theme="5" tint="0.39994506668294322"/>
      </top>
      <bottom style="medium">
        <color theme="5" tint="0.39994506668294322"/>
      </bottom>
      <diagonal/>
    </border>
    <border>
      <left style="thin">
        <color rgb="FFFF8001"/>
      </left>
      <right style="thin">
        <color rgb="FFFF8001"/>
      </right>
      <top style="thin">
        <color rgb="FFFF8001"/>
      </top>
      <bottom style="thin">
        <color rgb="FFFF8001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ck">
        <color theme="5" tint="-0.24994659260841701"/>
      </bottom>
      <diagonal/>
    </border>
    <border>
      <left/>
      <right/>
      <top style="thick">
        <color theme="5" tint="-0.24994659260841701"/>
      </top>
      <bottom style="thick">
        <color theme="5" tint="-0.24994659260841701"/>
      </bottom>
      <diagonal/>
    </border>
    <border>
      <left/>
      <right/>
      <top/>
      <bottom style="thick">
        <color theme="5" tint="0.3999450666829432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6">
    <xf numFmtId="0" fontId="0" fillId="0" borderId="0"/>
    <xf numFmtId="9" fontId="1" fillId="0" borderId="0" applyFont="0" applyFill="0" applyBorder="0" applyAlignment="0" applyProtection="0"/>
    <xf numFmtId="0" fontId="16" fillId="8" borderId="10" applyNumberFormat="0" applyAlignment="0" applyProtection="0"/>
    <xf numFmtId="0" fontId="15" fillId="0" borderId="9" applyNumberFormat="0" applyFill="0" applyAlignment="0" applyProtection="0"/>
    <xf numFmtId="0" fontId="17" fillId="0" borderId="11" applyNumberFormat="0" applyFill="0" applyAlignment="0" applyProtection="0"/>
    <xf numFmtId="0" fontId="12" fillId="0" borderId="0" applyNumberForma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9" fillId="10" borderId="5" applyNumberFormat="0" applyAlignment="0" applyProtection="0"/>
    <xf numFmtId="0" fontId="11" fillId="11" borderId="6" applyNumberFormat="0" applyAlignment="0" applyProtection="0"/>
    <xf numFmtId="0" fontId="10" fillId="0" borderId="1" applyNumberFormat="0" applyAlignment="0" applyProtection="0"/>
    <xf numFmtId="0" fontId="18" fillId="5" borderId="2" applyNumberFormat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8" fillId="0" borderId="0"/>
    <xf numFmtId="0" fontId="6" fillId="9" borderId="3">
      <alignment horizontal="left" vertical="center" wrapText="1"/>
    </xf>
    <xf numFmtId="0" fontId="7" fillId="8" borderId="4">
      <alignment horizontal="left" vertical="center" wrapText="1"/>
    </xf>
    <xf numFmtId="43" fontId="7" fillId="8" borderId="4">
      <alignment horizontal="right" vertical="center" wrapText="1"/>
    </xf>
    <xf numFmtId="43" fontId="1" fillId="0" borderId="0" applyFont="0" applyFill="0" applyBorder="0" applyAlignment="0" applyProtection="0"/>
    <xf numFmtId="0" fontId="20" fillId="8" borderId="7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12" borderId="0" applyNumberFormat="0" applyBorder="0" applyAlignment="0" applyProtection="0"/>
    <xf numFmtId="0" fontId="19" fillId="13" borderId="8"/>
    <xf numFmtId="0" fontId="21" fillId="14" borderId="12" applyNumberFormat="0" applyAlignment="0" applyProtection="0"/>
  </cellStyleXfs>
  <cellXfs count="81">
    <xf numFmtId="0" fontId="0" fillId="0" borderId="0" xfId="0"/>
    <xf numFmtId="166" fontId="20" fillId="8" borderId="7" xfId="20" applyNumberFormat="1"/>
    <xf numFmtId="0" fontId="5" fillId="8" borderId="0" xfId="0" applyFont="1" applyFill="1"/>
    <xf numFmtId="0" fontId="16" fillId="0" borderId="10" xfId="2" applyFill="1"/>
    <xf numFmtId="0" fontId="15" fillId="0" borderId="9" xfId="3"/>
    <xf numFmtId="0" fontId="15" fillId="0" borderId="9" xfId="3" applyAlignment="1">
      <alignment horizontal="center"/>
    </xf>
    <xf numFmtId="0" fontId="5" fillId="0" borderId="0" xfId="0" applyFont="1" applyFill="1"/>
    <xf numFmtId="0" fontId="5" fillId="0" borderId="0" xfId="0" applyFont="1"/>
    <xf numFmtId="49" fontId="17" fillId="0" borderId="11" xfId="4" applyNumberFormat="1"/>
    <xf numFmtId="49" fontId="9" fillId="10" borderId="5" xfId="9" applyNumberFormat="1"/>
    <xf numFmtId="0" fontId="9" fillId="10" borderId="5" xfId="9"/>
    <xf numFmtId="41" fontId="9" fillId="10" borderId="5" xfId="9" applyNumberFormat="1"/>
    <xf numFmtId="0" fontId="10" fillId="0" borderId="1" xfId="11"/>
    <xf numFmtId="41" fontId="10" fillId="0" borderId="1" xfId="11" applyNumberFormat="1"/>
    <xf numFmtId="0" fontId="18" fillId="5" borderId="2" xfId="12"/>
    <xf numFmtId="49" fontId="10" fillId="0" borderId="1" xfId="11" applyNumberFormat="1"/>
    <xf numFmtId="6" fontId="9" fillId="10" borderId="5" xfId="9" quotePrefix="1" applyNumberFormat="1"/>
    <xf numFmtId="6" fontId="10" fillId="0" borderId="1" xfId="11" quotePrefix="1" applyNumberFormat="1"/>
    <xf numFmtId="0" fontId="10" fillId="0" borderId="1" xfId="11" applyAlignment="1" applyProtection="1">
      <alignment horizontal="left" vertical="center"/>
      <protection locked="0"/>
    </xf>
    <xf numFmtId="0" fontId="16" fillId="8" borderId="10" xfId="2"/>
    <xf numFmtId="43" fontId="9" fillId="10" borderId="5" xfId="9" applyNumberFormat="1"/>
    <xf numFmtId="0" fontId="9" fillId="10" borderId="5" xfId="9" quotePrefix="1"/>
    <xf numFmtId="43" fontId="10" fillId="0" borderId="1" xfId="11" applyNumberFormat="1"/>
    <xf numFmtId="0" fontId="17" fillId="0" borderId="11" xfId="4"/>
    <xf numFmtId="3" fontId="17" fillId="0" borderId="11" xfId="4" applyNumberFormat="1"/>
    <xf numFmtId="4" fontId="9" fillId="10" borderId="5" xfId="9" applyNumberFormat="1"/>
    <xf numFmtId="3" fontId="10" fillId="0" borderId="1" xfId="11" applyNumberFormat="1"/>
    <xf numFmtId="164" fontId="1" fillId="0" borderId="1" xfId="1" applyNumberFormat="1" applyBorder="1"/>
    <xf numFmtId="14" fontId="17" fillId="0" borderId="11" xfId="4" applyNumberFormat="1"/>
    <xf numFmtId="14" fontId="9" fillId="10" borderId="5" xfId="9" applyNumberFormat="1"/>
    <xf numFmtId="2" fontId="9" fillId="10" borderId="5" xfId="9" applyNumberFormat="1"/>
    <xf numFmtId="2" fontId="10" fillId="0" borderId="1" xfId="11" applyNumberFormat="1"/>
    <xf numFmtId="10" fontId="1" fillId="0" borderId="1" xfId="1" applyNumberFormat="1" applyBorder="1"/>
    <xf numFmtId="6" fontId="10" fillId="0" borderId="1" xfId="11" applyNumberFormat="1"/>
    <xf numFmtId="0" fontId="17" fillId="0" borderId="11" xfId="4" applyAlignment="1">
      <alignment horizontal="left" vertical="center" wrapText="1"/>
    </xf>
    <xf numFmtId="0" fontId="10" fillId="0" borderId="1" xfId="11" applyAlignment="1">
      <alignment horizontal="left" vertical="center" wrapText="1"/>
    </xf>
    <xf numFmtId="0" fontId="11" fillId="11" borderId="6" xfId="10"/>
    <xf numFmtId="41" fontId="11" fillId="11" borderId="6" xfId="10" applyNumberFormat="1"/>
    <xf numFmtId="0" fontId="0" fillId="0" borderId="0" xfId="0"/>
    <xf numFmtId="0" fontId="6" fillId="9" borderId="3" xfId="16">
      <alignment horizontal="left" vertical="center" wrapText="1"/>
    </xf>
    <xf numFmtId="0" fontId="6" fillId="9" borderId="3" xfId="16" applyAlignment="1">
      <alignment horizontal="right" vertical="center" wrapText="1"/>
    </xf>
    <xf numFmtId="0" fontId="7" fillId="8" borderId="4" xfId="17">
      <alignment horizontal="left" vertical="center" wrapText="1"/>
    </xf>
    <xf numFmtId="43" fontId="7" fillId="8" borderId="4" xfId="18">
      <alignment horizontal="right" vertical="center" wrapText="1"/>
    </xf>
    <xf numFmtId="0" fontId="7" fillId="8" borderId="4" xfId="17" applyAlignment="1">
      <alignment horizontal="left" vertical="center"/>
    </xf>
    <xf numFmtId="43" fontId="7" fillId="8" borderId="4" xfId="18" applyAlignment="1">
      <alignment horizontal="right" vertical="center"/>
    </xf>
    <xf numFmtId="0" fontId="16" fillId="8" borderId="10" xfId="2" applyFill="1"/>
    <xf numFmtId="0" fontId="15" fillId="8" borderId="9" xfId="3" applyFill="1"/>
    <xf numFmtId="0" fontId="7" fillId="8" borderId="4" xfId="17" applyFill="1">
      <alignment horizontal="left" vertical="center" wrapText="1"/>
    </xf>
    <xf numFmtId="166" fontId="7" fillId="8" borderId="4" xfId="18" applyNumberFormat="1">
      <alignment horizontal="right" vertical="center" wrapText="1"/>
    </xf>
    <xf numFmtId="165" fontId="5" fillId="0" borderId="0" xfId="0" applyNumberFormat="1" applyFont="1"/>
    <xf numFmtId="0" fontId="15" fillId="0" borderId="9" xfId="3" applyAlignment="1">
      <alignment horizontal="center"/>
    </xf>
    <xf numFmtId="166" fontId="10" fillId="0" borderId="1" xfId="11" applyNumberFormat="1"/>
    <xf numFmtId="0" fontId="0" fillId="0" borderId="0" xfId="0"/>
    <xf numFmtId="0" fontId="15" fillId="0" borderId="9" xfId="3" applyAlignment="1">
      <alignment horizontal="center"/>
    </xf>
    <xf numFmtId="0" fontId="20" fillId="8" borderId="7" xfId="20"/>
    <xf numFmtId="0" fontId="0" fillId="0" borderId="0" xfId="0"/>
    <xf numFmtId="43" fontId="5" fillId="0" borderId="0" xfId="0" applyNumberFormat="1" applyFont="1"/>
    <xf numFmtId="9" fontId="20" fillId="8" borderId="7" xfId="20" applyNumberFormat="1"/>
    <xf numFmtId="166" fontId="10" fillId="0" borderId="1" xfId="19" applyNumberFormat="1" applyFont="1" applyBorder="1"/>
    <xf numFmtId="43" fontId="10" fillId="8" borderId="7" xfId="19" applyFont="1" applyFill="1" applyBorder="1"/>
    <xf numFmtId="164" fontId="1" fillId="0" borderId="0" xfId="1" applyNumberFormat="1" applyBorder="1"/>
    <xf numFmtId="164" fontId="10" fillId="0" borderId="1" xfId="1" applyNumberFormat="1" applyFont="1" applyBorder="1"/>
    <xf numFmtId="0" fontId="21" fillId="14" borderId="12" xfId="25"/>
    <xf numFmtId="41" fontId="20" fillId="8" borderId="7" xfId="20" applyNumberFormat="1"/>
    <xf numFmtId="166" fontId="11" fillId="11" borderId="6" xfId="10" applyNumberFormat="1"/>
    <xf numFmtId="0" fontId="17" fillId="0" borderId="11" xfId="4" applyFill="1"/>
    <xf numFmtId="166" fontId="15" fillId="0" borderId="9" xfId="3" applyNumberFormat="1"/>
    <xf numFmtId="166" fontId="11" fillId="11" borderId="6" xfId="19" applyNumberFormat="1" applyFont="1" applyFill="1" applyBorder="1"/>
    <xf numFmtId="164" fontId="10" fillId="0" borderId="1" xfId="11" applyNumberFormat="1"/>
    <xf numFmtId="0" fontId="0" fillId="0" borderId="0" xfId="0"/>
    <xf numFmtId="43" fontId="7" fillId="8" borderId="4" xfId="18" applyNumberFormat="1" applyFill="1">
      <alignment horizontal="right" vertical="center" wrapText="1"/>
    </xf>
    <xf numFmtId="43" fontId="7" fillId="8" borderId="4" xfId="18" applyNumberFormat="1">
      <alignment horizontal="right" vertical="center" wrapText="1"/>
    </xf>
    <xf numFmtId="6" fontId="9" fillId="10" borderId="5" xfId="9" applyNumberFormat="1"/>
    <xf numFmtId="10" fontId="9" fillId="10" borderId="5" xfId="9" applyNumberFormat="1"/>
    <xf numFmtId="9" fontId="5" fillId="0" borderId="0" xfId="1" applyFont="1"/>
    <xf numFmtId="0" fontId="0" fillId="0" borderId="0" xfId="0"/>
    <xf numFmtId="165" fontId="7" fillId="8" borderId="4" xfId="18" applyNumberFormat="1">
      <alignment horizontal="right" vertical="center" wrapText="1"/>
    </xf>
    <xf numFmtId="43" fontId="5" fillId="8" borderId="0" xfId="0" applyNumberFormat="1" applyFont="1" applyFill="1"/>
    <xf numFmtId="43" fontId="11" fillId="11" borderId="6" xfId="10" applyNumberFormat="1"/>
    <xf numFmtId="166" fontId="21" fillId="14" borderId="12" xfId="25" applyNumberFormat="1"/>
    <xf numFmtId="43" fontId="21" fillId="14" borderId="12" xfId="25" applyNumberFormat="1"/>
  </cellXfs>
  <cellStyles count="26">
    <cellStyle name="20% - Accent1" xfId="13" builtinId="30" hidden="1"/>
    <cellStyle name="20% - Accent2" xfId="23" builtinId="34" hidden="1"/>
    <cellStyle name="40% - Accent2" xfId="14" builtinId="35" hidden="1"/>
    <cellStyle name="Bad" xfId="7" builtinId="27" hidden="1"/>
    <cellStyle name="Calculation" xfId="11" builtinId="22" customBuiltin="1"/>
    <cellStyle name="Check Cell" xfId="25" builtinId="23" customBuiltin="1"/>
    <cellStyle name="Comma" xfId="19" builtinId="3"/>
    <cellStyle name="Explanatory Text" xfId="22" builtinId="53" hidden="1"/>
    <cellStyle name="Good" xfId="6" builtinId="26" hidden="1"/>
    <cellStyle name="Heading 1" xfId="3" builtinId="16" customBuiltin="1"/>
    <cellStyle name="Heading 2" xfId="4" builtinId="17" customBuiltin="1"/>
    <cellStyle name="Heading 4" xfId="5" builtinId="19" customBuiltin="1"/>
    <cellStyle name="Input" xfId="9" builtinId="20" customBuiltin="1"/>
    <cellStyle name="Label" xfId="15"/>
    <cellStyle name="Linked Cell" xfId="20" builtinId="24" customBuiltin="1"/>
    <cellStyle name="Neutral" xfId="8" builtinId="28" hidden="1"/>
    <cellStyle name="Normal" xfId="0" builtinId="0" customBuiltin="1"/>
    <cellStyle name="Note" xfId="12" builtinId="10" customBuiltin="1"/>
    <cellStyle name="Output" xfId="10" builtinId="21" customBuiltin="1"/>
    <cellStyle name="Percent" xfId="1" builtinId="5"/>
    <cellStyle name="Placeholder" xfId="24"/>
    <cellStyle name="Table body number" xfId="18"/>
    <cellStyle name="Table body Text" xfId="17"/>
    <cellStyle name="Table Heading 1" xfId="16"/>
    <cellStyle name="Title" xfId="2" builtinId="15" customBuiltin="1"/>
    <cellStyle name="Warning Text" xfId="21" builtinId="11" hidden="1"/>
  </cellStyles>
  <dxfs count="0"/>
  <tableStyles count="0" defaultTableStyle="TableStyleMedium2" defaultPivotStyle="PivotStyleLight16"/>
  <colors>
    <mruColors>
      <color rgb="FFFFBE7D"/>
      <color rgb="FFF8B278"/>
      <color rgb="FFF48C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Outputs│Graphs!$I$20</c:f>
              <c:strCache>
                <c:ptCount val="1"/>
                <c:pt idx="0">
                  <c:v>Operating Expenditure (actual)</c:v>
                </c:pt>
              </c:strCache>
            </c:strRef>
          </c:tx>
          <c:spPr>
            <a:solidFill>
              <a:schemeClr val="tx1">
                <a:lumMod val="85000"/>
                <a:lumOff val="15000"/>
              </a:schemeClr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Outputs│Graphs!$M$19:$Q$19</c15:sqref>
                  </c15:fullRef>
                </c:ext>
              </c:extLst>
              <c:f>Outputs│Graphs!$M$19:$Q$19</c:f>
              <c:strCache>
                <c:ptCount val="5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  <c:pt idx="3">
                  <c:v>Year 4</c:v>
                </c:pt>
                <c:pt idx="4">
                  <c:v>Year 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Outputs│Graphs!$M$20:$V$20</c15:sqref>
                  </c15:fullRef>
                </c:ext>
              </c:extLst>
              <c:f>Outputs│Graphs!$M$20:$Q$20</c:f>
              <c:numCache>
                <c:formatCode>_(* #,##0.00_);_(* \(#,##0.00\);_(* "-"??_);_(@_)</c:formatCode>
                <c:ptCount val="5"/>
                <c:pt idx="0">
                  <c:v>4.2320644785940988</c:v>
                </c:pt>
                <c:pt idx="1">
                  <c:v>4.4493506778285719</c:v>
                </c:pt>
                <c:pt idx="2">
                  <c:v>4.7181999530991101</c:v>
                </c:pt>
                <c:pt idx="3">
                  <c:v>5.0052468060365509</c:v>
                </c:pt>
                <c:pt idx="4">
                  <c:v>5.0192969917557715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B5A-4ABC-86F0-0D22AD6B9B64}"/>
            </c:ext>
          </c:extLst>
        </c:ser>
        <c:ser>
          <c:idx val="2"/>
          <c:order val="1"/>
          <c:tx>
            <c:strRef>
              <c:f>Outputs│Graphs!$I$21</c:f>
              <c:strCache>
                <c:ptCount val="1"/>
                <c:pt idx="0">
                  <c:v>AER Forecast</c:v>
                </c:pt>
              </c:strCache>
            </c:strRef>
          </c:tx>
          <c:spPr>
            <a:solidFill>
              <a:srgbClr val="F48C32"/>
            </a:solidFill>
            <a:ln>
              <a:solidFill>
                <a:srgbClr val="F48C32"/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Outputs│Graphs!$M$19:$Q$19</c15:sqref>
                  </c15:fullRef>
                </c:ext>
              </c:extLst>
              <c:f>Outputs│Graphs!$M$19:$Q$19</c:f>
              <c:strCache>
                <c:ptCount val="5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  <c:pt idx="3">
                  <c:v>Year 4</c:v>
                </c:pt>
                <c:pt idx="4">
                  <c:v>Year 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Outputs│Graphs!$M$21:$V$21</c15:sqref>
                  </c15:fullRef>
                </c:ext>
              </c:extLst>
              <c:f>Outputs│Graphs!$M$21:$Q$21</c:f>
              <c:numCache>
                <c:formatCode>_(* #,##0.00_);_(* \(#,##0.00\);_(* "-"??_);_(@_)</c:formatCode>
                <c:ptCount val="5"/>
                <c:pt idx="0">
                  <c:v>4.8632274732385703</c:v>
                </c:pt>
                <c:pt idx="1">
                  <c:v>3.994283493607039</c:v>
                </c:pt>
                <c:pt idx="2">
                  <c:v>4.1116831459710257</c:v>
                </c:pt>
                <c:pt idx="3">
                  <c:v>4.1046100900644573</c:v>
                </c:pt>
                <c:pt idx="4">
                  <c:v>4.1364883062682782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B5A-4ABC-86F0-0D22AD6B9B64}"/>
            </c:ext>
          </c:extLst>
        </c:ser>
        <c:ser>
          <c:idx val="0"/>
          <c:order val="2"/>
          <c:tx>
            <c:strRef>
              <c:f>Outputs│Graphs!$I$22</c:f>
              <c:strCache>
                <c:ptCount val="1"/>
                <c:pt idx="0">
                  <c:v>Operating Expenditure (forecast)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rgbClr val="C00000"/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Outputs│Graphs!$M$19:$Q$19</c15:sqref>
                  </c15:fullRef>
                </c:ext>
              </c:extLst>
              <c:f>Outputs│Graphs!$M$19:$Q$19</c:f>
              <c:strCache>
                <c:ptCount val="5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  <c:pt idx="3">
                  <c:v>Year 4</c:v>
                </c:pt>
                <c:pt idx="4">
                  <c:v>Year 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Outputs│Graphs!$M$22:$Q$22</c15:sqref>
                  </c15:fullRef>
                </c:ext>
              </c:extLst>
              <c:f>Outputs│Graphs!$M$22:$Q$22</c:f>
              <c:numCache>
                <c:formatCode>_(* #,##0.00_);_(* \(#,##0.00\);_(* "-"??_);_(@_)</c:formatCode>
                <c:ptCount val="5"/>
                <c:pt idx="0">
                  <c:v>5.1364370203597938</c:v>
                </c:pt>
                <c:pt idx="1">
                  <c:v>5.189638450493252</c:v>
                </c:pt>
                <c:pt idx="2">
                  <c:v>5.2350181915372227</c:v>
                </c:pt>
                <c:pt idx="3">
                  <c:v>5.2688200177664672</c:v>
                </c:pt>
                <c:pt idx="4">
                  <c:v>5.2869965947205424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B5A-4ABC-86F0-0D22AD6B9B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149001344"/>
        <c:axId val="149002880"/>
      </c:barChart>
      <c:catAx>
        <c:axId val="149001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9002880"/>
        <c:crosses val="autoZero"/>
        <c:auto val="1"/>
        <c:lblAlgn val="ctr"/>
        <c:lblOffset val="100"/>
        <c:noMultiLvlLbl val="0"/>
      </c:catAx>
      <c:valAx>
        <c:axId val="149002880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M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4900134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33678160919541"/>
          <c:y val="2.6833336045449997E-2"/>
          <c:w val="0.79314865900383147"/>
          <c:h val="0.7351320321867080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Outputs│Graphs!$I$15</c:f>
              <c:strCache>
                <c:ptCount val="1"/>
                <c:pt idx="0">
                  <c:v>Operating Expenditure (actual)</c:v>
                </c:pt>
              </c:strCache>
            </c:strRef>
          </c:tx>
          <c:spPr>
            <a:solidFill>
              <a:srgbClr val="25282A"/>
            </a:solidFill>
            <a:ln w="38100">
              <a:noFill/>
            </a:ln>
          </c:spPr>
          <c:invertIfNegative val="0"/>
          <c:cat>
            <c:strRef>
              <c:f>Outputs│Graphs!$K$14:$O$14</c:f>
              <c:strCache>
                <c:ptCount val="5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</c:strCache>
            </c:strRef>
          </c:cat>
          <c:val>
            <c:numRef>
              <c:f>Outputs│Graphs!$K$15:$O$15</c:f>
              <c:numCache>
                <c:formatCode>_-* #,##0.0_-;\-* #,##0.0_-;_-* "-"??_-;_-@_-</c:formatCode>
                <c:ptCount val="5"/>
                <c:pt idx="0">
                  <c:v>3.9987005839999998</c:v>
                </c:pt>
                <c:pt idx="1">
                  <c:v>3.2166236589999997</c:v>
                </c:pt>
                <c:pt idx="2">
                  <c:v>3.6632462289999999</c:v>
                </c:pt>
                <c:pt idx="3">
                  <c:v>3.9641595509999998</c:v>
                </c:pt>
                <c:pt idx="4">
                  <c:v>4.2595279600000007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67-4C71-9F16-EFAB400841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830720"/>
        <c:axId val="156332032"/>
      </c:barChart>
      <c:lineChart>
        <c:grouping val="standard"/>
        <c:varyColors val="0"/>
        <c:ser>
          <c:idx val="2"/>
          <c:order val="1"/>
          <c:tx>
            <c:strRef>
              <c:f>Outputs│Graphs!$I$16</c:f>
              <c:strCache>
                <c:ptCount val="1"/>
                <c:pt idx="0">
                  <c:v>AER Forecast</c:v>
                </c:pt>
              </c:strCache>
            </c:strRef>
          </c:tx>
          <c:spPr>
            <a:ln w="38100">
              <a:solidFill>
                <a:schemeClr val="accent2"/>
              </a:solidFill>
            </a:ln>
          </c:spPr>
          <c:marker>
            <c:symbol val="none"/>
          </c:marker>
          <c:cat>
            <c:strLit>
              <c:ptCount val="5"/>
              <c:pt idx="0">
                <c:v>2015/16</c:v>
              </c:pt>
              <c:pt idx="1">
                <c:v>2016/17</c:v>
              </c:pt>
              <c:pt idx="2">
                <c:v>2017/18</c:v>
              </c:pt>
              <c:pt idx="3">
                <c:v>2018/19</c:v>
              </c:pt>
              <c:pt idx="4">
                <c:v>2019/20</c:v>
              </c:pt>
            </c:strLit>
          </c:cat>
          <c:val>
            <c:numRef>
              <c:f>Outputs│Graphs!$K$16:$O$16</c:f>
              <c:numCache>
                <c:formatCode>_-* #,##0.0_-;\-* #,##0.0_-;_-* "-"??_-;_-@_-</c:formatCode>
                <c:ptCount val="5"/>
                <c:pt idx="2">
                  <c:v>4.2095766244158543</c:v>
                </c:pt>
                <c:pt idx="3">
                  <c:v>3.5587163627011495</c:v>
                </c:pt>
                <c:pt idx="4">
                  <c:v>3.7119726796276478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67-4C71-9F16-EFAB400841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830720"/>
        <c:axId val="156332032"/>
      </c:lineChart>
      <c:catAx>
        <c:axId val="154830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156332032"/>
        <c:crossesAt val="0"/>
        <c:auto val="1"/>
        <c:lblAlgn val="ctr"/>
        <c:lblOffset val="100"/>
        <c:noMultiLvlLbl val="0"/>
      </c:catAx>
      <c:valAx>
        <c:axId val="156332032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 baseline="0"/>
                  <a:t>$ million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7.2988505747126438E-3"/>
              <c:y val="0.32341921972057347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15483072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523877</xdr:colOff>
      <xdr:row>2</xdr:row>
      <xdr:rowOff>57154</xdr:rowOff>
    </xdr:from>
    <xdr:to>
      <xdr:col>0</xdr:col>
      <xdr:colOff>3407431</xdr:colOff>
      <xdr:row>6</xdr:row>
      <xdr:rowOff>121068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7" y="400054"/>
          <a:ext cx="1883429" cy="7497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523877</xdr:colOff>
      <xdr:row>2</xdr:row>
      <xdr:rowOff>57154</xdr:rowOff>
    </xdr:from>
    <xdr:to>
      <xdr:col>6</xdr:col>
      <xdr:colOff>359431</xdr:colOff>
      <xdr:row>6</xdr:row>
      <xdr:rowOff>121068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2" y="400054"/>
          <a:ext cx="1883429" cy="7497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523877</xdr:colOff>
      <xdr:row>2</xdr:row>
      <xdr:rowOff>57154</xdr:rowOff>
    </xdr:from>
    <xdr:to>
      <xdr:col>4</xdr:col>
      <xdr:colOff>2493031</xdr:colOff>
      <xdr:row>6</xdr:row>
      <xdr:rowOff>121068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2" y="400054"/>
          <a:ext cx="1883429" cy="74971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523877</xdr:colOff>
      <xdr:row>2</xdr:row>
      <xdr:rowOff>57154</xdr:rowOff>
    </xdr:from>
    <xdr:to>
      <xdr:col>4</xdr:col>
      <xdr:colOff>2493031</xdr:colOff>
      <xdr:row>6</xdr:row>
      <xdr:rowOff>121068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2" y="400054"/>
          <a:ext cx="1883429" cy="749714"/>
        </a:xfrm>
        <a:prstGeom prst="rect">
          <a:avLst/>
        </a:prstGeom>
      </xdr:spPr>
    </xdr:pic>
    <xdr:clientData/>
  </xdr:twoCellAnchor>
  <xdr:twoCellAnchor>
    <xdr:from>
      <xdr:col>4</xdr:col>
      <xdr:colOff>400049</xdr:colOff>
      <xdr:row>32</xdr:row>
      <xdr:rowOff>155330</xdr:rowOff>
    </xdr:from>
    <xdr:to>
      <xdr:col>5</xdr:col>
      <xdr:colOff>375439</xdr:colOff>
      <xdr:row>56</xdr:row>
      <xdr:rowOff>126755</xdr:rowOff>
    </xdr:to>
    <xdr:graphicFrame macro="">
      <xdr:nvGraphicFramePr>
        <xdr:cNvPr id="4" name="Historic and Forecast Op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13</xdr:row>
      <xdr:rowOff>0</xdr:rowOff>
    </xdr:from>
    <xdr:to>
      <xdr:col>4</xdr:col>
      <xdr:colOff>5220000</xdr:colOff>
      <xdr:row>29</xdr:row>
      <xdr:rowOff>133350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hehub.apa.com.au/Corporate/Directlink2020/Revenue%20Proposal%20%20Draft%20RIN/Directlink%202021-25%20-%20Draft%20Reset%20RIN%20-%20workbook%203%20-%20EBS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only"/>
      <sheetName val="Business &amp; other details"/>
      <sheetName val="7.5 EBSS"/>
    </sheetNames>
    <sheetDataSet>
      <sheetData sheetId="0" refreshError="1"/>
      <sheetData sheetId="1">
        <row r="3">
          <cell r="B3" t="str">
            <v>2020-21 to 2024-25</v>
          </cell>
        </row>
        <row r="14">
          <cell r="C14" t="str">
            <v>Directlink</v>
          </cell>
        </row>
        <row r="35">
          <cell r="C35" t="str">
            <v>2020-21</v>
          </cell>
          <cell r="D35" t="str">
            <v>2021-22</v>
          </cell>
          <cell r="E35" t="str">
            <v>2022-23</v>
          </cell>
          <cell r="F35" t="str">
            <v>2023-24</v>
          </cell>
          <cell r="G35" t="str">
            <v>2024-25</v>
          </cell>
        </row>
        <row r="39">
          <cell r="C39" t="str">
            <v>2015-16</v>
          </cell>
          <cell r="D39" t="str">
            <v>2016-17</v>
          </cell>
          <cell r="E39" t="str">
            <v>2017-18</v>
          </cell>
          <cell r="F39" t="str">
            <v>2018-19</v>
          </cell>
          <cell r="G39" t="str">
            <v>2019-20</v>
          </cell>
        </row>
        <row r="44">
          <cell r="C44" t="str">
            <v>2010-11</v>
          </cell>
          <cell r="D44" t="str">
            <v>2011-12</v>
          </cell>
          <cell r="E44" t="str">
            <v>2012-13</v>
          </cell>
          <cell r="F44" t="str">
            <v>2013-14</v>
          </cell>
          <cell r="G44" t="str">
            <v>2014-15</v>
          </cell>
        </row>
        <row r="62">
          <cell r="C62" t="str">
            <v>No</v>
          </cell>
        </row>
        <row r="66">
          <cell r="C66" t="str">
            <v>Financial</v>
          </cell>
        </row>
        <row r="73">
          <cell r="C73" t="str">
            <v>June</v>
          </cell>
        </row>
        <row r="74">
          <cell r="C74" t="str">
            <v>June 2020</v>
          </cell>
        </row>
      </sheetData>
      <sheetData sheetId="2">
        <row r="24">
          <cell r="C24" t="str">
            <v>2010-11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3"/>
  <sheetViews>
    <sheetView tabSelected="1" workbookViewId="0">
      <selection activeCell="G14" sqref="G14"/>
    </sheetView>
  </sheetViews>
  <sheetFormatPr defaultColWidth="14" defaultRowHeight="13.5" x14ac:dyDescent="0.25"/>
  <cols>
    <col min="1" max="1" width="73.375" style="7" customWidth="1"/>
    <col min="2" max="3" width="26.75" style="7" customWidth="1"/>
    <col min="4" max="4" width="18.5" style="7" customWidth="1"/>
    <col min="5" max="5" width="22.5" style="7" customWidth="1"/>
    <col min="6" max="8" width="20.875" style="7" customWidth="1"/>
    <col min="9" max="9" width="23" style="7" customWidth="1"/>
    <col min="10" max="10" width="16.25" style="7" customWidth="1"/>
    <col min="11" max="11" width="14" style="7"/>
    <col min="12" max="12" width="16.5" style="7" customWidth="1"/>
    <col min="13" max="14" width="14" style="7"/>
    <col min="15" max="15" width="15.5" style="7" customWidth="1"/>
    <col min="16" max="16384" width="14" style="7"/>
  </cols>
  <sheetData>
    <row r="1" spans="1:10" s="2" customFormat="1" x14ac:dyDescent="0.25"/>
    <row r="2" spans="1:10" s="2" customFormat="1" x14ac:dyDescent="0.25"/>
    <row r="3" spans="1:10" s="2" customFormat="1" x14ac:dyDescent="0.25"/>
    <row r="4" spans="1:10" s="2" customFormat="1" x14ac:dyDescent="0.25"/>
    <row r="5" spans="1:10" s="2" customFormat="1" x14ac:dyDescent="0.25"/>
    <row r="6" spans="1:10" s="2" customFormat="1" x14ac:dyDescent="0.25"/>
    <row r="7" spans="1:10" s="2" customFormat="1" x14ac:dyDescent="0.25"/>
    <row r="8" spans="1:10" s="2" customFormat="1" x14ac:dyDescent="0.25"/>
    <row r="9" spans="1:10" s="2" customFormat="1" ht="14.25" thickBot="1" x14ac:dyDescent="0.3"/>
    <row r="10" spans="1:10" s="6" customFormat="1" ht="24.75" thickTop="1" thickBot="1" x14ac:dyDescent="0.4">
      <c r="A10" s="19" t="str">
        <f ca="1">RIGHT(CELL("filename",A1),LEN(CELL("filename",A1))-FIND("]",CELL("filename",A1)))</f>
        <v>Input│ Historic Opex</v>
      </c>
      <c r="B10" s="19"/>
      <c r="C10" s="19"/>
      <c r="D10" s="19"/>
      <c r="E10" s="19"/>
      <c r="F10" s="19"/>
      <c r="G10" s="19"/>
      <c r="H10" s="19"/>
      <c r="I10" s="19"/>
      <c r="J10" s="19"/>
    </row>
    <row r="11" spans="1:10" ht="14.25" thickTop="1" x14ac:dyDescent="0.25"/>
    <row r="12" spans="1:10" ht="20.25" thickBot="1" x14ac:dyDescent="0.35">
      <c r="A12" s="4" t="s">
        <v>6</v>
      </c>
      <c r="B12" s="4" t="s">
        <v>0</v>
      </c>
      <c r="C12" s="53" t="s">
        <v>40</v>
      </c>
      <c r="D12" s="5" t="s">
        <v>1</v>
      </c>
      <c r="E12" s="5" t="s">
        <v>2</v>
      </c>
      <c r="F12" s="5" t="s">
        <v>3</v>
      </c>
      <c r="G12" s="5" t="s">
        <v>4</v>
      </c>
      <c r="H12" s="5" t="s">
        <v>5</v>
      </c>
      <c r="I12" s="50" t="s">
        <v>17</v>
      </c>
      <c r="J12" s="50" t="s">
        <v>18</v>
      </c>
    </row>
    <row r="13" spans="1:10" ht="15" thickTop="1" thickBot="1" x14ac:dyDescent="0.3">
      <c r="A13" s="8" t="s">
        <v>135</v>
      </c>
    </row>
    <row r="14" spans="1:10" ht="17.25" thickTop="1" x14ac:dyDescent="0.3">
      <c r="A14" s="9" t="s">
        <v>136</v>
      </c>
      <c r="B14" s="10" t="s">
        <v>7</v>
      </c>
      <c r="C14" s="10"/>
      <c r="D14" s="11">
        <v>2829.9610459999999</v>
      </c>
      <c r="E14" s="11">
        <v>2138.2326069999999</v>
      </c>
      <c r="F14" s="11">
        <v>2444.1738769999997</v>
      </c>
      <c r="G14" s="11">
        <v>2926.5118689999999</v>
      </c>
      <c r="H14" s="11">
        <v>3372.6649000000002</v>
      </c>
    </row>
    <row r="15" spans="1:10" ht="16.5" x14ac:dyDescent="0.3">
      <c r="A15" s="9" t="s">
        <v>137</v>
      </c>
      <c r="B15" s="10" t="s">
        <v>7</v>
      </c>
      <c r="C15" s="10"/>
      <c r="D15" s="11">
        <v>372</v>
      </c>
      <c r="E15" s="11">
        <v>399</v>
      </c>
      <c r="F15" s="11">
        <v>356</v>
      </c>
      <c r="G15" s="11">
        <v>400</v>
      </c>
      <c r="H15" s="11">
        <v>421</v>
      </c>
    </row>
    <row r="16" spans="1:10" ht="14.25" thickBot="1" x14ac:dyDescent="0.3">
      <c r="A16" s="8" t="s">
        <v>34</v>
      </c>
    </row>
    <row r="17" spans="1:9" ht="17.25" thickTop="1" x14ac:dyDescent="0.3">
      <c r="A17" s="9" t="s">
        <v>11</v>
      </c>
      <c r="B17" s="10" t="s">
        <v>7</v>
      </c>
      <c r="C17" s="10"/>
      <c r="D17" s="11">
        <v>663.73953800000004</v>
      </c>
      <c r="E17" s="11">
        <v>625.39105199999995</v>
      </c>
      <c r="F17" s="11">
        <v>754.07235200000002</v>
      </c>
      <c r="G17" s="11">
        <v>487.88082199999991</v>
      </c>
      <c r="H17" s="11">
        <v>409</v>
      </c>
    </row>
    <row r="18" spans="1:9" ht="16.5" x14ac:dyDescent="0.3">
      <c r="A18" s="9" t="s">
        <v>138</v>
      </c>
      <c r="B18" s="10" t="s">
        <v>7</v>
      </c>
      <c r="C18" s="10"/>
      <c r="D18" s="11">
        <v>9</v>
      </c>
      <c r="E18" s="11">
        <v>9</v>
      </c>
      <c r="F18" s="11">
        <v>10</v>
      </c>
      <c r="G18" s="11">
        <v>8</v>
      </c>
      <c r="H18" s="11">
        <v>8</v>
      </c>
    </row>
    <row r="19" spans="1:9" ht="16.5" x14ac:dyDescent="0.3">
      <c r="A19" s="9" t="s">
        <v>139</v>
      </c>
      <c r="B19" s="10" t="s">
        <v>7</v>
      </c>
      <c r="C19" s="10"/>
      <c r="D19" s="11">
        <v>20</v>
      </c>
      <c r="E19" s="11">
        <v>10</v>
      </c>
      <c r="F19" s="11">
        <v>11</v>
      </c>
      <c r="G19" s="11">
        <v>10</v>
      </c>
      <c r="H19" s="11">
        <v>11</v>
      </c>
    </row>
    <row r="20" spans="1:9" ht="16.5" x14ac:dyDescent="0.3">
      <c r="A20" s="9" t="s">
        <v>140</v>
      </c>
      <c r="B20" s="10" t="s">
        <v>7</v>
      </c>
      <c r="C20" s="10"/>
      <c r="D20" s="11">
        <v>5</v>
      </c>
      <c r="E20" s="11">
        <v>0</v>
      </c>
      <c r="F20" s="11">
        <v>3</v>
      </c>
      <c r="G20" s="11">
        <v>0</v>
      </c>
      <c r="H20" s="11">
        <v>0</v>
      </c>
    </row>
    <row r="21" spans="1:9" ht="16.5" x14ac:dyDescent="0.3">
      <c r="A21" s="9" t="s">
        <v>12</v>
      </c>
      <c r="B21" s="10" t="s">
        <v>7</v>
      </c>
      <c r="C21" s="10"/>
      <c r="D21" s="11">
        <v>99</v>
      </c>
      <c r="E21" s="11">
        <v>35</v>
      </c>
      <c r="F21" s="11">
        <v>85</v>
      </c>
      <c r="G21" s="11">
        <v>131.76686000000001</v>
      </c>
      <c r="H21" s="11">
        <v>37.863059999999997</v>
      </c>
    </row>
    <row r="22" spans="1:9" ht="16.5" x14ac:dyDescent="0.3">
      <c r="A22" s="9" t="s">
        <v>8</v>
      </c>
      <c r="B22" s="10" t="s">
        <v>7</v>
      </c>
      <c r="C22" s="10"/>
      <c r="D22" s="11">
        <v>0</v>
      </c>
      <c r="E22" s="11">
        <v>0</v>
      </c>
      <c r="F22" s="11">
        <v>0</v>
      </c>
      <c r="G22" s="11">
        <v>0</v>
      </c>
      <c r="H22" s="11"/>
    </row>
    <row r="23" spans="1:9" ht="16.5" x14ac:dyDescent="0.3">
      <c r="A23" s="12" t="s">
        <v>141</v>
      </c>
      <c r="B23" s="12" t="s">
        <v>9</v>
      </c>
      <c r="C23" s="12"/>
      <c r="D23" s="13">
        <f>SUM(D14:D21)</f>
        <v>3998.7005840000002</v>
      </c>
      <c r="E23" s="13">
        <f>SUM(E14:E21)</f>
        <v>3216.6236589999999</v>
      </c>
      <c r="F23" s="13">
        <f>SUM(F14:F21)</f>
        <v>3663.2462289999999</v>
      </c>
      <c r="G23" s="13">
        <f>SUM(G14:G21)</f>
        <v>3964.1595510000002</v>
      </c>
      <c r="H23" s="13">
        <f>SUM(H14:H22)</f>
        <v>4259.5279599999994</v>
      </c>
      <c r="I23" s="13">
        <f>SUM(I19:I21)</f>
        <v>0</v>
      </c>
    </row>
    <row r="24" spans="1:9" x14ac:dyDescent="0.25">
      <c r="A24" s="14" t="s">
        <v>10</v>
      </c>
      <c r="B24" s="14"/>
      <c r="C24" s="14"/>
      <c r="D24" s="14"/>
      <c r="E24" s="14"/>
      <c r="F24" s="14"/>
      <c r="G24" s="14"/>
      <c r="H24" s="14"/>
      <c r="I24" s="14"/>
    </row>
    <row r="26" spans="1:9" ht="20.25" thickBot="1" x14ac:dyDescent="0.35">
      <c r="A26" s="4" t="s">
        <v>107</v>
      </c>
      <c r="B26" s="4"/>
      <c r="C26" s="4"/>
      <c r="D26" s="4"/>
      <c r="E26" s="4"/>
      <c r="F26" s="4"/>
      <c r="G26" s="4"/>
      <c r="H26" s="4"/>
      <c r="I26" s="4"/>
    </row>
    <row r="27" spans="1:9" ht="17.25" thickTop="1" x14ac:dyDescent="0.3">
      <c r="A27" s="15" t="str">
        <f>A13</f>
        <v>NETWORK OPERATIONS &amp; MAINTENANCE</v>
      </c>
      <c r="B27" s="16" t="str">
        <f>"$'000 real $"&amp;J12</f>
        <v>$'000 real $2019/20</v>
      </c>
      <c r="C27" s="16"/>
      <c r="D27" s="17">
        <f>SUM(D14:D15)/'Input│ Other'!D15</f>
        <v>3593.8633062352196</v>
      </c>
      <c r="E27" s="17">
        <f>SUM(E14:E15)/'Input│ Other'!E15</f>
        <v>2810.4454014075613</v>
      </c>
      <c r="F27" s="17">
        <f>SUM(F14:F15)/'Input│ Other'!F15</f>
        <v>3061.5676498549333</v>
      </c>
      <c r="G27" s="17">
        <f>SUM(G14:G15)/'Input│ Other'!G15</f>
        <v>3561.3357605850751</v>
      </c>
      <c r="H27" s="17">
        <f>SUM(H14:H15)/'Input│ Other'!H15</f>
        <v>3985.7191855624997</v>
      </c>
    </row>
    <row r="28" spans="1:9" ht="16.5" x14ac:dyDescent="0.3">
      <c r="A28" s="12" t="s">
        <v>11</v>
      </c>
      <c r="B28" s="16" t="str">
        <f>B27</f>
        <v>$'000 real $2019/20</v>
      </c>
      <c r="C28" s="16"/>
      <c r="D28" s="17">
        <f>D17/'Input│ Other'!D15</f>
        <v>744.97757350784377</v>
      </c>
      <c r="E28" s="17">
        <f>E17/'Input│ Other'!E15</f>
        <v>692.73404469330035</v>
      </c>
      <c r="F28" s="17">
        <f>F17/'Input│ Other'!F15</f>
        <v>824.46434398088707</v>
      </c>
      <c r="G28" s="17">
        <f>G17/'Input│ Other'!G15</f>
        <v>522.32112396297043</v>
      </c>
      <c r="H28" s="17">
        <f>H17/'Input│ Other'!H15</f>
        <v>429.70562499999994</v>
      </c>
    </row>
    <row r="29" spans="1:9" ht="16.5" x14ac:dyDescent="0.3">
      <c r="A29" s="12" t="s">
        <v>12</v>
      </c>
      <c r="B29" s="16" t="str">
        <f>B28</f>
        <v>$'000 real $2019/20</v>
      </c>
      <c r="C29" s="16"/>
      <c r="D29" s="17">
        <f>SUM(D18:D21)/'Input│ Other'!D15</f>
        <v>149.27846181214417</v>
      </c>
      <c r="E29" s="17">
        <f>SUM(E18:E21)/'Input│ Other'!E15</f>
        <v>59.814796348314594</v>
      </c>
      <c r="F29" s="17">
        <f>SUM(F18:F21)/'Input│ Other'!F15</f>
        <v>119.17505429759701</v>
      </c>
      <c r="G29" s="17">
        <f>SUM(G18:G21)/'Input│ Other'!G15</f>
        <v>160.33914661151582</v>
      </c>
      <c r="H29" s="17">
        <f>SUM(H18:H21)/'Input│ Other'!H15</f>
        <v>59.741752412499991</v>
      </c>
    </row>
    <row r="30" spans="1:9" ht="16.5" x14ac:dyDescent="0.3">
      <c r="A30" s="12" t="str">
        <f>A23</f>
        <v>Total Operating expenditure</v>
      </c>
      <c r="B30" s="16" t="str">
        <f>B29</f>
        <v>$'000 real $2019/20</v>
      </c>
      <c r="C30" s="16"/>
      <c r="D30" s="17">
        <f>SUM(D27:D29)</f>
        <v>4488.1193415552079</v>
      </c>
      <c r="E30" s="17">
        <f>SUM(E27:E29)</f>
        <v>3562.9942424491765</v>
      </c>
      <c r="F30" s="17">
        <f>SUM(F27:F29)</f>
        <v>4005.2070481334172</v>
      </c>
      <c r="G30" s="17">
        <f>SUM(G27:G29)</f>
        <v>4243.9960311595614</v>
      </c>
      <c r="H30" s="17">
        <f>SUM(H27:H29)</f>
        <v>4475.1665629749996</v>
      </c>
    </row>
    <row r="32" spans="1:9" ht="20.25" thickBot="1" x14ac:dyDescent="0.35">
      <c r="A32" s="4" t="s">
        <v>14</v>
      </c>
      <c r="B32" s="4"/>
      <c r="C32" s="4"/>
      <c r="D32" s="4"/>
      <c r="E32" s="4"/>
      <c r="F32" s="4"/>
      <c r="G32" s="4"/>
      <c r="H32" s="4"/>
      <c r="I32" s="4"/>
    </row>
    <row r="33" spans="1:10" ht="17.25" thickTop="1" x14ac:dyDescent="0.3">
      <c r="A33" s="12" t="s">
        <v>15</v>
      </c>
      <c r="B33" s="18"/>
      <c r="C33" s="18"/>
      <c r="D33" s="18"/>
      <c r="E33" s="18"/>
      <c r="F33" s="18"/>
      <c r="G33" s="18"/>
      <c r="H33" s="18"/>
    </row>
    <row r="34" spans="1:10" ht="16.5" x14ac:dyDescent="0.3">
      <c r="A34" s="12" t="s">
        <v>16</v>
      </c>
      <c r="B34" s="12" t="s">
        <v>13</v>
      </c>
      <c r="C34" s="12"/>
      <c r="D34" s="12">
        <f>SUM(D33)</f>
        <v>0</v>
      </c>
      <c r="E34" s="12">
        <f t="shared" ref="E34:H34" si="0">SUM(E33)</f>
        <v>0</v>
      </c>
      <c r="F34" s="12">
        <f t="shared" si="0"/>
        <v>0</v>
      </c>
      <c r="G34" s="12">
        <f t="shared" si="0"/>
        <v>0</v>
      </c>
      <c r="H34" s="12">
        <f t="shared" si="0"/>
        <v>0</v>
      </c>
    </row>
    <row r="35" spans="1:10" x14ac:dyDescent="0.25">
      <c r="A35" s="14" t="s">
        <v>10</v>
      </c>
      <c r="B35" s="14"/>
      <c r="C35" s="14"/>
      <c r="D35" s="14"/>
      <c r="E35" s="14"/>
      <c r="F35" s="14"/>
      <c r="G35" s="14"/>
      <c r="H35" s="14"/>
      <c r="I35" s="14"/>
    </row>
    <row r="37" spans="1:10" ht="20.25" thickBot="1" x14ac:dyDescent="0.35">
      <c r="A37" s="4" t="s">
        <v>25</v>
      </c>
      <c r="B37" s="4"/>
      <c r="C37" s="4"/>
      <c r="D37" s="4"/>
      <c r="E37" s="4"/>
      <c r="F37" s="4"/>
      <c r="G37" s="4"/>
      <c r="H37" s="4"/>
      <c r="I37" s="4"/>
      <c r="J37" s="4"/>
    </row>
    <row r="38" spans="1:10" ht="17.25" thickTop="1" x14ac:dyDescent="0.3">
      <c r="A38" s="10" t="s">
        <v>15</v>
      </c>
      <c r="B38" s="10" t="s">
        <v>123</v>
      </c>
      <c r="C38" s="10"/>
      <c r="D38" s="10"/>
      <c r="E38" s="10"/>
      <c r="F38" s="20">
        <v>4085.2121870860519</v>
      </c>
      <c r="G38" s="20">
        <v>3368.4340725042739</v>
      </c>
      <c r="H38" s="20">
        <v>3451.5261631512399</v>
      </c>
      <c r="I38" s="20">
        <v>3406.4410707566444</v>
      </c>
      <c r="J38" s="20">
        <v>3421.9848571897392</v>
      </c>
    </row>
    <row r="39" spans="1:10" ht="16.5" x14ac:dyDescent="0.3">
      <c r="A39" s="20" t="s">
        <v>8</v>
      </c>
      <c r="B39" s="10" t="s">
        <v>123</v>
      </c>
      <c r="C39" s="10"/>
      <c r="D39" s="21"/>
      <c r="E39" s="10"/>
      <c r="F39" s="20">
        <v>69.896717605381966</v>
      </c>
      <c r="G39" s="20">
        <v>71.121651807787217</v>
      </c>
      <c r="H39" s="20">
        <v>69.243660865036759</v>
      </c>
      <c r="I39" s="20">
        <v>67.496780566085832</v>
      </c>
      <c r="J39" s="20">
        <v>66.148569544281656</v>
      </c>
    </row>
    <row r="40" spans="1:10" ht="16.5" x14ac:dyDescent="0.3">
      <c r="A40" s="22" t="s">
        <v>26</v>
      </c>
      <c r="B40" s="12" t="str">
        <f>B39</f>
        <v>AER Forecast $2014/15</v>
      </c>
      <c r="C40" s="12"/>
      <c r="D40" s="12"/>
      <c r="E40" s="12"/>
      <c r="F40" s="22">
        <f>SUM(F38:F39)</f>
        <v>4155.108904691434</v>
      </c>
      <c r="G40" s="22">
        <f t="shared" ref="G40:J40" si="1">SUM(G38:G39)</f>
        <v>3439.5557243120611</v>
      </c>
      <c r="H40" s="22">
        <f t="shared" si="1"/>
        <v>3520.7698240162767</v>
      </c>
      <c r="I40" s="22">
        <f t="shared" si="1"/>
        <v>3473.9378513227302</v>
      </c>
      <c r="J40" s="22">
        <f t="shared" si="1"/>
        <v>3488.1334267340208</v>
      </c>
    </row>
    <row r="41" spans="1:10" x14ac:dyDescent="0.25">
      <c r="A41" s="14" t="s">
        <v>101</v>
      </c>
      <c r="B41" s="14"/>
      <c r="C41" s="14"/>
      <c r="D41" s="14"/>
      <c r="E41" s="14"/>
      <c r="F41" s="14"/>
      <c r="G41" s="14"/>
      <c r="H41" s="14"/>
      <c r="I41" s="14"/>
      <c r="J41" s="14"/>
    </row>
    <row r="43" spans="1:10" ht="16.5" x14ac:dyDescent="0.3">
      <c r="A43" s="12" t="s">
        <v>27</v>
      </c>
      <c r="B43" s="12" t="s">
        <v>28</v>
      </c>
      <c r="C43" s="12"/>
      <c r="D43" s="12"/>
      <c r="E43" s="12"/>
      <c r="F43" s="22">
        <f>F40*'Input│ Other'!F16</f>
        <v>4209.576624415854</v>
      </c>
      <c r="G43" s="22">
        <f>G40*'Input│ Other'!G16</f>
        <v>3558.7163627011496</v>
      </c>
      <c r="H43" s="22">
        <f>H40*'Input│ Other'!H16</f>
        <v>3711.9726796276477</v>
      </c>
      <c r="I43" s="22">
        <f>I40*'Input│ Other'!I16</f>
        <v>3754.1623324945026</v>
      </c>
      <c r="J43" s="22">
        <f>J40*'Input│ Other'!J16</f>
        <v>3863.7405658489661</v>
      </c>
    </row>
    <row r="46" spans="1:10" ht="20.25" thickBot="1" x14ac:dyDescent="0.35">
      <c r="A46" s="4" t="s">
        <v>29</v>
      </c>
      <c r="B46" s="4"/>
      <c r="C46" s="4"/>
      <c r="D46" s="4"/>
      <c r="E46" s="4"/>
      <c r="F46" s="4"/>
      <c r="G46" s="4"/>
      <c r="H46" s="4"/>
      <c r="I46" s="4"/>
      <c r="J46" s="4"/>
    </row>
    <row r="47" spans="1:10" ht="15" thickTop="1" thickBot="1" x14ac:dyDescent="0.3">
      <c r="A47" s="23" t="s">
        <v>30</v>
      </c>
      <c r="B47" s="23"/>
      <c r="C47" s="23"/>
      <c r="D47" s="23"/>
      <c r="E47" s="23"/>
      <c r="F47" s="23"/>
      <c r="G47" s="23"/>
      <c r="H47" s="23"/>
      <c r="I47" s="24"/>
      <c r="J47" s="23"/>
    </row>
    <row r="48" spans="1:10" ht="17.25" thickTop="1" x14ac:dyDescent="0.3">
      <c r="A48" s="10" t="s">
        <v>31</v>
      </c>
      <c r="B48" s="10" t="s">
        <v>32</v>
      </c>
      <c r="C48" s="10"/>
      <c r="I48" s="25">
        <f>H14/1000</f>
        <v>3.3726649000000002</v>
      </c>
    </row>
    <row r="49" spans="1:10" ht="16.5" x14ac:dyDescent="0.3">
      <c r="A49" s="10" t="s">
        <v>33</v>
      </c>
      <c r="B49" s="10" t="str">
        <f>B48</f>
        <v>$m nominal</v>
      </c>
      <c r="C49" s="10"/>
      <c r="I49" s="25">
        <f>H15/1000</f>
        <v>0.42099999999999999</v>
      </c>
    </row>
    <row r="50" spans="1:10" ht="14.25" thickBot="1" x14ac:dyDescent="0.3">
      <c r="A50" s="23" t="s">
        <v>34</v>
      </c>
      <c r="B50" s="23"/>
      <c r="C50" s="23"/>
      <c r="D50" s="23"/>
      <c r="E50" s="23"/>
      <c r="F50" s="23"/>
      <c r="G50" s="23"/>
      <c r="H50" s="23"/>
      <c r="I50" s="24"/>
      <c r="J50" s="23"/>
    </row>
    <row r="51" spans="1:10" ht="17.25" thickTop="1" x14ac:dyDescent="0.3">
      <c r="A51" s="10" t="s">
        <v>11</v>
      </c>
      <c r="B51" s="10" t="str">
        <f>B49</f>
        <v>$m nominal</v>
      </c>
      <c r="C51" s="10"/>
      <c r="D51" s="52"/>
      <c r="E51" s="52"/>
      <c r="F51" s="52"/>
      <c r="G51" s="52"/>
      <c r="H51" s="52"/>
      <c r="I51" s="25">
        <f>H17/1000</f>
        <v>0.40899999999999997</v>
      </c>
    </row>
    <row r="52" spans="1:10" ht="16.5" x14ac:dyDescent="0.3">
      <c r="A52" s="10" t="s">
        <v>35</v>
      </c>
      <c r="B52" s="10" t="str">
        <f>B51</f>
        <v>$m nominal</v>
      </c>
      <c r="C52" s="10"/>
      <c r="D52" s="52"/>
      <c r="E52" s="52"/>
      <c r="F52" s="52"/>
      <c r="G52" s="52"/>
      <c r="H52" s="52"/>
      <c r="I52" s="25">
        <f>H18/1000</f>
        <v>8.0000000000000002E-3</v>
      </c>
    </row>
    <row r="53" spans="1:10" ht="16.5" x14ac:dyDescent="0.3">
      <c r="A53" s="10" t="s">
        <v>36</v>
      </c>
      <c r="B53" s="10" t="str">
        <f t="shared" ref="B53:B54" si="2">B51</f>
        <v>$m nominal</v>
      </c>
      <c r="C53" s="10"/>
      <c r="D53" s="52"/>
      <c r="E53" s="52"/>
      <c r="F53" s="52"/>
      <c r="G53" s="52"/>
      <c r="H53" s="52"/>
      <c r="I53" s="25">
        <f>H19/1000</f>
        <v>1.0999999999999999E-2</v>
      </c>
    </row>
    <row r="54" spans="1:10" ht="16.5" x14ac:dyDescent="0.3">
      <c r="A54" s="10" t="s">
        <v>12</v>
      </c>
      <c r="B54" s="10" t="str">
        <f t="shared" si="2"/>
        <v>$m nominal</v>
      </c>
      <c r="C54" s="10"/>
      <c r="D54" s="52"/>
      <c r="E54" s="52"/>
      <c r="F54" s="52"/>
      <c r="G54" s="52"/>
      <c r="H54" s="52"/>
      <c r="I54" s="25">
        <f>H21/1000</f>
        <v>3.7863059999999997E-2</v>
      </c>
    </row>
    <row r="55" spans="1:10" ht="16.5" x14ac:dyDescent="0.3">
      <c r="A55" s="12" t="s">
        <v>37</v>
      </c>
      <c r="B55" s="12"/>
      <c r="C55" s="12"/>
      <c r="D55" s="52"/>
      <c r="E55" s="52"/>
      <c r="F55" s="52"/>
      <c r="G55" s="52"/>
      <c r="H55" s="52"/>
      <c r="I55" s="26">
        <f>SUM(I48:I54)</f>
        <v>4.2595279600000007</v>
      </c>
    </row>
    <row r="57" spans="1:10" ht="14.25" thickBot="1" x14ac:dyDescent="0.3">
      <c r="A57" s="23" t="s">
        <v>38</v>
      </c>
      <c r="B57" s="23"/>
      <c r="C57" s="23"/>
      <c r="D57" s="23"/>
      <c r="E57" s="23"/>
      <c r="F57" s="23"/>
      <c r="G57" s="23"/>
      <c r="H57" s="23"/>
      <c r="I57" s="23"/>
      <c r="J57" s="23"/>
    </row>
    <row r="58" spans="1:10" ht="17.25" thickTop="1" x14ac:dyDescent="0.3">
      <c r="A58" s="12" t="str">
        <f>A48</f>
        <v>Operating and maintenance expenses</v>
      </c>
      <c r="B58" s="12" t="s">
        <v>39</v>
      </c>
      <c r="C58" s="12"/>
      <c r="D58" s="52"/>
      <c r="E58" s="52"/>
      <c r="F58" s="52"/>
      <c r="G58" s="52"/>
      <c r="H58" s="52"/>
      <c r="I58" s="27">
        <f>I48/$I$55</f>
        <v>0.79179311221142912</v>
      </c>
    </row>
    <row r="59" spans="1:10" ht="16.5" x14ac:dyDescent="0.3">
      <c r="A59" s="12" t="str">
        <f>A49</f>
        <v>Management fees and expenses</v>
      </c>
      <c r="B59" s="12" t="str">
        <f>$B$58</f>
        <v>Percent</v>
      </c>
      <c r="C59" s="12"/>
      <c r="D59" s="52"/>
      <c r="E59" s="52"/>
      <c r="F59" s="52"/>
      <c r="G59" s="52"/>
      <c r="H59" s="52"/>
      <c r="I59" s="27">
        <f>I49/$I$55</f>
        <v>9.8837242988774734E-2</v>
      </c>
    </row>
    <row r="60" spans="1:10" ht="16.5" x14ac:dyDescent="0.3">
      <c r="A60" s="12" t="str">
        <f>A51</f>
        <v>Insurance</v>
      </c>
      <c r="B60" s="12" t="str">
        <f t="shared" ref="B60:B71" si="3">$B$58</f>
        <v>Percent</v>
      </c>
      <c r="C60" s="12"/>
      <c r="D60" s="52"/>
      <c r="E60" s="52"/>
      <c r="F60" s="52"/>
      <c r="G60" s="52"/>
      <c r="H60" s="52"/>
      <c r="I60" s="27">
        <f>I51/$I$55</f>
        <v>9.6020029411897537E-2</v>
      </c>
    </row>
    <row r="61" spans="1:10" ht="16.5" x14ac:dyDescent="0.3">
      <c r="A61" s="12" t="str">
        <f>A52</f>
        <v>Tax on property and capital</v>
      </c>
      <c r="B61" s="12" t="str">
        <f t="shared" si="3"/>
        <v>Percent</v>
      </c>
      <c r="C61" s="12"/>
      <c r="D61" s="52"/>
      <c r="E61" s="52"/>
      <c r="F61" s="52"/>
      <c r="G61" s="52"/>
      <c r="H61" s="52"/>
      <c r="I61" s="27">
        <f>I52/$I$55</f>
        <v>1.878142384584793E-3</v>
      </c>
    </row>
    <row r="62" spans="1:10" ht="16.5" x14ac:dyDescent="0.3">
      <c r="A62" s="12" t="str">
        <f>A53</f>
        <v>Accounting/audit fees</v>
      </c>
      <c r="B62" s="12" t="str">
        <f t="shared" si="3"/>
        <v>Percent</v>
      </c>
      <c r="C62" s="12"/>
      <c r="D62" s="52"/>
      <c r="E62" s="52"/>
      <c r="F62" s="52"/>
      <c r="G62" s="52"/>
      <c r="H62" s="52"/>
      <c r="I62" s="27">
        <f>I53/$I$55</f>
        <v>2.5824457788040903E-3</v>
      </c>
    </row>
    <row r="63" spans="1:10" ht="16.5" x14ac:dyDescent="0.3">
      <c r="A63" s="12" t="str">
        <f>A54</f>
        <v>Other</v>
      </c>
      <c r="B63" s="12" t="str">
        <f t="shared" si="3"/>
        <v>Percent</v>
      </c>
      <c r="C63" s="12"/>
      <c r="D63" s="52"/>
      <c r="E63" s="52"/>
      <c r="F63" s="52"/>
      <c r="G63" s="52"/>
      <c r="H63" s="52"/>
      <c r="I63" s="27">
        <f>I54/$I$55</f>
        <v>8.8890272245096356E-3</v>
      </c>
    </row>
    <row r="64" spans="1:10" ht="16.5" x14ac:dyDescent="0.3">
      <c r="A64" s="12" t="str">
        <f t="shared" ref="A64" si="4">A55</f>
        <v>TOTAL</v>
      </c>
      <c r="B64" s="12" t="str">
        <f t="shared" si="3"/>
        <v>Percent</v>
      </c>
      <c r="C64" s="12"/>
      <c r="D64" s="52"/>
      <c r="E64" s="52"/>
      <c r="F64" s="52"/>
      <c r="G64" s="52"/>
      <c r="H64" s="52"/>
      <c r="I64" s="27">
        <f>SUM(I58:I63)</f>
        <v>1</v>
      </c>
    </row>
    <row r="65" spans="1:10" ht="16.5" x14ac:dyDescent="0.3">
      <c r="A65" s="38"/>
      <c r="B65" s="38"/>
      <c r="C65" s="75"/>
      <c r="D65" s="38"/>
      <c r="E65" s="38"/>
      <c r="F65" s="38"/>
      <c r="G65" s="38"/>
      <c r="H65" s="38"/>
      <c r="I65" s="60"/>
    </row>
    <row r="66" spans="1:10" ht="16.5" x14ac:dyDescent="0.3">
      <c r="A66" s="12" t="str">
        <f>A58</f>
        <v>Operating and maintenance expenses</v>
      </c>
      <c r="B66" s="12" t="str">
        <f t="shared" si="3"/>
        <v>Percent</v>
      </c>
      <c r="C66" s="12"/>
      <c r="D66" s="38"/>
      <c r="E66" s="38"/>
      <c r="F66" s="38"/>
      <c r="G66" s="38"/>
      <c r="H66" s="38"/>
      <c r="I66" s="68">
        <f>I58/SUM($I$58:$I$59,$I$61:$I$63)</f>
        <v>0.87589674326115008</v>
      </c>
    </row>
    <row r="67" spans="1:10" ht="16.5" x14ac:dyDescent="0.3">
      <c r="A67" s="12" t="str">
        <f t="shared" ref="A67" si="5">A59</f>
        <v>Management fees and expenses</v>
      </c>
      <c r="B67" s="12" t="str">
        <f t="shared" si="3"/>
        <v>Percent</v>
      </c>
      <c r="C67" s="12"/>
      <c r="D67" s="38"/>
      <c r="E67" s="38"/>
      <c r="F67" s="38"/>
      <c r="G67" s="38"/>
      <c r="H67" s="38"/>
      <c r="I67" s="68">
        <f t="shared" ref="I67" si="6">I59/SUM($I$58:$I$59,$I$61:$I$63)</f>
        <v>0.1093356558823689</v>
      </c>
    </row>
    <row r="68" spans="1:10" ht="16.5" x14ac:dyDescent="0.3">
      <c r="A68" s="12" t="str">
        <f>A61</f>
        <v>Tax on property and capital</v>
      </c>
      <c r="B68" s="12" t="str">
        <f t="shared" si="3"/>
        <v>Percent</v>
      </c>
      <c r="C68" s="12"/>
      <c r="D68" s="38"/>
      <c r="E68" s="38"/>
      <c r="F68" s="38"/>
      <c r="G68" s="38"/>
      <c r="H68" s="38"/>
      <c r="I68" s="68">
        <f>I61/SUM($I$58:$I$59,$I$61:$I$63)</f>
        <v>2.0776371664108107E-3</v>
      </c>
    </row>
    <row r="69" spans="1:10" ht="16.5" x14ac:dyDescent="0.3">
      <c r="A69" s="12" t="str">
        <f>A62</f>
        <v>Accounting/audit fees</v>
      </c>
      <c r="B69" s="12" t="str">
        <f t="shared" si="3"/>
        <v>Percent</v>
      </c>
      <c r="C69" s="12"/>
      <c r="D69" s="38"/>
      <c r="E69" s="38"/>
      <c r="F69" s="38"/>
      <c r="G69" s="38"/>
      <c r="H69" s="38"/>
      <c r="I69" s="68">
        <f t="shared" ref="I69:I70" si="7">I62/SUM($I$58:$I$59,$I$61:$I$63)</f>
        <v>2.8567511038148645E-3</v>
      </c>
    </row>
    <row r="70" spans="1:10" ht="16.5" x14ac:dyDescent="0.3">
      <c r="A70" s="12" t="str">
        <f>A63</f>
        <v>Other</v>
      </c>
      <c r="B70" s="12" t="str">
        <f t="shared" si="3"/>
        <v>Percent</v>
      </c>
      <c r="C70" s="12"/>
      <c r="D70" s="38"/>
      <c r="E70" s="38"/>
      <c r="F70" s="38"/>
      <c r="G70" s="38"/>
      <c r="H70" s="38"/>
      <c r="I70" s="68">
        <f t="shared" si="7"/>
        <v>9.8332125862553126E-3</v>
      </c>
    </row>
    <row r="71" spans="1:10" ht="16.5" x14ac:dyDescent="0.3">
      <c r="A71" s="12" t="str">
        <f>A64</f>
        <v>TOTAL</v>
      </c>
      <c r="B71" s="12" t="str">
        <f t="shared" si="3"/>
        <v>Percent</v>
      </c>
      <c r="C71" s="12"/>
      <c r="D71" s="38"/>
      <c r="E71" s="38"/>
      <c r="F71" s="38"/>
      <c r="G71" s="38"/>
      <c r="H71" s="38"/>
      <c r="I71" s="68">
        <f>SUM(I66:I70)</f>
        <v>1</v>
      </c>
    </row>
    <row r="72" spans="1:10" ht="16.5" x14ac:dyDescent="0.3">
      <c r="A72" s="38"/>
      <c r="B72" s="38"/>
      <c r="C72" s="75"/>
      <c r="D72" s="38"/>
      <c r="E72" s="38"/>
      <c r="F72" s="38"/>
      <c r="G72" s="38"/>
      <c r="H72" s="38"/>
      <c r="I72" s="60"/>
    </row>
    <row r="73" spans="1:10" ht="16.5" x14ac:dyDescent="0.3">
      <c r="A73" s="38"/>
      <c r="B73" s="38"/>
      <c r="C73" s="75"/>
      <c r="D73" s="38"/>
      <c r="E73" s="38"/>
      <c r="F73" s="38"/>
      <c r="G73" s="38"/>
      <c r="H73" s="38"/>
      <c r="I73" s="60"/>
    </row>
    <row r="74" spans="1:10" ht="16.5" x14ac:dyDescent="0.3">
      <c r="A74" s="38"/>
      <c r="B74" s="38"/>
      <c r="C74" s="75"/>
      <c r="D74" s="38"/>
      <c r="E74" s="38"/>
      <c r="F74" s="38"/>
      <c r="G74" s="38"/>
      <c r="H74" s="38"/>
      <c r="I74" s="60"/>
    </row>
    <row r="75" spans="1:10" ht="16.5" x14ac:dyDescent="0.3">
      <c r="A75" s="38"/>
      <c r="B75" s="38"/>
      <c r="C75" s="75"/>
      <c r="D75" s="38"/>
      <c r="E75" s="38"/>
      <c r="F75" s="38"/>
      <c r="G75" s="38"/>
      <c r="H75" s="38"/>
      <c r="I75" s="60"/>
    </row>
    <row r="76" spans="1:10" ht="16.5" x14ac:dyDescent="0.3">
      <c r="A76" s="38"/>
      <c r="B76" s="38"/>
      <c r="C76" s="75"/>
      <c r="D76" s="38"/>
      <c r="E76" s="38"/>
      <c r="F76" s="38"/>
      <c r="G76" s="38"/>
      <c r="H76" s="38"/>
      <c r="I76" s="60"/>
    </row>
    <row r="78" spans="1:10" ht="20.25" thickBot="1" x14ac:dyDescent="0.35">
      <c r="A78" s="4" t="s">
        <v>80</v>
      </c>
      <c r="J78" s="7" t="s">
        <v>26</v>
      </c>
    </row>
    <row r="79" spans="1:10" ht="17.25" thickTop="1" x14ac:dyDescent="0.3">
      <c r="A79" s="10" t="s">
        <v>115</v>
      </c>
      <c r="B79" s="10" t="s">
        <v>9</v>
      </c>
      <c r="C79" s="10"/>
      <c r="D79" s="11">
        <v>1071291.4101704119</v>
      </c>
      <c r="E79" s="11">
        <v>674124.27345378941</v>
      </c>
      <c r="F79" s="11">
        <v>866970.21908144781</v>
      </c>
      <c r="G79" s="11">
        <v>1045868.0467500002</v>
      </c>
      <c r="H79" s="11">
        <v>1097983.5599999998</v>
      </c>
      <c r="J79" s="13">
        <f>SUM(D79:H79)</f>
        <v>4756237.5094556492</v>
      </c>
    </row>
    <row r="80" spans="1:10" ht="16.5" x14ac:dyDescent="0.3">
      <c r="A80" s="54" t="s">
        <v>114</v>
      </c>
      <c r="B80" s="54" t="s">
        <v>9</v>
      </c>
      <c r="C80" s="54"/>
      <c r="D80" s="63">
        <f>(D19+D20)*1000</f>
        <v>25000</v>
      </c>
      <c r="E80" s="63">
        <f t="shared" ref="E80:H80" si="8">(E19+E20)*1000</f>
        <v>10000</v>
      </c>
      <c r="F80" s="63">
        <f t="shared" si="8"/>
        <v>14000</v>
      </c>
      <c r="G80" s="63">
        <f t="shared" si="8"/>
        <v>10000</v>
      </c>
      <c r="H80" s="63">
        <f t="shared" si="8"/>
        <v>11000</v>
      </c>
      <c r="J80" s="13">
        <f>SUM(D80:H80)</f>
        <v>70000</v>
      </c>
    </row>
    <row r="81" spans="1:10" ht="16.5" x14ac:dyDescent="0.3">
      <c r="A81" s="12" t="s">
        <v>100</v>
      </c>
      <c r="B81" s="12" t="s">
        <v>9</v>
      </c>
      <c r="C81" s="12"/>
      <c r="D81" s="51">
        <f>SUM(D79:D80)</f>
        <v>1096291.4101704119</v>
      </c>
      <c r="E81" s="51">
        <f t="shared" ref="E81:J81" si="9">SUM(E79:E80)</f>
        <v>684124.27345378941</v>
      </c>
      <c r="F81" s="51">
        <f t="shared" si="9"/>
        <v>880970.21908144781</v>
      </c>
      <c r="G81" s="51">
        <f t="shared" si="9"/>
        <v>1055868.0467500002</v>
      </c>
      <c r="H81" s="51">
        <f t="shared" si="9"/>
        <v>1108983.5599999998</v>
      </c>
      <c r="J81" s="51">
        <f t="shared" si="9"/>
        <v>4826237.5094556492</v>
      </c>
    </row>
    <row r="82" spans="1:10" ht="16.5" x14ac:dyDescent="0.3">
      <c r="A82" s="54" t="s">
        <v>81</v>
      </c>
      <c r="B82" s="54" t="s">
        <v>9</v>
      </c>
      <c r="C82" s="54"/>
      <c r="D82" s="1">
        <f>D23*1000</f>
        <v>3998700.5840000003</v>
      </c>
      <c r="E82" s="1">
        <f>E23*1000</f>
        <v>3216623.659</v>
      </c>
      <c r="F82" s="1">
        <f>F23*1000</f>
        <v>3663246.2289999998</v>
      </c>
      <c r="G82" s="1">
        <f>G23*1000</f>
        <v>3964159.551</v>
      </c>
      <c r="H82" s="1">
        <f>H23*1000</f>
        <v>4259527.959999999</v>
      </c>
      <c r="J82" s="1">
        <f>SUM(D82:I82)</f>
        <v>19102257.983000003</v>
      </c>
    </row>
    <row r="83" spans="1:10" ht="16.5" x14ac:dyDescent="0.3">
      <c r="A83" s="12" t="s">
        <v>82</v>
      </c>
      <c r="B83" s="12" t="s">
        <v>98</v>
      </c>
      <c r="C83" s="12"/>
      <c r="D83" s="61">
        <f>D81/D82</f>
        <v>0.27416191513738303</v>
      </c>
      <c r="E83" s="61">
        <f t="shared" ref="E83:J83" si="10">E81/E82</f>
        <v>0.21268396492068126</v>
      </c>
      <c r="F83" s="61">
        <f t="shared" si="10"/>
        <v>0.24048894450699723</v>
      </c>
      <c r="G83" s="61">
        <f t="shared" si="10"/>
        <v>0.26635356956902673</v>
      </c>
      <c r="H83" s="61">
        <f t="shared" si="10"/>
        <v>0.26035362848046667</v>
      </c>
      <c r="J83" s="61">
        <f t="shared" si="10"/>
        <v>0.25265272376442327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workbookViewId="0">
      <selection activeCell="E15" sqref="E15"/>
    </sheetView>
  </sheetViews>
  <sheetFormatPr defaultColWidth="14" defaultRowHeight="13.5" x14ac:dyDescent="0.25"/>
  <cols>
    <col min="1" max="1" width="73.375" style="7" customWidth="1"/>
    <col min="2" max="3" width="17.75" style="7" customWidth="1"/>
    <col min="4" max="4" width="18.5" style="7" customWidth="1"/>
    <col min="5" max="5" width="22.5" style="7" customWidth="1"/>
    <col min="6" max="8" width="20.875" style="7" customWidth="1"/>
    <col min="9" max="9" width="22.5" style="7" customWidth="1"/>
    <col min="10" max="10" width="16.25" style="7" customWidth="1"/>
    <col min="11" max="11" width="14" style="7"/>
    <col min="12" max="12" width="16.5" style="7" customWidth="1"/>
    <col min="13" max="14" width="14" style="7"/>
    <col min="15" max="15" width="15.5" style="7" customWidth="1"/>
    <col min="16" max="16384" width="14" style="7"/>
  </cols>
  <sheetData>
    <row r="1" spans="1:15" s="2" customFormat="1" x14ac:dyDescent="0.25"/>
    <row r="2" spans="1:15" s="2" customFormat="1" x14ac:dyDescent="0.25"/>
    <row r="3" spans="1:15" s="2" customFormat="1" x14ac:dyDescent="0.25"/>
    <row r="4" spans="1:15" s="2" customFormat="1" x14ac:dyDescent="0.25"/>
    <row r="5" spans="1:15" s="2" customFormat="1" x14ac:dyDescent="0.25"/>
    <row r="6" spans="1:15" s="2" customFormat="1" x14ac:dyDescent="0.25"/>
    <row r="7" spans="1:15" s="2" customFormat="1" x14ac:dyDescent="0.25"/>
    <row r="8" spans="1:15" s="2" customFormat="1" x14ac:dyDescent="0.25"/>
    <row r="9" spans="1:15" s="2" customFormat="1" ht="14.25" thickBot="1" x14ac:dyDescent="0.3"/>
    <row r="10" spans="1:15" s="6" customFormat="1" ht="24.75" thickTop="1" thickBot="1" x14ac:dyDescent="0.4">
      <c r="A10" s="19" t="str">
        <f ca="1">RIGHT(CELL("filename",A1),LEN(CELL("filename",A1))-FIND("]",CELL("filename",A1)))</f>
        <v>Input│ Other</v>
      </c>
      <c r="B10" s="19"/>
      <c r="C10" s="19"/>
      <c r="D10" s="19"/>
      <c r="E10" s="19"/>
      <c r="F10" s="19"/>
      <c r="G10" s="19"/>
      <c r="H10" s="19"/>
      <c r="I10" s="19"/>
      <c r="J10" s="19"/>
    </row>
    <row r="11" spans="1:15" ht="21" thickTop="1" thickBot="1" x14ac:dyDescent="0.35">
      <c r="A11" s="4" t="s">
        <v>42</v>
      </c>
      <c r="B11" s="4" t="s">
        <v>0</v>
      </c>
      <c r="C11" s="5" t="s">
        <v>40</v>
      </c>
      <c r="D11" s="5" t="s">
        <v>1</v>
      </c>
      <c r="E11" s="5" t="s">
        <v>2</v>
      </c>
      <c r="F11" s="5" t="s">
        <v>3</v>
      </c>
      <c r="G11" s="5" t="s">
        <v>4</v>
      </c>
      <c r="H11" s="5" t="s">
        <v>5</v>
      </c>
      <c r="I11" s="5" t="s">
        <v>17</v>
      </c>
      <c r="J11" s="5" t="s">
        <v>18</v>
      </c>
      <c r="K11" s="5" t="s">
        <v>19</v>
      </c>
      <c r="L11" s="5" t="s">
        <v>20</v>
      </c>
      <c r="M11" s="5" t="s">
        <v>21</v>
      </c>
      <c r="N11" s="5" t="s">
        <v>22</v>
      </c>
      <c r="O11" s="5" t="s">
        <v>41</v>
      </c>
    </row>
    <row r="12" spans="1:15" ht="17.25" thickTop="1" x14ac:dyDescent="0.3">
      <c r="A12" s="10" t="s">
        <v>43</v>
      </c>
      <c r="B12" s="10" t="s">
        <v>43</v>
      </c>
      <c r="C12" s="29">
        <v>41334</v>
      </c>
      <c r="D12" s="29">
        <f t="shared" ref="D12:J12" si="0">DATE(YEAR(C12)+1,MONTH(C12),DAY(C12))</f>
        <v>41699</v>
      </c>
      <c r="E12" s="29">
        <f t="shared" si="0"/>
        <v>42064</v>
      </c>
      <c r="F12" s="29">
        <f t="shared" si="0"/>
        <v>42430</v>
      </c>
      <c r="G12" s="29">
        <f t="shared" si="0"/>
        <v>42795</v>
      </c>
      <c r="H12" s="29">
        <f t="shared" si="0"/>
        <v>43160</v>
      </c>
      <c r="I12" s="29">
        <f t="shared" si="0"/>
        <v>43525</v>
      </c>
      <c r="J12" s="29">
        <f t="shared" si="0"/>
        <v>43891</v>
      </c>
      <c r="K12" s="29">
        <f t="shared" ref="K12:O12" si="1">DATE(YEAR(J12)+1,MONTH(J12),DAY(J12))</f>
        <v>44256</v>
      </c>
      <c r="L12" s="29">
        <f t="shared" si="1"/>
        <v>44621</v>
      </c>
      <c r="M12" s="29">
        <f t="shared" si="1"/>
        <v>44986</v>
      </c>
      <c r="N12" s="29">
        <f t="shared" si="1"/>
        <v>45352</v>
      </c>
      <c r="O12" s="29">
        <f t="shared" si="1"/>
        <v>45717</v>
      </c>
    </row>
    <row r="13" spans="1:15" ht="16.5" x14ac:dyDescent="0.3">
      <c r="A13" s="10" t="s">
        <v>44</v>
      </c>
      <c r="B13" s="10" t="s">
        <v>45</v>
      </c>
      <c r="C13" s="30">
        <v>102.4</v>
      </c>
      <c r="D13" s="30">
        <v>105.4</v>
      </c>
      <c r="E13" s="30">
        <v>106.8</v>
      </c>
      <c r="F13" s="30">
        <v>108.2</v>
      </c>
      <c r="G13" s="30">
        <v>110.5</v>
      </c>
      <c r="H13" s="30">
        <v>112.6</v>
      </c>
      <c r="I13" s="31">
        <f>H13*1.025</f>
        <v>115.41499999999998</v>
      </c>
      <c r="J13" s="31">
        <f>I13*1.025</f>
        <v>118.30037499999997</v>
      </c>
      <c r="K13" s="31">
        <f t="shared" ref="K13:O13" si="2">J13*1.025</f>
        <v>121.25788437499996</v>
      </c>
      <c r="L13" s="31">
        <f t="shared" si="2"/>
        <v>124.28933148437496</v>
      </c>
      <c r="M13" s="31">
        <f t="shared" si="2"/>
        <v>127.39656477148432</v>
      </c>
      <c r="N13" s="31">
        <f t="shared" si="2"/>
        <v>130.58147889077142</v>
      </c>
      <c r="O13" s="31">
        <f t="shared" si="2"/>
        <v>133.84601586304069</v>
      </c>
    </row>
    <row r="14" spans="1:15" x14ac:dyDescent="0.25">
      <c r="A14" s="14" t="s">
        <v>46</v>
      </c>
    </row>
    <row r="15" spans="1:15" ht="16.5" x14ac:dyDescent="0.3">
      <c r="A15" s="12" t="str">
        <f>"Inflation Index (base "&amp;J11&amp;")"</f>
        <v>Inflation Index (base 2019/20)</v>
      </c>
      <c r="B15" s="12" t="s">
        <v>45</v>
      </c>
      <c r="C15" s="31">
        <f t="shared" ref="C15:I15" si="3">C13/$J$13</f>
        <v>0.86559319866906614</v>
      </c>
      <c r="D15" s="31">
        <f t="shared" si="3"/>
        <v>0.89095237441132391</v>
      </c>
      <c r="E15" s="31">
        <f t="shared" si="3"/>
        <v>0.9027866564243775</v>
      </c>
      <c r="F15" s="31">
        <f t="shared" si="3"/>
        <v>0.9146209384374312</v>
      </c>
      <c r="G15" s="31">
        <f t="shared" si="3"/>
        <v>0.93406297317316211</v>
      </c>
      <c r="H15" s="31">
        <f t="shared" si="3"/>
        <v>0.95181439619274255</v>
      </c>
      <c r="I15" s="31">
        <f t="shared" si="3"/>
        <v>0.97560975609756095</v>
      </c>
      <c r="J15" s="31">
        <f>J13/$J$13</f>
        <v>1</v>
      </c>
      <c r="K15" s="31">
        <f t="shared" ref="K15:O15" si="4">K13/$J$13</f>
        <v>1.0249999999999999</v>
      </c>
      <c r="L15" s="31">
        <f t="shared" si="4"/>
        <v>1.0506249999999999</v>
      </c>
      <c r="M15" s="31">
        <f t="shared" si="4"/>
        <v>1.0768906249999999</v>
      </c>
      <c r="N15" s="31">
        <f t="shared" si="4"/>
        <v>1.1038128906249998</v>
      </c>
      <c r="O15" s="31">
        <f t="shared" si="4"/>
        <v>1.1314082128906247</v>
      </c>
    </row>
    <row r="16" spans="1:15" ht="16.5" x14ac:dyDescent="0.3">
      <c r="A16" s="12" t="str">
        <f>"Inflation Index (base "&amp;E11&amp;")"</f>
        <v>Inflation Index (base 2014/15)</v>
      </c>
      <c r="B16" s="12" t="s">
        <v>45</v>
      </c>
      <c r="C16" s="31">
        <f>C13/$E$13</f>
        <v>0.95880149812734095</v>
      </c>
      <c r="D16" s="31">
        <f>D13/$E$13</f>
        <v>0.98689138576779034</v>
      </c>
      <c r="E16" s="30">
        <v>1</v>
      </c>
      <c r="F16" s="31">
        <f>F13/$E$13</f>
        <v>1.0131086142322099</v>
      </c>
      <c r="G16" s="31">
        <f>G13/$E$13</f>
        <v>1.0346441947565543</v>
      </c>
      <c r="H16" s="31">
        <f>H13/$E$13</f>
        <v>1.0543071161048689</v>
      </c>
      <c r="I16" s="31">
        <f>I13/$E$13</f>
        <v>1.0806647940074905</v>
      </c>
      <c r="J16" s="31">
        <f>J13/$E$13</f>
        <v>1.1076814138576776</v>
      </c>
      <c r="K16" s="31">
        <f t="shared" ref="K16:O16" si="5">K13/$E$13</f>
        <v>1.1353734492041194</v>
      </c>
      <c r="L16" s="31">
        <f t="shared" si="5"/>
        <v>1.1637577854342225</v>
      </c>
      <c r="M16" s="31">
        <f t="shared" si="5"/>
        <v>1.1928517300700781</v>
      </c>
      <c r="N16" s="31">
        <f t="shared" si="5"/>
        <v>1.2226730233218299</v>
      </c>
      <c r="O16" s="31">
        <f t="shared" si="5"/>
        <v>1.2532398489048755</v>
      </c>
    </row>
    <row r="17" spans="1:10" ht="16.5" x14ac:dyDescent="0.3">
      <c r="A17" s="12" t="s">
        <v>47</v>
      </c>
      <c r="B17" s="12" t="s">
        <v>39</v>
      </c>
      <c r="C17" s="12"/>
      <c r="D17" s="12"/>
      <c r="E17" s="31"/>
      <c r="F17" s="32">
        <v>2.5499999999999998E-2</v>
      </c>
      <c r="G17" s="32">
        <v>2.5499999999999998E-2</v>
      </c>
      <c r="H17" s="32">
        <v>2.5499999999999998E-2</v>
      </c>
      <c r="I17" s="32">
        <v>2.5499999999999998E-2</v>
      </c>
      <c r="J17" s="32">
        <v>2.5499999999999998E-2</v>
      </c>
    </row>
    <row r="18" spans="1:10" ht="16.5" x14ac:dyDescent="0.3">
      <c r="A18" s="12" t="s">
        <v>48</v>
      </c>
      <c r="B18" s="12" t="s">
        <v>45</v>
      </c>
      <c r="C18" s="12"/>
      <c r="D18" s="12"/>
      <c r="E18" s="30">
        <v>1</v>
      </c>
      <c r="F18" s="31">
        <f>E18*(1+F17)</f>
        <v>1.0255000000000001</v>
      </c>
      <c r="G18" s="31">
        <f>F18*(1+G17)</f>
        <v>1.0516502500000002</v>
      </c>
      <c r="H18" s="31">
        <f>G18*(1+H17)</f>
        <v>1.0784673313750004</v>
      </c>
      <c r="I18" s="31">
        <f>H18*(1+I17)</f>
        <v>1.105968248325063</v>
      </c>
      <c r="J18" s="31">
        <f>I18*(1+J17)</f>
        <v>1.1341704386573521</v>
      </c>
    </row>
    <row r="19" spans="1:10" ht="14.25" thickBot="1" x14ac:dyDescent="0.3">
      <c r="I19" s="28"/>
      <c r="J19" s="28"/>
    </row>
    <row r="20" spans="1:10" ht="14.25" thickTop="1" x14ac:dyDescent="0.2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activeCell="B27" sqref="B27"/>
    </sheetView>
  </sheetViews>
  <sheetFormatPr defaultRowHeight="16.5" x14ac:dyDescent="0.3"/>
  <cols>
    <col min="1" max="1" width="23.875" customWidth="1"/>
    <col min="2" max="2" width="14.5" customWidth="1"/>
    <col min="3" max="8" width="11" customWidth="1"/>
    <col min="9" max="9" width="13.625" customWidth="1"/>
  </cols>
  <sheetData>
    <row r="1" spans="1:10" s="55" customFormat="1" x14ac:dyDescent="0.3"/>
    <row r="2" spans="1:10" s="55" customFormat="1" x14ac:dyDescent="0.3"/>
    <row r="3" spans="1:10" s="55" customFormat="1" x14ac:dyDescent="0.3"/>
    <row r="4" spans="1:10" s="55" customFormat="1" x14ac:dyDescent="0.3"/>
    <row r="5" spans="1:10" s="55" customFormat="1" x14ac:dyDescent="0.3"/>
    <row r="6" spans="1:10" s="55" customFormat="1" x14ac:dyDescent="0.3"/>
    <row r="9" spans="1:10" s="55" customFormat="1" ht="17.25" thickBot="1" x14ac:dyDescent="0.35"/>
    <row r="10" spans="1:10" s="55" customFormat="1" ht="24.75" thickTop="1" thickBot="1" x14ac:dyDescent="0.4">
      <c r="A10" s="19" t="str">
        <f ca="1">RIGHT(CELL("filename",A1),LEN(CELL("filename",A1))-FIND("]",CELL("filename",A1)))</f>
        <v>Input│ Forecast</v>
      </c>
      <c r="B10" s="19"/>
      <c r="C10" s="19"/>
      <c r="D10" s="19"/>
      <c r="E10" s="19"/>
      <c r="F10" s="19"/>
      <c r="G10" s="19"/>
      <c r="H10" s="19"/>
      <c r="I10" s="19"/>
      <c r="J10" s="19"/>
    </row>
    <row r="11" spans="1:10" s="55" customFormat="1" ht="21" thickTop="1" thickBot="1" x14ac:dyDescent="0.35">
      <c r="A11" s="4" t="s">
        <v>84</v>
      </c>
      <c r="B11" s="4"/>
      <c r="C11" s="4" t="s">
        <v>17</v>
      </c>
      <c r="D11" s="4" t="s">
        <v>18</v>
      </c>
      <c r="E11" s="4" t="s">
        <v>19</v>
      </c>
      <c r="F11" s="4" t="s">
        <v>20</v>
      </c>
      <c r="G11" s="4" t="s">
        <v>21</v>
      </c>
      <c r="H11" s="4" t="s">
        <v>22</v>
      </c>
      <c r="I11" s="4" t="s">
        <v>41</v>
      </c>
    </row>
    <row r="12" spans="1:10" s="55" customFormat="1" ht="17.25" thickTop="1" x14ac:dyDescent="0.3">
      <c r="A12" s="10" t="s">
        <v>86</v>
      </c>
      <c r="C12" s="73">
        <v>2.4123693250902134E-2</v>
      </c>
      <c r="D12" s="73">
        <f>C12</f>
        <v>2.4123693250902134E-2</v>
      </c>
      <c r="E12" s="73">
        <f t="shared" ref="E12:I12" si="0">D12</f>
        <v>2.4123693250902134E-2</v>
      </c>
      <c r="F12" s="73">
        <f t="shared" si="0"/>
        <v>2.4123693250902134E-2</v>
      </c>
      <c r="G12" s="73">
        <f t="shared" si="0"/>
        <v>2.4123693250902134E-2</v>
      </c>
      <c r="H12" s="73">
        <f t="shared" si="0"/>
        <v>2.4123693250902134E-2</v>
      </c>
      <c r="I12" s="73">
        <f t="shared" si="0"/>
        <v>2.4123693250902134E-2</v>
      </c>
    </row>
    <row r="13" spans="1:10" s="55" customFormat="1" x14ac:dyDescent="0.3">
      <c r="A13" s="12" t="s">
        <v>87</v>
      </c>
      <c r="B13" s="12">
        <v>1</v>
      </c>
      <c r="C13" s="12">
        <f>B13*(1+C12)</f>
        <v>1.0241236932509021</v>
      </c>
      <c r="D13" s="12">
        <f>C13*(1+D12)</f>
        <v>1.0488293390778678</v>
      </c>
      <c r="E13" s="12">
        <f t="shared" ref="E13:I13" si="1">D13*(1+E12)</f>
        <v>1.0741309763263287</v>
      </c>
      <c r="F13" s="12">
        <f t="shared" si="1"/>
        <v>1.1000429825105171</v>
      </c>
      <c r="G13" s="12">
        <f t="shared" si="1"/>
        <v>1.1265800819834084</v>
      </c>
      <c r="H13" s="12">
        <f t="shared" si="1"/>
        <v>1.1537573543037523</v>
      </c>
      <c r="I13" s="12">
        <f t="shared" si="1"/>
        <v>1.1815902428049483</v>
      </c>
    </row>
    <row r="14" spans="1:10" x14ac:dyDescent="0.3">
      <c r="A14" s="55"/>
      <c r="B14" s="55"/>
      <c r="C14" s="55"/>
      <c r="D14" s="75"/>
      <c r="E14" s="55"/>
      <c r="F14" s="55"/>
      <c r="G14" s="55"/>
      <c r="H14" s="55"/>
      <c r="I14" s="38"/>
      <c r="J14" s="55"/>
    </row>
    <row r="15" spans="1:10" s="7" customFormat="1" x14ac:dyDescent="0.3">
      <c r="A15"/>
      <c r="B15"/>
      <c r="C15"/>
      <c r="D15"/>
      <c r="E15"/>
      <c r="F15"/>
      <c r="G15"/>
      <c r="H15"/>
      <c r="I15" s="38"/>
      <c r="J15"/>
    </row>
    <row r="16" spans="1:10" s="7" customFormat="1" ht="20.25" thickBot="1" x14ac:dyDescent="0.35">
      <c r="A16" s="4" t="s">
        <v>79</v>
      </c>
      <c r="B16" s="4"/>
      <c r="C16" s="4"/>
      <c r="D16" s="4"/>
      <c r="E16" s="4"/>
      <c r="F16" s="4"/>
      <c r="G16" s="4"/>
      <c r="H16" s="4"/>
      <c r="I16" s="4"/>
    </row>
    <row r="17" spans="1:13" s="7" customFormat="1" ht="17.25" thickTop="1" x14ac:dyDescent="0.3">
      <c r="A17" s="10" t="s">
        <v>83</v>
      </c>
      <c r="B17" s="10" t="s">
        <v>85</v>
      </c>
      <c r="C17" s="72">
        <f>D17/(E17/D17)</f>
        <v>408348.22292862384</v>
      </c>
      <c r="D17" s="72">
        <v>445345.32150924025</v>
      </c>
      <c r="E17" s="72">
        <v>485694.42513488198</v>
      </c>
      <c r="F17" s="72">
        <v>529805.88126539788</v>
      </c>
      <c r="G17" s="72">
        <v>564557.27948624128</v>
      </c>
      <c r="H17" s="72">
        <v>588936.00490784645</v>
      </c>
      <c r="I17" s="72">
        <v>599406.09421098465</v>
      </c>
      <c r="M17" s="74"/>
    </row>
    <row r="18" spans="1:13" s="7" customFormat="1" ht="13.5" x14ac:dyDescent="0.25"/>
    <row r="19" spans="1:13" s="7" customFormat="1" ht="20.25" thickBot="1" x14ac:dyDescent="0.35">
      <c r="A19" s="4" t="s">
        <v>23</v>
      </c>
      <c r="B19" s="4"/>
      <c r="C19" s="4"/>
      <c r="D19" s="4"/>
      <c r="E19" s="4"/>
      <c r="F19" s="4"/>
      <c r="G19" s="4"/>
      <c r="H19" s="4"/>
      <c r="I19" s="4"/>
    </row>
    <row r="20" spans="1:13" s="7" customFormat="1" ht="17.25" thickTop="1" x14ac:dyDescent="0.3">
      <c r="A20" s="10"/>
      <c r="B20" s="10"/>
      <c r="C20" s="10"/>
      <c r="D20" s="10"/>
      <c r="E20" s="10"/>
      <c r="F20" s="10"/>
      <c r="G20" s="10"/>
      <c r="H20" s="10"/>
      <c r="I20" s="10"/>
    </row>
    <row r="21" spans="1:13" x14ac:dyDescent="0.3">
      <c r="A21" s="12" t="s">
        <v>24</v>
      </c>
      <c r="B21" s="12"/>
      <c r="C21" s="12">
        <f t="shared" ref="C21:I21" si="2">SUM(C20)</f>
        <v>0</v>
      </c>
      <c r="D21" s="12">
        <f t="shared" si="2"/>
        <v>0</v>
      </c>
      <c r="E21" s="12">
        <f t="shared" si="2"/>
        <v>0</v>
      </c>
      <c r="F21" s="12">
        <f t="shared" si="2"/>
        <v>0</v>
      </c>
      <c r="G21" s="12">
        <f t="shared" si="2"/>
        <v>0</v>
      </c>
      <c r="H21" s="12">
        <f t="shared" si="2"/>
        <v>0</v>
      </c>
      <c r="I21" s="12">
        <f t="shared" si="2"/>
        <v>0</v>
      </c>
      <c r="J21" s="7"/>
    </row>
    <row r="22" spans="1:13" x14ac:dyDescent="0.3">
      <c r="A22" s="38"/>
      <c r="B22" s="38"/>
      <c r="C22" s="38"/>
      <c r="D22" s="38"/>
      <c r="E22" s="38"/>
      <c r="F22" s="38"/>
      <c r="G22" s="38"/>
      <c r="H22" s="38"/>
      <c r="I22" s="38"/>
    </row>
    <row r="23" spans="1:13" ht="20.25" thickBot="1" x14ac:dyDescent="0.35">
      <c r="A23" s="4" t="s">
        <v>95</v>
      </c>
      <c r="B23" s="4"/>
      <c r="C23" s="4"/>
      <c r="D23" s="4"/>
      <c r="E23" s="4"/>
      <c r="F23" s="4"/>
      <c r="G23" s="4"/>
      <c r="H23" s="4"/>
      <c r="I23" s="4"/>
    </row>
    <row r="24" spans="1:13" ht="17.25" thickTop="1" x14ac:dyDescent="0.3">
      <c r="A24" s="10" t="s">
        <v>96</v>
      </c>
      <c r="B24" s="10" t="s">
        <v>98</v>
      </c>
      <c r="C24" s="10">
        <v>-0.1</v>
      </c>
      <c r="D24" s="10">
        <v>0</v>
      </c>
      <c r="E24" s="10">
        <v>0.1</v>
      </c>
      <c r="F24" s="10">
        <v>0.6</v>
      </c>
      <c r="G24" s="10">
        <v>0.8</v>
      </c>
      <c r="H24" s="10">
        <v>0.8</v>
      </c>
      <c r="I24" s="12">
        <f>H24</f>
        <v>0.8</v>
      </c>
    </row>
    <row r="25" spans="1:13" x14ac:dyDescent="0.3">
      <c r="A25" s="12" t="s">
        <v>45</v>
      </c>
      <c r="B25" s="12"/>
      <c r="C25" s="12">
        <f>1*(1+C24%)</f>
        <v>0.999</v>
      </c>
      <c r="D25" s="12">
        <f>C25*(1+D24%)</f>
        <v>0.999</v>
      </c>
      <c r="E25" s="12">
        <f t="shared" ref="E25:I25" si="3">D25*(1+E24%)</f>
        <v>0.99999899999999986</v>
      </c>
      <c r="F25" s="12">
        <f t="shared" si="3"/>
        <v>1.0059989939999998</v>
      </c>
      <c r="G25" s="12">
        <f t="shared" si="3"/>
        <v>1.0140469859519998</v>
      </c>
      <c r="H25" s="12">
        <f t="shared" si="3"/>
        <v>1.0221593618396159</v>
      </c>
      <c r="I25" s="12">
        <f t="shared" si="3"/>
        <v>1.0303366367343327</v>
      </c>
    </row>
    <row r="26" spans="1:13" x14ac:dyDescent="0.3">
      <c r="A26" s="14" t="s">
        <v>97</v>
      </c>
      <c r="B26" s="14" t="s">
        <v>134</v>
      </c>
      <c r="C26" s="14"/>
      <c r="D26" s="14"/>
      <c r="E26" s="14"/>
      <c r="F26" s="14"/>
      <c r="G26" s="14"/>
      <c r="H26" s="14"/>
      <c r="I26" s="14"/>
      <c r="J26" s="14"/>
    </row>
    <row r="28" spans="1:13" s="7" customFormat="1" ht="20.25" thickBot="1" x14ac:dyDescent="0.35">
      <c r="A28" s="4" t="s">
        <v>49</v>
      </c>
    </row>
    <row r="29" spans="1:13" s="7" customFormat="1" ht="17.25" thickTop="1" x14ac:dyDescent="0.3">
      <c r="A29" s="10" t="s">
        <v>49</v>
      </c>
      <c r="E29" s="20">
        <v>75.471265676249772</v>
      </c>
      <c r="F29" s="20">
        <v>77.693826099686973</v>
      </c>
      <c r="G29" s="20">
        <v>77.94412738923225</v>
      </c>
      <c r="H29" s="20">
        <v>77.476931740724865</v>
      </c>
      <c r="I29" s="20">
        <v>77.507234346826209</v>
      </c>
    </row>
    <row r="30" spans="1:13" x14ac:dyDescent="0.3">
      <c r="C30" s="7"/>
      <c r="D30" s="7"/>
    </row>
    <row r="31" spans="1:13" x14ac:dyDescent="0.3">
      <c r="C31" s="7"/>
      <c r="D31" s="7"/>
    </row>
    <row r="32" spans="1:13" x14ac:dyDescent="0.3">
      <c r="C32" s="7"/>
      <c r="D32" s="7"/>
    </row>
    <row r="33" spans="3:4" x14ac:dyDescent="0.3">
      <c r="C33" s="7"/>
      <c r="D33" s="7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5"/>
  <sheetViews>
    <sheetView topLeftCell="A58" workbookViewId="0">
      <selection activeCell="E79" sqref="E79"/>
    </sheetView>
  </sheetViews>
  <sheetFormatPr defaultColWidth="14" defaultRowHeight="13.5" x14ac:dyDescent="0.25"/>
  <cols>
    <col min="1" max="1" width="50.75" style="7" bestFit="1" customWidth="1"/>
    <col min="2" max="2" width="14.5" style="7" bestFit="1" customWidth="1"/>
    <col min="3" max="10" width="9.75" style="7" bestFit="1" customWidth="1"/>
    <col min="11" max="12" width="14" style="7"/>
    <col min="13" max="13" width="15.5" style="7" customWidth="1"/>
    <col min="14" max="16384" width="14" style="7"/>
  </cols>
  <sheetData>
    <row r="1" spans="1:10" s="2" customFormat="1" x14ac:dyDescent="0.25"/>
    <row r="2" spans="1:10" s="2" customFormat="1" x14ac:dyDescent="0.25"/>
    <row r="3" spans="1:10" s="2" customFormat="1" x14ac:dyDescent="0.25"/>
    <row r="4" spans="1:10" s="2" customFormat="1" x14ac:dyDescent="0.25"/>
    <row r="5" spans="1:10" s="2" customFormat="1" x14ac:dyDescent="0.25"/>
    <row r="6" spans="1:10" s="2" customFormat="1" x14ac:dyDescent="0.25"/>
    <row r="7" spans="1:10" s="2" customFormat="1" x14ac:dyDescent="0.25"/>
    <row r="8" spans="1:10" s="2" customFormat="1" x14ac:dyDescent="0.25"/>
    <row r="9" spans="1:10" s="2" customFormat="1" ht="14.25" thickBot="1" x14ac:dyDescent="0.3"/>
    <row r="10" spans="1:10" s="6" customFormat="1" ht="24.75" thickTop="1" thickBot="1" x14ac:dyDescent="0.4">
      <c r="A10" s="19" t="str">
        <f ca="1">RIGHT(CELL("filename",A1),LEN(CELL("filename",A1))-FIND("]",CELL("filename",A1)))</f>
        <v>Calc│Forecast</v>
      </c>
      <c r="B10" s="19"/>
      <c r="C10" s="19"/>
      <c r="D10" s="19"/>
      <c r="E10" s="19"/>
      <c r="F10" s="19"/>
      <c r="G10" s="19"/>
      <c r="H10" s="19"/>
      <c r="I10" s="19"/>
      <c r="J10" s="19"/>
    </row>
    <row r="11" spans="1:10" ht="21" thickTop="1" thickBot="1" x14ac:dyDescent="0.35">
      <c r="A11" s="4" t="s">
        <v>102</v>
      </c>
      <c r="B11" s="4" t="s">
        <v>0</v>
      </c>
      <c r="C11" s="53" t="s">
        <v>5</v>
      </c>
      <c r="D11" s="53" t="s">
        <v>17</v>
      </c>
      <c r="E11" s="53" t="s">
        <v>18</v>
      </c>
      <c r="F11" s="53" t="s">
        <v>19</v>
      </c>
      <c r="G11" s="53" t="s">
        <v>20</v>
      </c>
      <c r="H11" s="53" t="s">
        <v>21</v>
      </c>
      <c r="I11" s="53" t="s">
        <v>22</v>
      </c>
      <c r="J11" s="53" t="s">
        <v>41</v>
      </c>
    </row>
    <row r="12" spans="1:10" ht="15" thickTop="1" thickBot="1" x14ac:dyDescent="0.3">
      <c r="A12" s="23" t="s">
        <v>50</v>
      </c>
      <c r="B12" s="23"/>
      <c r="C12" s="23"/>
      <c r="D12" s="23"/>
      <c r="E12" s="23"/>
      <c r="F12" s="23"/>
      <c r="G12" s="23"/>
      <c r="H12" s="23"/>
      <c r="I12" s="23"/>
      <c r="J12" s="23"/>
    </row>
    <row r="13" spans="1:10" ht="17.25" thickTop="1" x14ac:dyDescent="0.3">
      <c r="A13" s="12" t="s">
        <v>51</v>
      </c>
      <c r="B13" s="17" t="s">
        <v>106</v>
      </c>
      <c r="C13" s="33">
        <f>'Input│ Historic Opex'!H30</f>
        <v>4475.1665629749996</v>
      </c>
    </row>
    <row r="14" spans="1:10" ht="14.25" thickBot="1" x14ac:dyDescent="0.3">
      <c r="B14" s="23"/>
      <c r="C14" s="23"/>
      <c r="D14" s="23"/>
      <c r="E14" s="23"/>
      <c r="F14" s="23"/>
      <c r="G14" s="23"/>
      <c r="H14" s="23"/>
      <c r="I14" s="23"/>
      <c r="J14" s="23"/>
    </row>
    <row r="15" spans="1:10" ht="15" thickTop="1" thickBot="1" x14ac:dyDescent="0.3">
      <c r="A15" s="34" t="s">
        <v>52</v>
      </c>
      <c r="B15" s="23"/>
      <c r="C15" s="23"/>
      <c r="D15" s="23"/>
      <c r="E15" s="23"/>
      <c r="F15" s="23"/>
      <c r="G15" s="23"/>
      <c r="H15" s="23"/>
      <c r="I15" s="23"/>
      <c r="J15" s="23"/>
    </row>
    <row r="16" spans="1:10" ht="17.25" thickTop="1" x14ac:dyDescent="0.3">
      <c r="A16" s="35"/>
      <c r="B16" s="17"/>
      <c r="C16" s="54"/>
    </row>
    <row r="17" spans="1:10" ht="16.5" x14ac:dyDescent="0.3">
      <c r="A17" s="12" t="s">
        <v>53</v>
      </c>
      <c r="B17" s="33" t="str">
        <f>B13</f>
        <v>Real $2017/18 '000</v>
      </c>
      <c r="C17" s="13">
        <f>SUM(C16)</f>
        <v>0</v>
      </c>
    </row>
    <row r="19" spans="1:10" ht="14.25" thickBot="1" x14ac:dyDescent="0.3">
      <c r="A19" s="23" t="s">
        <v>54</v>
      </c>
      <c r="B19" s="23"/>
      <c r="C19" s="23"/>
      <c r="D19" s="23"/>
      <c r="E19" s="23"/>
      <c r="F19" s="23"/>
      <c r="G19" s="23"/>
      <c r="H19" s="23"/>
      <c r="I19" s="23"/>
      <c r="J19" s="23"/>
    </row>
    <row r="20" spans="1:10" ht="17.25" thickTop="1" x14ac:dyDescent="0.3">
      <c r="A20" s="12" t="s">
        <v>51</v>
      </c>
      <c r="B20" s="33" t="str">
        <f>B17</f>
        <v>Real $2017/18 '000</v>
      </c>
      <c r="C20" s="13">
        <f>C13-C17</f>
        <v>4475.1665629749996</v>
      </c>
    </row>
    <row r="22" spans="1:10" ht="14.25" thickBot="1" x14ac:dyDescent="0.3">
      <c r="A22" s="23" t="s">
        <v>55</v>
      </c>
      <c r="B22" s="23"/>
      <c r="C22" s="23"/>
      <c r="D22" s="23"/>
      <c r="E22" s="23"/>
      <c r="F22" s="23"/>
      <c r="G22" s="23"/>
      <c r="H22" s="23"/>
      <c r="I22" s="23"/>
      <c r="J22" s="23"/>
    </row>
    <row r="23" spans="1:10" ht="17.25" thickTop="1" x14ac:dyDescent="0.3">
      <c r="A23" s="35" t="s">
        <v>11</v>
      </c>
      <c r="B23" s="33" t="str">
        <f>B13</f>
        <v>Real $2017/18 '000</v>
      </c>
      <c r="C23" s="33">
        <v>409.33417799999995</v>
      </c>
    </row>
    <row r="24" spans="1:10" ht="16.5" x14ac:dyDescent="0.3">
      <c r="A24" s="12" t="s">
        <v>56</v>
      </c>
      <c r="B24" s="33" t="str">
        <f>B20</f>
        <v>Real $2017/18 '000</v>
      </c>
      <c r="C24" s="33">
        <f>SUM(C23)</f>
        <v>409.33417799999995</v>
      </c>
    </row>
    <row r="26" spans="1:10" ht="14.25" thickBot="1" x14ac:dyDescent="0.3">
      <c r="A26" s="23" t="s">
        <v>57</v>
      </c>
      <c r="B26" s="23"/>
      <c r="C26" s="23"/>
      <c r="D26" s="23"/>
      <c r="E26" s="23"/>
      <c r="F26" s="23"/>
      <c r="G26" s="23"/>
      <c r="H26" s="23"/>
      <c r="I26" s="23"/>
      <c r="J26" s="23"/>
    </row>
    <row r="27" spans="1:10" ht="17.25" thickTop="1" x14ac:dyDescent="0.3">
      <c r="A27" s="12" t="s">
        <v>51</v>
      </c>
      <c r="B27" s="33" t="str">
        <f>B24</f>
        <v>Real $2017/18 '000</v>
      </c>
      <c r="C27" s="13">
        <f>C20-C24</f>
        <v>4065.8323849749995</v>
      </c>
      <c r="D27" s="13">
        <f>C27</f>
        <v>4065.8323849749995</v>
      </c>
      <c r="E27" s="13">
        <f t="shared" ref="E27:J27" si="0">D27</f>
        <v>4065.8323849749995</v>
      </c>
      <c r="F27" s="13">
        <f t="shared" si="0"/>
        <v>4065.8323849749995</v>
      </c>
      <c r="G27" s="13">
        <f t="shared" si="0"/>
        <v>4065.8323849749995</v>
      </c>
      <c r="H27" s="13">
        <f t="shared" si="0"/>
        <v>4065.8323849749995</v>
      </c>
      <c r="I27" s="13">
        <f t="shared" si="0"/>
        <v>4065.8323849749995</v>
      </c>
      <c r="J27" s="13">
        <f t="shared" si="0"/>
        <v>4065.8323849749995</v>
      </c>
    </row>
    <row r="30" spans="1:10" ht="14.25" thickBot="1" x14ac:dyDescent="0.3">
      <c r="A30" s="23" t="s">
        <v>58</v>
      </c>
      <c r="B30" s="23"/>
      <c r="C30" s="23"/>
      <c r="D30" s="23"/>
      <c r="E30" s="23"/>
      <c r="F30" s="23"/>
      <c r="G30" s="23"/>
      <c r="H30" s="23"/>
      <c r="I30" s="23"/>
      <c r="J30" s="23"/>
    </row>
    <row r="31" spans="1:10" ht="17.25" thickTop="1" x14ac:dyDescent="0.3">
      <c r="A31" s="12" t="s">
        <v>11</v>
      </c>
      <c r="B31" s="33" t="str">
        <f>B27</f>
        <v>Real $2017/18 '000</v>
      </c>
      <c r="C31" s="33">
        <f>'Input│ Historic Opex'!H28</f>
        <v>429.70562499999994</v>
      </c>
      <c r="D31" s="13">
        <v>445.34532150924025</v>
      </c>
      <c r="E31" s="13">
        <v>445.34532150924025</v>
      </c>
      <c r="F31" s="13">
        <v>485.69442513488195</v>
      </c>
      <c r="G31" s="13">
        <v>529.80588126539783</v>
      </c>
      <c r="H31" s="13">
        <v>564.55727948624133</v>
      </c>
      <c r="I31" s="13">
        <v>588.9360049078465</v>
      </c>
      <c r="J31" s="13">
        <v>599.40609421098463</v>
      </c>
    </row>
    <row r="32" spans="1:10" ht="16.5" x14ac:dyDescent="0.3">
      <c r="A32" s="12" t="s">
        <v>59</v>
      </c>
      <c r="B32" s="33" t="str">
        <f>B31</f>
        <v>Real $2017/18 '000</v>
      </c>
      <c r="C32" s="13">
        <f t="shared" ref="C32:J32" si="1">SUM(C31:C31)</f>
        <v>429.70562499999994</v>
      </c>
      <c r="D32" s="13">
        <f t="shared" si="1"/>
        <v>445.34532150924025</v>
      </c>
      <c r="E32" s="13">
        <f t="shared" si="1"/>
        <v>445.34532150924025</v>
      </c>
      <c r="F32" s="13">
        <f t="shared" si="1"/>
        <v>485.69442513488195</v>
      </c>
      <c r="G32" s="13">
        <f t="shared" si="1"/>
        <v>529.80588126539783</v>
      </c>
      <c r="H32" s="13">
        <f t="shared" si="1"/>
        <v>564.55727948624133</v>
      </c>
      <c r="I32" s="13">
        <f t="shared" si="1"/>
        <v>588.9360049078465</v>
      </c>
      <c r="J32" s="13">
        <f t="shared" si="1"/>
        <v>599.40609421098463</v>
      </c>
    </row>
    <row r="34" spans="1:10" ht="14.25" thickBot="1" x14ac:dyDescent="0.3">
      <c r="A34" s="23" t="s">
        <v>60</v>
      </c>
      <c r="B34" s="23"/>
      <c r="C34" s="23"/>
      <c r="D34" s="23"/>
      <c r="E34" s="23"/>
      <c r="F34" s="23"/>
      <c r="G34" s="23"/>
      <c r="H34" s="23"/>
      <c r="I34" s="23"/>
      <c r="J34" s="23"/>
    </row>
    <row r="35" spans="1:10" ht="17.25" thickTop="1" x14ac:dyDescent="0.3">
      <c r="A35" s="12" t="s">
        <v>51</v>
      </c>
      <c r="B35" s="33" t="str">
        <f>B32</f>
        <v>Real $2017/18 '000</v>
      </c>
      <c r="C35" s="13">
        <f t="shared" ref="C35:J35" si="2">C27+C32</f>
        <v>4495.5380099749991</v>
      </c>
      <c r="D35" s="13">
        <f t="shared" si="2"/>
        <v>4511.1777064842399</v>
      </c>
      <c r="E35" s="13">
        <f t="shared" si="2"/>
        <v>4511.1777064842399</v>
      </c>
      <c r="F35" s="13">
        <f t="shared" si="2"/>
        <v>4551.5268101098818</v>
      </c>
      <c r="G35" s="13">
        <f t="shared" si="2"/>
        <v>4595.6382662403976</v>
      </c>
      <c r="H35" s="13">
        <f t="shared" si="2"/>
        <v>4630.3896644612405</v>
      </c>
      <c r="I35" s="13">
        <f t="shared" si="2"/>
        <v>4654.7683898828463</v>
      </c>
      <c r="J35" s="13">
        <f t="shared" si="2"/>
        <v>4665.238479185984</v>
      </c>
    </row>
    <row r="37" spans="1:10" ht="14.25" thickBot="1" x14ac:dyDescent="0.3">
      <c r="A37" s="23" t="s">
        <v>61</v>
      </c>
      <c r="B37" s="23"/>
      <c r="C37" s="23"/>
      <c r="D37" s="23"/>
      <c r="E37" s="23"/>
      <c r="F37" s="23"/>
      <c r="G37" s="23"/>
      <c r="H37" s="23"/>
      <c r="I37" s="23"/>
      <c r="J37" s="23"/>
    </row>
    <row r="38" spans="1:10" ht="17.25" thickTop="1" x14ac:dyDescent="0.3">
      <c r="A38" s="12">
        <f>A16</f>
        <v>0</v>
      </c>
      <c r="B38" s="33" t="str">
        <f>B35</f>
        <v>Real $2017/18 '000</v>
      </c>
      <c r="C38" s="13">
        <f>C16</f>
        <v>0</v>
      </c>
      <c r="D38" s="13">
        <f>'Input│ Forecast'!C20/1000</f>
        <v>0</v>
      </c>
      <c r="E38" s="13">
        <f>'Input│ Forecast'!D20/1000</f>
        <v>0</v>
      </c>
      <c r="F38" s="13">
        <f>'Input│ Forecast'!E20/1000</f>
        <v>0</v>
      </c>
      <c r="G38" s="13">
        <f>'Input│ Forecast'!F20/1000</f>
        <v>0</v>
      </c>
      <c r="H38" s="13">
        <f>'Input│ Forecast'!G20/1000</f>
        <v>0</v>
      </c>
      <c r="I38" s="13">
        <f>'Input│ Forecast'!H20/1000</f>
        <v>0</v>
      </c>
      <c r="J38" s="13">
        <f>'Input│ Forecast'!I20/1000</f>
        <v>0</v>
      </c>
    </row>
    <row r="39" spans="1:10" ht="16.5" x14ac:dyDescent="0.3">
      <c r="A39" s="12" t="s">
        <v>62</v>
      </c>
      <c r="B39" s="33" t="str">
        <f>B35</f>
        <v>Real $2017/18 '000</v>
      </c>
      <c r="C39" s="13">
        <f t="shared" ref="C39:J39" si="3">SUM(C38:C38)</f>
        <v>0</v>
      </c>
      <c r="D39" s="13">
        <f t="shared" si="3"/>
        <v>0</v>
      </c>
      <c r="E39" s="13">
        <f t="shared" si="3"/>
        <v>0</v>
      </c>
      <c r="F39" s="13">
        <f t="shared" si="3"/>
        <v>0</v>
      </c>
      <c r="G39" s="13">
        <f t="shared" si="3"/>
        <v>0</v>
      </c>
      <c r="H39" s="13">
        <f t="shared" si="3"/>
        <v>0</v>
      </c>
      <c r="I39" s="13">
        <f t="shared" si="3"/>
        <v>0</v>
      </c>
      <c r="J39" s="13">
        <f t="shared" si="3"/>
        <v>0</v>
      </c>
    </row>
    <row r="41" spans="1:10" ht="16.5" x14ac:dyDescent="0.3">
      <c r="A41" s="12" t="s">
        <v>63</v>
      </c>
      <c r="B41" s="12" t="str">
        <f>B39</f>
        <v>Real $2017/18 '000</v>
      </c>
      <c r="C41" s="13">
        <f t="shared" ref="C41:J41" si="4">C35+C39</f>
        <v>4495.5380099749991</v>
      </c>
      <c r="D41" s="13">
        <f t="shared" si="4"/>
        <v>4511.1777064842399</v>
      </c>
      <c r="E41" s="13">
        <f t="shared" si="4"/>
        <v>4511.1777064842399</v>
      </c>
      <c r="F41" s="13">
        <f t="shared" si="4"/>
        <v>4551.5268101098818</v>
      </c>
      <c r="G41" s="13">
        <f t="shared" si="4"/>
        <v>4595.6382662403976</v>
      </c>
      <c r="H41" s="13">
        <f t="shared" si="4"/>
        <v>4630.3896644612405</v>
      </c>
      <c r="I41" s="13">
        <f t="shared" si="4"/>
        <v>4654.7683898828463</v>
      </c>
      <c r="J41" s="13">
        <f t="shared" si="4"/>
        <v>4665.238479185984</v>
      </c>
    </row>
    <row r="43" spans="1:10" ht="14.25" thickBot="1" x14ac:dyDescent="0.3">
      <c r="A43" s="23" t="s">
        <v>88</v>
      </c>
      <c r="B43" s="23"/>
      <c r="C43" s="23"/>
      <c r="D43" s="23"/>
      <c r="E43" s="23"/>
      <c r="F43" s="23"/>
      <c r="G43" s="23"/>
      <c r="H43" s="23"/>
      <c r="I43" s="23"/>
      <c r="J43" s="23"/>
    </row>
    <row r="44" spans="1:10" ht="15" thickTop="1" thickBot="1" x14ac:dyDescent="0.3">
      <c r="A44" s="23" t="s">
        <v>94</v>
      </c>
      <c r="B44" s="23"/>
      <c r="C44" s="23"/>
      <c r="D44" s="23"/>
      <c r="E44" s="23"/>
      <c r="F44" s="23"/>
      <c r="G44" s="23"/>
      <c r="H44" s="23"/>
      <c r="I44" s="23"/>
      <c r="J44" s="23"/>
    </row>
    <row r="45" spans="1:10" ht="17.25" thickTop="1" x14ac:dyDescent="0.3">
      <c r="A45" s="54" t="s">
        <v>89</v>
      </c>
      <c r="B45" s="54" t="s">
        <v>98</v>
      </c>
      <c r="C45" s="57">
        <f>'Input│ Historic Opex'!$J$83</f>
        <v>0.25265272376442327</v>
      </c>
      <c r="D45" s="57">
        <f>'Input│ Historic Opex'!$J$83</f>
        <v>0.25265272376442327</v>
      </c>
      <c r="E45" s="57">
        <f>'Input│ Historic Opex'!$J$83</f>
        <v>0.25265272376442327</v>
      </c>
      <c r="F45" s="57">
        <f>'Input│ Historic Opex'!$J$83</f>
        <v>0.25265272376442327</v>
      </c>
      <c r="G45" s="57">
        <f>'Input│ Historic Opex'!$J$83</f>
        <v>0.25265272376442327</v>
      </c>
      <c r="H45" s="57">
        <f>'Input│ Historic Opex'!$J$83</f>
        <v>0.25265272376442327</v>
      </c>
      <c r="I45" s="57">
        <f>'Input│ Historic Opex'!$J$83</f>
        <v>0.25265272376442327</v>
      </c>
      <c r="J45" s="57">
        <f>'Input│ Historic Opex'!$J$83</f>
        <v>0.25265272376442327</v>
      </c>
    </row>
    <row r="46" spans="1:10" ht="16.5" x14ac:dyDescent="0.3">
      <c r="A46" s="12" t="s">
        <v>90</v>
      </c>
      <c r="B46" s="12" t="str">
        <f>B41</f>
        <v>Real $2017/18 '000</v>
      </c>
      <c r="C46" s="51">
        <f>C41*C45</f>
        <v>1135.8099230066784</v>
      </c>
      <c r="D46" s="51">
        <f t="shared" ref="D46:J46" si="5">D41*D45</f>
        <v>1139.7613349285873</v>
      </c>
      <c r="E46" s="51">
        <f t="shared" si="5"/>
        <v>1139.7613349285873</v>
      </c>
      <c r="F46" s="51">
        <f t="shared" si="5"/>
        <v>1149.9556458610587</v>
      </c>
      <c r="G46" s="51">
        <f t="shared" si="5"/>
        <v>1161.1005254016482</v>
      </c>
      <c r="H46" s="51">
        <f t="shared" si="5"/>
        <v>1169.8805608167663</v>
      </c>
      <c r="I46" s="51">
        <f t="shared" si="5"/>
        <v>1176.0399121964401</v>
      </c>
      <c r="J46" s="51">
        <f t="shared" si="5"/>
        <v>1178.6852087769346</v>
      </c>
    </row>
    <row r="47" spans="1:10" ht="16.5" x14ac:dyDescent="0.3">
      <c r="A47" s="54" t="s">
        <v>91</v>
      </c>
      <c r="B47" s="54" t="s">
        <v>99</v>
      </c>
      <c r="C47" s="59">
        <v>1</v>
      </c>
      <c r="D47" s="59">
        <f>'Input│ Forecast'!C25</f>
        <v>0.999</v>
      </c>
      <c r="E47" s="59">
        <f>'Input│ Forecast'!D25</f>
        <v>0.999</v>
      </c>
      <c r="F47" s="59">
        <f>'Input│ Forecast'!E25</f>
        <v>0.99999899999999986</v>
      </c>
      <c r="G47" s="59">
        <f>'Input│ Forecast'!F25</f>
        <v>1.0059989939999998</v>
      </c>
      <c r="H47" s="59">
        <f>'Input│ Forecast'!G25</f>
        <v>1.0140469859519998</v>
      </c>
      <c r="I47" s="59">
        <f>'Input│ Forecast'!H25</f>
        <v>1.0221593618396159</v>
      </c>
      <c r="J47" s="59">
        <f>'Input│ Forecast'!I25</f>
        <v>1.0303366367343327</v>
      </c>
    </row>
    <row r="48" spans="1:10" ht="16.5" x14ac:dyDescent="0.3">
      <c r="A48" s="12" t="s">
        <v>92</v>
      </c>
      <c r="B48" s="12" t="str">
        <f>$B$46</f>
        <v>Real $2017/18 '000</v>
      </c>
      <c r="C48" s="51">
        <f>C46*C47</f>
        <v>1135.8099230066784</v>
      </c>
      <c r="D48" s="51">
        <f t="shared" ref="D48:J48" si="6">D46*D47</f>
        <v>1138.6215735936587</v>
      </c>
      <c r="E48" s="51">
        <f t="shared" si="6"/>
        <v>1138.6215735936587</v>
      </c>
      <c r="F48" s="51">
        <f t="shared" si="6"/>
        <v>1149.9544959054126</v>
      </c>
      <c r="G48" s="51">
        <f t="shared" si="6"/>
        <v>1168.0659604869293</v>
      </c>
      <c r="H48" s="51">
        <f t="shared" si="6"/>
        <v>1186.3138566200771</v>
      </c>
      <c r="I48" s="51">
        <f t="shared" si="6"/>
        <v>1202.1002061486311</v>
      </c>
      <c r="J48" s="51">
        <f t="shared" si="6"/>
        <v>1214.4425537797315</v>
      </c>
    </row>
    <row r="50" spans="1:11" ht="14.25" thickBot="1" x14ac:dyDescent="0.3">
      <c r="A50" s="23" t="s">
        <v>81</v>
      </c>
      <c r="B50" s="23"/>
      <c r="C50" s="23"/>
      <c r="D50" s="23"/>
      <c r="E50" s="23"/>
      <c r="F50" s="23"/>
      <c r="G50" s="23"/>
      <c r="H50" s="23"/>
      <c r="I50" s="23"/>
      <c r="J50" s="23"/>
    </row>
    <row r="51" spans="1:11" ht="17.25" thickTop="1" x14ac:dyDescent="0.3">
      <c r="A51" s="12" t="s">
        <v>93</v>
      </c>
      <c r="B51" s="12" t="str">
        <f>$B$46</f>
        <v>Real $2017/18 '000</v>
      </c>
      <c r="C51" s="51">
        <f>C41-C46-C31-C38</f>
        <v>2930.0224619683208</v>
      </c>
      <c r="D51" s="51">
        <f t="shared" ref="D51:J51" si="7">D41-D46-D31-D38</f>
        <v>2926.071050046412</v>
      </c>
      <c r="E51" s="51">
        <f t="shared" si="7"/>
        <v>2926.071050046412</v>
      </c>
      <c r="F51" s="51">
        <f t="shared" si="7"/>
        <v>2915.8767391139413</v>
      </c>
      <c r="G51" s="51">
        <f t="shared" si="7"/>
        <v>2904.7318595733514</v>
      </c>
      <c r="H51" s="51">
        <f t="shared" si="7"/>
        <v>2895.9518241582327</v>
      </c>
      <c r="I51" s="51">
        <f t="shared" si="7"/>
        <v>2889.7924727785598</v>
      </c>
      <c r="J51" s="51">
        <f t="shared" si="7"/>
        <v>2887.1471761980647</v>
      </c>
    </row>
    <row r="52" spans="1:11" ht="16.5" x14ac:dyDescent="0.3">
      <c r="A52" s="12" t="s">
        <v>11</v>
      </c>
      <c r="B52" s="12" t="str">
        <f>$B$46</f>
        <v>Real $2017/18 '000</v>
      </c>
      <c r="C52" s="51">
        <f>C31</f>
        <v>429.70562499999994</v>
      </c>
      <c r="D52" s="51">
        <f t="shared" ref="D52:J52" si="8">D31</f>
        <v>445.34532150924025</v>
      </c>
      <c r="E52" s="51">
        <f t="shared" si="8"/>
        <v>445.34532150924025</v>
      </c>
      <c r="F52" s="51">
        <f t="shared" si="8"/>
        <v>485.69442513488195</v>
      </c>
      <c r="G52" s="51">
        <f t="shared" si="8"/>
        <v>529.80588126539783</v>
      </c>
      <c r="H52" s="51">
        <f t="shared" si="8"/>
        <v>564.55727948624133</v>
      </c>
      <c r="I52" s="51">
        <f t="shared" si="8"/>
        <v>588.9360049078465</v>
      </c>
      <c r="J52" s="51">
        <f t="shared" si="8"/>
        <v>599.40609421098463</v>
      </c>
    </row>
    <row r="53" spans="1:11" ht="16.5" x14ac:dyDescent="0.3">
      <c r="A53" s="12">
        <f>A38</f>
        <v>0</v>
      </c>
      <c r="B53" s="12" t="str">
        <f>$B$46</f>
        <v>Real $2017/18 '000</v>
      </c>
      <c r="C53" s="51">
        <f>C38</f>
        <v>0</v>
      </c>
      <c r="D53" s="51">
        <f t="shared" ref="D53:J53" si="9">D38</f>
        <v>0</v>
      </c>
      <c r="E53" s="51">
        <f t="shared" si="9"/>
        <v>0</v>
      </c>
      <c r="F53" s="51">
        <f t="shared" si="9"/>
        <v>0</v>
      </c>
      <c r="G53" s="51">
        <f t="shared" si="9"/>
        <v>0</v>
      </c>
      <c r="H53" s="51">
        <f t="shared" si="9"/>
        <v>0</v>
      </c>
      <c r="I53" s="51">
        <f t="shared" si="9"/>
        <v>0</v>
      </c>
      <c r="J53" s="51">
        <f t="shared" si="9"/>
        <v>0</v>
      </c>
    </row>
    <row r="54" spans="1:11" ht="17.25" thickBot="1" x14ac:dyDescent="0.35">
      <c r="A54" s="12" t="s">
        <v>94</v>
      </c>
      <c r="B54" s="12" t="str">
        <f>$B$46</f>
        <v>Real $2017/18 '000</v>
      </c>
      <c r="C54" s="58">
        <f>C48</f>
        <v>1135.8099230066784</v>
      </c>
      <c r="D54" s="58">
        <f t="shared" ref="D54:J54" si="10">D48</f>
        <v>1138.6215735936587</v>
      </c>
      <c r="E54" s="58">
        <f t="shared" si="10"/>
        <v>1138.6215735936587</v>
      </c>
      <c r="F54" s="58">
        <f t="shared" si="10"/>
        <v>1149.9544959054126</v>
      </c>
      <c r="G54" s="58">
        <f t="shared" si="10"/>
        <v>1168.0659604869293</v>
      </c>
      <c r="H54" s="58">
        <f t="shared" si="10"/>
        <v>1186.3138566200771</v>
      </c>
      <c r="I54" s="58">
        <f t="shared" si="10"/>
        <v>1202.1002061486311</v>
      </c>
      <c r="J54" s="58">
        <f t="shared" si="10"/>
        <v>1214.4425537797315</v>
      </c>
    </row>
    <row r="55" spans="1:11" ht="15.75" thickBot="1" x14ac:dyDescent="0.3">
      <c r="A55" s="36" t="s">
        <v>81</v>
      </c>
      <c r="B55" s="36" t="str">
        <f>$B$46</f>
        <v>Real $2017/18 '000</v>
      </c>
      <c r="C55" s="64">
        <f>SUM(C51:C54)</f>
        <v>4495.5380099749991</v>
      </c>
      <c r="D55" s="64">
        <f t="shared" ref="D55:J55" si="11">SUM(D51:D54)</f>
        <v>4510.0379451493109</v>
      </c>
      <c r="E55" s="64">
        <f t="shared" si="11"/>
        <v>4510.0379451493109</v>
      </c>
      <c r="F55" s="64">
        <f t="shared" si="11"/>
        <v>4551.525660154236</v>
      </c>
      <c r="G55" s="64">
        <f t="shared" si="11"/>
        <v>4602.6037013256791</v>
      </c>
      <c r="H55" s="64">
        <f t="shared" si="11"/>
        <v>4646.8229602645515</v>
      </c>
      <c r="I55" s="64">
        <f t="shared" si="11"/>
        <v>4680.8286838350377</v>
      </c>
      <c r="J55" s="64">
        <f t="shared" si="11"/>
        <v>4700.9958241887807</v>
      </c>
    </row>
    <row r="58" spans="1:11" ht="20.25" thickBot="1" x14ac:dyDescent="0.35">
      <c r="A58" s="4" t="s">
        <v>110</v>
      </c>
      <c r="B58" s="4"/>
      <c r="C58" s="4"/>
      <c r="D58" s="4"/>
      <c r="E58" s="4"/>
      <c r="F58" s="4"/>
      <c r="G58" s="4"/>
      <c r="H58" s="4"/>
      <c r="I58" s="4"/>
      <c r="J58" s="4"/>
    </row>
    <row r="59" spans="1:11" ht="16.5" thickTop="1" thickBot="1" x14ac:dyDescent="0.3">
      <c r="A59" s="36" t="str">
        <f>A55</f>
        <v>Total Opex</v>
      </c>
      <c r="B59" s="36" t="s">
        <v>111</v>
      </c>
      <c r="C59" s="78">
        <f>C55*'Input│ Forecast'!$D$13</f>
        <v>4715.0521598015112</v>
      </c>
      <c r="D59" s="64">
        <f>D55*'Input│ Forecast'!$D$13</f>
        <v>4730.260117227057</v>
      </c>
      <c r="E59" s="64">
        <f>E55*'Input│ Forecast'!$D$13</f>
        <v>4730.260117227057</v>
      </c>
      <c r="F59" s="64">
        <f>F55*'Input│ Forecast'!$D$13</f>
        <v>4773.7736499355233</v>
      </c>
      <c r="G59" s="64">
        <f>G55*'Input│ Forecast'!$D$13</f>
        <v>4827.3457980987605</v>
      </c>
      <c r="H59" s="64">
        <f>H55*'Input│ Forecast'!$D$13</f>
        <v>4873.7242542261311</v>
      </c>
      <c r="I59" s="64">
        <f>I55*'Input│ Forecast'!$D$13</f>
        <v>4909.3904548034288</v>
      </c>
      <c r="J59" s="64">
        <f>J55*'Input│ Forecast'!$D$13</f>
        <v>4930.5423432917351</v>
      </c>
    </row>
    <row r="60" spans="1:11" ht="16.5" x14ac:dyDescent="0.3">
      <c r="A60" s="55"/>
      <c r="B60" s="55"/>
      <c r="C60" s="55"/>
      <c r="D60" s="55"/>
      <c r="E60" s="55"/>
      <c r="F60" s="55"/>
      <c r="G60" s="55"/>
      <c r="H60" s="55"/>
      <c r="I60" s="55"/>
      <c r="J60" s="55"/>
      <c r="K60" s="55"/>
    </row>
    <row r="61" spans="1:11" ht="20.25" thickBot="1" x14ac:dyDescent="0.35">
      <c r="A61" s="4" t="s">
        <v>104</v>
      </c>
      <c r="B61" s="4"/>
      <c r="C61" s="66"/>
      <c r="D61" s="66"/>
      <c r="E61" s="66"/>
      <c r="F61" s="66"/>
      <c r="G61" s="66"/>
      <c r="H61" s="66"/>
      <c r="I61" s="66"/>
      <c r="J61" s="66"/>
    </row>
    <row r="62" spans="1:11" ht="18" thickTop="1" thickBot="1" x14ac:dyDescent="0.35">
      <c r="A62" s="65" t="s">
        <v>103</v>
      </c>
      <c r="B62" s="23"/>
      <c r="C62" s="23"/>
      <c r="D62" s="23"/>
      <c r="E62" s="23"/>
      <c r="F62" s="23"/>
      <c r="G62" s="23"/>
      <c r="H62" s="23"/>
      <c r="I62" s="23"/>
      <c r="J62" s="23"/>
      <c r="K62" s="55"/>
    </row>
    <row r="63" spans="1:11" ht="17.25" thickTop="1" x14ac:dyDescent="0.3">
      <c r="A63" s="12" t="s">
        <v>112</v>
      </c>
      <c r="B63" s="12" t="str">
        <f>B59</f>
        <v>Real $2019/20</v>
      </c>
      <c r="C63" s="51">
        <f>C52*'Input│ Forecast'!$D$13</f>
        <v>450.68786666679205</v>
      </c>
      <c r="D63" s="51">
        <f>D52*'Input│ Forecast'!$D$13</f>
        <v>467.091239219957</v>
      </c>
      <c r="E63" s="51">
        <f>E52*'Input│ Forecast'!$D$13</f>
        <v>467.091239219957</v>
      </c>
      <c r="F63" s="51">
        <f>F52*'Input│ Forecast'!$D$13</f>
        <v>509.41056290802317</v>
      </c>
      <c r="G63" s="51">
        <f>G52*'Input│ Forecast'!$D$13</f>
        <v>555.67595228715447</v>
      </c>
      <c r="H63" s="51">
        <f>H52*'Input│ Forecast'!$D$13</f>
        <v>592.12423831515355</v>
      </c>
      <c r="I63" s="51">
        <f>I52*'Input│ Forecast'!$D$13</f>
        <v>617.69336078665651</v>
      </c>
      <c r="J63" s="51">
        <f>J52*'Input│ Forecast'!$D$13</f>
        <v>628.67469763055317</v>
      </c>
      <c r="K63" s="69"/>
    </row>
    <row r="64" spans="1:11" ht="16.5" x14ac:dyDescent="0.3">
      <c r="A64" s="12" t="s">
        <v>103</v>
      </c>
      <c r="B64" s="12" t="str">
        <f>B59</f>
        <v>Real $2019/20</v>
      </c>
      <c r="C64" s="51">
        <f>C59-C63</f>
        <v>4264.3642931347194</v>
      </c>
      <c r="D64" s="51">
        <f t="shared" ref="D64:J64" si="12">D59-D63</f>
        <v>4263.1688780070999</v>
      </c>
      <c r="E64" s="51">
        <f t="shared" si="12"/>
        <v>4263.1688780070999</v>
      </c>
      <c r="F64" s="51">
        <f t="shared" si="12"/>
        <v>4264.3630870275001</v>
      </c>
      <c r="G64" s="51">
        <f t="shared" si="12"/>
        <v>4271.6698458116061</v>
      </c>
      <c r="H64" s="51">
        <f t="shared" si="12"/>
        <v>4281.6000159109772</v>
      </c>
      <c r="I64" s="51">
        <f t="shared" si="12"/>
        <v>4291.6970940167721</v>
      </c>
      <c r="J64" s="51">
        <f t="shared" si="12"/>
        <v>4301.867645661182</v>
      </c>
      <c r="K64" s="55"/>
    </row>
    <row r="65" spans="1:11" ht="16.5" x14ac:dyDescent="0.3">
      <c r="A65" s="12" t="s">
        <v>26</v>
      </c>
      <c r="B65" s="12" t="str">
        <f>B64</f>
        <v>Real $2019/20</v>
      </c>
      <c r="C65" s="51">
        <f>SUM(C63:C64)</f>
        <v>4715.0521598015112</v>
      </c>
      <c r="D65" s="51">
        <f t="shared" ref="D65:J65" si="13">SUM(D63:D64)</f>
        <v>4730.260117227057</v>
      </c>
      <c r="E65" s="51">
        <f t="shared" si="13"/>
        <v>4730.260117227057</v>
      </c>
      <c r="F65" s="51">
        <f t="shared" si="13"/>
        <v>4773.7736499355233</v>
      </c>
      <c r="G65" s="51">
        <f t="shared" si="13"/>
        <v>4827.3457980987605</v>
      </c>
      <c r="H65" s="51">
        <f t="shared" si="13"/>
        <v>4873.7242542261311</v>
      </c>
      <c r="I65" s="51">
        <f t="shared" si="13"/>
        <v>4909.3904548034288</v>
      </c>
      <c r="J65" s="51">
        <f t="shared" si="13"/>
        <v>4930.5423432917351</v>
      </c>
      <c r="K65" s="69"/>
    </row>
    <row r="66" spans="1:11" ht="16.5" x14ac:dyDescent="0.3">
      <c r="A66" s="55"/>
      <c r="B66" s="55"/>
      <c r="C66" s="55"/>
      <c r="D66" s="55"/>
      <c r="E66" s="55"/>
      <c r="F66" s="55"/>
      <c r="G66" s="55"/>
      <c r="H66" s="55"/>
      <c r="I66" s="55"/>
      <c r="J66" s="55"/>
      <c r="K66" s="55"/>
    </row>
    <row r="67" spans="1:11" ht="20.25" thickBot="1" x14ac:dyDescent="0.35">
      <c r="A67" s="23" t="s">
        <v>64</v>
      </c>
      <c r="C67" s="4" t="str">
        <f>C11</f>
        <v>2017/18</v>
      </c>
      <c r="D67" s="4" t="str">
        <f t="shared" ref="D67:J67" si="14">D11</f>
        <v>2018/19</v>
      </c>
      <c r="E67" s="4" t="str">
        <f t="shared" si="14"/>
        <v>2019/20</v>
      </c>
      <c r="F67" s="4" t="str">
        <f t="shared" si="14"/>
        <v>2020/21</v>
      </c>
      <c r="G67" s="4" t="str">
        <f t="shared" si="14"/>
        <v>2021/22</v>
      </c>
      <c r="H67" s="4" t="str">
        <f t="shared" si="14"/>
        <v>2022/23</v>
      </c>
      <c r="I67" s="4" t="str">
        <f t="shared" si="14"/>
        <v>2023/24</v>
      </c>
      <c r="J67" s="4" t="str">
        <f t="shared" si="14"/>
        <v>2024/25</v>
      </c>
    </row>
    <row r="68" spans="1:11" ht="16.5" thickTop="1" thickBot="1" x14ac:dyDescent="0.3">
      <c r="A68" s="36" t="s">
        <v>31</v>
      </c>
      <c r="B68" s="36" t="str">
        <f>B65</f>
        <v>Real $2019/20</v>
      </c>
      <c r="C68" s="64">
        <f>C$64*'Input│ Historic Opex'!$I66</f>
        <v>3735.1427964358372</v>
      </c>
      <c r="D68" s="64">
        <f>D$64*'Input│ Historic Opex'!$I66</f>
        <v>3734.09573621871</v>
      </c>
      <c r="E68" s="64">
        <f>E$64*'Input│ Historic Opex'!$I66</f>
        <v>3734.09573621871</v>
      </c>
      <c r="F68" s="64">
        <f>F$64*'Input│ Historic Opex'!$I66</f>
        <v>3735.1417400104515</v>
      </c>
      <c r="G68" s="64">
        <f>G$64*'Input│ Historic Opex'!$I66</f>
        <v>3741.5417062332449</v>
      </c>
      <c r="H68" s="64">
        <f>H$64*'Input│ Historic Opex'!$I66</f>
        <v>3750.2395098833131</v>
      </c>
      <c r="I68" s="64">
        <f>I$64*'Input│ Historic Opex'!$I66</f>
        <v>3759.0835077126326</v>
      </c>
      <c r="J68" s="64">
        <f>J$64*'Input│ Historic Opex'!$I66</f>
        <v>3767.9918607751406</v>
      </c>
    </row>
    <row r="69" spans="1:11" ht="15.75" thickBot="1" x14ac:dyDescent="0.3">
      <c r="A69" s="36" t="s">
        <v>33</v>
      </c>
      <c r="B69" s="36" t="str">
        <f>B68</f>
        <v>Real $2019/20</v>
      </c>
      <c r="C69" s="64">
        <f>C$64*'Input│ Historic Opex'!$I67</f>
        <v>466.24706691123902</v>
      </c>
      <c r="D69" s="64">
        <f>D$64*'Input│ Historic Opex'!$I67</f>
        <v>466.11636541420904</v>
      </c>
      <c r="E69" s="64">
        <f>E$64*'Input│ Historic Opex'!$I67</f>
        <v>466.11636541420904</v>
      </c>
      <c r="F69" s="64">
        <f>F$64*'Input│ Historic Opex'!$I67</f>
        <v>466.24693504071513</v>
      </c>
      <c r="G69" s="64">
        <f>G$64*'Input│ Historic Opex'!$I67</f>
        <v>467.0458243047496</v>
      </c>
      <c r="H69" s="64">
        <f>H$64*'Input│ Historic Opex'!$I67</f>
        <v>468.1315459655878</v>
      </c>
      <c r="I69" s="64">
        <f>I$64*'Input│ Historic Opex'!$I67</f>
        <v>469.23551662278044</v>
      </c>
      <c r="J69" s="64">
        <f>J$64*'Input│ Historic Opex'!$I67</f>
        <v>470.34752055750749</v>
      </c>
    </row>
    <row r="70" spans="1:11" ht="15.75" thickBot="1" x14ac:dyDescent="0.3">
      <c r="A70" s="36" t="s">
        <v>11</v>
      </c>
      <c r="B70" s="36" t="str">
        <f t="shared" ref="B70:B74" si="15">B69</f>
        <v>Real $2019/20</v>
      </c>
      <c r="C70" s="64">
        <f>C63</f>
        <v>450.68786666679205</v>
      </c>
      <c r="D70" s="64">
        <f t="shared" ref="D70:J70" si="16">D63</f>
        <v>467.091239219957</v>
      </c>
      <c r="E70" s="64">
        <f t="shared" si="16"/>
        <v>467.091239219957</v>
      </c>
      <c r="F70" s="64">
        <f t="shared" si="16"/>
        <v>509.41056290802317</v>
      </c>
      <c r="G70" s="64">
        <f t="shared" si="16"/>
        <v>555.67595228715447</v>
      </c>
      <c r="H70" s="64">
        <f t="shared" si="16"/>
        <v>592.12423831515355</v>
      </c>
      <c r="I70" s="64">
        <f t="shared" si="16"/>
        <v>617.69336078665651</v>
      </c>
      <c r="J70" s="64">
        <f t="shared" si="16"/>
        <v>628.67469763055317</v>
      </c>
    </row>
    <row r="71" spans="1:11" ht="15.75" thickBot="1" x14ac:dyDescent="0.3">
      <c r="A71" s="36" t="s">
        <v>35</v>
      </c>
      <c r="B71" s="36" t="str">
        <f t="shared" si="15"/>
        <v>Real $2019/20</v>
      </c>
      <c r="C71" s="67">
        <f>C$64*'Input│ Historic Opex'!$I68</f>
        <v>8.8598017465318577</v>
      </c>
      <c r="D71" s="67">
        <f>D$64*'Input│ Historic Opex'!$I68</f>
        <v>8.8573181076334269</v>
      </c>
      <c r="E71" s="67">
        <f>E$64*'Input│ Historic Opex'!$I68</f>
        <v>8.8573181076334269</v>
      </c>
      <c r="F71" s="67">
        <f>F$64*'Input│ Historic Opex'!$I68</f>
        <v>8.8597992406786723</v>
      </c>
      <c r="G71" s="67">
        <f>G$64*'Input│ Historic Opex'!$I68</f>
        <v>8.8749800342945306</v>
      </c>
      <c r="H71" s="67">
        <f>H$64*'Input│ Historic Opex'!$I68</f>
        <v>8.8956113247617647</v>
      </c>
      <c r="I71" s="67">
        <f>I$64*'Input│ Historic Opex'!$I68</f>
        <v>8.9165893895065178</v>
      </c>
      <c r="J71" s="67">
        <f>J$64*'Input│ Historic Opex'!$I68</f>
        <v>8.9377201056058428</v>
      </c>
    </row>
    <row r="72" spans="1:11" ht="15.75" thickBot="1" x14ac:dyDescent="0.3">
      <c r="A72" s="36" t="s">
        <v>36</v>
      </c>
      <c r="B72" s="36" t="str">
        <f t="shared" si="15"/>
        <v>Real $2019/20</v>
      </c>
      <c r="C72" s="67">
        <f>C$64*'Input│ Historic Opex'!$I69</f>
        <v>12.182227401481304</v>
      </c>
      <c r="D72" s="67">
        <f>D$64*'Input│ Historic Opex'!$I69</f>
        <v>12.17881239799596</v>
      </c>
      <c r="E72" s="67">
        <f>E$64*'Input│ Historic Opex'!$I69</f>
        <v>12.17881239799596</v>
      </c>
      <c r="F72" s="67">
        <f>F$64*'Input│ Historic Opex'!$I69</f>
        <v>12.182223955933175</v>
      </c>
      <c r="G72" s="67">
        <f>G$64*'Input│ Historic Opex'!$I69</f>
        <v>12.203097547154979</v>
      </c>
      <c r="H72" s="67">
        <f>H$64*'Input│ Historic Opex'!$I69</f>
        <v>12.231465571547426</v>
      </c>
      <c r="I72" s="67">
        <f>I$64*'Input│ Historic Opex'!$I69</f>
        <v>12.26031041057146</v>
      </c>
      <c r="J72" s="67">
        <f>J$64*'Input│ Historic Opex'!$I69</f>
        <v>12.289365145208034</v>
      </c>
    </row>
    <row r="73" spans="1:11" ht="15.75" thickBot="1" x14ac:dyDescent="0.3">
      <c r="A73" s="36" t="s">
        <v>12</v>
      </c>
      <c r="B73" s="36" t="str">
        <f t="shared" si="15"/>
        <v>Real $2019/20</v>
      </c>
      <c r="C73" s="67">
        <f>C$64*'Input│ Historic Opex'!$I70</f>
        <v>41.93240063963006</v>
      </c>
      <c r="D73" s="67">
        <f>D$64*'Input│ Historic Opex'!$I70</f>
        <v>41.920645868551354</v>
      </c>
      <c r="E73" s="67">
        <f>E$64*'Input│ Historic Opex'!$I70</f>
        <v>41.920645868551354</v>
      </c>
      <c r="F73" s="67">
        <f>F$64*'Input│ Historic Opex'!$I70</f>
        <v>41.932388779721371</v>
      </c>
      <c r="G73" s="67">
        <f>G$64*'Input│ Historic Opex'!$I70</f>
        <v>42.004237692161979</v>
      </c>
      <c r="H73" s="67">
        <f>H$64*'Input│ Historic Opex'!$I70</f>
        <v>42.101883165766765</v>
      </c>
      <c r="I73" s="67">
        <f>I$64*'Input│ Historic Opex'!$I70</f>
        <v>42.201169881281075</v>
      </c>
      <c r="J73" s="67">
        <f>J$64*'Input│ Historic Opex'!$I70</f>
        <v>42.301179077720043</v>
      </c>
    </row>
    <row r="74" spans="1:11" ht="15.75" thickBot="1" x14ac:dyDescent="0.3">
      <c r="A74" s="36" t="s">
        <v>37</v>
      </c>
      <c r="B74" s="36" t="str">
        <f t="shared" si="15"/>
        <v>Real $2019/20</v>
      </c>
      <c r="C74" s="37">
        <f>SUM(C68:C73)</f>
        <v>4715.0521598015112</v>
      </c>
      <c r="D74" s="37">
        <f t="shared" ref="D74:J74" si="17">SUM(D68:D73)</f>
        <v>4730.260117227057</v>
      </c>
      <c r="E74" s="37">
        <f t="shared" si="17"/>
        <v>4730.260117227057</v>
      </c>
      <c r="F74" s="37">
        <f t="shared" si="17"/>
        <v>4773.7736499355233</v>
      </c>
      <c r="G74" s="37">
        <f t="shared" si="17"/>
        <v>4827.3457980987605</v>
      </c>
      <c r="H74" s="37">
        <f t="shared" si="17"/>
        <v>4873.7242542261301</v>
      </c>
      <c r="I74" s="37">
        <f t="shared" si="17"/>
        <v>4909.3904548034288</v>
      </c>
      <c r="J74" s="37">
        <f t="shared" si="17"/>
        <v>4930.5423432917351</v>
      </c>
    </row>
    <row r="75" spans="1:11" ht="14.25" thickBot="1" x14ac:dyDescent="0.3"/>
    <row r="76" spans="1:11" ht="15" thickTop="1" thickBot="1" x14ac:dyDescent="0.3">
      <c r="A76" s="62" t="s">
        <v>105</v>
      </c>
      <c r="B76" s="62"/>
      <c r="C76" s="62" t="b">
        <f>C59=C74</f>
        <v>1</v>
      </c>
      <c r="D76" s="62" t="b">
        <f t="shared" ref="D76:J76" si="18">D59=D74</f>
        <v>1</v>
      </c>
      <c r="E76" s="62" t="b">
        <f t="shared" si="18"/>
        <v>1</v>
      </c>
      <c r="F76" s="62" t="b">
        <f t="shared" si="18"/>
        <v>1</v>
      </c>
      <c r="G76" s="62" t="b">
        <f t="shared" si="18"/>
        <v>1</v>
      </c>
      <c r="H76" s="62" t="b">
        <f t="shared" si="18"/>
        <v>1</v>
      </c>
      <c r="I76" s="62" t="b">
        <f t="shared" si="18"/>
        <v>1</v>
      </c>
      <c r="J76" s="62" t="b">
        <f t="shared" si="18"/>
        <v>1</v>
      </c>
    </row>
    <row r="77" spans="1:11" ht="14.25" thickTop="1" x14ac:dyDescent="0.25"/>
    <row r="78" spans="1:11" ht="20.25" thickBot="1" x14ac:dyDescent="0.35">
      <c r="A78" s="4" t="s">
        <v>109</v>
      </c>
      <c r="B78" s="4" t="s">
        <v>28</v>
      </c>
      <c r="C78" s="4" t="str">
        <f>C67</f>
        <v>2017/18</v>
      </c>
      <c r="D78" s="4" t="str">
        <f t="shared" ref="D78:J78" si="19">D67</f>
        <v>2018/19</v>
      </c>
      <c r="E78" s="4" t="str">
        <f t="shared" si="19"/>
        <v>2019/20</v>
      </c>
      <c r="F78" s="4" t="str">
        <f t="shared" si="19"/>
        <v>2020/21</v>
      </c>
      <c r="G78" s="4" t="str">
        <f t="shared" si="19"/>
        <v>2021/22</v>
      </c>
      <c r="H78" s="4" t="str">
        <f t="shared" si="19"/>
        <v>2022/23</v>
      </c>
      <c r="I78" s="4" t="str">
        <f t="shared" si="19"/>
        <v>2023/24</v>
      </c>
      <c r="J78" s="4" t="str">
        <f t="shared" si="19"/>
        <v>2024/25</v>
      </c>
    </row>
    <row r="79" spans="1:11" ht="16.5" thickTop="1" thickBot="1" x14ac:dyDescent="0.3">
      <c r="A79" s="36" t="str">
        <f>A68</f>
        <v>Operating and maintenance expenses</v>
      </c>
      <c r="B79" s="36" t="str">
        <f>B78</f>
        <v>$000 nominal</v>
      </c>
      <c r="C79" s="64">
        <f>C68/'Input│ Forecast'!$D$13*'Input│ Forecast'!B$13</f>
        <v>3561.2493446453168</v>
      </c>
      <c r="D79" s="64">
        <f>D68/'Input│ Forecast'!$D$13*'Input│ Forecast'!C$13</f>
        <v>3646.1374351817549</v>
      </c>
      <c r="E79" s="64">
        <f>E68/'Input│ Forecast'!$D$13*'Input│ Forecast'!D$13</f>
        <v>3734.09573621871</v>
      </c>
      <c r="F79" s="64">
        <f>F68/'Input│ Forecast'!$D$13*'Input│ Forecast'!E$13</f>
        <v>3825.2471535951045</v>
      </c>
      <c r="G79" s="64">
        <f>G68/'Input│ Forecast'!$D$13*'Input│ Forecast'!F$13</f>
        <v>3924.2387148808925</v>
      </c>
      <c r="H79" s="64">
        <f>H68/'Input│ Forecast'!$D$13*'Input│ Forecast'!G$13</f>
        <v>4028.2484262085363</v>
      </c>
      <c r="I79" s="64">
        <f>I68/'Input│ Forecast'!$D$13*'Input│ Forecast'!H$13</f>
        <v>4135.1534333303016</v>
      </c>
      <c r="J79" s="64">
        <f>J68/'Input│ Forecast'!$D$13*'Input│ Forecast'!I$13</f>
        <v>4244.9445794248732</v>
      </c>
    </row>
    <row r="80" spans="1:11" ht="15.75" thickBot="1" x14ac:dyDescent="0.3">
      <c r="A80" s="36" t="str">
        <f t="shared" ref="A80:A85" si="20">A69</f>
        <v>Management fees and expenses</v>
      </c>
      <c r="B80" s="36" t="str">
        <f t="shared" ref="B80:B85" si="21">B79</f>
        <v>$000 nominal</v>
      </c>
      <c r="C80" s="64">
        <f>C69/'Input│ Forecast'!$D$13*'Input│ Forecast'!B$13</f>
        <v>444.54045051901778</v>
      </c>
      <c r="D80" s="64">
        <f>D69/'Input│ Forecast'!$D$13*'Input│ Forecast'!C$13</f>
        <v>455.13678522035161</v>
      </c>
      <c r="E80" s="64">
        <f>E69/'Input│ Forecast'!$D$13*'Input│ Forecast'!D$13</f>
        <v>466.11636541420904</v>
      </c>
      <c r="F80" s="64">
        <f>F69/'Input│ Forecast'!$D$13*'Input│ Forecast'!E$13</f>
        <v>477.49453308081064</v>
      </c>
      <c r="G80" s="64">
        <f>G69/'Input│ Forecast'!$D$13*'Input│ Forecast'!F$13</f>
        <v>489.85136322462859</v>
      </c>
      <c r="H80" s="64">
        <f>H69/'Input│ Forecast'!$D$13*'Input│ Forecast'!G$13</f>
        <v>502.83459451717056</v>
      </c>
      <c r="I80" s="64">
        <f>I69/'Input│ Forecast'!$D$13*'Input│ Forecast'!H$13</f>
        <v>516.17923720558679</v>
      </c>
      <c r="J80" s="64">
        <f>J69/'Input│ Forecast'!$D$13*'Input│ Forecast'!I$13</f>
        <v>529.88414827036968</v>
      </c>
    </row>
    <row r="81" spans="1:10" ht="15.75" thickBot="1" x14ac:dyDescent="0.3">
      <c r="A81" s="36" t="str">
        <f t="shared" si="20"/>
        <v>Insurance</v>
      </c>
      <c r="B81" s="36" t="str">
        <f t="shared" si="21"/>
        <v>$000 nominal</v>
      </c>
      <c r="C81" s="64">
        <f>C70/'Input│ Forecast'!$D$13*'Input│ Forecast'!B$13</f>
        <v>429.70562499999994</v>
      </c>
      <c r="D81" s="64">
        <f>D70/'Input│ Forecast'!$D$13*'Input│ Forecast'!C$13</f>
        <v>456.08869543605357</v>
      </c>
      <c r="E81" s="64">
        <f>E70/'Input│ Forecast'!$D$13*'Input│ Forecast'!D$13</f>
        <v>467.091239219957</v>
      </c>
      <c r="F81" s="64">
        <f>F70/'Input│ Forecast'!$D$13*'Input│ Forecast'!E$13</f>
        <v>521.69942706638574</v>
      </c>
      <c r="G81" s="64">
        <f>G70/'Input│ Forecast'!$D$13*'Input│ Forecast'!F$13</f>
        <v>582.80924177880115</v>
      </c>
      <c r="H81" s="64">
        <f>H70/'Input│ Forecast'!$D$13*'Input│ Forecast'!G$13</f>
        <v>636.01898620793975</v>
      </c>
      <c r="I81" s="64">
        <f>I70/'Input│ Forecast'!$D$13*'Input│ Forecast'!H$13</f>
        <v>679.48924687669864</v>
      </c>
      <c r="J81" s="64">
        <f>J70/'Input│ Forecast'!$D$13*'Input│ Forecast'!I$13</f>
        <v>708.25239239752307</v>
      </c>
    </row>
    <row r="82" spans="1:10" ht="15.75" thickBot="1" x14ac:dyDescent="0.3">
      <c r="A82" s="36" t="str">
        <f t="shared" si="20"/>
        <v>Tax on property and capital</v>
      </c>
      <c r="B82" s="36" t="str">
        <f t="shared" si="21"/>
        <v>$000 nominal</v>
      </c>
      <c r="C82" s="64">
        <f>C71/'Input│ Forecast'!$D$13*'Input│ Forecast'!B$13</f>
        <v>8.4473244754207659</v>
      </c>
      <c r="D82" s="64">
        <f>D71/'Input│ Forecast'!$D$13*'Input│ Forecast'!C$13</f>
        <v>8.6486800041872041</v>
      </c>
      <c r="E82" s="64">
        <f>E71/'Input│ Forecast'!$D$13*'Input│ Forecast'!D$13</f>
        <v>8.8573181076334269</v>
      </c>
      <c r="F82" s="64">
        <f>F71/'Input│ Forecast'!$D$13*'Input│ Forecast'!E$13</f>
        <v>9.0735303198253785</v>
      </c>
      <c r="G82" s="64">
        <f>G71/'Input│ Forecast'!$D$13*'Input│ Forecast'!F$13</f>
        <v>9.3083394436984062</v>
      </c>
      <c r="H82" s="64">
        <f>H71/'Input│ Forecast'!$D$13*'Input│ Forecast'!G$13</f>
        <v>9.5550516772859027</v>
      </c>
      <c r="I82" s="64">
        <f>I71/'Input│ Forecast'!$D$13*'Input│ Forecast'!H$13</f>
        <v>9.808631585854382</v>
      </c>
      <c r="J82" s="64">
        <f>J71/'Input│ Forecast'!$D$13*'Input│ Forecast'!I$13</f>
        <v>10.069057449318189</v>
      </c>
    </row>
    <row r="83" spans="1:10" ht="15.75" thickBot="1" x14ac:dyDescent="0.3">
      <c r="A83" s="36" t="str">
        <f t="shared" si="20"/>
        <v>Accounting/audit fees</v>
      </c>
      <c r="B83" s="36" t="str">
        <f t="shared" si="21"/>
        <v>$000 nominal</v>
      </c>
      <c r="C83" s="64">
        <f>C72/'Input│ Forecast'!$D$13*'Input│ Forecast'!B$13</f>
        <v>11.615071153703553</v>
      </c>
      <c r="D83" s="64">
        <f>D72/'Input│ Forecast'!$D$13*'Input│ Forecast'!C$13</f>
        <v>11.891935005757404</v>
      </c>
      <c r="E83" s="64">
        <f>E72/'Input│ Forecast'!$D$13*'Input│ Forecast'!D$13</f>
        <v>12.17881239799596</v>
      </c>
      <c r="F83" s="64">
        <f>F72/'Input│ Forecast'!$D$13*'Input│ Forecast'!E$13</f>
        <v>12.4761041897599</v>
      </c>
      <c r="G83" s="64">
        <f>G72/'Input│ Forecast'!$D$13*'Input│ Forecast'!F$13</f>
        <v>12.798966735085308</v>
      </c>
      <c r="H83" s="64">
        <f>H72/'Input│ Forecast'!$D$13*'Input│ Forecast'!G$13</f>
        <v>13.138196056268114</v>
      </c>
      <c r="I83" s="64">
        <f>I72/'Input│ Forecast'!$D$13*'Input│ Forecast'!H$13</f>
        <v>13.486868430549771</v>
      </c>
      <c r="J83" s="64">
        <f>J72/'Input│ Forecast'!$D$13*'Input│ Forecast'!I$13</f>
        <v>13.844953992812506</v>
      </c>
    </row>
    <row r="84" spans="1:10" ht="15.75" thickBot="1" x14ac:dyDescent="0.3">
      <c r="A84" s="36" t="str">
        <f t="shared" si="20"/>
        <v>Other</v>
      </c>
      <c r="B84" s="36" t="str">
        <f t="shared" si="21"/>
        <v>$000 nominal</v>
      </c>
      <c r="C84" s="64">
        <f>C73/'Input│ Forecast'!$D$13*'Input│ Forecast'!B$13</f>
        <v>39.980194181540618</v>
      </c>
      <c r="D84" s="64">
        <f>D73/'Input│ Forecast'!$D$13*'Input│ Forecast'!C$13</f>
        <v>40.933186239917539</v>
      </c>
      <c r="E84" s="64">
        <f>E73/'Input│ Forecast'!$D$13*'Input│ Forecast'!D$13</f>
        <v>41.920645868551354</v>
      </c>
      <c r="F84" s="64">
        <f>F73/'Input│ Forecast'!$D$13*'Input│ Forecast'!E$13</f>
        <v>42.943952863920934</v>
      </c>
      <c r="G84" s="64">
        <f>G73/'Input│ Forecast'!$D$13*'Input│ Forecast'!F$13</f>
        <v>44.055276857139916</v>
      </c>
      <c r="H84" s="64">
        <f>H73/'Input│ Forecast'!$D$13*'Input│ Forecast'!G$13</f>
        <v>45.222936870022089</v>
      </c>
      <c r="I84" s="64">
        <f>I73/'Input│ Forecast'!$D$13*'Input│ Forecast'!H$13</f>
        <v>46.423100781637444</v>
      </c>
      <c r="J84" s="64">
        <f>J73/'Input│ Forecast'!$D$13*'Input│ Forecast'!I$13</f>
        <v>47.655665793372684</v>
      </c>
    </row>
    <row r="85" spans="1:10" ht="15.75" thickBot="1" x14ac:dyDescent="0.3">
      <c r="A85" s="36" t="str">
        <f t="shared" si="20"/>
        <v>TOTAL</v>
      </c>
      <c r="B85" s="36" t="str">
        <f t="shared" si="21"/>
        <v>$000 nominal</v>
      </c>
      <c r="C85" s="64">
        <f>SUM(C79:C84)</f>
        <v>4495.5380099749991</v>
      </c>
      <c r="D85" s="64">
        <f t="shared" ref="D85:J85" si="22">SUM(D79:D84)</f>
        <v>4618.8367170880238</v>
      </c>
      <c r="E85" s="64">
        <f t="shared" si="22"/>
        <v>4730.260117227057</v>
      </c>
      <c r="F85" s="64">
        <f t="shared" si="22"/>
        <v>4888.934701115807</v>
      </c>
      <c r="G85" s="64">
        <f t="shared" si="22"/>
        <v>5063.0619029202453</v>
      </c>
      <c r="H85" s="64">
        <f t="shared" si="22"/>
        <v>5235.0181915372223</v>
      </c>
      <c r="I85" s="64">
        <f t="shared" si="22"/>
        <v>5400.5405182106288</v>
      </c>
      <c r="J85" s="64">
        <f t="shared" si="22"/>
        <v>5554.6507973282696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opLeftCell="A10" workbookViewId="0">
      <selection activeCell="K15" sqref="K15"/>
    </sheetView>
  </sheetViews>
  <sheetFormatPr defaultColWidth="14" defaultRowHeight="13.5" x14ac:dyDescent="0.25"/>
  <cols>
    <col min="1" max="1" width="2.25" style="7" customWidth="1"/>
    <col min="2" max="2" width="1.625" style="7" customWidth="1"/>
    <col min="3" max="4" width="1.75" style="7" customWidth="1"/>
    <col min="5" max="6" width="14" style="7"/>
    <col min="7" max="7" width="20.625" style="7" customWidth="1"/>
    <col min="8" max="9" width="14" style="7"/>
    <col min="10" max="10" width="16.5" style="7" customWidth="1"/>
    <col min="11" max="12" width="14" style="7"/>
    <col min="13" max="13" width="15.5" style="7" customWidth="1"/>
    <col min="14" max="16384" width="14" style="7"/>
  </cols>
  <sheetData>
    <row r="1" spans="1:16" s="2" customFormat="1" x14ac:dyDescent="0.25"/>
    <row r="2" spans="1:16" s="2" customFormat="1" x14ac:dyDescent="0.25"/>
    <row r="3" spans="1:16" s="2" customFormat="1" x14ac:dyDescent="0.25"/>
    <row r="4" spans="1:16" s="2" customFormat="1" x14ac:dyDescent="0.25"/>
    <row r="5" spans="1:16" s="2" customFormat="1" x14ac:dyDescent="0.25"/>
    <row r="6" spans="1:16" s="2" customFormat="1" x14ac:dyDescent="0.25"/>
    <row r="7" spans="1:16" s="2" customFormat="1" x14ac:dyDescent="0.25"/>
    <row r="8" spans="1:16" s="2" customFormat="1" x14ac:dyDescent="0.25"/>
    <row r="9" spans="1:16" s="2" customFormat="1" ht="14.25" thickBot="1" x14ac:dyDescent="0.3"/>
    <row r="10" spans="1:16" s="6" customFormat="1" ht="24.75" thickTop="1" thickBot="1" x14ac:dyDescent="0.4">
      <c r="A10" s="3" t="str">
        <f ca="1">RIGHT(CELL("filename",A1),LEN(CELL("filename",A1))-FIND("]",CELL("filename",A1)))</f>
        <v>Outputs│PTRM</v>
      </c>
    </row>
    <row r="11" spans="1:16" ht="15" thickTop="1" thickBot="1" x14ac:dyDescent="0.3"/>
    <row r="12" spans="1:16" ht="24.75" thickTop="1" thickBot="1" x14ac:dyDescent="0.4">
      <c r="E12" s="19" t="str">
        <f>"Forecast Operating Expenditure ($m Real 2019/20)"</f>
        <v>Forecast Operating Expenditure ($m Real 2019/20)</v>
      </c>
    </row>
    <row r="13" spans="1:16" ht="15" thickTop="1" thickBot="1" x14ac:dyDescent="0.3"/>
    <row r="14" spans="1:16" ht="18.75" thickBot="1" x14ac:dyDescent="0.3">
      <c r="E14" s="39" t="s">
        <v>65</v>
      </c>
      <c r="F14" s="39"/>
      <c r="G14" s="40" t="s">
        <v>19</v>
      </c>
      <c r="H14" s="40" t="s">
        <v>20</v>
      </c>
      <c r="I14" s="40" t="s">
        <v>21</v>
      </c>
      <c r="J14" s="40" t="s">
        <v>22</v>
      </c>
      <c r="K14" s="40" t="s">
        <v>41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</row>
    <row r="15" spans="1:16" ht="18.75" thickBot="1" x14ac:dyDescent="0.3">
      <c r="E15" s="41" t="s">
        <v>66</v>
      </c>
      <c r="F15" s="42"/>
      <c r="G15" s="42">
        <f>Calc│Forecast!F74/1000</f>
        <v>4.7737736499355234</v>
      </c>
      <c r="H15" s="42">
        <f>Calc│Forecast!G74/1000</f>
        <v>4.8273457980987606</v>
      </c>
      <c r="I15" s="42">
        <f>Calc│Forecast!H74/1000</f>
        <v>4.8737242542261301</v>
      </c>
      <c r="J15" s="42">
        <f>Calc│Forecast!I74/1000</f>
        <v>4.9093904548034288</v>
      </c>
      <c r="K15" s="42">
        <f>Calc│Forecast!J74/1000</f>
        <v>4.9305423432917355</v>
      </c>
      <c r="L15" s="42"/>
      <c r="M15" s="42"/>
      <c r="N15" s="42"/>
      <c r="O15" s="42"/>
      <c r="P15" s="42"/>
    </row>
    <row r="16" spans="1:16" ht="18.75" thickBot="1" x14ac:dyDescent="0.3">
      <c r="E16" s="41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</row>
    <row r="17" spans="5:16" ht="18.75" thickBot="1" x14ac:dyDescent="0.3">
      <c r="E17" s="41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</row>
    <row r="18" spans="5:16" ht="18.75" thickBot="1" x14ac:dyDescent="0.3">
      <c r="E18" s="41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</row>
    <row r="19" spans="5:16" ht="18.75" thickBot="1" x14ac:dyDescent="0.3">
      <c r="E19" s="41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</row>
    <row r="20" spans="5:16" ht="18.75" thickBot="1" x14ac:dyDescent="0.3">
      <c r="E20" s="41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</row>
    <row r="21" spans="5:16" ht="18.75" thickBot="1" x14ac:dyDescent="0.3">
      <c r="E21" s="41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</row>
    <row r="22" spans="5:16" ht="18.75" thickBot="1" x14ac:dyDescent="0.3">
      <c r="E22" s="41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</row>
    <row r="23" spans="5:16" ht="18.75" thickBot="1" x14ac:dyDescent="0.3">
      <c r="E23" s="41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</row>
    <row r="24" spans="5:16" ht="18.75" thickBot="1" x14ac:dyDescent="0.3">
      <c r="E24" s="43" t="s">
        <v>8</v>
      </c>
      <c r="F24" s="44"/>
      <c r="G24" s="42">
        <f>'Input│ Forecast'!E29/1000</f>
        <v>7.5471265676249774E-2</v>
      </c>
      <c r="H24" s="42">
        <f>'Input│ Forecast'!F29/1000</f>
        <v>7.7693826099686975E-2</v>
      </c>
      <c r="I24" s="42">
        <f>'Input│ Forecast'!G29/1000</f>
        <v>7.7944127389232246E-2</v>
      </c>
      <c r="J24" s="42">
        <f>'Input│ Forecast'!H29/1000</f>
        <v>7.7476931740724869E-2</v>
      </c>
      <c r="K24" s="42">
        <f>'Input│ Forecast'!I29/1000</f>
        <v>7.7507234346826215E-2</v>
      </c>
      <c r="L24" s="42">
        <v>0</v>
      </c>
      <c r="M24" s="42">
        <v>0</v>
      </c>
      <c r="N24" s="42">
        <v>0</v>
      </c>
      <c r="O24" s="42">
        <v>0</v>
      </c>
      <c r="P24" s="42">
        <v>0</v>
      </c>
    </row>
    <row r="25" spans="5:16" ht="18.75" thickBot="1" x14ac:dyDescent="0.3">
      <c r="E25" s="41" t="s">
        <v>26</v>
      </c>
      <c r="F25" s="42"/>
      <c r="G25" s="42">
        <f t="shared" ref="G25:P25" si="0">SUM(G15:G24)</f>
        <v>4.8492449156117736</v>
      </c>
      <c r="H25" s="42">
        <f t="shared" si="0"/>
        <v>4.905039624198448</v>
      </c>
      <c r="I25" s="42">
        <f t="shared" si="0"/>
        <v>4.9516683816153622</v>
      </c>
      <c r="J25" s="42">
        <f t="shared" si="0"/>
        <v>4.9868673865441533</v>
      </c>
      <c r="K25" s="42">
        <f t="shared" si="0"/>
        <v>5.0080495776385616</v>
      </c>
      <c r="L25" s="42">
        <f t="shared" si="0"/>
        <v>0</v>
      </c>
      <c r="M25" s="42">
        <f t="shared" si="0"/>
        <v>0</v>
      </c>
      <c r="N25" s="42">
        <f t="shared" si="0"/>
        <v>0</v>
      </c>
      <c r="O25" s="42">
        <f t="shared" si="0"/>
        <v>0</v>
      </c>
      <c r="P25" s="42">
        <f t="shared" si="0"/>
        <v>0</v>
      </c>
    </row>
    <row r="27" spans="5:16" x14ac:dyDescent="0.25">
      <c r="G27" s="56"/>
      <c r="H27" s="56"/>
      <c r="I27" s="56"/>
      <c r="J27" s="56"/>
      <c r="K27" s="56"/>
      <c r="L27" s="56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9"/>
  <sheetViews>
    <sheetView zoomScale="70" zoomScaleNormal="70" workbookViewId="0">
      <selection activeCell="P63" sqref="P63"/>
    </sheetView>
  </sheetViews>
  <sheetFormatPr defaultColWidth="14" defaultRowHeight="13.5" x14ac:dyDescent="0.25"/>
  <cols>
    <col min="1" max="1" width="2.25" style="2" customWidth="1"/>
    <col min="2" max="2" width="1.625" style="2" customWidth="1"/>
    <col min="3" max="4" width="1.75" style="2" customWidth="1"/>
    <col min="5" max="5" width="80.375" style="2" customWidth="1"/>
    <col min="6" max="6" width="24" style="2" customWidth="1"/>
    <col min="7" max="14" width="13.875" style="2" customWidth="1"/>
    <col min="15" max="18" width="13.875" style="7" customWidth="1"/>
    <col min="19" max="16384" width="14" style="7"/>
  </cols>
  <sheetData>
    <row r="1" spans="1:18" s="2" customFormat="1" x14ac:dyDescent="0.25"/>
    <row r="2" spans="1:18" s="2" customFormat="1" x14ac:dyDescent="0.25"/>
    <row r="3" spans="1:18" s="2" customFormat="1" x14ac:dyDescent="0.25"/>
    <row r="4" spans="1:18" s="2" customFormat="1" x14ac:dyDescent="0.25"/>
    <row r="5" spans="1:18" s="2" customFormat="1" x14ac:dyDescent="0.25"/>
    <row r="6" spans="1:18" s="2" customFormat="1" x14ac:dyDescent="0.25"/>
    <row r="7" spans="1:18" s="2" customFormat="1" x14ac:dyDescent="0.25"/>
    <row r="8" spans="1:18" s="2" customFormat="1" x14ac:dyDescent="0.25"/>
    <row r="9" spans="1:18" s="2" customFormat="1" ht="14.25" thickBot="1" x14ac:dyDescent="0.3"/>
    <row r="10" spans="1:18" s="6" customFormat="1" ht="24.75" thickTop="1" thickBot="1" x14ac:dyDescent="0.4">
      <c r="A10" s="45" t="str">
        <f ca="1">RIGHT(CELL("filename",A1),LEN(CELL("filename",A1))-FIND("]",CELL("filename",A1)))</f>
        <v>Outputs│Tables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8" ht="14.25" thickTop="1" x14ac:dyDescent="0.25"/>
    <row r="12" spans="1:18" ht="20.25" thickBot="1" x14ac:dyDescent="0.35">
      <c r="E12" s="46" t="s">
        <v>108</v>
      </c>
    </row>
    <row r="13" spans="1:18" ht="15" thickTop="1" thickBot="1" x14ac:dyDescent="0.3"/>
    <row r="14" spans="1:18" ht="18.75" thickBot="1" x14ac:dyDescent="0.3">
      <c r="E14" s="39"/>
      <c r="F14" s="39"/>
      <c r="G14" s="40" t="s">
        <v>1</v>
      </c>
      <c r="H14" s="40" t="s">
        <v>2</v>
      </c>
      <c r="I14" s="40" t="s">
        <v>3</v>
      </c>
      <c r="J14" s="40" t="s">
        <v>4</v>
      </c>
      <c r="K14" s="40" t="s">
        <v>5</v>
      </c>
      <c r="L14" s="40" t="s">
        <v>17</v>
      </c>
      <c r="M14" s="40" t="s">
        <v>18</v>
      </c>
      <c r="N14" s="40" t="s">
        <v>19</v>
      </c>
      <c r="O14" s="40" t="s">
        <v>20</v>
      </c>
      <c r="P14" s="40" t="s">
        <v>21</v>
      </c>
      <c r="Q14" s="40" t="s">
        <v>22</v>
      </c>
      <c r="R14" s="40" t="s">
        <v>41</v>
      </c>
    </row>
    <row r="15" spans="1:18" ht="18.75" thickBot="1" x14ac:dyDescent="0.3">
      <c r="E15" s="47" t="s">
        <v>31</v>
      </c>
      <c r="F15" s="47" t="str">
        <f>LEFT(RIGHT(E12,11),10)</f>
        <v>$m nominal</v>
      </c>
      <c r="G15" s="70">
        <f>'Input│ Historic Opex'!D14/1000</f>
        <v>2.8299610459999998</v>
      </c>
      <c r="H15" s="70">
        <f>'Input│ Historic Opex'!E14/1000</f>
        <v>2.138232607</v>
      </c>
      <c r="I15" s="70">
        <f>'Input│ Historic Opex'!F14/1000</f>
        <v>2.4441738769999999</v>
      </c>
      <c r="J15" s="70">
        <f>'Input│ Historic Opex'!G14/1000</f>
        <v>2.926511869</v>
      </c>
      <c r="K15" s="70">
        <f>'Input│ Historic Opex'!H14/1000</f>
        <v>3.3726649000000002</v>
      </c>
      <c r="L15" s="70">
        <f>Calc│Forecast!D79/1000</f>
        <v>3.646137435181755</v>
      </c>
      <c r="M15" s="70">
        <f>Calc│Forecast!E79/1000</f>
        <v>3.7340957362187099</v>
      </c>
      <c r="N15" s="70">
        <f>Calc│Forecast!F79/1000</f>
        <v>3.8252471535951043</v>
      </c>
      <c r="O15" s="70">
        <f>Calc│Forecast!G79/1000</f>
        <v>3.9242387148808926</v>
      </c>
      <c r="P15" s="70">
        <f>Calc│Forecast!H79/1000</f>
        <v>4.0282484262085365</v>
      </c>
      <c r="Q15" s="70">
        <f>Calc│Forecast!I79/1000</f>
        <v>4.1351534333303013</v>
      </c>
      <c r="R15" s="70">
        <f>Calc│Forecast!J79/1000</f>
        <v>4.2449445794248728</v>
      </c>
    </row>
    <row r="16" spans="1:18" ht="18.75" thickBot="1" x14ac:dyDescent="0.3">
      <c r="E16" s="47" t="s">
        <v>33</v>
      </c>
      <c r="F16" s="47" t="str">
        <f>F15</f>
        <v>$m nominal</v>
      </c>
      <c r="G16" s="70">
        <f>'Input│ Historic Opex'!D15/1000</f>
        <v>0.372</v>
      </c>
      <c r="H16" s="70">
        <f>'Input│ Historic Opex'!E15/1000</f>
        <v>0.39900000000000002</v>
      </c>
      <c r="I16" s="70">
        <f>'Input│ Historic Opex'!F15/1000</f>
        <v>0.35599999999999998</v>
      </c>
      <c r="J16" s="70">
        <f>'Input│ Historic Opex'!G15/1000</f>
        <v>0.4</v>
      </c>
      <c r="K16" s="70">
        <f>'Input│ Historic Opex'!H15/1000</f>
        <v>0.42099999999999999</v>
      </c>
      <c r="L16" s="70">
        <f>Calc│Forecast!D80/1000</f>
        <v>0.45513678522035161</v>
      </c>
      <c r="M16" s="70">
        <f>Calc│Forecast!E80/1000</f>
        <v>0.46611636541420903</v>
      </c>
      <c r="N16" s="70">
        <f>Calc│Forecast!F80/1000</f>
        <v>0.47749453308081063</v>
      </c>
      <c r="O16" s="70">
        <f>Calc│Forecast!G80/1000</f>
        <v>0.48985136322462858</v>
      </c>
      <c r="P16" s="70">
        <f>Calc│Forecast!H80/1000</f>
        <v>0.50283459451717061</v>
      </c>
      <c r="Q16" s="70">
        <f>Calc│Forecast!I80/1000</f>
        <v>0.51617923720558678</v>
      </c>
      <c r="R16" s="70">
        <f>Calc│Forecast!J80/1000</f>
        <v>0.52988414827036967</v>
      </c>
    </row>
    <row r="17" spans="5:18" ht="18.75" thickBot="1" x14ac:dyDescent="0.3">
      <c r="E17" s="47" t="s">
        <v>11</v>
      </c>
      <c r="F17" s="47" t="str">
        <f t="shared" ref="F17:F20" si="0">F16</f>
        <v>$m nominal</v>
      </c>
      <c r="G17" s="70">
        <f>'Input│ Historic Opex'!D17/1000</f>
        <v>0.66373953800000007</v>
      </c>
      <c r="H17" s="70">
        <f>'Input│ Historic Opex'!E17/1000</f>
        <v>0.62539105199999989</v>
      </c>
      <c r="I17" s="70">
        <f>'Input│ Historic Opex'!F17/1000</f>
        <v>0.754072352</v>
      </c>
      <c r="J17" s="70">
        <f>'Input│ Historic Opex'!G17/1000</f>
        <v>0.48788082199999994</v>
      </c>
      <c r="K17" s="70">
        <f>'Input│ Historic Opex'!H17/1000</f>
        <v>0.40899999999999997</v>
      </c>
      <c r="L17" s="70">
        <f>Calc│Forecast!D81/1000</f>
        <v>0.45608869543605357</v>
      </c>
      <c r="M17" s="70">
        <f>Calc│Forecast!E81/1000</f>
        <v>0.46709123921995699</v>
      </c>
      <c r="N17" s="70">
        <f>Calc│Forecast!F81/1000</f>
        <v>0.52169942706638572</v>
      </c>
      <c r="O17" s="70">
        <f>Calc│Forecast!G81/1000</f>
        <v>0.58280924177880111</v>
      </c>
      <c r="P17" s="70">
        <f>Calc│Forecast!H81/1000</f>
        <v>0.63601898620793973</v>
      </c>
      <c r="Q17" s="70">
        <f>Calc│Forecast!I81/1000</f>
        <v>0.67948924687669865</v>
      </c>
      <c r="R17" s="70">
        <f>Calc│Forecast!J81/1000</f>
        <v>0.70825239239752302</v>
      </c>
    </row>
    <row r="18" spans="5:18" ht="18.75" thickBot="1" x14ac:dyDescent="0.3">
      <c r="E18" s="47" t="s">
        <v>35</v>
      </c>
      <c r="F18" s="47" t="str">
        <f t="shared" si="0"/>
        <v>$m nominal</v>
      </c>
      <c r="G18" s="70">
        <f>'Input│ Historic Opex'!D18/1000</f>
        <v>8.9999999999999993E-3</v>
      </c>
      <c r="H18" s="70">
        <f>'Input│ Historic Opex'!E18/1000</f>
        <v>8.9999999999999993E-3</v>
      </c>
      <c r="I18" s="70">
        <f>'Input│ Historic Opex'!F18/1000</f>
        <v>0.01</v>
      </c>
      <c r="J18" s="70">
        <f>'Input│ Historic Opex'!G18/1000</f>
        <v>8.0000000000000002E-3</v>
      </c>
      <c r="K18" s="70">
        <f>'Input│ Historic Opex'!H18/1000</f>
        <v>8.0000000000000002E-3</v>
      </c>
      <c r="L18" s="70">
        <f>Calc│Forecast!D82/1000</f>
        <v>8.6486800041872033E-3</v>
      </c>
      <c r="M18" s="70">
        <f>Calc│Forecast!E82/1000</f>
        <v>8.8573181076334277E-3</v>
      </c>
      <c r="N18" s="70">
        <f>Calc│Forecast!F82/1000</f>
        <v>9.0735303198253778E-3</v>
      </c>
      <c r="O18" s="70">
        <f>Calc│Forecast!G82/1000</f>
        <v>9.3083394436984067E-3</v>
      </c>
      <c r="P18" s="70">
        <f>Calc│Forecast!H82/1000</f>
        <v>9.5550516772859029E-3</v>
      </c>
      <c r="Q18" s="70">
        <f>Calc│Forecast!I82/1000</f>
        <v>9.8086315858543823E-3</v>
      </c>
      <c r="R18" s="70">
        <f>Calc│Forecast!J82/1000</f>
        <v>1.006905744931819E-2</v>
      </c>
    </row>
    <row r="19" spans="5:18" ht="18.75" thickBot="1" x14ac:dyDescent="0.3">
      <c r="E19" s="47" t="s">
        <v>36</v>
      </c>
      <c r="F19" s="47" t="str">
        <f t="shared" si="0"/>
        <v>$m nominal</v>
      </c>
      <c r="G19" s="70">
        <f>'Input│ Historic Opex'!D19/1000</f>
        <v>0.02</v>
      </c>
      <c r="H19" s="70">
        <f>'Input│ Historic Opex'!E19/1000</f>
        <v>0.01</v>
      </c>
      <c r="I19" s="70">
        <f>'Input│ Historic Opex'!F19/1000</f>
        <v>1.0999999999999999E-2</v>
      </c>
      <c r="J19" s="70">
        <f>'Input│ Historic Opex'!G19/1000</f>
        <v>0.01</v>
      </c>
      <c r="K19" s="70">
        <f>'Input│ Historic Opex'!H19/1000</f>
        <v>1.0999999999999999E-2</v>
      </c>
      <c r="L19" s="70">
        <f>Calc│Forecast!D83/1000</f>
        <v>1.1891935005757404E-2</v>
      </c>
      <c r="M19" s="70">
        <f>Calc│Forecast!E83/1000</f>
        <v>1.217881239799596E-2</v>
      </c>
      <c r="N19" s="70">
        <f>Calc│Forecast!F83/1000</f>
        <v>1.2476104189759901E-2</v>
      </c>
      <c r="O19" s="70">
        <f>Calc│Forecast!G83/1000</f>
        <v>1.2798966735085309E-2</v>
      </c>
      <c r="P19" s="70">
        <f>Calc│Forecast!H83/1000</f>
        <v>1.3138196056268115E-2</v>
      </c>
      <c r="Q19" s="70">
        <f>Calc│Forecast!I83/1000</f>
        <v>1.3486868430549772E-2</v>
      </c>
      <c r="R19" s="70">
        <f>Calc│Forecast!J83/1000</f>
        <v>1.3844953992812506E-2</v>
      </c>
    </row>
    <row r="20" spans="5:18" ht="18.75" thickBot="1" x14ac:dyDescent="0.3">
      <c r="E20" s="47" t="s">
        <v>12</v>
      </c>
      <c r="F20" s="47" t="str">
        <f t="shared" si="0"/>
        <v>$m nominal</v>
      </c>
      <c r="G20" s="70">
        <f>SUM('Input│ Historic Opex'!D20:D21)/1000</f>
        <v>0.104</v>
      </c>
      <c r="H20" s="70">
        <f>SUM('Input│ Historic Opex'!E20:E21)/1000</f>
        <v>3.5000000000000003E-2</v>
      </c>
      <c r="I20" s="70">
        <f>SUM('Input│ Historic Opex'!F20:F21)/1000</f>
        <v>8.7999999999999995E-2</v>
      </c>
      <c r="J20" s="70">
        <f>SUM('Input│ Historic Opex'!G20:G21)/1000</f>
        <v>0.13176686000000001</v>
      </c>
      <c r="K20" s="70">
        <f>SUM('Input│ Historic Opex'!H20:H21)/1000</f>
        <v>3.7863059999999997E-2</v>
      </c>
      <c r="L20" s="70">
        <f>Calc│Forecast!D84/1000</f>
        <v>4.0933186239917541E-2</v>
      </c>
      <c r="M20" s="70">
        <f>Calc│Forecast!E84/1000</f>
        <v>4.1920645868551355E-2</v>
      </c>
      <c r="N20" s="70">
        <f>Calc│Forecast!F84/1000</f>
        <v>4.2943952863920935E-2</v>
      </c>
      <c r="O20" s="70">
        <f>Calc│Forecast!G84/1000</f>
        <v>4.4055276857139919E-2</v>
      </c>
      <c r="P20" s="70">
        <f>Calc│Forecast!H84/1000</f>
        <v>4.5222936870022087E-2</v>
      </c>
      <c r="Q20" s="70">
        <f>Calc│Forecast!I84/1000</f>
        <v>4.6423100781637444E-2</v>
      </c>
      <c r="R20" s="70">
        <f>Calc│Forecast!J84/1000</f>
        <v>4.7655665793372687E-2</v>
      </c>
    </row>
    <row r="21" spans="5:18" ht="18.75" thickBot="1" x14ac:dyDescent="0.3">
      <c r="E21" s="47" t="s">
        <v>67</v>
      </c>
      <c r="F21" s="47" t="str">
        <f>F19</f>
        <v>$m nominal</v>
      </c>
      <c r="G21" s="70">
        <f>SUM(G15:G20)</f>
        <v>3.9987005839999998</v>
      </c>
      <c r="H21" s="70">
        <f t="shared" ref="H21:K21" si="1">SUM(H15:H20)</f>
        <v>3.2166236589999997</v>
      </c>
      <c r="I21" s="70">
        <f t="shared" si="1"/>
        <v>3.6632462289999999</v>
      </c>
      <c r="J21" s="70">
        <f t="shared" si="1"/>
        <v>3.9641595509999998</v>
      </c>
      <c r="K21" s="70">
        <f t="shared" si="1"/>
        <v>4.2595279600000007</v>
      </c>
      <c r="L21" s="70">
        <f t="shared" ref="L21:R21" si="2">SUM(L15:L19)</f>
        <v>4.5779035308481051</v>
      </c>
      <c r="M21" s="70">
        <f t="shared" si="2"/>
        <v>4.6883394713585043</v>
      </c>
      <c r="N21" s="70">
        <f t="shared" si="2"/>
        <v>4.8459907482518858</v>
      </c>
      <c r="O21" s="70">
        <f t="shared" si="2"/>
        <v>5.0190066260631063</v>
      </c>
      <c r="P21" s="70">
        <f t="shared" si="2"/>
        <v>5.1897952546672004</v>
      </c>
      <c r="Q21" s="70">
        <f t="shared" si="2"/>
        <v>5.3541174174289914</v>
      </c>
      <c r="R21" s="70">
        <f t="shared" si="2"/>
        <v>5.5069951315348957</v>
      </c>
    </row>
    <row r="24" spans="5:18" ht="20.25" thickBot="1" x14ac:dyDescent="0.35">
      <c r="E24" s="46" t="s">
        <v>68</v>
      </c>
    </row>
    <row r="25" spans="5:18" ht="15" thickTop="1" thickBot="1" x14ac:dyDescent="0.3"/>
    <row r="26" spans="5:18" ht="18.75" thickBot="1" x14ac:dyDescent="0.3">
      <c r="E26" s="39"/>
      <c r="F26" s="39"/>
      <c r="I26" s="40" t="s">
        <v>3</v>
      </c>
      <c r="J26" s="40" t="s">
        <v>4</v>
      </c>
      <c r="K26" s="40" t="s">
        <v>5</v>
      </c>
      <c r="L26" s="40" t="s">
        <v>17</v>
      </c>
      <c r="M26" s="40" t="s">
        <v>18</v>
      </c>
      <c r="N26" s="40" t="s">
        <v>26</v>
      </c>
    </row>
    <row r="27" spans="5:18" ht="18.75" thickBot="1" x14ac:dyDescent="0.3">
      <c r="E27" s="41" t="s">
        <v>69</v>
      </c>
      <c r="F27" s="41" t="str">
        <f>F21</f>
        <v>$m nominal</v>
      </c>
      <c r="I27" s="71">
        <f>'Input│ Historic Opex'!F43/1000</f>
        <v>4.2095766244158543</v>
      </c>
      <c r="J27" s="71">
        <f>'Input│ Historic Opex'!G43/1000</f>
        <v>3.5587163627011495</v>
      </c>
      <c r="K27" s="71">
        <f>'Input│ Historic Opex'!H43/1000</f>
        <v>3.7119726796276478</v>
      </c>
      <c r="L27" s="71">
        <f>'Input│ Historic Opex'!I43/1000</f>
        <v>3.7541623324945026</v>
      </c>
      <c r="M27" s="71">
        <f>'Input│ Historic Opex'!J43/1000</f>
        <v>3.8637405658489659</v>
      </c>
      <c r="N27" s="71">
        <f>SUM(I27:M27)</f>
        <v>19.09816856508812</v>
      </c>
    </row>
    <row r="28" spans="5:18" ht="18.75" thickBot="1" x14ac:dyDescent="0.3">
      <c r="E28" s="41" t="s">
        <v>70</v>
      </c>
      <c r="F28" s="41" t="str">
        <f>F27</f>
        <v>$m nominal</v>
      </c>
      <c r="I28" s="71">
        <f>I21</f>
        <v>3.6632462289999999</v>
      </c>
      <c r="J28" s="71">
        <f t="shared" ref="J28:M28" si="3">J21</f>
        <v>3.9641595509999998</v>
      </c>
      <c r="K28" s="71">
        <f t="shared" si="3"/>
        <v>4.2595279600000007</v>
      </c>
      <c r="L28" s="71">
        <f t="shared" si="3"/>
        <v>4.5779035308481051</v>
      </c>
      <c r="M28" s="71">
        <f t="shared" si="3"/>
        <v>4.6883394713585043</v>
      </c>
      <c r="N28" s="71">
        <f>SUM(I28:M28)</f>
        <v>21.153176742206607</v>
      </c>
    </row>
    <row r="29" spans="5:18" ht="18.75" thickBot="1" x14ac:dyDescent="0.3">
      <c r="E29" s="41" t="s">
        <v>71</v>
      </c>
      <c r="F29" s="41" t="str">
        <f>F28</f>
        <v>$m nominal</v>
      </c>
      <c r="I29" s="71">
        <f>I28-I27</f>
        <v>-0.54633039541585449</v>
      </c>
      <c r="J29" s="71">
        <f t="shared" ref="J29:N29" si="4">J28-J27</f>
        <v>0.40544318829885029</v>
      </c>
      <c r="K29" s="71">
        <f t="shared" si="4"/>
        <v>0.5475552803723529</v>
      </c>
      <c r="L29" s="71">
        <f t="shared" si="4"/>
        <v>0.82374119835360249</v>
      </c>
      <c r="M29" s="71">
        <f t="shared" si="4"/>
        <v>0.8245989055095384</v>
      </c>
      <c r="N29" s="71">
        <f t="shared" si="4"/>
        <v>2.0550081771184878</v>
      </c>
    </row>
    <row r="32" spans="5:18" ht="20.25" thickBot="1" x14ac:dyDescent="0.35">
      <c r="E32" s="46" t="s">
        <v>124</v>
      </c>
    </row>
    <row r="33" spans="5:19" ht="15" thickTop="1" thickBot="1" x14ac:dyDescent="0.3"/>
    <row r="34" spans="5:19" ht="18.75" thickBot="1" x14ac:dyDescent="0.3">
      <c r="E34" s="39"/>
      <c r="F34" s="39"/>
      <c r="I34" s="40" t="str">
        <f>I26</f>
        <v>2015/16</v>
      </c>
      <c r="J34" s="40" t="str">
        <f t="shared" ref="J34:M34" si="5">J26</f>
        <v>2016/17</v>
      </c>
      <c r="K34" s="40" t="str">
        <f t="shared" si="5"/>
        <v>2017/18</v>
      </c>
      <c r="L34" s="40" t="str">
        <f t="shared" si="5"/>
        <v>2018/19</v>
      </c>
      <c r="M34" s="40" t="str">
        <f t="shared" si="5"/>
        <v>2019/20</v>
      </c>
      <c r="N34" s="40" t="s">
        <v>26</v>
      </c>
    </row>
    <row r="35" spans="5:19" ht="18.75" thickBot="1" x14ac:dyDescent="0.3">
      <c r="E35" s="41" t="s">
        <v>69</v>
      </c>
      <c r="F35" s="41" t="s">
        <v>125</v>
      </c>
      <c r="I35" s="76">
        <f>I27/'Input│ Other'!F$15*'Input│ Other'!$H$15</f>
        <v>4.380760886406887</v>
      </c>
      <c r="J35" s="76">
        <f>J27/'Input│ Other'!G$15*'Input│ Other'!$H$15</f>
        <v>3.6263480763814431</v>
      </c>
      <c r="K35" s="76">
        <f>K27/'Input│ Other'!H$15*'Input│ Other'!$H$15</f>
        <v>3.7119726796276478</v>
      </c>
      <c r="L35" s="76">
        <f>L27/'Input│ Other'!I$15*'Input│ Other'!$H$15</f>
        <v>3.6625973975556132</v>
      </c>
      <c r="M35" s="76">
        <f>M27/'Input│ Other'!J$15*'Input│ Other'!$H$15</f>
        <v>3.677563893728939</v>
      </c>
      <c r="N35" s="76">
        <f>SUM(I35:M35)</f>
        <v>19.059242933700531</v>
      </c>
    </row>
    <row r="36" spans="5:19" ht="18.75" thickBot="1" x14ac:dyDescent="0.3">
      <c r="E36" s="41" t="s">
        <v>70</v>
      </c>
      <c r="F36" s="41" t="str">
        <f>F35</f>
        <v>$m FY18</v>
      </c>
      <c r="I36" s="76">
        <f>I28/'Input│ Other'!F$15*'Input│ Other'!$H$15</f>
        <v>3.8122137281460255</v>
      </c>
      <c r="J36" s="76">
        <f>J28/'Input│ Other'!G$15*'Input│ Other'!$H$15</f>
        <v>4.0394965198425332</v>
      </c>
      <c r="K36" s="76">
        <f>K28/'Input│ Other'!H$15*'Input│ Other'!$H$15</f>
        <v>4.2595279600000007</v>
      </c>
      <c r="L36" s="76">
        <f>L28/'Input│ Other'!I$15*'Input│ Other'!$H$15</f>
        <v>4.4662473471688839</v>
      </c>
      <c r="M36" s="76">
        <f>M28/'Input│ Other'!J$15*'Input│ Other'!$H$15</f>
        <v>4.4624290030776965</v>
      </c>
      <c r="N36" s="76">
        <f>SUM(I36:M36)</f>
        <v>21.039914558235139</v>
      </c>
    </row>
    <row r="37" spans="5:19" ht="18.75" thickBot="1" x14ac:dyDescent="0.3">
      <c r="E37" s="41" t="s">
        <v>71</v>
      </c>
      <c r="F37" s="41" t="str">
        <f>F36</f>
        <v>$m FY18</v>
      </c>
      <c r="I37" s="76">
        <f>I36-I35</f>
        <v>-0.56854715826086144</v>
      </c>
      <c r="J37" s="76">
        <f t="shared" ref="J37" si="6">J36-J35</f>
        <v>0.41314844346109014</v>
      </c>
      <c r="K37" s="76">
        <f t="shared" ref="K37" si="7">K36-K35</f>
        <v>0.5475552803723529</v>
      </c>
      <c r="L37" s="76">
        <f t="shared" ref="L37" si="8">L36-L35</f>
        <v>0.80364994961327074</v>
      </c>
      <c r="M37" s="76">
        <f t="shared" ref="M37" si="9">M36-M35</f>
        <v>0.78486510934875753</v>
      </c>
      <c r="N37" s="76">
        <f t="shared" ref="N37" si="10">N36-N35</f>
        <v>1.9806716245346081</v>
      </c>
    </row>
    <row r="43" spans="5:19" ht="20.25" thickBot="1" x14ac:dyDescent="0.35">
      <c r="E43" s="4" t="s">
        <v>72</v>
      </c>
    </row>
    <row r="44" spans="5:19" ht="15" thickTop="1" thickBot="1" x14ac:dyDescent="0.3"/>
    <row r="45" spans="5:19" ht="18.75" thickBot="1" x14ac:dyDescent="0.3">
      <c r="E45" s="39"/>
      <c r="F45" s="39"/>
      <c r="I45" s="40" t="str">
        <f>H$14</f>
        <v>2014/15</v>
      </c>
      <c r="J45" s="40" t="str">
        <f>I$14</f>
        <v>2015/16</v>
      </c>
      <c r="K45" s="40" t="str">
        <f>J$14</f>
        <v>2016/17</v>
      </c>
      <c r="L45" s="40" t="str">
        <f>K$14</f>
        <v>2017/18</v>
      </c>
      <c r="M45" s="40" t="str">
        <f>Calc│Forecast!D11</f>
        <v>2018/19</v>
      </c>
      <c r="N45" s="40" t="str">
        <f>Calc│Forecast!E11</f>
        <v>2019/20</v>
      </c>
      <c r="O45" s="40" t="str">
        <f>Calc│Forecast!F11</f>
        <v>2020/21</v>
      </c>
      <c r="P45" s="40" t="str">
        <f>Calc│Forecast!G11</f>
        <v>2021/22</v>
      </c>
      <c r="Q45" s="40" t="str">
        <f>Calc│Forecast!H11</f>
        <v>2022/23</v>
      </c>
      <c r="R45" s="40" t="str">
        <f>Calc│Forecast!I11</f>
        <v>2023/24</v>
      </c>
      <c r="S45" s="40" t="str">
        <f>Calc│Forecast!J11</f>
        <v>2024/25</v>
      </c>
    </row>
    <row r="46" spans="5:19" ht="18.75" thickBot="1" x14ac:dyDescent="0.3">
      <c r="E46" s="41" t="s">
        <v>11</v>
      </c>
      <c r="F46" s="41"/>
      <c r="I46" s="48">
        <f>'Input│ Historic Opex'!D17*1000</f>
        <v>663739.53800000006</v>
      </c>
      <c r="J46" s="48">
        <f>'Input│ Historic Opex'!E17*1000</f>
        <v>625391.05199999991</v>
      </c>
      <c r="K46" s="48">
        <f>'Input│ Historic Opex'!F17*1000</f>
        <v>754072.35200000007</v>
      </c>
      <c r="L46" s="48">
        <f>'Input│ Historic Opex'!G17*1000</f>
        <v>487880.82199999993</v>
      </c>
      <c r="M46" s="48">
        <f>Calc│Forecast!D52*1000</f>
        <v>445345.32150924025</v>
      </c>
      <c r="N46" s="48">
        <f>Calc│Forecast!E52*1000</f>
        <v>445345.32150924025</v>
      </c>
      <c r="O46" s="48">
        <f>Calc│Forecast!F52*1000</f>
        <v>485694.42513488198</v>
      </c>
      <c r="P46" s="48">
        <f>Calc│Forecast!G52*1000</f>
        <v>529805.88126539788</v>
      </c>
      <c r="Q46" s="48">
        <f>Calc│Forecast!H52*1000</f>
        <v>564557.27948624128</v>
      </c>
      <c r="R46" s="48">
        <f>Calc│Forecast!I52*1000</f>
        <v>588936.00490784645</v>
      </c>
      <c r="S46" s="48">
        <f>Calc│Forecast!J52*1000</f>
        <v>599406.09421098465</v>
      </c>
    </row>
    <row r="48" spans="5:19" ht="18.75" thickBot="1" x14ac:dyDescent="0.3">
      <c r="E48" s="41"/>
      <c r="F48" s="48"/>
      <c r="G48" s="48"/>
      <c r="H48" s="48"/>
      <c r="I48" s="48"/>
      <c r="J48" s="48"/>
      <c r="K48" s="48"/>
    </row>
    <row r="49" spans="5:12" ht="20.25" thickBot="1" x14ac:dyDescent="0.35">
      <c r="E49" s="4" t="s">
        <v>113</v>
      </c>
    </row>
    <row r="50" spans="5:12" ht="15" thickTop="1" thickBot="1" x14ac:dyDescent="0.3"/>
    <row r="51" spans="5:12" ht="18.75" thickBot="1" x14ac:dyDescent="0.3">
      <c r="E51" s="39"/>
      <c r="F51" s="40" t="str">
        <f>N14</f>
        <v>2020/21</v>
      </c>
      <c r="G51" s="40" t="str">
        <f t="shared" ref="G51:J51" si="11">O14</f>
        <v>2021/22</v>
      </c>
      <c r="H51" s="40" t="str">
        <f t="shared" si="11"/>
        <v>2022/23</v>
      </c>
      <c r="I51" s="40" t="str">
        <f t="shared" si="11"/>
        <v>2023/24</v>
      </c>
      <c r="J51" s="40" t="str">
        <f t="shared" si="11"/>
        <v>2024/25</v>
      </c>
      <c r="K51" s="40" t="s">
        <v>26</v>
      </c>
    </row>
    <row r="52" spans="5:12" ht="18.75" thickBot="1" x14ac:dyDescent="0.3">
      <c r="E52" s="41" t="s">
        <v>73</v>
      </c>
      <c r="F52" s="76">
        <f>N21</f>
        <v>4.8459907482518858</v>
      </c>
      <c r="G52" s="76">
        <f t="shared" ref="G52:J52" si="12">O21</f>
        <v>5.0190066260631063</v>
      </c>
      <c r="H52" s="76">
        <f t="shared" si="12"/>
        <v>5.1897952546672004</v>
      </c>
      <c r="I52" s="76">
        <f t="shared" si="12"/>
        <v>5.3541174174289914</v>
      </c>
      <c r="J52" s="76">
        <f t="shared" si="12"/>
        <v>5.5069951315348957</v>
      </c>
      <c r="K52" s="76">
        <f>SUM(F52:J52)</f>
        <v>25.91590517794608</v>
      </c>
    </row>
    <row r="54" spans="5:12" ht="20.25" thickBot="1" x14ac:dyDescent="0.35">
      <c r="E54" s="4" t="s">
        <v>132</v>
      </c>
      <c r="F54" s="4" t="str">
        <f>L34</f>
        <v>2018/19</v>
      </c>
      <c r="G54" s="4" t="str">
        <f>M34</f>
        <v>2019/20</v>
      </c>
      <c r="H54" s="4" t="str">
        <f>F51</f>
        <v>2020/21</v>
      </c>
      <c r="I54" s="4" t="str">
        <f t="shared" ref="I54:L54" si="13">G51</f>
        <v>2021/22</v>
      </c>
      <c r="J54" s="4" t="str">
        <f t="shared" si="13"/>
        <v>2022/23</v>
      </c>
      <c r="K54" s="4" t="str">
        <f t="shared" si="13"/>
        <v>2023/24</v>
      </c>
      <c r="L54" s="4" t="str">
        <f t="shared" si="13"/>
        <v>2024/25</v>
      </c>
    </row>
    <row r="55" spans="5:12" ht="17.25" thickTop="1" x14ac:dyDescent="0.3">
      <c r="E55" s="2" t="s">
        <v>126</v>
      </c>
      <c r="F55" s="51">
        <f>Calc│Forecast!D27</f>
        <v>4065.8323849749995</v>
      </c>
      <c r="G55" s="51">
        <f>Calc│Forecast!E27</f>
        <v>4065.8323849749995</v>
      </c>
      <c r="H55" s="51">
        <f>Calc│Forecast!F27</f>
        <v>4065.8323849749995</v>
      </c>
      <c r="I55" s="51">
        <f>Calc│Forecast!G27</f>
        <v>4065.8323849749995</v>
      </c>
      <c r="J55" s="51">
        <f>Calc│Forecast!H27</f>
        <v>4065.8323849749995</v>
      </c>
      <c r="K55" s="51">
        <f>Calc│Forecast!I27</f>
        <v>4065.8323849749995</v>
      </c>
      <c r="L55" s="51">
        <f>Calc│Forecast!J27</f>
        <v>4065.8323849749995</v>
      </c>
    </row>
    <row r="56" spans="5:12" ht="16.5" x14ac:dyDescent="0.3">
      <c r="E56" s="2" t="s">
        <v>127</v>
      </c>
      <c r="F56" s="51">
        <f>Calc│Forecast!D48-Calc│Forecast!D46</f>
        <v>-1.1397613349286075</v>
      </c>
      <c r="G56" s="51">
        <f>Calc│Forecast!E48-Calc│Forecast!E46</f>
        <v>-1.1397613349286075</v>
      </c>
      <c r="H56" s="51">
        <f>Calc│Forecast!F48-Calc│Forecast!F46</f>
        <v>-1.1499556460421445E-3</v>
      </c>
      <c r="I56" s="51">
        <f>Calc│Forecast!G48-Calc│Forecast!G46</f>
        <v>6.9654350852811149</v>
      </c>
      <c r="J56" s="51">
        <f>Calc│Forecast!H48-Calc│Forecast!H46</f>
        <v>16.433295803310784</v>
      </c>
      <c r="K56" s="51">
        <f>Calc│Forecast!I48-Calc│Forecast!I46</f>
        <v>26.060293952190932</v>
      </c>
      <c r="L56" s="51">
        <f>Calc│Forecast!J48-Calc│Forecast!J46</f>
        <v>35.75734500279691</v>
      </c>
    </row>
    <row r="57" spans="5:12" ht="16.5" x14ac:dyDescent="0.3">
      <c r="E57" s="2" t="s">
        <v>128</v>
      </c>
      <c r="F57" s="51"/>
      <c r="G57" s="51"/>
      <c r="H57" s="51"/>
      <c r="I57" s="51"/>
      <c r="J57" s="51"/>
      <c r="K57" s="51"/>
      <c r="L57" s="51"/>
    </row>
    <row r="58" spans="5:12" ht="16.5" x14ac:dyDescent="0.3">
      <c r="E58" s="2" t="s">
        <v>129</v>
      </c>
      <c r="F58" s="51"/>
      <c r="G58" s="51"/>
      <c r="H58" s="51"/>
      <c r="I58" s="51"/>
      <c r="J58" s="51"/>
      <c r="K58" s="51"/>
      <c r="L58" s="51"/>
    </row>
    <row r="59" spans="5:12" ht="16.5" x14ac:dyDescent="0.3">
      <c r="E59" s="2" t="s">
        <v>23</v>
      </c>
      <c r="F59" s="51"/>
      <c r="G59" s="51"/>
      <c r="H59" s="51"/>
      <c r="I59" s="51"/>
      <c r="J59" s="51"/>
      <c r="K59" s="51"/>
      <c r="L59" s="51"/>
    </row>
    <row r="60" spans="5:12" ht="16.5" x14ac:dyDescent="0.3">
      <c r="E60" s="2" t="s">
        <v>130</v>
      </c>
      <c r="F60" s="51">
        <f>Calc│Forecast!D31</f>
        <v>445.34532150924025</v>
      </c>
      <c r="G60" s="51">
        <f>Calc│Forecast!E31</f>
        <v>445.34532150924025</v>
      </c>
      <c r="H60" s="51">
        <f>Calc│Forecast!F31</f>
        <v>485.69442513488195</v>
      </c>
      <c r="I60" s="51">
        <f>Calc│Forecast!G31</f>
        <v>529.80588126539783</v>
      </c>
      <c r="J60" s="51">
        <f>Calc│Forecast!H31</f>
        <v>564.55727948624133</v>
      </c>
      <c r="K60" s="51">
        <f>Calc│Forecast!I31</f>
        <v>588.9360049078465</v>
      </c>
      <c r="L60" s="51">
        <f>Calc│Forecast!J31</f>
        <v>599.40609421098463</v>
      </c>
    </row>
    <row r="61" spans="5:12" ht="16.5" x14ac:dyDescent="0.3">
      <c r="E61" s="2" t="s">
        <v>37</v>
      </c>
      <c r="F61" s="51">
        <f>SUM(F55:F60)</f>
        <v>4510.0379451493109</v>
      </c>
      <c r="G61" s="51">
        <f t="shared" ref="G61:L61" si="14">SUM(G55:G60)</f>
        <v>4510.0379451493109</v>
      </c>
      <c r="H61" s="51">
        <f t="shared" si="14"/>
        <v>4551.525660154236</v>
      </c>
      <c r="I61" s="51">
        <f t="shared" si="14"/>
        <v>4602.6037013256782</v>
      </c>
      <c r="J61" s="51">
        <f t="shared" si="14"/>
        <v>4646.8229602645515</v>
      </c>
      <c r="K61" s="51">
        <f t="shared" si="14"/>
        <v>4680.8286838350368</v>
      </c>
      <c r="L61" s="51">
        <f t="shared" si="14"/>
        <v>4700.9958241887807</v>
      </c>
    </row>
    <row r="62" spans="5:12" ht="14.25" thickBot="1" x14ac:dyDescent="0.3"/>
    <row r="63" spans="5:12" ht="15" thickTop="1" thickBot="1" x14ac:dyDescent="0.3">
      <c r="E63" s="2" t="s">
        <v>131</v>
      </c>
      <c r="F63" s="62">
        <f>Calc│Forecast!D55</f>
        <v>4510.0379451493109</v>
      </c>
      <c r="G63" s="62">
        <f>Calc│Forecast!E55</f>
        <v>4510.0379451493109</v>
      </c>
      <c r="H63" s="62">
        <f>Calc│Forecast!F55</f>
        <v>4551.525660154236</v>
      </c>
      <c r="I63" s="62">
        <f>Calc│Forecast!G55</f>
        <v>4602.6037013256791</v>
      </c>
      <c r="J63" s="62">
        <f>Calc│Forecast!H55</f>
        <v>4646.8229602645515</v>
      </c>
      <c r="K63" s="62">
        <f>Calc│Forecast!I55</f>
        <v>4680.8286838350377</v>
      </c>
      <c r="L63" s="62">
        <f>Calc│Forecast!J55</f>
        <v>4700.9958241887807</v>
      </c>
    </row>
    <row r="64" spans="5:12" ht="15" thickTop="1" thickBot="1" x14ac:dyDescent="0.3">
      <c r="F64" s="79">
        <f>F61-F63</f>
        <v>0</v>
      </c>
      <c r="G64" s="79">
        <f t="shared" ref="G64:L64" si="15">G61-G63</f>
        <v>0</v>
      </c>
      <c r="H64" s="79">
        <f t="shared" si="15"/>
        <v>0</v>
      </c>
      <c r="I64" s="79">
        <f t="shared" si="15"/>
        <v>0</v>
      </c>
      <c r="J64" s="79">
        <f t="shared" si="15"/>
        <v>0</v>
      </c>
      <c r="K64" s="79">
        <f t="shared" si="15"/>
        <v>0</v>
      </c>
      <c r="L64" s="79">
        <f t="shared" si="15"/>
        <v>0</v>
      </c>
    </row>
    <row r="65" spans="5:12" ht="15" thickTop="1" thickBot="1" x14ac:dyDescent="0.3">
      <c r="F65" s="80">
        <f>F64/'Input│ Forecast'!$D$13</f>
        <v>0</v>
      </c>
      <c r="G65" s="80">
        <f>G64/'Input│ Forecast'!$D$13</f>
        <v>0</v>
      </c>
      <c r="H65" s="80">
        <f>H64/'Input│ Forecast'!$D$13</f>
        <v>0</v>
      </c>
      <c r="I65" s="80">
        <f>I64/'Input│ Forecast'!$D$13</f>
        <v>0</v>
      </c>
      <c r="J65" s="80">
        <f>J64/'Input│ Forecast'!$D$13</f>
        <v>0</v>
      </c>
      <c r="K65" s="80">
        <f>K64/'Input│ Forecast'!$D$13</f>
        <v>0</v>
      </c>
      <c r="L65" s="80">
        <f>L64/'Input│ Forecast'!$D$13</f>
        <v>0</v>
      </c>
    </row>
    <row r="66" spans="5:12" ht="14.25" thickTop="1" x14ac:dyDescent="0.25">
      <c r="F66" s="77"/>
      <c r="G66" s="77"/>
      <c r="H66" s="77"/>
      <c r="I66" s="77"/>
      <c r="J66" s="77"/>
      <c r="K66" s="77"/>
      <c r="L66" s="77"/>
    </row>
    <row r="67" spans="5:12" ht="20.25" thickBot="1" x14ac:dyDescent="0.35">
      <c r="E67" s="4" t="s">
        <v>133</v>
      </c>
      <c r="F67" s="4" t="str">
        <f>F54</f>
        <v>2018/19</v>
      </c>
      <c r="G67" s="4" t="str">
        <f t="shared" ref="G67:L67" si="16">G54</f>
        <v>2019/20</v>
      </c>
      <c r="H67" s="4" t="str">
        <f t="shared" si="16"/>
        <v>2020/21</v>
      </c>
      <c r="I67" s="4" t="str">
        <f t="shared" si="16"/>
        <v>2021/22</v>
      </c>
      <c r="J67" s="4" t="str">
        <f t="shared" si="16"/>
        <v>2022/23</v>
      </c>
      <c r="K67" s="4" t="str">
        <f t="shared" si="16"/>
        <v>2023/24</v>
      </c>
      <c r="L67" s="4" t="str">
        <f t="shared" si="16"/>
        <v>2024/25</v>
      </c>
    </row>
    <row r="68" spans="5:12" ht="17.25" thickTop="1" x14ac:dyDescent="0.3">
      <c r="E68" s="2" t="s">
        <v>126</v>
      </c>
      <c r="F68" s="22">
        <f>F55*'Input│ Forecast'!$D$13*1000</f>
        <v>4264364.2931347191</v>
      </c>
      <c r="G68" s="22">
        <f>G55*'Input│ Forecast'!$D$13*1000</f>
        <v>4264364.2931347191</v>
      </c>
      <c r="H68" s="22">
        <f>H55*'Input│ Forecast'!$D$13*1000</f>
        <v>4264364.2931347191</v>
      </c>
      <c r="I68" s="22">
        <f>I55*'Input│ Forecast'!$D$13*1000</f>
        <v>4264364.2931347191</v>
      </c>
      <c r="J68" s="22">
        <f>J55*'Input│ Forecast'!$D$13*1000</f>
        <v>4264364.2931347191</v>
      </c>
      <c r="K68" s="22">
        <f>K55*'Input│ Forecast'!$D$13*1000</f>
        <v>4264364.2931347191</v>
      </c>
      <c r="L68" s="22">
        <f>L55*'Input│ Forecast'!$D$13*1000</f>
        <v>4264364.2931347191</v>
      </c>
    </row>
    <row r="69" spans="5:12" ht="16.5" x14ac:dyDescent="0.3">
      <c r="E69" s="2" t="s">
        <v>127</v>
      </c>
      <c r="F69" s="22">
        <f>F56*'Input│ Forecast'!$D$13*1000</f>
        <v>-1195.4151276196799</v>
      </c>
      <c r="G69" s="22">
        <f>G56*'Input│ Forecast'!$D$13*1000</f>
        <v>-1195.4151276196799</v>
      </c>
      <c r="H69" s="22">
        <f>H56*'Input│ Forecast'!$D$13*1000</f>
        <v>-1.2061072202072449</v>
      </c>
      <c r="I69" s="22">
        <f>I56*'Input│ Forecast'!$D$13*1000</f>
        <v>7305.5526768851832</v>
      </c>
      <c r="J69" s="22">
        <f>J56*'Input│ Forecast'!$D$13*1000</f>
        <v>17235.722776257549</v>
      </c>
      <c r="K69" s="22">
        <f>K56*'Input│ Forecast'!$D$13*1000</f>
        <v>27332.800882051368</v>
      </c>
      <c r="L69" s="22">
        <f>L56*'Input│ Forecast'!$D$13*1000</f>
        <v>37503.352526462782</v>
      </c>
    </row>
    <row r="70" spans="5:12" ht="16.5" x14ac:dyDescent="0.3">
      <c r="E70" s="2" t="s">
        <v>128</v>
      </c>
      <c r="F70" s="22">
        <f>F57*'Input│ Forecast'!$D$13*1000</f>
        <v>0</v>
      </c>
      <c r="G70" s="22">
        <f>G57*'Input│ Forecast'!$D$13*1000</f>
        <v>0</v>
      </c>
      <c r="H70" s="22">
        <f>H57*'Input│ Forecast'!$D$13*1000</f>
        <v>0</v>
      </c>
      <c r="I70" s="22">
        <f>I57*'Input│ Forecast'!$D$13*1000</f>
        <v>0</v>
      </c>
      <c r="J70" s="22">
        <f>J57*'Input│ Forecast'!$D$13*1000</f>
        <v>0</v>
      </c>
      <c r="K70" s="22">
        <f>K57*'Input│ Forecast'!$D$13*1000</f>
        <v>0</v>
      </c>
      <c r="L70" s="22">
        <f>L57*'Input│ Forecast'!$D$13*1000</f>
        <v>0</v>
      </c>
    </row>
    <row r="71" spans="5:12" ht="16.5" x14ac:dyDescent="0.3">
      <c r="E71" s="2" t="s">
        <v>129</v>
      </c>
      <c r="F71" s="22">
        <f>F58*'Input│ Forecast'!$D$13*1000</f>
        <v>0</v>
      </c>
      <c r="G71" s="22">
        <f>G58*'Input│ Forecast'!$D$13*1000</f>
        <v>0</v>
      </c>
      <c r="H71" s="22">
        <f>H58*'Input│ Forecast'!$D$13*1000</f>
        <v>0</v>
      </c>
      <c r="I71" s="22">
        <f>I58*'Input│ Forecast'!$D$13*1000</f>
        <v>0</v>
      </c>
      <c r="J71" s="22">
        <f>J58*'Input│ Forecast'!$D$13*1000</f>
        <v>0</v>
      </c>
      <c r="K71" s="22">
        <f>K58*'Input│ Forecast'!$D$13*1000</f>
        <v>0</v>
      </c>
      <c r="L71" s="22">
        <f>L58*'Input│ Forecast'!$D$13*1000</f>
        <v>0</v>
      </c>
    </row>
    <row r="72" spans="5:12" ht="16.5" x14ac:dyDescent="0.3">
      <c r="E72" s="2" t="s">
        <v>23</v>
      </c>
      <c r="F72" s="22">
        <f>F59*'Input│ Forecast'!$D$13*1000</f>
        <v>0</v>
      </c>
      <c r="G72" s="22">
        <f>G59*'Input│ Forecast'!$D$13*1000</f>
        <v>0</v>
      </c>
      <c r="H72" s="22">
        <f>H59*'Input│ Forecast'!$D$13*1000</f>
        <v>0</v>
      </c>
      <c r="I72" s="22">
        <f>I59*'Input│ Forecast'!$D$13*1000</f>
        <v>0</v>
      </c>
      <c r="J72" s="22">
        <f>J59*'Input│ Forecast'!$D$13*1000</f>
        <v>0</v>
      </c>
      <c r="K72" s="22">
        <f>K59*'Input│ Forecast'!$D$13*1000</f>
        <v>0</v>
      </c>
      <c r="L72" s="22">
        <f>L59*'Input│ Forecast'!$D$13*1000</f>
        <v>0</v>
      </c>
    </row>
    <row r="73" spans="5:12" ht="16.5" x14ac:dyDescent="0.3">
      <c r="E73" s="2" t="s">
        <v>130</v>
      </c>
      <c r="F73" s="22">
        <f>F60*'Input│ Forecast'!$D$13*1000</f>
        <v>467091.23921995703</v>
      </c>
      <c r="G73" s="22">
        <f>G60*'Input│ Forecast'!$D$13*1000</f>
        <v>467091.23921995703</v>
      </c>
      <c r="H73" s="22">
        <f>H60*'Input│ Forecast'!$D$13*1000</f>
        <v>509410.56290802319</v>
      </c>
      <c r="I73" s="22">
        <f>I60*'Input│ Forecast'!$D$13*1000</f>
        <v>555675.95228715451</v>
      </c>
      <c r="J73" s="22">
        <f>J60*'Input│ Forecast'!$D$13*1000</f>
        <v>592124.23831515352</v>
      </c>
      <c r="K73" s="22">
        <f>K60*'Input│ Forecast'!$D$13*1000</f>
        <v>617693.3607866565</v>
      </c>
      <c r="L73" s="22">
        <f>L60*'Input│ Forecast'!$D$13*1000</f>
        <v>628674.69763055316</v>
      </c>
    </row>
    <row r="74" spans="5:12" ht="16.5" x14ac:dyDescent="0.3">
      <c r="E74" s="2" t="s">
        <v>37</v>
      </c>
      <c r="F74" s="51">
        <f>SUM(F68:F73)</f>
        <v>4730260.1172270561</v>
      </c>
      <c r="G74" s="51">
        <f t="shared" ref="G74" si="17">SUM(G68:G73)</f>
        <v>4730260.1172270561</v>
      </c>
      <c r="H74" s="51">
        <f t="shared" ref="H74" si="18">SUM(H68:H73)</f>
        <v>4773773.6499355221</v>
      </c>
      <c r="I74" s="51">
        <f t="shared" ref="I74" si="19">SUM(I68:I73)</f>
        <v>4827345.7980987588</v>
      </c>
      <c r="J74" s="51">
        <f t="shared" ref="J74" si="20">SUM(J68:J73)</f>
        <v>4873724.2542261304</v>
      </c>
      <c r="K74" s="51">
        <f t="shared" ref="K74" si="21">SUM(K68:K73)</f>
        <v>4909390.4548034277</v>
      </c>
      <c r="L74" s="51">
        <f t="shared" ref="L74" si="22">SUM(L68:L73)</f>
        <v>4930542.3432917353</v>
      </c>
    </row>
    <row r="75" spans="5:12" ht="14.25" thickBot="1" x14ac:dyDescent="0.3"/>
    <row r="76" spans="5:12" ht="15" thickTop="1" thickBot="1" x14ac:dyDescent="0.3">
      <c r="E76" s="2" t="s">
        <v>131</v>
      </c>
      <c r="F76" s="62">
        <f>Calc│Forecast!D65*1000</f>
        <v>4730260.117227057</v>
      </c>
      <c r="G76" s="62">
        <f>Calc│Forecast!E65*1000</f>
        <v>4730260.117227057</v>
      </c>
      <c r="H76" s="62">
        <f>Calc│Forecast!F65*1000</f>
        <v>4773773.649935523</v>
      </c>
      <c r="I76" s="62">
        <f>Calc│Forecast!G65*1000</f>
        <v>4827345.7980987607</v>
      </c>
      <c r="J76" s="62">
        <f>Calc│Forecast!H65*1000</f>
        <v>4873724.2542261314</v>
      </c>
      <c r="K76" s="62">
        <f>Calc│Forecast!I65*1000</f>
        <v>4909390.4548034286</v>
      </c>
      <c r="L76" s="62">
        <f>Calc│Forecast!J65*1000</f>
        <v>4930542.3432917353</v>
      </c>
    </row>
    <row r="77" spans="5:12" ht="15" thickTop="1" thickBot="1" x14ac:dyDescent="0.3">
      <c r="F77" s="79">
        <f>F74-F76</f>
        <v>0</v>
      </c>
      <c r="G77" s="79">
        <f t="shared" ref="G77" si="23">G74-G76</f>
        <v>0</v>
      </c>
      <c r="H77" s="79">
        <f t="shared" ref="H77" si="24">H74-H76</f>
        <v>0</v>
      </c>
      <c r="I77" s="79">
        <f t="shared" ref="I77" si="25">I74-I76</f>
        <v>0</v>
      </c>
      <c r="J77" s="79">
        <f t="shared" ref="J77" si="26">J74-J76</f>
        <v>0</v>
      </c>
      <c r="K77" s="79">
        <f t="shared" ref="K77" si="27">K74-K76</f>
        <v>0</v>
      </c>
      <c r="L77" s="79">
        <f t="shared" ref="L77" si="28">L74-L76</f>
        <v>0</v>
      </c>
    </row>
    <row r="78" spans="5:12" ht="15" thickTop="1" thickBot="1" x14ac:dyDescent="0.3">
      <c r="F78" s="80">
        <f>F77/'Input│ Forecast'!$D$13</f>
        <v>0</v>
      </c>
      <c r="G78" s="80">
        <f>G77/'Input│ Forecast'!$D$13</f>
        <v>0</v>
      </c>
      <c r="H78" s="80">
        <f>H77/'Input│ Forecast'!$D$13</f>
        <v>0</v>
      </c>
      <c r="I78" s="80">
        <f>I77/'Input│ Forecast'!$D$13</f>
        <v>0</v>
      </c>
      <c r="J78" s="80">
        <f>J77/'Input│ Forecast'!$D$13</f>
        <v>0</v>
      </c>
      <c r="K78" s="80">
        <f>K77/'Input│ Forecast'!$D$13</f>
        <v>0</v>
      </c>
      <c r="L78" s="80">
        <f>L77/'Input│ Forecast'!$D$13</f>
        <v>0</v>
      </c>
    </row>
    <row r="79" spans="5:12" ht="14.25" thickTop="1" x14ac:dyDescent="0.25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workbookViewId="0">
      <selection activeCell="F13" sqref="F13"/>
    </sheetView>
  </sheetViews>
  <sheetFormatPr defaultColWidth="14" defaultRowHeight="13.5" x14ac:dyDescent="0.25"/>
  <cols>
    <col min="1" max="1" width="2.25" style="2" customWidth="1"/>
    <col min="2" max="2" width="1.625" style="2" customWidth="1"/>
    <col min="3" max="4" width="1.75" style="2" customWidth="1"/>
    <col min="5" max="5" width="78.625" style="2" customWidth="1"/>
    <col min="6" max="6" width="16.25" style="2" customWidth="1"/>
    <col min="7" max="7" width="20.625" style="2" customWidth="1"/>
    <col min="8" max="8" width="14" style="2"/>
    <col min="9" max="9" width="41.5" style="7" bestFit="1" customWidth="1"/>
    <col min="10" max="12" width="41.5" style="7" customWidth="1"/>
    <col min="13" max="13" width="16.5" style="7" customWidth="1"/>
    <col min="14" max="15" width="14" style="7"/>
    <col min="16" max="16" width="15.5" style="7" customWidth="1"/>
    <col min="17" max="16384" width="14" style="7"/>
  </cols>
  <sheetData>
    <row r="1" spans="1:22" s="2" customFormat="1" x14ac:dyDescent="0.25"/>
    <row r="2" spans="1:22" s="2" customFormat="1" x14ac:dyDescent="0.25"/>
    <row r="3" spans="1:22" s="2" customFormat="1" x14ac:dyDescent="0.25"/>
    <row r="4" spans="1:22" s="2" customFormat="1" x14ac:dyDescent="0.25"/>
    <row r="5" spans="1:22" s="2" customFormat="1" x14ac:dyDescent="0.25"/>
    <row r="6" spans="1:22" s="2" customFormat="1" x14ac:dyDescent="0.25"/>
    <row r="7" spans="1:22" s="2" customFormat="1" x14ac:dyDescent="0.25"/>
    <row r="8" spans="1:22" s="2" customFormat="1" x14ac:dyDescent="0.25"/>
    <row r="9" spans="1:22" s="2" customFormat="1" ht="14.25" thickBot="1" x14ac:dyDescent="0.3"/>
    <row r="10" spans="1:22" s="6" customFormat="1" ht="24.75" thickTop="1" thickBot="1" x14ac:dyDescent="0.4">
      <c r="A10" s="45" t="str">
        <f ca="1">RIGHT(CELL("filename",A1),LEN(CELL("filename",A1))-FIND("]",CELL("filename",A1)))</f>
        <v>Outputs│Graphs</v>
      </c>
      <c r="B10" s="2"/>
      <c r="C10" s="2"/>
      <c r="D10" s="2"/>
      <c r="E10" s="2"/>
      <c r="F10" s="2"/>
      <c r="G10" s="2"/>
      <c r="H10" s="2"/>
    </row>
    <row r="11" spans="1:22" ht="14.25" thickTop="1" x14ac:dyDescent="0.25"/>
    <row r="12" spans="1:22" ht="20.25" thickBot="1" x14ac:dyDescent="0.35">
      <c r="E12" s="46" t="s">
        <v>74</v>
      </c>
    </row>
    <row r="13" spans="1:22" ht="14.25" thickTop="1" x14ac:dyDescent="0.25"/>
    <row r="14" spans="1:22" ht="20.25" thickBot="1" x14ac:dyDescent="0.35">
      <c r="I14" s="4" t="s">
        <v>15</v>
      </c>
      <c r="J14" s="4"/>
      <c r="K14" s="23" t="str">
        <f>Outputs│Tables!G14</f>
        <v>2013/14</v>
      </c>
      <c r="L14" s="23" t="str">
        <f>Outputs│Tables!H14</f>
        <v>2014/15</v>
      </c>
      <c r="M14" s="23" t="str">
        <f>Outputs│Tables!I14</f>
        <v>2015/16</v>
      </c>
      <c r="N14" s="23" t="str">
        <f>Outputs│Tables!J14</f>
        <v>2016/17</v>
      </c>
      <c r="O14" s="23" t="str">
        <f>Outputs│Tables!K14</f>
        <v>2017/18</v>
      </c>
      <c r="P14" s="23" t="str">
        <f>Outputs│Tables!L14</f>
        <v>2018/19</v>
      </c>
      <c r="Q14" s="23" t="str">
        <f>Outputs│Tables!M14</f>
        <v>2019/20</v>
      </c>
      <c r="R14" s="23" t="str">
        <f>Outputs│Tables!N14</f>
        <v>2020/21</v>
      </c>
      <c r="S14" s="23" t="str">
        <f>Outputs│Tables!O14</f>
        <v>2021/22</v>
      </c>
      <c r="T14" s="23" t="str">
        <f>Outputs│Tables!P14</f>
        <v>2022/23</v>
      </c>
      <c r="U14" s="23" t="str">
        <f>Outputs│Tables!Q14</f>
        <v>2023/24</v>
      </c>
      <c r="V14" s="23" t="str">
        <f>Outputs│Tables!R14</f>
        <v>2024/25</v>
      </c>
    </row>
    <row r="15" spans="1:22" ht="14.25" thickTop="1" x14ac:dyDescent="0.25">
      <c r="I15" s="7" t="s">
        <v>75</v>
      </c>
      <c r="J15" s="7" t="s">
        <v>116</v>
      </c>
      <c r="K15" s="49">
        <f>Outputs│Tables!G21</f>
        <v>3.9987005839999998</v>
      </c>
      <c r="L15" s="49">
        <f>Outputs│Tables!H21</f>
        <v>3.2166236589999997</v>
      </c>
      <c r="M15" s="49">
        <f>Outputs│Tables!I21</f>
        <v>3.6632462289999999</v>
      </c>
      <c r="N15" s="49">
        <f>Outputs│Tables!J21</f>
        <v>3.9641595509999998</v>
      </c>
      <c r="O15" s="49">
        <f>Outputs│Tables!K21</f>
        <v>4.2595279600000007</v>
      </c>
      <c r="P15" s="49"/>
      <c r="Q15" s="49"/>
      <c r="R15" s="49"/>
      <c r="S15" s="49"/>
      <c r="T15" s="49"/>
      <c r="U15" s="49"/>
      <c r="V15" s="49"/>
    </row>
    <row r="16" spans="1:22" x14ac:dyDescent="0.25">
      <c r="I16" s="7" t="s">
        <v>76</v>
      </c>
      <c r="J16" s="7" t="s">
        <v>116</v>
      </c>
      <c r="K16" s="49"/>
      <c r="L16" s="49"/>
      <c r="M16" s="49">
        <f>'Input│ Historic Opex'!F43/1000</f>
        <v>4.2095766244158543</v>
      </c>
      <c r="N16" s="49">
        <f>'Input│ Historic Opex'!G43/1000</f>
        <v>3.5587163627011495</v>
      </c>
      <c r="O16" s="49">
        <f>'Input│ Historic Opex'!H43/1000</f>
        <v>3.7119726796276478</v>
      </c>
      <c r="P16" s="49"/>
      <c r="Q16" s="49"/>
    </row>
    <row r="17" spans="5:22" x14ac:dyDescent="0.25">
      <c r="I17" s="7" t="s">
        <v>77</v>
      </c>
      <c r="J17" s="7" t="s">
        <v>116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49">
        <f>Calc│Forecast!F85/1000</f>
        <v>4.8889347011158071</v>
      </c>
      <c r="S17" s="49">
        <f>Calc│Forecast!G85/1000</f>
        <v>5.0630619029202455</v>
      </c>
      <c r="T17" s="49">
        <f>Calc│Forecast!H85/1000</f>
        <v>5.2350181915372227</v>
      </c>
      <c r="U17" s="49">
        <f>Calc│Forecast!I85/1000</f>
        <v>5.4005405182106285</v>
      </c>
      <c r="V17" s="49">
        <f>Calc│Forecast!J85/1000</f>
        <v>5.5546507973282697</v>
      </c>
    </row>
    <row r="19" spans="5:22" x14ac:dyDescent="0.25">
      <c r="M19" s="7" t="s">
        <v>118</v>
      </c>
      <c r="N19" s="7" t="s">
        <v>119</v>
      </c>
      <c r="O19" s="7" t="s">
        <v>120</v>
      </c>
      <c r="P19" s="7" t="s">
        <v>121</v>
      </c>
      <c r="Q19" s="7" t="s">
        <v>122</v>
      </c>
    </row>
    <row r="20" spans="5:22" x14ac:dyDescent="0.25">
      <c r="I20" s="7" t="str">
        <f>I15</f>
        <v>Operating Expenditure (actual)</v>
      </c>
      <c r="J20" s="7" t="s">
        <v>117</v>
      </c>
      <c r="M20" s="56">
        <f>M15/'Input│ Other'!C$15</f>
        <v>4.2320644785940988</v>
      </c>
      <c r="N20" s="56">
        <f>N15/'Input│ Other'!D$15</f>
        <v>4.4493506778285719</v>
      </c>
      <c r="O20" s="56">
        <f>O15/'Input│ Other'!E$15</f>
        <v>4.7181999530991101</v>
      </c>
      <c r="P20" s="56">
        <f>Outputs│Tables!L21/'Input│ Other'!F$15</f>
        <v>5.0052468060365509</v>
      </c>
      <c r="Q20" s="56">
        <f>Outputs│Tables!M21/'Input│ Other'!G$15</f>
        <v>5.0192969917557715</v>
      </c>
      <c r="R20" s="56"/>
      <c r="S20" s="56"/>
      <c r="T20" s="56"/>
      <c r="U20" s="56"/>
      <c r="V20" s="56"/>
    </row>
    <row r="21" spans="5:22" x14ac:dyDescent="0.25">
      <c r="I21" s="7" t="str">
        <f>I16</f>
        <v>AER Forecast</v>
      </c>
      <c r="J21" s="7" t="s">
        <v>117</v>
      </c>
      <c r="M21" s="56">
        <f>M16/'Input│ Other'!C$15</f>
        <v>4.8632274732385703</v>
      </c>
      <c r="N21" s="56">
        <f>N16/'Input│ Other'!D$15</f>
        <v>3.994283493607039</v>
      </c>
      <c r="O21" s="56">
        <f>O16/'Input│ Other'!E$15</f>
        <v>4.1116831459710257</v>
      </c>
      <c r="P21" s="56">
        <f>'Input│ Historic Opex'!I43/1000/'Input│ Other'!F$15</f>
        <v>4.1046100900644573</v>
      </c>
      <c r="Q21" s="56">
        <f>'Input│ Historic Opex'!J43/1000/'Input│ Other'!G$15</f>
        <v>4.1364883062682782</v>
      </c>
      <c r="R21" s="56"/>
      <c r="S21" s="56"/>
      <c r="T21" s="56"/>
      <c r="U21" s="56"/>
      <c r="V21" s="56"/>
    </row>
    <row r="22" spans="5:22" x14ac:dyDescent="0.25">
      <c r="I22" s="7" t="str">
        <f>I17</f>
        <v>Operating Expenditure (forecast)</v>
      </c>
      <c r="J22" s="7" t="s">
        <v>117</v>
      </c>
      <c r="M22" s="56">
        <f>R17/'Input│ Other'!H$15</f>
        <v>5.1364370203597938</v>
      </c>
      <c r="N22" s="56">
        <f>S17/'Input│ Other'!I$15</f>
        <v>5.189638450493252</v>
      </c>
      <c r="O22" s="56">
        <f>T17/'Input│ Other'!J$15</f>
        <v>5.2350181915372227</v>
      </c>
      <c r="P22" s="56">
        <f>U17/'Input│ Other'!K$15</f>
        <v>5.2688200177664672</v>
      </c>
      <c r="Q22" s="56">
        <f>V17/'Input│ Other'!L$15</f>
        <v>5.2869965947205424</v>
      </c>
    </row>
    <row r="32" spans="5:22" ht="20.25" thickBot="1" x14ac:dyDescent="0.35">
      <c r="E32" s="4" t="s">
        <v>78</v>
      </c>
    </row>
    <row r="33" ht="14.25" thickTop="1" x14ac:dyDescent="0.25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D56BFB5048764FBBCA08C566CDFDB8" ma:contentTypeVersion="0" ma:contentTypeDescription="Create a new document." ma:contentTypeScope="" ma:versionID="576060b25521d478bc1c815fe327e30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D12AE40-EFA3-48A2-BCF1-80AD1A9C3F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276A333-00C1-4980-8914-34D28F0E111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94C9033-BEA0-4CF3-AFD4-58B5CD206D4F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Input│ Historic Opex</vt:lpstr>
      <vt:lpstr>Input│ Other</vt:lpstr>
      <vt:lpstr>Input│ Forecast</vt:lpstr>
      <vt:lpstr>Calc│Forecast</vt:lpstr>
      <vt:lpstr>Outputs│PTRM</vt:lpstr>
      <vt:lpstr>Outputs│Tables</vt:lpstr>
      <vt:lpstr>Outputs│Graphs</vt:lpstr>
    </vt:vector>
  </TitlesOfParts>
  <Company>APA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Allen, Mark</dc:creator>
  <cp:lastModifiedBy>Petersen, Adam</cp:lastModifiedBy>
  <dcterms:created xsi:type="dcterms:W3CDTF">2018-10-03T00:58:45Z</dcterms:created>
  <dcterms:modified xsi:type="dcterms:W3CDTF">2019-02-05T03:03:36Z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0x01010008D56BFB5048764FBBCA08C566CDFDB8</vt:lpwstr>
  </property>
  <property fmtid="{D5CDD505-2E9C-101B-9397-08002B2CF9AE}" pid="3" name="_MarkAsFinal">
    <vt:bool>true</vt:bool>
  </property>
</Properties>
</file>