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3.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256" workbookHashValue="iVpqeE74n+SHBUacDa5w5Um8nnmVizCy4faV1bJBpH0=" workbookSaltValue="+VcxWYt71K/nGM28GmZSZw==" workbookSpinCount="100000" lockStructure="1"/>
  <bookViews>
    <workbookView xWindow="0" yWindow="0" windowWidth="28800" windowHeight="11856" tabRatio="694"/>
  </bookViews>
  <sheets>
    <sheet name="Cover" sheetId="43" r:id="rId1"/>
    <sheet name="Index" sheetId="44" r:id="rId2"/>
    <sheet name="OVERVIEW -&gt;" sheetId="90" r:id="rId3"/>
    <sheet name="Structure" sheetId="77" r:id="rId4"/>
    <sheet name="Summary" sheetId="57" r:id="rId5"/>
    <sheet name="CHARTS -&gt;" sheetId="86" r:id="rId6"/>
    <sheet name="Res wo CL" sheetId="83" r:id="rId7"/>
    <sheet name="Res w CL" sheetId="84" r:id="rId8"/>
    <sheet name="SB wo CL" sheetId="85" r:id="rId9"/>
    <sheet name="DMO INDEX -&gt;" sheetId="87" r:id="rId10"/>
    <sheet name="Ausgrid" sheetId="53" r:id="rId11"/>
    <sheet name="Endeavour" sheetId="79" r:id="rId12"/>
    <sheet name="Essential" sheetId="80" r:id="rId13"/>
    <sheet name="Energex" sheetId="81" r:id="rId14"/>
    <sheet name="SAPN" sheetId="82" r:id="rId15"/>
    <sheet name="COST CALCS -&gt;" sheetId="88" r:id="rId16"/>
    <sheet name="Network cost" sheetId="52" r:id="rId17"/>
    <sheet name="Wholesale cost" sheetId="66" r:id="rId18"/>
    <sheet name="Environmental cost" sheetId="68" r:id="rId19"/>
    <sheet name="INPUTS -&gt;" sheetId="89" r:id="rId20"/>
    <sheet name="Key inputs" sheetId="78" r:id="rId21"/>
    <sheet name="Detail inputs" sheetId="58" r:id="rId22"/>
    <sheet name="Usage" sheetId="61" r:id="rId23"/>
  </sheets>
  <definedNames>
    <definedName name="_xlnm._FilterDatabase" localSheetId="21" hidden="1">'Detail inputs'!$B$3:$P$381</definedName>
    <definedName name="_xlnm._FilterDatabase" localSheetId="22" hidden="1">Usage!$B$4:$Q$4</definedName>
    <definedName name="CPI">'Key inputs'!$C$9</definedName>
    <definedName name="Days">'Key inputs'!$C$10</definedName>
    <definedName name="FY">'Key inputs'!$C$6</definedName>
    <definedName name="GST">'Key inputs'!$C$11</definedName>
    <definedName name="PY">'Key inputs'!$C$7</definedName>
  </definedNames>
  <calcPr calcId="162913"/>
</workbook>
</file>

<file path=xl/calcChain.xml><?xml version="1.0" encoding="utf-8"?>
<calcChain xmlns="http://schemas.openxmlformats.org/spreadsheetml/2006/main">
  <c r="A69" i="83" l="1"/>
  <c r="A63" i="83"/>
  <c r="A57" i="83"/>
  <c r="A51" i="83"/>
  <c r="A69" i="84"/>
  <c r="A63" i="84"/>
  <c r="A57" i="84"/>
  <c r="A51" i="84"/>
  <c r="A69" i="85"/>
  <c r="A63" i="85"/>
  <c r="A57" i="85"/>
  <c r="A51" i="85"/>
  <c r="A45" i="85"/>
  <c r="A45" i="84"/>
  <c r="A45" i="83"/>
  <c r="F10" i="90" l="1"/>
  <c r="B24" i="44"/>
  <c r="B23" i="44"/>
  <c r="B22" i="44"/>
  <c r="F10" i="89" l="1"/>
  <c r="F10" i="88"/>
  <c r="F10" i="87"/>
  <c r="F10" i="86"/>
  <c r="J105" i="58" l="1"/>
  <c r="J104" i="58"/>
  <c r="J49" i="58"/>
  <c r="J100" i="58" l="1"/>
  <c r="J97" i="58"/>
  <c r="J127" i="58" l="1"/>
  <c r="J94" i="58"/>
  <c r="J93" i="58"/>
  <c r="C110" i="58" l="1"/>
  <c r="C102" i="58"/>
  <c r="C99" i="58"/>
  <c r="C96" i="58"/>
  <c r="C9" i="78" l="1"/>
  <c r="B4" i="57"/>
  <c r="A2" i="57"/>
  <c r="Y21" i="57"/>
  <c r="Y22" i="57" s="1"/>
  <c r="Y23" i="57" s="1"/>
  <c r="Y24" i="57" s="1"/>
  <c r="Y25" i="57" s="1"/>
  <c r="X21" i="57"/>
  <c r="X22" i="57" s="1"/>
  <c r="X23" i="57" s="1"/>
  <c r="X24" i="57" s="1"/>
  <c r="X25" i="57" s="1"/>
  <c r="Y15" i="57"/>
  <c r="Y16" i="57" s="1"/>
  <c r="Y17" i="57" s="1"/>
  <c r="Y18" i="57" s="1"/>
  <c r="Y19" i="57" s="1"/>
  <c r="X15" i="57"/>
  <c r="X16" i="57" s="1"/>
  <c r="X17" i="57" s="1"/>
  <c r="X18" i="57" s="1"/>
  <c r="X19" i="57" s="1"/>
  <c r="Y9" i="57"/>
  <c r="Y10" i="57" s="1"/>
  <c r="Y11" i="57" s="1"/>
  <c r="Y12" i="57" s="1"/>
  <c r="Y13" i="57" s="1"/>
  <c r="X9" i="57"/>
  <c r="X10" i="57" s="1"/>
  <c r="X11" i="57" s="1"/>
  <c r="X12" i="57" s="1"/>
  <c r="X13" i="57" s="1"/>
  <c r="R20" i="57"/>
  <c r="R14" i="57"/>
  <c r="R8" i="57"/>
  <c r="F41" i="79"/>
  <c r="F41" i="80"/>
  <c r="F41" i="81"/>
  <c r="F41" i="82"/>
  <c r="F41" i="53"/>
  <c r="L37" i="53" l="1"/>
  <c r="V25" i="57"/>
  <c r="V21" i="57"/>
  <c r="V16" i="57"/>
  <c r="V11" i="57"/>
  <c r="V24" i="57"/>
  <c r="V19" i="57"/>
  <c r="V15" i="57"/>
  <c r="V10" i="57"/>
  <c r="V17" i="57"/>
  <c r="V23" i="57"/>
  <c r="V18" i="57"/>
  <c r="V13" i="57"/>
  <c r="V9" i="57"/>
  <c r="V22" i="57"/>
  <c r="V12" i="57"/>
  <c r="P3" i="58"/>
  <c r="O3" i="58"/>
  <c r="L22" i="57" l="1"/>
  <c r="L23" i="57" s="1"/>
  <c r="L24" i="57" s="1"/>
  <c r="L25" i="57" s="1"/>
  <c r="L16" i="57"/>
  <c r="L17" i="57" s="1"/>
  <c r="L18" i="57" s="1"/>
  <c r="L19" i="57" s="1"/>
  <c r="L10" i="57"/>
  <c r="L11" i="57" s="1"/>
  <c r="L12" i="57" s="1"/>
  <c r="L13" i="57" s="1"/>
  <c r="K22" i="57"/>
  <c r="K23" i="57" s="1"/>
  <c r="K24" i="57" s="1"/>
  <c r="K25" i="57" s="1"/>
  <c r="K10" i="57"/>
  <c r="K11" i="57" s="1"/>
  <c r="K12" i="57" s="1"/>
  <c r="K13" i="57" s="1"/>
  <c r="K16" i="57" s="1"/>
  <c r="K17" i="57" s="1"/>
  <c r="K18" i="57" s="1"/>
  <c r="K19" i="57" s="1"/>
  <c r="J131" i="58"/>
  <c r="J125" i="58"/>
  <c r="J124" i="58"/>
  <c r="J130" i="58" l="1"/>
  <c r="J129" i="58"/>
  <c r="J128" i="58"/>
  <c r="J123" i="58"/>
  <c r="J122" i="58"/>
  <c r="J121" i="58"/>
  <c r="J120" i="58"/>
  <c r="J119" i="58"/>
  <c r="J118" i="58"/>
  <c r="J117" i="58"/>
  <c r="J116" i="58"/>
  <c r="J111" i="58" l="1"/>
  <c r="J103" i="58"/>
  <c r="J101" i="58"/>
  <c r="J98" i="58"/>
  <c r="J109" i="58"/>
  <c r="J108" i="58"/>
  <c r="J107" i="58"/>
  <c r="J106" i="58"/>
  <c r="J95" i="58"/>
  <c r="J92" i="58"/>
  <c r="B16" i="79" l="1"/>
  <c r="B16" i="80"/>
  <c r="B16" i="81"/>
  <c r="B16" i="82"/>
  <c r="B16" i="53"/>
  <c r="B15" i="79"/>
  <c r="B15" i="80"/>
  <c r="B15" i="81"/>
  <c r="B15" i="82"/>
  <c r="B15" i="53"/>
  <c r="I37" i="58" l="1"/>
  <c r="I58" i="58" l="1"/>
  <c r="I111" i="58" l="1"/>
  <c r="I130" i="58"/>
  <c r="I129" i="58"/>
  <c r="I128" i="58"/>
  <c r="I127" i="58"/>
  <c r="I126" i="58"/>
  <c r="I123" i="58"/>
  <c r="I122" i="58"/>
  <c r="I121" i="58"/>
  <c r="I44" i="84"/>
  <c r="I44" i="85"/>
  <c r="I44" i="83"/>
  <c r="D44" i="84"/>
  <c r="D44" i="85"/>
  <c r="D44" i="83"/>
  <c r="B8" i="44"/>
  <c r="B9" i="44" s="1"/>
  <c r="B10" i="44" s="1"/>
  <c r="I109" i="58"/>
  <c r="I108" i="58"/>
  <c r="I107" i="58"/>
  <c r="I106" i="58"/>
  <c r="I105" i="58"/>
  <c r="I104" i="58"/>
  <c r="I103" i="58"/>
  <c r="I101" i="58"/>
  <c r="I100" i="58"/>
  <c r="I98" i="58"/>
  <c r="I97" i="58"/>
  <c r="I95" i="58"/>
  <c r="I94" i="58"/>
  <c r="I93" i="58"/>
  <c r="I92" i="58"/>
  <c r="C206" i="58" l="1"/>
  <c r="C205" i="58"/>
  <c r="C193" i="58"/>
  <c r="C192" i="58"/>
  <c r="C191" i="58"/>
  <c r="C179" i="58"/>
  <c r="C178" i="58"/>
  <c r="C177" i="58"/>
  <c r="C164" i="58"/>
  <c r="C163" i="58"/>
  <c r="C162" i="58"/>
  <c r="C149" i="58"/>
  <c r="C148" i="58"/>
  <c r="C147" i="58"/>
  <c r="I131" i="58" l="1"/>
  <c r="I125" i="58"/>
  <c r="I124" i="58"/>
  <c r="J88" i="58"/>
  <c r="I88" i="58"/>
  <c r="J80" i="58"/>
  <c r="I80" i="58"/>
  <c r="J79" i="58"/>
  <c r="J78" i="58"/>
  <c r="I79" i="58"/>
  <c r="I78" i="58"/>
  <c r="J41" i="78" l="1"/>
  <c r="I41" i="78"/>
  <c r="H41" i="78"/>
  <c r="G41" i="78"/>
  <c r="F41" i="78"/>
  <c r="E41" i="78"/>
  <c r="D41" i="78"/>
  <c r="J40" i="78"/>
  <c r="I40" i="78"/>
  <c r="H40" i="78"/>
  <c r="G40" i="78"/>
  <c r="F40" i="78"/>
  <c r="E40" i="78"/>
  <c r="D40" i="78"/>
  <c r="J39" i="78"/>
  <c r="I39" i="78"/>
  <c r="H39" i="78"/>
  <c r="G39" i="78"/>
  <c r="F39" i="78"/>
  <c r="E39" i="78"/>
  <c r="D39" i="78"/>
  <c r="J38" i="78"/>
  <c r="I38" i="78"/>
  <c r="H38" i="78"/>
  <c r="G38" i="78"/>
  <c r="F38" i="78"/>
  <c r="S91" i="52" s="1" a="1"/>
  <c r="S91" i="52" s="1"/>
  <c r="E38" i="78"/>
  <c r="D38" i="78"/>
  <c r="J37" i="78"/>
  <c r="I37" i="78"/>
  <c r="H37" i="78"/>
  <c r="G37" i="78"/>
  <c r="F37" i="78"/>
  <c r="E37" i="78"/>
  <c r="D37" i="78"/>
  <c r="S92" i="52" l="1" a="1"/>
  <c r="S92" i="52" s="1"/>
  <c r="B34" i="78"/>
  <c r="B70" i="85"/>
  <c r="B71" i="85" s="1"/>
  <c r="B72" i="85" s="1"/>
  <c r="B64" i="85"/>
  <c r="B65" i="85" s="1"/>
  <c r="B66" i="85" s="1"/>
  <c r="B59" i="85"/>
  <c r="B60" i="85" s="1"/>
  <c r="B58" i="85"/>
  <c r="B52" i="85"/>
  <c r="B46" i="85"/>
  <c r="B47" i="85" s="1"/>
  <c r="B48" i="85" s="1"/>
  <c r="B70" i="84"/>
  <c r="B71" i="84" s="1"/>
  <c r="B65" i="84"/>
  <c r="B64" i="84"/>
  <c r="B58" i="84"/>
  <c r="B52" i="84"/>
  <c r="B53" i="84" s="1"/>
  <c r="B46" i="84"/>
  <c r="B47" i="84" s="1"/>
  <c r="B48" i="84" s="1"/>
  <c r="AJ24" i="82"/>
  <c r="AI24" i="82"/>
  <c r="AH24" i="82"/>
  <c r="AG24" i="82"/>
  <c r="AF24" i="82"/>
  <c r="AD24" i="82"/>
  <c r="AC24" i="82"/>
  <c r="AB24" i="82"/>
  <c r="Z24" i="82"/>
  <c r="Y24" i="82"/>
  <c r="X24" i="82"/>
  <c r="W24" i="82"/>
  <c r="V24" i="82"/>
  <c r="T24" i="82"/>
  <c r="S24" i="82"/>
  <c r="R24" i="82"/>
  <c r="P24" i="82"/>
  <c r="O24" i="82"/>
  <c r="N24" i="82"/>
  <c r="M24" i="82"/>
  <c r="L24" i="82"/>
  <c r="J24" i="82"/>
  <c r="I24" i="82"/>
  <c r="H24" i="82"/>
  <c r="AJ23" i="82"/>
  <c r="AI23" i="82"/>
  <c r="AH23" i="82"/>
  <c r="AG23" i="82"/>
  <c r="AF23" i="82"/>
  <c r="AD23" i="82"/>
  <c r="AC23" i="82"/>
  <c r="AB23" i="82"/>
  <c r="Z23" i="82"/>
  <c r="Y23" i="82"/>
  <c r="X23" i="82"/>
  <c r="W23" i="82"/>
  <c r="V23" i="82"/>
  <c r="T23" i="82"/>
  <c r="S23" i="82"/>
  <c r="R23" i="82"/>
  <c r="P23" i="82"/>
  <c r="O23" i="82"/>
  <c r="N23" i="82"/>
  <c r="M23" i="82"/>
  <c r="L23" i="82"/>
  <c r="J23" i="82"/>
  <c r="I23" i="82"/>
  <c r="H23" i="82"/>
  <c r="AJ24" i="81"/>
  <c r="AI24" i="81"/>
  <c r="AH24" i="81"/>
  <c r="AG24" i="81"/>
  <c r="AF24" i="81"/>
  <c r="AD24" i="81"/>
  <c r="AC24" i="81"/>
  <c r="AB24" i="81"/>
  <c r="Z24" i="81"/>
  <c r="Y24" i="81"/>
  <c r="X24" i="81"/>
  <c r="W24" i="81"/>
  <c r="V24" i="81"/>
  <c r="T24" i="81"/>
  <c r="S24" i="81"/>
  <c r="R24" i="81"/>
  <c r="P24" i="81"/>
  <c r="O24" i="81"/>
  <c r="N24" i="81"/>
  <c r="M24" i="81"/>
  <c r="L24" i="81"/>
  <c r="J24" i="81"/>
  <c r="I24" i="81"/>
  <c r="H24" i="81"/>
  <c r="AJ23" i="81"/>
  <c r="AI23" i="81"/>
  <c r="AH23" i="81"/>
  <c r="AG23" i="81"/>
  <c r="AF23" i="81"/>
  <c r="AD23" i="81"/>
  <c r="AC23" i="81"/>
  <c r="AB23" i="81"/>
  <c r="Z23" i="81"/>
  <c r="Y23" i="81"/>
  <c r="X23" i="81"/>
  <c r="W23" i="81"/>
  <c r="V23" i="81"/>
  <c r="T23" i="81"/>
  <c r="S23" i="81"/>
  <c r="R23" i="81"/>
  <c r="P23" i="81"/>
  <c r="O23" i="81"/>
  <c r="N23" i="81"/>
  <c r="M23" i="81"/>
  <c r="L23" i="81"/>
  <c r="J23" i="81"/>
  <c r="I23" i="81"/>
  <c r="H23" i="81"/>
  <c r="AJ24" i="80"/>
  <c r="AI24" i="80"/>
  <c r="AH24" i="80"/>
  <c r="AG24" i="80"/>
  <c r="AF24" i="80"/>
  <c r="AD24" i="80"/>
  <c r="AC24" i="80"/>
  <c r="AB24" i="80"/>
  <c r="Z24" i="80"/>
  <c r="Y24" i="80"/>
  <c r="X24" i="80"/>
  <c r="W24" i="80"/>
  <c r="V24" i="80"/>
  <c r="T24" i="80"/>
  <c r="S24" i="80"/>
  <c r="R24" i="80"/>
  <c r="P24" i="80"/>
  <c r="O24" i="80"/>
  <c r="N24" i="80"/>
  <c r="M24" i="80"/>
  <c r="L24" i="80"/>
  <c r="J24" i="80"/>
  <c r="I24" i="80"/>
  <c r="H24" i="80"/>
  <c r="AJ23" i="80"/>
  <c r="AI23" i="80"/>
  <c r="AH23" i="80"/>
  <c r="AG23" i="80"/>
  <c r="AF23" i="80"/>
  <c r="AD23" i="80"/>
  <c r="AC23" i="80"/>
  <c r="AB23" i="80"/>
  <c r="Z23" i="80"/>
  <c r="Y23" i="80"/>
  <c r="X23" i="80"/>
  <c r="W23" i="80"/>
  <c r="V23" i="80"/>
  <c r="T23" i="80"/>
  <c r="S23" i="80"/>
  <c r="R23" i="80"/>
  <c r="P23" i="80"/>
  <c r="O23" i="80"/>
  <c r="N23" i="80"/>
  <c r="M23" i="80"/>
  <c r="L23" i="80"/>
  <c r="J23" i="80"/>
  <c r="I23" i="80"/>
  <c r="H23" i="80"/>
  <c r="AJ24" i="79"/>
  <c r="AI24" i="79"/>
  <c r="AH24" i="79"/>
  <c r="AG24" i="79"/>
  <c r="AF24" i="79"/>
  <c r="AD24" i="79"/>
  <c r="AC24" i="79"/>
  <c r="AB24" i="79"/>
  <c r="Z24" i="79"/>
  <c r="Y24" i="79"/>
  <c r="X24" i="79"/>
  <c r="W24" i="79"/>
  <c r="V24" i="79"/>
  <c r="T24" i="79"/>
  <c r="S24" i="79"/>
  <c r="R24" i="79"/>
  <c r="P24" i="79"/>
  <c r="O24" i="79"/>
  <c r="N24" i="79"/>
  <c r="M24" i="79"/>
  <c r="L24" i="79"/>
  <c r="J24" i="79"/>
  <c r="I24" i="79"/>
  <c r="H24" i="79"/>
  <c r="AJ23" i="79"/>
  <c r="AI23" i="79"/>
  <c r="AH23" i="79"/>
  <c r="AG23" i="79"/>
  <c r="AF23" i="79"/>
  <c r="AD23" i="79"/>
  <c r="AC23" i="79"/>
  <c r="AB23" i="79"/>
  <c r="Z23" i="79"/>
  <c r="Y23" i="79"/>
  <c r="X23" i="79"/>
  <c r="W23" i="79"/>
  <c r="V23" i="79"/>
  <c r="T23" i="79"/>
  <c r="S23" i="79"/>
  <c r="R23" i="79"/>
  <c r="P23" i="79"/>
  <c r="O23" i="79"/>
  <c r="N23" i="79"/>
  <c r="M23" i="79"/>
  <c r="L23" i="79"/>
  <c r="J23" i="79"/>
  <c r="I23" i="79"/>
  <c r="H23" i="79"/>
  <c r="AG24" i="53"/>
  <c r="AG23" i="53"/>
  <c r="W24" i="53"/>
  <c r="W23" i="53"/>
  <c r="M24" i="53"/>
  <c r="M23" i="53"/>
  <c r="X24" i="53"/>
  <c r="X23" i="53"/>
  <c r="N24" i="53"/>
  <c r="N23" i="53"/>
  <c r="B59" i="84" l="1"/>
  <c r="B53" i="85"/>
  <c r="B54" i="85" s="1"/>
  <c r="P92" i="52" a="1"/>
  <c r="P92" i="52" s="1"/>
  <c r="O92" i="52" a="1"/>
  <c r="O92" i="52" s="1"/>
  <c r="S90" i="52" a="1"/>
  <c r="S90" i="52" s="1"/>
  <c r="S93" i="52" a="1"/>
  <c r="S93" i="52" s="1"/>
  <c r="S89" i="52" a="1"/>
  <c r="S89" i="52" s="1"/>
  <c r="B73" i="85"/>
  <c r="B67" i="85"/>
  <c r="B55" i="85"/>
  <c r="B49" i="85"/>
  <c r="B61" i="85"/>
  <c r="B49" i="84"/>
  <c r="B54" i="84"/>
  <c r="B60" i="84"/>
  <c r="B72" i="84"/>
  <c r="B66" i="84"/>
  <c r="B70" i="83"/>
  <c r="B64" i="83"/>
  <c r="B58" i="83"/>
  <c r="B52" i="83"/>
  <c r="B46" i="83"/>
  <c r="B47" i="83" s="1"/>
  <c r="B48" i="83" s="1"/>
  <c r="B49" i="83" s="1"/>
  <c r="B50" i="83" s="1"/>
  <c r="AJ24" i="53"/>
  <c r="AI24" i="53"/>
  <c r="AH24" i="53"/>
  <c r="AF24" i="53"/>
  <c r="AD24" i="53"/>
  <c r="AC24" i="53"/>
  <c r="AJ23" i="53"/>
  <c r="AI23" i="53"/>
  <c r="AH23" i="53"/>
  <c r="AF23" i="53"/>
  <c r="AD23" i="53"/>
  <c r="AC23" i="53"/>
  <c r="AB24" i="53"/>
  <c r="AB23" i="53"/>
  <c r="B68" i="85" l="1"/>
  <c r="B56" i="85"/>
  <c r="B62" i="85"/>
  <c r="B74" i="85"/>
  <c r="B50" i="85"/>
  <c r="B67" i="84"/>
  <c r="B61" i="84"/>
  <c r="B55" i="84"/>
  <c r="B73" i="84"/>
  <c r="B50" i="84"/>
  <c r="B53" i="83"/>
  <c r="B54" i="83" s="1"/>
  <c r="B55" i="83" s="1"/>
  <c r="B65" i="83"/>
  <c r="B66" i="83" s="1"/>
  <c r="B67" i="83" s="1"/>
  <c r="B68" i="83" s="1"/>
  <c r="B71" i="83"/>
  <c r="B72" i="83" s="1"/>
  <c r="B73" i="83" s="1"/>
  <c r="B59" i="83"/>
  <c r="Z24" i="53"/>
  <c r="Z23" i="53"/>
  <c r="Y24" i="53"/>
  <c r="Y23" i="53"/>
  <c r="V24" i="53"/>
  <c r="V23" i="53"/>
  <c r="T24" i="53"/>
  <c r="T23" i="53"/>
  <c r="S24" i="53"/>
  <c r="S23" i="53"/>
  <c r="R24" i="53"/>
  <c r="R23" i="53"/>
  <c r="I24" i="53"/>
  <c r="J24" i="53"/>
  <c r="L24" i="53"/>
  <c r="O24" i="53"/>
  <c r="P24" i="53"/>
  <c r="H24" i="53"/>
  <c r="P23" i="53"/>
  <c r="O23" i="53"/>
  <c r="L23" i="53"/>
  <c r="J23" i="53"/>
  <c r="I23" i="53"/>
  <c r="H23" i="53"/>
  <c r="F39" i="79"/>
  <c r="F39" i="80"/>
  <c r="F39" i="81"/>
  <c r="F39" i="82"/>
  <c r="F39" i="53"/>
  <c r="F33" i="79"/>
  <c r="F33" i="80"/>
  <c r="F33" i="81"/>
  <c r="F33" i="82"/>
  <c r="F33" i="53"/>
  <c r="B56" i="84" l="1"/>
  <c r="B74" i="84"/>
  <c r="B68" i="84"/>
  <c r="B62" i="84"/>
  <c r="B74" i="83"/>
  <c r="B60" i="83"/>
  <c r="B56" i="83"/>
  <c r="B61" i="83" l="1"/>
  <c r="AF37" i="79"/>
  <c r="AF37" i="80"/>
  <c r="AF37" i="81"/>
  <c r="AF37" i="82"/>
  <c r="AF37" i="53"/>
  <c r="B62" i="83" l="1"/>
  <c r="V37" i="82"/>
  <c r="L37" i="82"/>
  <c r="AF29" i="82"/>
  <c r="AC29" i="82"/>
  <c r="V29" i="82"/>
  <c r="S29" i="82"/>
  <c r="L29" i="82"/>
  <c r="I29" i="82"/>
  <c r="B9" i="82"/>
  <c r="B6" i="82"/>
  <c r="E3" i="82"/>
  <c r="D3" i="82"/>
  <c r="C3" i="82"/>
  <c r="V37" i="81"/>
  <c r="L37" i="81"/>
  <c r="AF29" i="81"/>
  <c r="AC29" i="81"/>
  <c r="V29" i="81"/>
  <c r="S29" i="81"/>
  <c r="L29" i="81"/>
  <c r="I29" i="81"/>
  <c r="B9" i="81"/>
  <c r="B6" i="81"/>
  <c r="E3" i="81"/>
  <c r="D3" i="81"/>
  <c r="C3" i="81"/>
  <c r="V37" i="80"/>
  <c r="L37" i="80"/>
  <c r="AF29" i="80"/>
  <c r="AC29" i="80"/>
  <c r="V29" i="80"/>
  <c r="S29" i="80"/>
  <c r="L29" i="80"/>
  <c r="I29" i="80"/>
  <c r="B9" i="80"/>
  <c r="B6" i="80"/>
  <c r="E3" i="80"/>
  <c r="D3" i="80"/>
  <c r="C3" i="80"/>
  <c r="V37" i="79"/>
  <c r="L37" i="79"/>
  <c r="AF29" i="79"/>
  <c r="AC29" i="79"/>
  <c r="V29" i="79"/>
  <c r="S29" i="79"/>
  <c r="L29" i="79"/>
  <c r="I29" i="79"/>
  <c r="B9" i="79"/>
  <c r="B6" i="79"/>
  <c r="E3" i="79"/>
  <c r="D3" i="79"/>
  <c r="C3" i="79"/>
  <c r="E3" i="53"/>
  <c r="D3" i="53"/>
  <c r="AG25" i="81" l="1"/>
  <c r="AJ25" i="81"/>
  <c r="AF25" i="81"/>
  <c r="AI25" i="81"/>
  <c r="AH25" i="81"/>
  <c r="AD25" i="82"/>
  <c r="AC25" i="82"/>
  <c r="J25" i="79"/>
  <c r="I25" i="79"/>
  <c r="AD25" i="79"/>
  <c r="AC25" i="79"/>
  <c r="W25" i="80"/>
  <c r="Z25" i="80"/>
  <c r="V25" i="80"/>
  <c r="Y25" i="80"/>
  <c r="X25" i="80"/>
  <c r="T25" i="81"/>
  <c r="S25" i="81"/>
  <c r="N25" i="82"/>
  <c r="M25" i="82"/>
  <c r="P25" i="82"/>
  <c r="O25" i="82"/>
  <c r="L25" i="82"/>
  <c r="AJ25" i="82"/>
  <c r="AF25" i="82"/>
  <c r="AI25" i="82"/>
  <c r="AG25" i="82"/>
  <c r="AH25" i="82"/>
  <c r="T25" i="80"/>
  <c r="S25" i="80"/>
  <c r="I25" i="82"/>
  <c r="J25" i="82"/>
  <c r="M25" i="79"/>
  <c r="P25" i="79"/>
  <c r="L25" i="79"/>
  <c r="O25" i="79"/>
  <c r="N25" i="79"/>
  <c r="AI25" i="79"/>
  <c r="AH25" i="79"/>
  <c r="AJ25" i="79"/>
  <c r="AF25" i="79"/>
  <c r="AG25" i="79"/>
  <c r="J25" i="80"/>
  <c r="I25" i="80"/>
  <c r="AC25" i="80"/>
  <c r="AD25" i="80"/>
  <c r="Z25" i="81"/>
  <c r="V25" i="81"/>
  <c r="Y25" i="81"/>
  <c r="X25" i="81"/>
  <c r="W25" i="81"/>
  <c r="T25" i="82"/>
  <c r="S25" i="82"/>
  <c r="X25" i="79"/>
  <c r="W25" i="79"/>
  <c r="Z25" i="79"/>
  <c r="Y25" i="79"/>
  <c r="V25" i="79"/>
  <c r="O25" i="81"/>
  <c r="N25" i="81"/>
  <c r="M25" i="81"/>
  <c r="L25" i="81"/>
  <c r="P25" i="81"/>
  <c r="S25" i="79"/>
  <c r="T25" i="79"/>
  <c r="P25" i="80"/>
  <c r="L25" i="80"/>
  <c r="O25" i="80"/>
  <c r="M25" i="80"/>
  <c r="N25" i="80"/>
  <c r="AH25" i="80"/>
  <c r="AG25" i="80"/>
  <c r="AF25" i="80"/>
  <c r="AI25" i="80"/>
  <c r="AJ25" i="80"/>
  <c r="J25" i="81"/>
  <c r="I25" i="81"/>
  <c r="AC25" i="81"/>
  <c r="AD25" i="81"/>
  <c r="Y25" i="82"/>
  <c r="X25" i="82"/>
  <c r="Z25" i="82"/>
  <c r="V25" i="82"/>
  <c r="W25" i="82"/>
  <c r="G16" i="78" l="1"/>
  <c r="F16" i="78"/>
  <c r="E16" i="78"/>
  <c r="D16" i="78"/>
  <c r="B9" i="53" l="1"/>
  <c r="M3" i="68" l="1"/>
  <c r="M3" i="66"/>
  <c r="M3" i="52"/>
  <c r="F10" i="43"/>
  <c r="G17" i="78"/>
  <c r="F17" i="78"/>
  <c r="E17" i="78"/>
  <c r="D17" i="78"/>
  <c r="C255" i="58" l="1"/>
  <c r="C254" i="58"/>
  <c r="C253" i="58"/>
  <c r="C252" i="58"/>
  <c r="C251" i="58"/>
  <c r="C250" i="58"/>
  <c r="C249" i="58"/>
  <c r="C248" i="58"/>
  <c r="C247" i="58"/>
  <c r="C246" i="58"/>
  <c r="C245" i="58"/>
  <c r="C244" i="58"/>
  <c r="C243" i="58"/>
  <c r="C242" i="58"/>
  <c r="C241" i="58"/>
  <c r="C240" i="58"/>
  <c r="C239" i="58"/>
  <c r="C238" i="58"/>
  <c r="C237" i="58"/>
  <c r="C236" i="58"/>
  <c r="C235" i="58"/>
  <c r="C234" i="58"/>
  <c r="C233" i="58"/>
  <c r="C232" i="58"/>
  <c r="C231" i="58"/>
  <c r="C230" i="58"/>
  <c r="C229" i="58"/>
  <c r="C228" i="58"/>
  <c r="C227" i="58"/>
  <c r="C226" i="58"/>
  <c r="C225" i="58"/>
  <c r="C224" i="58"/>
  <c r="C223" i="58"/>
  <c r="C222" i="58"/>
  <c r="C221" i="58"/>
  <c r="C220" i="58"/>
  <c r="C219" i="58"/>
  <c r="C218" i="58"/>
  <c r="C217" i="58"/>
  <c r="C216" i="58"/>
  <c r="C215" i="58"/>
  <c r="C214" i="58"/>
  <c r="C213" i="58"/>
  <c r="C212" i="58"/>
  <c r="C211" i="58"/>
  <c r="C210" i="58"/>
  <c r="C209" i="58"/>
  <c r="C208" i="58"/>
  <c r="C207" i="58"/>
  <c r="C204" i="58"/>
  <c r="C203" i="58"/>
  <c r="C202" i="58"/>
  <c r="C201" i="58"/>
  <c r="C200" i="58"/>
  <c r="C199" i="58"/>
  <c r="C198" i="58"/>
  <c r="C197" i="58"/>
  <c r="C196" i="58"/>
  <c r="C195" i="58"/>
  <c r="C194" i="58"/>
  <c r="C190" i="58"/>
  <c r="C189" i="58"/>
  <c r="C188" i="58"/>
  <c r="C187" i="58"/>
  <c r="C186" i="58"/>
  <c r="C185" i="58"/>
  <c r="C184" i="58"/>
  <c r="C183" i="58"/>
  <c r="C182" i="58"/>
  <c r="C181" i="58"/>
  <c r="C180" i="58"/>
  <c r="C176" i="58"/>
  <c r="C175" i="58"/>
  <c r="C174" i="58"/>
  <c r="C173" i="58"/>
  <c r="C172" i="58"/>
  <c r="C171" i="58"/>
  <c r="C170" i="58"/>
  <c r="C169" i="58"/>
  <c r="C168" i="58"/>
  <c r="C167" i="58"/>
  <c r="C166" i="58"/>
  <c r="C165" i="58"/>
  <c r="C161" i="58"/>
  <c r="C160" i="58"/>
  <c r="C159" i="58"/>
  <c r="C158" i="58"/>
  <c r="C157" i="58"/>
  <c r="C156" i="58"/>
  <c r="C155" i="58"/>
  <c r="C154" i="58"/>
  <c r="C153" i="58"/>
  <c r="C152" i="58"/>
  <c r="C151" i="58"/>
  <c r="C150" i="58"/>
  <c r="C146" i="58"/>
  <c r="C145" i="58"/>
  <c r="C144" i="58"/>
  <c r="C143" i="58"/>
  <c r="C142" i="58"/>
  <c r="C141" i="58"/>
  <c r="C140" i="58"/>
  <c r="C139" i="58"/>
  <c r="C138" i="58"/>
  <c r="C137" i="58"/>
  <c r="C136" i="58"/>
  <c r="C135" i="58"/>
  <c r="C134" i="58"/>
  <c r="C133" i="58"/>
  <c r="C132" i="58"/>
  <c r="C131" i="58"/>
  <c r="C130" i="58"/>
  <c r="C129" i="58"/>
  <c r="C128" i="58"/>
  <c r="C127" i="58"/>
  <c r="C126" i="58"/>
  <c r="C125" i="58"/>
  <c r="C124" i="58"/>
  <c r="C123" i="58"/>
  <c r="C122" i="58"/>
  <c r="C121" i="58"/>
  <c r="C120" i="58"/>
  <c r="C119" i="58"/>
  <c r="C118" i="58"/>
  <c r="C117" i="58"/>
  <c r="C116" i="58"/>
  <c r="C115" i="58"/>
  <c r="C114" i="58"/>
  <c r="C113" i="58"/>
  <c r="C112" i="58"/>
  <c r="C111" i="58"/>
  <c r="C109" i="58"/>
  <c r="C108" i="58"/>
  <c r="C107" i="58"/>
  <c r="C106" i="58"/>
  <c r="C105" i="58"/>
  <c r="C104" i="58"/>
  <c r="C103" i="58"/>
  <c r="C101" i="58"/>
  <c r="C100" i="58"/>
  <c r="C98" i="58"/>
  <c r="C97" i="58"/>
  <c r="C95" i="58"/>
  <c r="C94" i="58"/>
  <c r="C93" i="58"/>
  <c r="C92" i="58"/>
  <c r="C91" i="58"/>
  <c r="C90" i="58"/>
  <c r="C89" i="58"/>
  <c r="C88" i="58"/>
  <c r="C87" i="58"/>
  <c r="C86" i="58"/>
  <c r="C85" i="58"/>
  <c r="C84" i="58"/>
  <c r="C83" i="58"/>
  <c r="C82" i="58"/>
  <c r="C81" i="58"/>
  <c r="C80" i="58"/>
  <c r="C79" i="58"/>
  <c r="C78" i="58"/>
  <c r="C77" i="58"/>
  <c r="C76" i="58"/>
  <c r="C75" i="58"/>
  <c r="C74" i="58"/>
  <c r="C73" i="58"/>
  <c r="C72" i="58"/>
  <c r="C71" i="58"/>
  <c r="C70" i="58"/>
  <c r="C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C37" i="58"/>
  <c r="C36" i="58"/>
  <c r="C35" i="58"/>
  <c r="C34"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C6" i="58"/>
  <c r="C5" i="58"/>
  <c r="C4" i="58"/>
  <c r="C3" i="53" l="1"/>
  <c r="B6" i="53"/>
  <c r="D221" i="52"/>
  <c r="D222" i="52" s="1"/>
  <c r="D223" i="52" s="1"/>
  <c r="D224" i="52" s="1"/>
  <c r="D225" i="52" s="1"/>
  <c r="D226" i="52" s="1"/>
  <c r="D227" i="52" s="1"/>
  <c r="D228" i="52" s="1"/>
  <c r="C221" i="52"/>
  <c r="C222" i="52" s="1"/>
  <c r="C223" i="52" s="1"/>
  <c r="C224" i="52" s="1"/>
  <c r="C225" i="52" s="1"/>
  <c r="C226" i="52" s="1"/>
  <c r="C227" i="52" s="1"/>
  <c r="C228" i="52" s="1"/>
  <c r="D161" i="68"/>
  <c r="D162" i="68" s="1"/>
  <c r="D163" i="68" s="1"/>
  <c r="D164" i="68" s="1"/>
  <c r="D165" i="68" s="1"/>
  <c r="D166" i="68" s="1"/>
  <c r="D167" i="68" s="1"/>
  <c r="C161" i="68"/>
  <c r="C162" i="68" s="1"/>
  <c r="C163" i="68" s="1"/>
  <c r="C164" i="68" s="1"/>
  <c r="C165" i="68" s="1"/>
  <c r="C166" i="68" s="1"/>
  <c r="C167" i="68" s="1"/>
  <c r="B161" i="68"/>
  <c r="D150" i="68"/>
  <c r="D151" i="68" s="1"/>
  <c r="D152" i="68" s="1"/>
  <c r="D153" i="68" s="1"/>
  <c r="D154" i="68" s="1"/>
  <c r="D155" i="68" s="1"/>
  <c r="D156" i="68" s="1"/>
  <c r="D157" i="68" s="1"/>
  <c r="D158" i="68" s="1"/>
  <c r="C150" i="68"/>
  <c r="C151" i="68" s="1"/>
  <c r="C152" i="68" s="1"/>
  <c r="C153" i="68" s="1"/>
  <c r="C154" i="68" s="1"/>
  <c r="C155" i="68" s="1"/>
  <c r="C156" i="68" s="1"/>
  <c r="C157" i="68" s="1"/>
  <c r="C158" i="68" s="1"/>
  <c r="B150" i="68"/>
  <c r="B151" i="68" s="1"/>
  <c r="D141" i="68"/>
  <c r="D142" i="68" s="1"/>
  <c r="D143" i="68" s="1"/>
  <c r="D144" i="68" s="1"/>
  <c r="D145" i="68" s="1"/>
  <c r="D146" i="68" s="1"/>
  <c r="D147" i="68" s="1"/>
  <c r="C141" i="68"/>
  <c r="C142" i="68" s="1"/>
  <c r="C143" i="68" s="1"/>
  <c r="C144" i="68" s="1"/>
  <c r="C145" i="68" s="1"/>
  <c r="C146" i="68" s="1"/>
  <c r="C147" i="68" s="1"/>
  <c r="B141" i="68"/>
  <c r="D133" i="68"/>
  <c r="D134" i="68" s="1"/>
  <c r="D135" i="68" s="1"/>
  <c r="D136" i="68" s="1"/>
  <c r="D137" i="68" s="1"/>
  <c r="D138" i="68" s="1"/>
  <c r="C133" i="68"/>
  <c r="C134" i="68" s="1"/>
  <c r="C135" i="68" s="1"/>
  <c r="C136" i="68" s="1"/>
  <c r="C137" i="68" s="1"/>
  <c r="C138" i="68" s="1"/>
  <c r="B133" i="68"/>
  <c r="D119" i="68"/>
  <c r="D120" i="68" s="1"/>
  <c r="D121" i="68" s="1"/>
  <c r="D122" i="68" s="1"/>
  <c r="D123" i="68" s="1"/>
  <c r="D124" i="68" s="1"/>
  <c r="D125" i="68" s="1"/>
  <c r="D126" i="68" s="1"/>
  <c r="D127" i="68" s="1"/>
  <c r="D128" i="68" s="1"/>
  <c r="D129" i="68" s="1"/>
  <c r="D130" i="68" s="1"/>
  <c r="C119" i="68"/>
  <c r="C120" i="68" s="1"/>
  <c r="C121" i="68" s="1"/>
  <c r="C122" i="68" s="1"/>
  <c r="C123" i="68" s="1"/>
  <c r="C124" i="68" s="1"/>
  <c r="C125" i="68" s="1"/>
  <c r="C126" i="68" s="1"/>
  <c r="C127" i="68" s="1"/>
  <c r="C128" i="68" s="1"/>
  <c r="C129" i="68" s="1"/>
  <c r="C130" i="68" s="1"/>
  <c r="B119" i="68"/>
  <c r="B120" i="68" s="1"/>
  <c r="D111" i="68"/>
  <c r="D112" i="68" s="1"/>
  <c r="D113" i="68" s="1"/>
  <c r="D114" i="68" s="1"/>
  <c r="D115" i="68" s="1"/>
  <c r="D116" i="68" s="1"/>
  <c r="C111" i="68"/>
  <c r="C112" i="68" s="1"/>
  <c r="C113" i="68" s="1"/>
  <c r="C114" i="68" s="1"/>
  <c r="C115" i="68" s="1"/>
  <c r="C116" i="68" s="1"/>
  <c r="B111" i="68"/>
  <c r="D102" i="68"/>
  <c r="D103" i="68" s="1"/>
  <c r="D104" i="68" s="1"/>
  <c r="D105" i="68" s="1"/>
  <c r="D106" i="68" s="1"/>
  <c r="D107" i="68" s="1"/>
  <c r="D108" i="68" s="1"/>
  <c r="C102" i="68"/>
  <c r="C103" i="68" s="1"/>
  <c r="C104" i="68" s="1"/>
  <c r="C105" i="68" s="1"/>
  <c r="C106" i="68" s="1"/>
  <c r="C107" i="68" s="1"/>
  <c r="C108" i="68" s="1"/>
  <c r="B102" i="68"/>
  <c r="D86" i="68"/>
  <c r="D87" i="68" s="1"/>
  <c r="D88" i="68" s="1"/>
  <c r="D89" i="68" s="1"/>
  <c r="D90" i="68" s="1"/>
  <c r="D91" i="68" s="1"/>
  <c r="D92" i="68" s="1"/>
  <c r="D93" i="68" s="1"/>
  <c r="D94" i="68" s="1"/>
  <c r="D95" i="68" s="1"/>
  <c r="D96" i="68" s="1"/>
  <c r="D97" i="68" s="1"/>
  <c r="D98" i="68" s="1"/>
  <c r="D99" i="68" s="1"/>
  <c r="C86" i="68"/>
  <c r="C87" i="68" s="1"/>
  <c r="C88" i="68" s="1"/>
  <c r="C89" i="68" s="1"/>
  <c r="C90" i="68" s="1"/>
  <c r="C91" i="68" s="1"/>
  <c r="C92" i="68" s="1"/>
  <c r="C93" i="68" s="1"/>
  <c r="C94" i="68" s="1"/>
  <c r="C95" i="68" s="1"/>
  <c r="C96" i="68" s="1"/>
  <c r="C97" i="68" s="1"/>
  <c r="C98" i="68" s="1"/>
  <c r="C99" i="68" s="1"/>
  <c r="B86" i="68"/>
  <c r="B87" i="68" s="1"/>
  <c r="D77" i="68"/>
  <c r="D78" i="68" s="1"/>
  <c r="D79" i="68" s="1"/>
  <c r="D80" i="68" s="1"/>
  <c r="D81" i="68" s="1"/>
  <c r="D82" i="68" s="1"/>
  <c r="D83" i="68" s="1"/>
  <c r="C77" i="68"/>
  <c r="C78" i="68" s="1"/>
  <c r="C79" i="68" s="1"/>
  <c r="C80" i="68" s="1"/>
  <c r="C81" i="68" s="1"/>
  <c r="C82" i="68" s="1"/>
  <c r="C83" i="68" s="1"/>
  <c r="B77" i="68"/>
  <c r="D68" i="68"/>
  <c r="D69" i="68" s="1"/>
  <c r="D70" i="68" s="1"/>
  <c r="D71" i="68" s="1"/>
  <c r="D72" i="68" s="1"/>
  <c r="D73" i="68" s="1"/>
  <c r="D74" i="68" s="1"/>
  <c r="C68" i="68"/>
  <c r="C69" i="68" s="1"/>
  <c r="B68" i="68"/>
  <c r="D52" i="68"/>
  <c r="D53" i="68" s="1"/>
  <c r="D54" i="68" s="1"/>
  <c r="D55" i="68" s="1"/>
  <c r="D56" i="68" s="1"/>
  <c r="D57" i="68" s="1"/>
  <c r="D58" i="68" s="1"/>
  <c r="D59" i="68" s="1"/>
  <c r="D60" i="68" s="1"/>
  <c r="D61" i="68" s="1"/>
  <c r="D62" i="68" s="1"/>
  <c r="D63" i="68" s="1"/>
  <c r="D64" i="68" s="1"/>
  <c r="D65" i="68" s="1"/>
  <c r="C52" i="68"/>
  <c r="C53" i="68" s="1"/>
  <c r="C54" i="68" s="1"/>
  <c r="C55" i="68" s="1"/>
  <c r="C56" i="68" s="1"/>
  <c r="C57" i="68" s="1"/>
  <c r="C58" i="68" s="1"/>
  <c r="C59" i="68" s="1"/>
  <c r="C60" i="68" s="1"/>
  <c r="C61" i="68" s="1"/>
  <c r="C62" i="68" s="1"/>
  <c r="C63" i="68" s="1"/>
  <c r="C64" i="68" s="1"/>
  <c r="C65" i="68" s="1"/>
  <c r="B52" i="68"/>
  <c r="B53" i="68" s="1"/>
  <c r="D43" i="68"/>
  <c r="D44" i="68" s="1"/>
  <c r="D45" i="68" s="1"/>
  <c r="D46" i="68" s="1"/>
  <c r="D47" i="68" s="1"/>
  <c r="D48" i="68" s="1"/>
  <c r="D49" i="68" s="1"/>
  <c r="C43" i="68"/>
  <c r="C44" i="68" s="1"/>
  <c r="C45" i="68" s="1"/>
  <c r="C46" i="68" s="1"/>
  <c r="C47" i="68" s="1"/>
  <c r="C48" i="68" s="1"/>
  <c r="C49" i="68" s="1"/>
  <c r="B43" i="68"/>
  <c r="D34" i="68"/>
  <c r="D35" i="68" s="1"/>
  <c r="D36" i="68" s="1"/>
  <c r="D37" i="68" s="1"/>
  <c r="D38" i="68" s="1"/>
  <c r="D39" i="68" s="1"/>
  <c r="D40" i="68" s="1"/>
  <c r="C34" i="68"/>
  <c r="C35" i="68" s="1"/>
  <c r="C36" i="68" s="1"/>
  <c r="C37" i="68" s="1"/>
  <c r="C38" i="68" s="1"/>
  <c r="C39" i="68" s="1"/>
  <c r="C40" i="68" s="1"/>
  <c r="B34" i="68"/>
  <c r="D18" i="68"/>
  <c r="D19" i="68" s="1"/>
  <c r="D20" i="68" s="1"/>
  <c r="D21" i="68" s="1"/>
  <c r="D22" i="68" s="1"/>
  <c r="D23" i="68" s="1"/>
  <c r="D24" i="68" s="1"/>
  <c r="D25" i="68" s="1"/>
  <c r="D26" i="68" s="1"/>
  <c r="D27" i="68" s="1"/>
  <c r="D28" i="68" s="1"/>
  <c r="D29" i="68" s="1"/>
  <c r="D30" i="68" s="1"/>
  <c r="D31" i="68" s="1"/>
  <c r="C18" i="68"/>
  <c r="C19" i="68" s="1"/>
  <c r="C20" i="68" s="1"/>
  <c r="C21" i="68" s="1"/>
  <c r="C22" i="68" s="1"/>
  <c r="C23" i="68" s="1"/>
  <c r="C24" i="68" s="1"/>
  <c r="C25" i="68" s="1"/>
  <c r="C26" i="68" s="1"/>
  <c r="C27" i="68" s="1"/>
  <c r="C28" i="68" s="1"/>
  <c r="C29" i="68" s="1"/>
  <c r="C30" i="68" s="1"/>
  <c r="C31" i="68" s="1"/>
  <c r="B18" i="68"/>
  <c r="B19" i="68" s="1"/>
  <c r="D9" i="68"/>
  <c r="D10" i="68" s="1"/>
  <c r="D11" i="68" s="1"/>
  <c r="D12" i="68" s="1"/>
  <c r="D13" i="68" s="1"/>
  <c r="D14" i="68" s="1"/>
  <c r="D15" i="68" s="1"/>
  <c r="C9" i="68"/>
  <c r="C10" i="68" s="1"/>
  <c r="C11" i="68" s="1"/>
  <c r="C12" i="68" s="1"/>
  <c r="C13" i="68" s="1"/>
  <c r="C14" i="68" s="1"/>
  <c r="C15" i="68" s="1"/>
  <c r="B9" i="68"/>
  <c r="D201" i="66"/>
  <c r="D202" i="66" s="1"/>
  <c r="D203" i="66" s="1"/>
  <c r="D204" i="66" s="1"/>
  <c r="D205" i="66" s="1"/>
  <c r="D206" i="66" s="1"/>
  <c r="D207" i="66" s="1"/>
  <c r="D208" i="66" s="1"/>
  <c r="D209" i="66" s="1"/>
  <c r="C201" i="66"/>
  <c r="C202" i="66" s="1"/>
  <c r="C203" i="66" s="1"/>
  <c r="C204" i="66" s="1"/>
  <c r="C205" i="66" s="1"/>
  <c r="C206" i="66" s="1"/>
  <c r="C207" i="66" s="1"/>
  <c r="C208" i="66" s="1"/>
  <c r="C209" i="66" s="1"/>
  <c r="B201" i="66"/>
  <c r="D188" i="66"/>
  <c r="D189" i="66" s="1"/>
  <c r="D190" i="66" s="1"/>
  <c r="D191" i="66" s="1"/>
  <c r="D192" i="66" s="1"/>
  <c r="D193" i="66" s="1"/>
  <c r="D194" i="66" s="1"/>
  <c r="D195" i="66" s="1"/>
  <c r="D196" i="66" s="1"/>
  <c r="D197" i="66" s="1"/>
  <c r="D198" i="66" s="1"/>
  <c r="C188" i="66"/>
  <c r="C189" i="66" s="1"/>
  <c r="C190" i="66" s="1"/>
  <c r="C191" i="66" s="1"/>
  <c r="C192" i="66" s="1"/>
  <c r="C193" i="66" s="1"/>
  <c r="C194" i="66" s="1"/>
  <c r="C195" i="66" s="1"/>
  <c r="C196" i="66" s="1"/>
  <c r="C197" i="66" s="1"/>
  <c r="C198" i="66" s="1"/>
  <c r="B188" i="66"/>
  <c r="B189" i="66" s="1"/>
  <c r="D177" i="66"/>
  <c r="D178" i="66" s="1"/>
  <c r="D179" i="66" s="1"/>
  <c r="D180" i="66" s="1"/>
  <c r="D181" i="66" s="1"/>
  <c r="D182" i="66" s="1"/>
  <c r="D183" i="66" s="1"/>
  <c r="D184" i="66" s="1"/>
  <c r="D185" i="66" s="1"/>
  <c r="C177" i="66"/>
  <c r="C178" i="66" s="1"/>
  <c r="C179" i="66" s="1"/>
  <c r="C180" i="66" s="1"/>
  <c r="C181" i="66" s="1"/>
  <c r="C182" i="66" s="1"/>
  <c r="C183" i="66" s="1"/>
  <c r="C184" i="66" s="1"/>
  <c r="C185" i="66" s="1"/>
  <c r="B177" i="66"/>
  <c r="D166" i="66"/>
  <c r="D167" i="66" s="1"/>
  <c r="D168" i="66" s="1"/>
  <c r="D169" i="66" s="1"/>
  <c r="D170" i="66" s="1"/>
  <c r="D171" i="66" s="1"/>
  <c r="D172" i="66" s="1"/>
  <c r="D173" i="66" s="1"/>
  <c r="D174" i="66" s="1"/>
  <c r="C166" i="66"/>
  <c r="C167" i="66" s="1"/>
  <c r="C168" i="66" s="1"/>
  <c r="C169" i="66" s="1"/>
  <c r="C170" i="66" s="1"/>
  <c r="C171" i="66" s="1"/>
  <c r="C172" i="66" s="1"/>
  <c r="C173" i="66" s="1"/>
  <c r="C174" i="66" s="1"/>
  <c r="B166" i="66"/>
  <c r="D146" i="66"/>
  <c r="D147" i="66" s="1"/>
  <c r="D148" i="66" s="1"/>
  <c r="D149" i="66" s="1"/>
  <c r="D150" i="66" s="1"/>
  <c r="D151" i="66" s="1"/>
  <c r="D152" i="66" s="1"/>
  <c r="D153" i="66" s="1"/>
  <c r="D154" i="66" s="1"/>
  <c r="D155" i="66" s="1"/>
  <c r="D156" i="66" s="1"/>
  <c r="D157" i="66" s="1"/>
  <c r="D158" i="66" s="1"/>
  <c r="D159" i="66" s="1"/>
  <c r="D160" i="66" s="1"/>
  <c r="D161" i="66" s="1"/>
  <c r="D162" i="66" s="1"/>
  <c r="D163" i="66" s="1"/>
  <c r="C146" i="66"/>
  <c r="C147" i="66" s="1"/>
  <c r="C148" i="66" s="1"/>
  <c r="C149" i="66" s="1"/>
  <c r="C150" i="66" s="1"/>
  <c r="C151" i="66" s="1"/>
  <c r="C152" i="66" s="1"/>
  <c r="C153" i="66" s="1"/>
  <c r="C154" i="66" s="1"/>
  <c r="C155" i="66" s="1"/>
  <c r="C156" i="66" s="1"/>
  <c r="C157" i="66" s="1"/>
  <c r="C158" i="66" s="1"/>
  <c r="C159" i="66" s="1"/>
  <c r="C160" i="66" s="1"/>
  <c r="C161" i="66" s="1"/>
  <c r="C162" i="66" s="1"/>
  <c r="C163" i="66" s="1"/>
  <c r="B146" i="66"/>
  <c r="B147" i="66" s="1"/>
  <c r="D135" i="66"/>
  <c r="D136" i="66" s="1"/>
  <c r="D137" i="66" s="1"/>
  <c r="D138" i="66" s="1"/>
  <c r="D139" i="66" s="1"/>
  <c r="D140" i="66" s="1"/>
  <c r="D141" i="66" s="1"/>
  <c r="D142" i="66" s="1"/>
  <c r="D143" i="66" s="1"/>
  <c r="C135" i="66"/>
  <c r="C136" i="66" s="1"/>
  <c r="C137" i="66" s="1"/>
  <c r="C138" i="66" s="1"/>
  <c r="C139" i="66" s="1"/>
  <c r="C140" i="66" s="1"/>
  <c r="C141" i="66" s="1"/>
  <c r="C142" i="66" s="1"/>
  <c r="C143" i="66" s="1"/>
  <c r="B135" i="66"/>
  <c r="D124" i="66"/>
  <c r="D125" i="66" s="1"/>
  <c r="D126" i="66" s="1"/>
  <c r="D127" i="66" s="1"/>
  <c r="D128" i="66" s="1"/>
  <c r="D129" i="66" s="1"/>
  <c r="D130" i="66" s="1"/>
  <c r="D131" i="66" s="1"/>
  <c r="D132" i="66" s="1"/>
  <c r="C124" i="66"/>
  <c r="C125" i="66" s="1"/>
  <c r="C126" i="66" s="1"/>
  <c r="C127" i="66" s="1"/>
  <c r="C128" i="66" s="1"/>
  <c r="C129" i="66" s="1"/>
  <c r="C130" i="66" s="1"/>
  <c r="C131" i="66" s="1"/>
  <c r="C132" i="66" s="1"/>
  <c r="B124" i="66"/>
  <c r="D104" i="66"/>
  <c r="D105" i="66" s="1"/>
  <c r="D106" i="66" s="1"/>
  <c r="D107" i="66" s="1"/>
  <c r="D108" i="66" s="1"/>
  <c r="D109" i="66" s="1"/>
  <c r="D110" i="66" s="1"/>
  <c r="D111" i="66" s="1"/>
  <c r="D112" i="66" s="1"/>
  <c r="D113" i="66" s="1"/>
  <c r="D114" i="66" s="1"/>
  <c r="D115" i="66" s="1"/>
  <c r="D116" i="66" s="1"/>
  <c r="D117" i="66" s="1"/>
  <c r="D118" i="66" s="1"/>
  <c r="D119" i="66" s="1"/>
  <c r="D120" i="66" s="1"/>
  <c r="D121" i="66" s="1"/>
  <c r="C104" i="66"/>
  <c r="C105" i="66" s="1"/>
  <c r="C106" i="66" s="1"/>
  <c r="C107" i="66" s="1"/>
  <c r="C108" i="66" s="1"/>
  <c r="C109" i="66" s="1"/>
  <c r="C110" i="66" s="1"/>
  <c r="C111" i="66" s="1"/>
  <c r="C112" i="66" s="1"/>
  <c r="C113" i="66" s="1"/>
  <c r="C114" i="66" s="1"/>
  <c r="C115" i="66" s="1"/>
  <c r="C116" i="66" s="1"/>
  <c r="C117" i="66" s="1"/>
  <c r="C118" i="66" s="1"/>
  <c r="C119" i="66" s="1"/>
  <c r="C120" i="66" s="1"/>
  <c r="C121" i="66" s="1"/>
  <c r="B104" i="66"/>
  <c r="B105" i="66" s="1"/>
  <c r="D93" i="66"/>
  <c r="D94" i="66" s="1"/>
  <c r="D95" i="66" s="1"/>
  <c r="D96" i="66" s="1"/>
  <c r="D97" i="66" s="1"/>
  <c r="D98" i="66" s="1"/>
  <c r="D99" i="66" s="1"/>
  <c r="D100" i="66" s="1"/>
  <c r="D101" i="66" s="1"/>
  <c r="C93" i="66"/>
  <c r="C94" i="66" s="1"/>
  <c r="C95" i="66" s="1"/>
  <c r="C96" i="66" s="1"/>
  <c r="C97" i="66" s="1"/>
  <c r="C98" i="66" s="1"/>
  <c r="C99" i="66" s="1"/>
  <c r="C100" i="66" s="1"/>
  <c r="C101" i="66" s="1"/>
  <c r="B93" i="66"/>
  <c r="D82" i="66"/>
  <c r="D83" i="66" s="1"/>
  <c r="D84" i="66" s="1"/>
  <c r="D85" i="66" s="1"/>
  <c r="D86" i="66" s="1"/>
  <c r="D87" i="66" s="1"/>
  <c r="D88" i="66" s="1"/>
  <c r="D89" i="66" s="1"/>
  <c r="D90" i="66" s="1"/>
  <c r="C82" i="66"/>
  <c r="C83" i="66" s="1"/>
  <c r="C84" i="66" s="1"/>
  <c r="C85" i="66" s="1"/>
  <c r="C86" i="66" s="1"/>
  <c r="C87" i="66" s="1"/>
  <c r="C88" i="66" s="1"/>
  <c r="C89" i="66" s="1"/>
  <c r="C90" i="66" s="1"/>
  <c r="B82" i="66"/>
  <c r="D62" i="66"/>
  <c r="D63" i="66" s="1"/>
  <c r="D64" i="66" s="1"/>
  <c r="D65" i="66" s="1"/>
  <c r="D66" i="66" s="1"/>
  <c r="D67" i="66" s="1"/>
  <c r="D68" i="66" s="1"/>
  <c r="D69" i="66" s="1"/>
  <c r="D70" i="66" s="1"/>
  <c r="D71" i="66" s="1"/>
  <c r="D72" i="66" s="1"/>
  <c r="D73" i="66" s="1"/>
  <c r="D74" i="66" s="1"/>
  <c r="D75" i="66" s="1"/>
  <c r="D76" i="66" s="1"/>
  <c r="D77" i="66" s="1"/>
  <c r="D78" i="66" s="1"/>
  <c r="D79" i="66" s="1"/>
  <c r="C62" i="66"/>
  <c r="C63" i="66" s="1"/>
  <c r="C64" i="66" s="1"/>
  <c r="C65" i="66" s="1"/>
  <c r="C66" i="66" s="1"/>
  <c r="C67" i="66" s="1"/>
  <c r="C68" i="66" s="1"/>
  <c r="C69" i="66" s="1"/>
  <c r="C70" i="66" s="1"/>
  <c r="C71" i="66" s="1"/>
  <c r="C72" i="66" s="1"/>
  <c r="C73" i="66" s="1"/>
  <c r="C74" i="66" s="1"/>
  <c r="C75" i="66" s="1"/>
  <c r="C76" i="66" s="1"/>
  <c r="C77" i="66" s="1"/>
  <c r="C78" i="66" s="1"/>
  <c r="C79" i="66" s="1"/>
  <c r="B62" i="66"/>
  <c r="B63" i="66" s="1"/>
  <c r="D51" i="66"/>
  <c r="D52" i="66" s="1"/>
  <c r="D53" i="66" s="1"/>
  <c r="D54" i="66" s="1"/>
  <c r="D55" i="66" s="1"/>
  <c r="D56" i="66" s="1"/>
  <c r="D57" i="66" s="1"/>
  <c r="D58" i="66" s="1"/>
  <c r="D59" i="66" s="1"/>
  <c r="C51" i="66"/>
  <c r="C52" i="66" s="1"/>
  <c r="C53" i="66" s="1"/>
  <c r="C54" i="66" s="1"/>
  <c r="C55" i="66" s="1"/>
  <c r="C56" i="66" s="1"/>
  <c r="C57" i="66" s="1"/>
  <c r="C58" i="66" s="1"/>
  <c r="C59" i="66" s="1"/>
  <c r="B51" i="66"/>
  <c r="D40" i="66"/>
  <c r="D41" i="66" s="1"/>
  <c r="D42" i="66" s="1"/>
  <c r="C40" i="66"/>
  <c r="C41" i="66" s="1"/>
  <c r="C42" i="66" s="1"/>
  <c r="B40" i="66"/>
  <c r="D20" i="66"/>
  <c r="D21" i="66" s="1"/>
  <c r="D22" i="66" s="1"/>
  <c r="D23" i="66" s="1"/>
  <c r="D24" i="66" s="1"/>
  <c r="D25" i="66" s="1"/>
  <c r="D26" i="66" s="1"/>
  <c r="D27" i="66" s="1"/>
  <c r="D28" i="66" s="1"/>
  <c r="D29" i="66" s="1"/>
  <c r="D30" i="66" s="1"/>
  <c r="D31" i="66" s="1"/>
  <c r="D32" i="66" s="1"/>
  <c r="D33" i="66" s="1"/>
  <c r="D34" i="66" s="1"/>
  <c r="D35" i="66" s="1"/>
  <c r="D36" i="66" s="1"/>
  <c r="D37" i="66" s="1"/>
  <c r="C20" i="66"/>
  <c r="C21" i="66" s="1"/>
  <c r="C22" i="66" s="1"/>
  <c r="C23" i="66" s="1"/>
  <c r="C24" i="66" s="1"/>
  <c r="C25" i="66" s="1"/>
  <c r="C26" i="66" s="1"/>
  <c r="C27" i="66" s="1"/>
  <c r="C28" i="66" s="1"/>
  <c r="C29" i="66" s="1"/>
  <c r="C30" i="66" s="1"/>
  <c r="C31" i="66" s="1"/>
  <c r="C32" i="66" s="1"/>
  <c r="C33" i="66" s="1"/>
  <c r="C34" i="66" s="1"/>
  <c r="C35" i="66" s="1"/>
  <c r="C36" i="66" s="1"/>
  <c r="C37" i="66" s="1"/>
  <c r="B20" i="66"/>
  <c r="B21" i="66" s="1"/>
  <c r="D9" i="66"/>
  <c r="D10" i="66" s="1"/>
  <c r="D11" i="66" s="1"/>
  <c r="D12" i="66" s="1"/>
  <c r="D13" i="66" s="1"/>
  <c r="D14" i="66" s="1"/>
  <c r="D15" i="66" s="1"/>
  <c r="D16" i="66" s="1"/>
  <c r="D17" i="66" s="1"/>
  <c r="C9" i="66"/>
  <c r="B9" i="66"/>
  <c r="R175" i="68"/>
  <c r="K175" i="68"/>
  <c r="R174" i="68"/>
  <c r="K174" i="68"/>
  <c r="R173" i="68"/>
  <c r="K173" i="68"/>
  <c r="R172" i="68"/>
  <c r="K172" i="68"/>
  <c r="R171" i="68"/>
  <c r="K171" i="68"/>
  <c r="R170" i="68"/>
  <c r="K170" i="68"/>
  <c r="R169" i="68"/>
  <c r="K169" i="68"/>
  <c r="R168" i="68"/>
  <c r="K168" i="68"/>
  <c r="M4" i="68"/>
  <c r="O3" i="68"/>
  <c r="P4" i="68" s="1"/>
  <c r="H3" i="68"/>
  <c r="I4" i="68" s="1"/>
  <c r="R217" i="66"/>
  <c r="R216" i="66"/>
  <c r="R215" i="66"/>
  <c r="R214" i="66"/>
  <c r="R213" i="66"/>
  <c r="R212" i="66"/>
  <c r="R211" i="66"/>
  <c r="R210" i="66"/>
  <c r="K217" i="66"/>
  <c r="K216" i="66"/>
  <c r="K215" i="66"/>
  <c r="K214" i="66"/>
  <c r="K213" i="66"/>
  <c r="K212" i="66"/>
  <c r="K211" i="66"/>
  <c r="K210" i="66"/>
  <c r="B221" i="52"/>
  <c r="M51" i="52"/>
  <c r="D202" i="52"/>
  <c r="D203" i="52" s="1"/>
  <c r="D204" i="52" s="1"/>
  <c r="D205" i="52" s="1"/>
  <c r="D206" i="52" s="1"/>
  <c r="D207" i="52" s="1"/>
  <c r="D208" i="52" s="1"/>
  <c r="D209" i="52" s="1"/>
  <c r="D210" i="52" s="1"/>
  <c r="D211" i="52" s="1"/>
  <c r="D212" i="52" s="1"/>
  <c r="D213" i="52" s="1"/>
  <c r="D214" i="52" s="1"/>
  <c r="D215" i="52" s="1"/>
  <c r="D216" i="52" s="1"/>
  <c r="D217" i="52" s="1"/>
  <c r="D218" i="52" s="1"/>
  <c r="C202" i="52"/>
  <c r="C203" i="52" s="1"/>
  <c r="C204" i="52" s="1"/>
  <c r="C205" i="52" s="1"/>
  <c r="C206" i="52" s="1"/>
  <c r="C207" i="52" s="1"/>
  <c r="C208" i="52" s="1"/>
  <c r="C209" i="52" s="1"/>
  <c r="C210" i="52" s="1"/>
  <c r="C211" i="52" s="1"/>
  <c r="C212" i="52" s="1"/>
  <c r="C213" i="52" s="1"/>
  <c r="C214" i="52" s="1"/>
  <c r="C215" i="52" s="1"/>
  <c r="C216" i="52" s="1"/>
  <c r="C217" i="52" s="1"/>
  <c r="C218" i="52" s="1"/>
  <c r="B202" i="52"/>
  <c r="D190" i="52"/>
  <c r="D191" i="52" s="1"/>
  <c r="D192" i="52" s="1"/>
  <c r="D193" i="52" s="1"/>
  <c r="D194" i="52" s="1"/>
  <c r="D195" i="52" s="1"/>
  <c r="D196" i="52" s="1"/>
  <c r="D197" i="52" s="1"/>
  <c r="D198" i="52" s="1"/>
  <c r="D199" i="52" s="1"/>
  <c r="C190" i="52"/>
  <c r="C191" i="52" s="1"/>
  <c r="C192" i="52" s="1"/>
  <c r="C193" i="52" s="1"/>
  <c r="C194" i="52" s="1"/>
  <c r="C195" i="52" s="1"/>
  <c r="C196" i="52" s="1"/>
  <c r="C197" i="52" s="1"/>
  <c r="C198" i="52" s="1"/>
  <c r="C199" i="52" s="1"/>
  <c r="B190" i="52"/>
  <c r="D180" i="52"/>
  <c r="D181" i="52" s="1"/>
  <c r="C180" i="52"/>
  <c r="C181" i="52" s="1"/>
  <c r="B180" i="52"/>
  <c r="D157" i="52"/>
  <c r="D158" i="52" s="1"/>
  <c r="C157" i="52"/>
  <c r="C158" i="52" s="1"/>
  <c r="B157" i="52"/>
  <c r="D147" i="52"/>
  <c r="D148" i="52" s="1"/>
  <c r="C147" i="52"/>
  <c r="C148" i="52" s="1"/>
  <c r="B147" i="52"/>
  <c r="D136" i="52"/>
  <c r="D137" i="52" s="1"/>
  <c r="D138" i="52" s="1"/>
  <c r="D139" i="52" s="1"/>
  <c r="D140" i="52" s="1"/>
  <c r="C136" i="52"/>
  <c r="C137" i="52" s="1"/>
  <c r="C138" i="52" s="1"/>
  <c r="B136" i="52"/>
  <c r="D110" i="52"/>
  <c r="D111" i="52" s="1"/>
  <c r="D112" i="52" s="1"/>
  <c r="D113" i="52" s="1"/>
  <c r="D114" i="52" s="1"/>
  <c r="C110" i="52"/>
  <c r="C111" i="52" s="1"/>
  <c r="C112" i="52" s="1"/>
  <c r="C113" i="52" s="1"/>
  <c r="C114" i="52" s="1"/>
  <c r="B110" i="52"/>
  <c r="D99" i="52"/>
  <c r="D100" i="52" s="1"/>
  <c r="D101" i="52" s="1"/>
  <c r="D102" i="52" s="1"/>
  <c r="D103" i="52" s="1"/>
  <c r="C99" i="52"/>
  <c r="C100" i="52" s="1"/>
  <c r="C101" i="52" s="1"/>
  <c r="C102" i="52" s="1"/>
  <c r="C103" i="52" s="1"/>
  <c r="B99" i="52"/>
  <c r="D64" i="52"/>
  <c r="D65" i="52" s="1"/>
  <c r="D66" i="52" s="1"/>
  <c r="D67" i="52" s="1"/>
  <c r="D68" i="52" s="1"/>
  <c r="D69" i="52" s="1"/>
  <c r="D70" i="52" s="1"/>
  <c r="D71" i="52" s="1"/>
  <c r="D72" i="52" s="1"/>
  <c r="D73" i="52" s="1"/>
  <c r="D74" i="52" s="1"/>
  <c r="D75" i="52" s="1"/>
  <c r="D76" i="52" s="1"/>
  <c r="D77" i="52" s="1"/>
  <c r="D78" i="52" s="1"/>
  <c r="D79" i="52" s="1"/>
  <c r="D80" i="52" s="1"/>
  <c r="D81" i="52" s="1"/>
  <c r="D82" i="52" s="1"/>
  <c r="D83" i="52" s="1"/>
  <c r="D84" i="52" s="1"/>
  <c r="D85" i="52" s="1"/>
  <c r="D86" i="52" s="1"/>
  <c r="C64" i="52"/>
  <c r="C65" i="52" s="1"/>
  <c r="C66" i="52" s="1"/>
  <c r="C67" i="52" s="1"/>
  <c r="C68" i="52" s="1"/>
  <c r="C69" i="52" s="1"/>
  <c r="C70" i="52" s="1"/>
  <c r="C71" i="52" s="1"/>
  <c r="C72" i="52" s="1"/>
  <c r="C73" i="52" s="1"/>
  <c r="C74" i="52" s="1"/>
  <c r="C75" i="52" s="1"/>
  <c r="C76" i="52" s="1"/>
  <c r="C77" i="52" s="1"/>
  <c r="C78" i="52" s="1"/>
  <c r="C79" i="52" s="1"/>
  <c r="C80" i="52" s="1"/>
  <c r="C81" i="52" s="1"/>
  <c r="C82" i="52" s="1"/>
  <c r="C83" i="52" s="1"/>
  <c r="C84" i="52" s="1"/>
  <c r="C85" i="52" s="1"/>
  <c r="C86" i="52" s="1"/>
  <c r="B64" i="52"/>
  <c r="D52" i="52"/>
  <c r="D53" i="52" s="1"/>
  <c r="D54" i="52" s="1"/>
  <c r="D55" i="52" s="1"/>
  <c r="D56" i="52" s="1"/>
  <c r="D57" i="52" s="1"/>
  <c r="D58" i="52" s="1"/>
  <c r="C52" i="52"/>
  <c r="C53" i="52" s="1"/>
  <c r="C54" i="52" s="1"/>
  <c r="C55" i="52" s="1"/>
  <c r="C56" i="52" s="1"/>
  <c r="C57" i="52" s="1"/>
  <c r="C58" i="52" s="1"/>
  <c r="C59" i="52" s="1"/>
  <c r="C60" i="52" s="1"/>
  <c r="C61" i="52" s="1"/>
  <c r="B52" i="52"/>
  <c r="D42" i="52"/>
  <c r="D43" i="52" s="1"/>
  <c r="D44" i="52" s="1"/>
  <c r="D45" i="52" s="1"/>
  <c r="D46" i="52" s="1"/>
  <c r="D47" i="52" s="1"/>
  <c r="D48" i="52" s="1"/>
  <c r="D49" i="52" s="1"/>
  <c r="C42" i="52"/>
  <c r="C43" i="52" s="1"/>
  <c r="C44" i="52" s="1"/>
  <c r="C45" i="52" s="1"/>
  <c r="C46" i="52" s="1"/>
  <c r="C47" i="52" s="1"/>
  <c r="C48" i="52" s="1"/>
  <c r="C49" i="52" s="1"/>
  <c r="B42" i="52"/>
  <c r="D19" i="52"/>
  <c r="D20" i="52" s="1"/>
  <c r="D21" i="52" s="1"/>
  <c r="D22" i="52" s="1"/>
  <c r="D23" i="52" s="1"/>
  <c r="D24" i="52" s="1"/>
  <c r="D25" i="52" s="1"/>
  <c r="D26" i="52" s="1"/>
  <c r="D27" i="52" s="1"/>
  <c r="D28" i="52" s="1"/>
  <c r="D29" i="52" s="1"/>
  <c r="D30" i="52" s="1"/>
  <c r="D31" i="52" s="1"/>
  <c r="D32" i="52" s="1"/>
  <c r="D33" i="52" s="1"/>
  <c r="D34" i="52" s="1"/>
  <c r="D35" i="52" s="1"/>
  <c r="D36" i="52" s="1"/>
  <c r="D37" i="52" s="1"/>
  <c r="D38" i="52" s="1"/>
  <c r="D39" i="52" s="1"/>
  <c r="C19" i="52"/>
  <c r="C20" i="52" s="1"/>
  <c r="C21" i="52" s="1"/>
  <c r="C22" i="52" s="1"/>
  <c r="C23" i="52" s="1"/>
  <c r="C24" i="52" s="1"/>
  <c r="C25" i="52" s="1"/>
  <c r="C26" i="52" s="1"/>
  <c r="C27" i="52" s="1"/>
  <c r="C28" i="52" s="1"/>
  <c r="C29" i="52" s="1"/>
  <c r="C30" i="52" s="1"/>
  <c r="C31" i="52" s="1"/>
  <c r="C32" i="52" s="1"/>
  <c r="C33" i="52" s="1"/>
  <c r="C34" i="52" s="1"/>
  <c r="C35" i="52" s="1"/>
  <c r="C36" i="52" s="1"/>
  <c r="C37" i="52" s="1"/>
  <c r="C38" i="52" s="1"/>
  <c r="C39" i="52" s="1"/>
  <c r="B19" i="52"/>
  <c r="D9" i="52"/>
  <c r="D10" i="52" s="1"/>
  <c r="D11" i="52" s="1"/>
  <c r="D12" i="52" s="1"/>
  <c r="D13" i="52" s="1"/>
  <c r="D14" i="52" s="1"/>
  <c r="D15" i="52" s="1"/>
  <c r="D16" i="52" s="1"/>
  <c r="C9" i="52"/>
  <c r="C10" i="52" s="1"/>
  <c r="C11" i="52" s="1"/>
  <c r="C12" i="52" s="1"/>
  <c r="C13" i="52" s="1"/>
  <c r="C14" i="52" s="1"/>
  <c r="C15" i="52" s="1"/>
  <c r="C16" i="52" s="1"/>
  <c r="B9" i="52"/>
  <c r="C159" i="52" l="1"/>
  <c r="C160" i="52" s="1"/>
  <c r="C161" i="52" s="1"/>
  <c r="C162" i="52" s="1"/>
  <c r="C163" i="52" s="1"/>
  <c r="C164" i="52" s="1"/>
  <c r="D182" i="52"/>
  <c r="D183" i="52" s="1"/>
  <c r="D184" i="52" s="1"/>
  <c r="D185" i="52" s="1"/>
  <c r="D186" i="52" s="1"/>
  <c r="D187" i="52" s="1"/>
  <c r="C182" i="52"/>
  <c r="C183" i="52" s="1"/>
  <c r="C184" i="52" s="1"/>
  <c r="C185" i="52" s="1"/>
  <c r="C186" i="52" s="1"/>
  <c r="C187" i="52" s="1"/>
  <c r="C149" i="52"/>
  <c r="D159" i="52"/>
  <c r="D160" i="52" s="1"/>
  <c r="D161" i="52" s="1"/>
  <c r="D162" i="52" s="1"/>
  <c r="D163" i="52" s="1"/>
  <c r="D164" i="52" s="1"/>
  <c r="D149" i="52"/>
  <c r="D150" i="52" s="1"/>
  <c r="D151" i="52" s="1"/>
  <c r="D152" i="52" s="1"/>
  <c r="D153" i="52" s="1"/>
  <c r="D154" i="52" s="1"/>
  <c r="B20" i="68"/>
  <c r="B69" i="68"/>
  <c r="B112" i="68"/>
  <c r="B152" i="68"/>
  <c r="B121" i="68"/>
  <c r="B162" i="68"/>
  <c r="B54" i="68"/>
  <c r="B103" i="68"/>
  <c r="B104" i="68" s="1"/>
  <c r="B142" i="68"/>
  <c r="B35" i="68"/>
  <c r="B78" i="68"/>
  <c r="B44" i="68"/>
  <c r="B88" i="68"/>
  <c r="B134" i="68"/>
  <c r="S157" i="52" a="1"/>
  <c r="S157" i="52" s="1"/>
  <c r="S110" i="52" a="1"/>
  <c r="S110" i="52" s="1"/>
  <c r="P110" i="52" s="1" a="1"/>
  <c r="P110" i="52" s="1"/>
  <c r="S180" i="52" a="1"/>
  <c r="S180" i="52" s="1"/>
  <c r="S9" i="52" a="1"/>
  <c r="S9" i="52" s="1"/>
  <c r="O9" i="52" s="1" a="1"/>
  <c r="O9" i="52" s="1"/>
  <c r="C10" i="66"/>
  <c r="C11" i="66" s="1"/>
  <c r="C12" i="66" s="1"/>
  <c r="C13" i="66" s="1"/>
  <c r="C14" i="66" s="1"/>
  <c r="C15" i="66" s="1"/>
  <c r="C16" i="66" s="1"/>
  <c r="C17" i="66" s="1"/>
  <c r="C43" i="66"/>
  <c r="C44" i="66" s="1"/>
  <c r="C45" i="66" s="1"/>
  <c r="C46" i="66" s="1"/>
  <c r="C47" i="66" s="1"/>
  <c r="C48" i="66" s="1"/>
  <c r="D43" i="66"/>
  <c r="D44" i="66" s="1"/>
  <c r="D45" i="66" s="1"/>
  <c r="D46" i="66" s="1"/>
  <c r="D47" i="66" s="1"/>
  <c r="D48" i="66" s="1"/>
  <c r="B136" i="66"/>
  <c r="B64" i="66"/>
  <c r="B125" i="66"/>
  <c r="B178" i="66"/>
  <c r="B22" i="66"/>
  <c r="B83" i="66"/>
  <c r="B52" i="66"/>
  <c r="B106" i="66"/>
  <c r="B167" i="66"/>
  <c r="B190" i="66"/>
  <c r="B41" i="66"/>
  <c r="B94" i="66"/>
  <c r="B202" i="66"/>
  <c r="B53" i="52"/>
  <c r="S52" i="52" a="1"/>
  <c r="S52" i="52" s="1"/>
  <c r="B137" i="52"/>
  <c r="B138" i="52" s="1"/>
  <c r="S136" i="52" a="1"/>
  <c r="S136" i="52" s="1"/>
  <c r="B191" i="52"/>
  <c r="S190" i="52" a="1"/>
  <c r="S190" i="52" s="1"/>
  <c r="B222" i="52"/>
  <c r="S221" i="52" a="1"/>
  <c r="S221" i="52" s="1"/>
  <c r="B65" i="52"/>
  <c r="S64" i="52" a="1"/>
  <c r="S64" i="52" s="1"/>
  <c r="B148" i="52"/>
  <c r="B149" i="52" s="1"/>
  <c r="S147" i="52" a="1"/>
  <c r="S147" i="52" s="1"/>
  <c r="B203" i="52"/>
  <c r="S202" i="52" a="1"/>
  <c r="S202" i="52" s="1"/>
  <c r="B43" i="52"/>
  <c r="S42" i="52" a="1"/>
  <c r="S42" i="52" s="1"/>
  <c r="B20" i="52"/>
  <c r="S19" i="52" a="1"/>
  <c r="S19" i="52" s="1"/>
  <c r="B100" i="52"/>
  <c r="B101" i="52" s="1"/>
  <c r="S99" i="52" a="1"/>
  <c r="S99" i="52" s="1"/>
  <c r="B10" i="52"/>
  <c r="B10" i="68"/>
  <c r="B148" i="66"/>
  <c r="B10" i="66"/>
  <c r="C70" i="68"/>
  <c r="C71" i="68" s="1"/>
  <c r="C72" i="68" s="1"/>
  <c r="C73" i="68" s="1"/>
  <c r="C74" i="68" s="1"/>
  <c r="F4" i="68"/>
  <c r="H4" i="68"/>
  <c r="K4" i="68"/>
  <c r="Q4" i="68"/>
  <c r="J4" i="68"/>
  <c r="R4" i="68"/>
  <c r="O4" i="68"/>
  <c r="C139" i="52"/>
  <c r="C140" i="52" s="1"/>
  <c r="C141" i="52" s="1"/>
  <c r="C142" i="52" s="1"/>
  <c r="C143" i="52" s="1"/>
  <c r="C144" i="52" s="1"/>
  <c r="B181" i="52"/>
  <c r="B182" i="52" s="1"/>
  <c r="B158" i="52"/>
  <c r="B159" i="52" s="1"/>
  <c r="D141" i="52"/>
  <c r="D142" i="52" s="1"/>
  <c r="D143" i="52" s="1"/>
  <c r="D144" i="52" s="1"/>
  <c r="D115" i="52"/>
  <c r="D116" i="52" s="1"/>
  <c r="D117" i="52" s="1"/>
  <c r="D118" i="52" s="1"/>
  <c r="D119" i="52" s="1"/>
  <c r="D104" i="52"/>
  <c r="D105" i="52" s="1"/>
  <c r="D106" i="52" s="1"/>
  <c r="D107" i="52" s="1"/>
  <c r="C104" i="52"/>
  <c r="C115" i="52"/>
  <c r="B111" i="52"/>
  <c r="D59" i="52"/>
  <c r="D60" i="52" s="1"/>
  <c r="D61" i="52" s="1"/>
  <c r="D165" i="52" l="1"/>
  <c r="D166" i="52" s="1"/>
  <c r="D167" i="52" s="1"/>
  <c r="D168" i="52" s="1"/>
  <c r="D169" i="52" s="1"/>
  <c r="D170" i="52" s="1"/>
  <c r="C165" i="52"/>
  <c r="C166" i="52" s="1"/>
  <c r="C167" i="52" s="1"/>
  <c r="C168" i="52" s="1"/>
  <c r="C169" i="52" s="1"/>
  <c r="C170" i="52" s="1"/>
  <c r="B183" i="52"/>
  <c r="S182" i="52" a="1"/>
  <c r="S182" i="52" s="1"/>
  <c r="C150" i="52"/>
  <c r="C151" i="52" s="1"/>
  <c r="C152" i="52" s="1"/>
  <c r="C153" i="52" s="1"/>
  <c r="C154" i="52" s="1"/>
  <c r="B160" i="52"/>
  <c r="S160" i="52" s="1" a="1"/>
  <c r="S160" i="52" s="1"/>
  <c r="S159" i="52" a="1"/>
  <c r="S159" i="52" s="1"/>
  <c r="S149" i="52" a="1"/>
  <c r="S149" i="52" s="1"/>
  <c r="B150" i="52"/>
  <c r="B163" i="68"/>
  <c r="B79" i="68"/>
  <c r="B55" i="68"/>
  <c r="B113" i="68"/>
  <c r="B36" i="68"/>
  <c r="B45" i="68"/>
  <c r="B153" i="68"/>
  <c r="B70" i="68"/>
  <c r="B135" i="68"/>
  <c r="B136" i="68" s="1"/>
  <c r="B89" i="68"/>
  <c r="B143" i="68"/>
  <c r="B122" i="68"/>
  <c r="B21" i="68"/>
  <c r="P9" i="52" a="1"/>
  <c r="P9" i="52" s="1"/>
  <c r="M9" i="52" a="1"/>
  <c r="M9" i="52" s="1"/>
  <c r="M110" i="52" a="1"/>
  <c r="M110" i="52" s="1"/>
  <c r="S111" i="52" a="1"/>
  <c r="S111" i="52" s="1"/>
  <c r="M111" i="52" s="1" a="1"/>
  <c r="M111" i="52" s="1"/>
  <c r="S158" i="52" a="1"/>
  <c r="S158" i="52" s="1"/>
  <c r="S100" i="52" a="1"/>
  <c r="S100" i="52" s="1"/>
  <c r="M100" i="52" s="1" a="1"/>
  <c r="M100" i="52" s="1"/>
  <c r="S137" i="52" a="1"/>
  <c r="S137" i="52" s="1"/>
  <c r="O137" i="52" s="1" a="1"/>
  <c r="O137" i="52" s="1"/>
  <c r="O110" i="52" a="1"/>
  <c r="O110" i="52" s="1"/>
  <c r="Q110" i="52" s="1"/>
  <c r="S203" i="52" a="1"/>
  <c r="S203" i="52" s="1"/>
  <c r="S191" i="52" a="1"/>
  <c r="S191" i="52" s="1"/>
  <c r="S53" i="52" a="1"/>
  <c r="S53" i="52" s="1"/>
  <c r="S101" i="52" a="1"/>
  <c r="S101" i="52" s="1"/>
  <c r="P101" i="52" s="1" a="1"/>
  <c r="P101" i="52" s="1"/>
  <c r="S10" i="52" a="1"/>
  <c r="S10" i="52" s="1"/>
  <c r="M10" i="52" s="1" a="1"/>
  <c r="M10" i="52" s="1"/>
  <c r="B126" i="66"/>
  <c r="O99" i="52" a="1"/>
  <c r="O99" i="52" s="1"/>
  <c r="M99" i="52" a="1"/>
  <c r="M99" i="52" s="1"/>
  <c r="P99" i="52" a="1"/>
  <c r="P99" i="52" s="1"/>
  <c r="O42" i="52" a="1"/>
  <c r="O42" i="52" s="1"/>
  <c r="P42" i="52" a="1"/>
  <c r="P42" i="52" s="1"/>
  <c r="M42" i="52" a="1"/>
  <c r="M42" i="52" s="1"/>
  <c r="O136" i="52" a="1"/>
  <c r="O136" i="52" s="1"/>
  <c r="M136" i="52" a="1"/>
  <c r="M136" i="52" s="1"/>
  <c r="P136" i="52" a="1"/>
  <c r="P136" i="52" s="1"/>
  <c r="M19" i="52" a="1"/>
  <c r="M19" i="52" s="1"/>
  <c r="O19" i="52" a="1"/>
  <c r="O19" i="52" s="1"/>
  <c r="P19" i="52" a="1"/>
  <c r="P19" i="52" s="1"/>
  <c r="B179" i="66"/>
  <c r="B168" i="66"/>
  <c r="B23" i="66"/>
  <c r="B149" i="66"/>
  <c r="B107" i="66"/>
  <c r="B191" i="66"/>
  <c r="B84" i="66"/>
  <c r="B65" i="66"/>
  <c r="B95" i="66"/>
  <c r="B203" i="66"/>
  <c r="B42" i="66"/>
  <c r="B53" i="66"/>
  <c r="B137" i="66"/>
  <c r="B54" i="52"/>
  <c r="B55" i="52" s="1"/>
  <c r="B192" i="52"/>
  <c r="B193" i="52" s="1"/>
  <c r="B194" i="52" s="1"/>
  <c r="B11" i="52"/>
  <c r="B204" i="52"/>
  <c r="B205" i="52" s="1"/>
  <c r="S181" i="52" a="1"/>
  <c r="S181" i="52" s="1"/>
  <c r="B21" i="52"/>
  <c r="S20" i="52" a="1"/>
  <c r="S20" i="52" s="1"/>
  <c r="B139" i="52"/>
  <c r="S138" i="52" a="1"/>
  <c r="S138" i="52" s="1"/>
  <c r="S148" i="52" a="1"/>
  <c r="S148" i="52" s="1"/>
  <c r="B223" i="52"/>
  <c r="S222" i="52" a="1"/>
  <c r="S222" i="52" s="1"/>
  <c r="B44" i="52"/>
  <c r="S43" i="52" a="1"/>
  <c r="S43" i="52" s="1"/>
  <c r="B66" i="52"/>
  <c r="B67" i="52" s="1"/>
  <c r="S65" i="52" a="1"/>
  <c r="S65" i="52" s="1"/>
  <c r="B11" i="68"/>
  <c r="B11" i="66"/>
  <c r="B105" i="68"/>
  <c r="B102" i="52"/>
  <c r="D120" i="52"/>
  <c r="D121" i="52" s="1"/>
  <c r="C116" i="52"/>
  <c r="C117" i="52" s="1"/>
  <c r="C118" i="52" s="1"/>
  <c r="C119" i="52" s="1"/>
  <c r="C120" i="52" s="1"/>
  <c r="C121" i="52" s="1"/>
  <c r="C105" i="52"/>
  <c r="C106" i="52" s="1"/>
  <c r="C107" i="52" s="1"/>
  <c r="B112" i="52"/>
  <c r="C171" i="52" l="1"/>
  <c r="C172" i="52" s="1"/>
  <c r="C173" i="52" s="1"/>
  <c r="C174" i="52" s="1"/>
  <c r="C175" i="52" s="1"/>
  <c r="C176" i="52" s="1"/>
  <c r="C177" i="52" s="1"/>
  <c r="D171" i="52"/>
  <c r="D172" i="52" s="1"/>
  <c r="D173" i="52" s="1"/>
  <c r="D174" i="52" s="1"/>
  <c r="D175" i="52" s="1"/>
  <c r="D176" i="52" s="1"/>
  <c r="D177" i="52" s="1"/>
  <c r="I136" i="68" a="1"/>
  <c r="I136" i="68" s="1"/>
  <c r="P136" i="68" a="1"/>
  <c r="P136" i="68" s="1"/>
  <c r="B90" i="68"/>
  <c r="B144" i="68"/>
  <c r="B56" i="68"/>
  <c r="B46" i="68"/>
  <c r="B123" i="68"/>
  <c r="B71" i="68"/>
  <c r="B114" i="68"/>
  <c r="B80" i="68"/>
  <c r="B22" i="68"/>
  <c r="B154" i="68"/>
  <c r="B37" i="68"/>
  <c r="B164" i="68"/>
  <c r="P137" i="52" a="1"/>
  <c r="P137" i="52" s="1"/>
  <c r="Q137" i="52" s="1"/>
  <c r="M137" i="52" a="1"/>
  <c r="M137" i="52" s="1"/>
  <c r="O111" i="52" a="1"/>
  <c r="O111" i="52" s="1"/>
  <c r="P111" i="52" a="1"/>
  <c r="P111" i="52" s="1"/>
  <c r="M101" i="52" a="1"/>
  <c r="M101" i="52" s="1"/>
  <c r="O10" i="52" a="1"/>
  <c r="O10" i="52" s="1"/>
  <c r="P10" i="52" a="1"/>
  <c r="P10" i="52" s="1"/>
  <c r="S194" i="52" a="1"/>
  <c r="S194" i="52" s="1"/>
  <c r="S193" i="52" a="1"/>
  <c r="S193" i="52" s="1"/>
  <c r="O101" i="52" a="1"/>
  <c r="O101" i="52" s="1"/>
  <c r="Q101" i="52" s="1"/>
  <c r="O100" i="52" a="1"/>
  <c r="O100" i="52" s="1"/>
  <c r="S139" i="52" a="1"/>
  <c r="S139" i="52" s="1"/>
  <c r="M139" i="52" s="1" a="1"/>
  <c r="M139" i="52" s="1"/>
  <c r="B56" i="52"/>
  <c r="S56" i="52" s="1" a="1"/>
  <c r="S56" i="52" s="1"/>
  <c r="P100" i="52" a="1"/>
  <c r="P100" i="52" s="1"/>
  <c r="S205" i="52" a="1"/>
  <c r="S205" i="52" s="1"/>
  <c r="B12" i="52"/>
  <c r="S12" i="52" s="1" a="1"/>
  <c r="S12" i="52" s="1"/>
  <c r="B54" i="66"/>
  <c r="B66" i="66"/>
  <c r="B150" i="66"/>
  <c r="B43" i="66"/>
  <c r="B85" i="66"/>
  <c r="B24" i="66"/>
  <c r="B204" i="66"/>
  <c r="B192" i="66"/>
  <c r="B169" i="66"/>
  <c r="B138" i="66"/>
  <c r="B96" i="66"/>
  <c r="B108" i="66"/>
  <c r="B180" i="66"/>
  <c r="B127" i="66"/>
  <c r="P160" i="52" a="1"/>
  <c r="P160" i="52" s="1"/>
  <c r="O160" i="52" a="1"/>
  <c r="O160" i="52" s="1"/>
  <c r="P43" i="52" a="1"/>
  <c r="P43" i="52" s="1"/>
  <c r="M43" i="52" a="1"/>
  <c r="M43" i="52" s="1"/>
  <c r="O43" i="52" a="1"/>
  <c r="O43" i="52" s="1"/>
  <c r="O20" i="52" a="1"/>
  <c r="O20" i="52" s="1"/>
  <c r="M20" i="52" a="1"/>
  <c r="M20" i="52" s="1"/>
  <c r="P20" i="52" a="1"/>
  <c r="P20" i="52" s="1"/>
  <c r="P138" i="52" a="1"/>
  <c r="P138" i="52" s="1"/>
  <c r="O138" i="52" a="1"/>
  <c r="O138" i="52" s="1"/>
  <c r="M138" i="52" a="1"/>
  <c r="M138" i="52" s="1"/>
  <c r="B12" i="66"/>
  <c r="B140" i="52"/>
  <c r="S140" i="52" s="1" a="1"/>
  <c r="S140" i="52" s="1"/>
  <c r="S55" i="52" a="1"/>
  <c r="S55" i="52" s="1"/>
  <c r="S11" i="52" a="1"/>
  <c r="S11" i="52" s="1"/>
  <c r="Q99" i="52"/>
  <c r="B206" i="52"/>
  <c r="B207" i="52" s="1"/>
  <c r="S207" i="52" s="1" a="1"/>
  <c r="S207" i="52" s="1"/>
  <c r="B113" i="52"/>
  <c r="S112" i="52" a="1"/>
  <c r="S112" i="52" s="1"/>
  <c r="B45" i="52"/>
  <c r="S44" i="52" a="1"/>
  <c r="S44" i="52" s="1"/>
  <c r="B151" i="52"/>
  <c r="S150" i="52" a="1"/>
  <c r="S150" i="52" s="1"/>
  <c r="B22" i="52"/>
  <c r="S21" i="52" a="1"/>
  <c r="S21" i="52" s="1"/>
  <c r="B184" i="52"/>
  <c r="S183" i="52" a="1"/>
  <c r="S183" i="52" s="1"/>
  <c r="Q136" i="52"/>
  <c r="B68" i="52"/>
  <c r="S67" i="52" a="1"/>
  <c r="S67" i="52" s="1"/>
  <c r="Q19" i="52"/>
  <c r="B103" i="52"/>
  <c r="S103" i="52" s="1" a="1"/>
  <c r="S103" i="52" s="1"/>
  <c r="S102" i="52" a="1"/>
  <c r="S102" i="52" s="1"/>
  <c r="B224" i="52"/>
  <c r="S223" i="52" a="1"/>
  <c r="S223" i="52" s="1"/>
  <c r="Q42" i="52"/>
  <c r="B12" i="68"/>
  <c r="B137" i="68"/>
  <c r="B138" i="68" s="1"/>
  <c r="B106" i="68"/>
  <c r="B161" i="52"/>
  <c r="B195" i="52"/>
  <c r="S195" i="52" s="1" a="1"/>
  <c r="S195" i="52" s="1"/>
  <c r="D122" i="52"/>
  <c r="D123" i="52" s="1"/>
  <c r="D124" i="52" s="1"/>
  <c r="D125" i="52" s="1"/>
  <c r="D126" i="52" s="1"/>
  <c r="C122" i="52"/>
  <c r="C123" i="52" s="1"/>
  <c r="C124" i="52" s="1"/>
  <c r="C125" i="52" s="1"/>
  <c r="C126" i="52" s="1"/>
  <c r="C127" i="52" s="1"/>
  <c r="C128" i="52" s="1"/>
  <c r="I123" i="68" l="1" a="1"/>
  <c r="I123" i="68" s="1"/>
  <c r="P123" i="68" a="1"/>
  <c r="P123" i="68" s="1"/>
  <c r="P106" i="68" a="1"/>
  <c r="P106" i="68" s="1"/>
  <c r="I106" i="68" a="1"/>
  <c r="I106" i="68" s="1"/>
  <c r="P114" i="68" a="1"/>
  <c r="P114" i="68" s="1"/>
  <c r="I114" i="68" a="1"/>
  <c r="I114" i="68" s="1"/>
  <c r="B155" i="68"/>
  <c r="B124" i="68"/>
  <c r="B165" i="68"/>
  <c r="B81" i="68"/>
  <c r="B72" i="68"/>
  <c r="B47" i="68"/>
  <c r="B145" i="68"/>
  <c r="B38" i="68"/>
  <c r="B23" i="68"/>
  <c r="B115" i="68"/>
  <c r="B116" i="68" s="1"/>
  <c r="B57" i="68"/>
  <c r="B91" i="68"/>
  <c r="O139" i="52" a="1"/>
  <c r="O139" i="52" s="1"/>
  <c r="Q111" i="52"/>
  <c r="P139" i="52" a="1"/>
  <c r="P139" i="52" s="1"/>
  <c r="Q10" i="52"/>
  <c r="B13" i="52"/>
  <c r="B14" i="52" s="1"/>
  <c r="B15" i="52" s="1"/>
  <c r="B16" i="52" s="1"/>
  <c r="Q100" i="52"/>
  <c r="B141" i="52"/>
  <c r="B57" i="52"/>
  <c r="S57" i="52" s="1" a="1"/>
  <c r="S57" i="52" s="1"/>
  <c r="S206" i="52" a="1"/>
  <c r="S206" i="52" s="1"/>
  <c r="S161" i="52" a="1"/>
  <c r="S161" i="52" s="1"/>
  <c r="S113" i="52" a="1"/>
  <c r="S113" i="52" s="1"/>
  <c r="P113" i="52" s="1" a="1"/>
  <c r="P113" i="52" s="1"/>
  <c r="B139" i="66"/>
  <c r="B97" i="66"/>
  <c r="B205" i="66"/>
  <c r="B151" i="66"/>
  <c r="B128" i="66"/>
  <c r="B109" i="66"/>
  <c r="B193" i="66"/>
  <c r="B25" i="66"/>
  <c r="B67" i="66"/>
  <c r="B181" i="66"/>
  <c r="B170" i="66"/>
  <c r="B86" i="66"/>
  <c r="B55" i="66"/>
  <c r="P207" i="52" a="1"/>
  <c r="P207" i="52" s="1"/>
  <c r="O207" i="52" a="1"/>
  <c r="O207" i="52" s="1"/>
  <c r="P150" i="52" a="1"/>
  <c r="P150" i="52" s="1"/>
  <c r="O150" i="52" a="1"/>
  <c r="O150" i="52" s="1"/>
  <c r="P102" i="52" a="1"/>
  <c r="P102" i="52" s="1"/>
  <c r="O102" i="52" a="1"/>
  <c r="O102" i="52" s="1"/>
  <c r="M102" i="52" a="1"/>
  <c r="M102" i="52" s="1"/>
  <c r="P21" i="52" a="1"/>
  <c r="P21" i="52" s="1"/>
  <c r="M21" i="52" a="1"/>
  <c r="M21" i="52" s="1"/>
  <c r="O21" i="52" a="1"/>
  <c r="O21" i="52" s="1"/>
  <c r="O11" i="52" a="1"/>
  <c r="O11" i="52" s="1"/>
  <c r="M11" i="52" a="1"/>
  <c r="M11" i="52" s="1"/>
  <c r="P11" i="52" a="1"/>
  <c r="P11" i="52" s="1"/>
  <c r="P195" i="52" a="1"/>
  <c r="P195" i="52" s="1"/>
  <c r="O195" i="52" a="1"/>
  <c r="O195" i="52" s="1"/>
  <c r="P183" i="52" a="1"/>
  <c r="P183" i="52" s="1"/>
  <c r="O183" i="52" a="1"/>
  <c r="O183" i="52" s="1"/>
  <c r="O44" i="52" a="1"/>
  <c r="O44" i="52" s="1"/>
  <c r="M44" i="52" a="1"/>
  <c r="M44" i="52" s="1"/>
  <c r="P44" i="52" a="1"/>
  <c r="P44" i="52" s="1"/>
  <c r="P112" i="52" a="1"/>
  <c r="P112" i="52" s="1"/>
  <c r="O112" i="52" a="1"/>
  <c r="O112" i="52" s="1"/>
  <c r="M112" i="52" a="1"/>
  <c r="M112" i="52" s="1"/>
  <c r="B13" i="66"/>
  <c r="S13" i="52" a="1"/>
  <c r="S13" i="52" s="1"/>
  <c r="Q20" i="52"/>
  <c r="B104" i="52"/>
  <c r="B114" i="52"/>
  <c r="S114" i="52" s="1" a="1"/>
  <c r="S114" i="52" s="1"/>
  <c r="Q138" i="52"/>
  <c r="B46" i="52"/>
  <c r="S45" i="52" a="1"/>
  <c r="S45" i="52" s="1"/>
  <c r="B185" i="52"/>
  <c r="S184" i="52" a="1"/>
  <c r="S184" i="52" s="1"/>
  <c r="B142" i="52"/>
  <c r="B143" i="52" s="1"/>
  <c r="B144" i="52" s="1"/>
  <c r="S141" i="52" a="1"/>
  <c r="S141" i="52" s="1"/>
  <c r="B225" i="52"/>
  <c r="S224" i="52" a="1"/>
  <c r="S224" i="52" s="1"/>
  <c r="B69" i="52"/>
  <c r="S68" i="52" a="1"/>
  <c r="S68" i="52" s="1"/>
  <c r="B152" i="52"/>
  <c r="B153" i="52" s="1"/>
  <c r="B154" i="52" s="1"/>
  <c r="S151" i="52" a="1"/>
  <c r="S151" i="52" s="1"/>
  <c r="Q43" i="52"/>
  <c r="B23" i="52"/>
  <c r="S22" i="52" a="1"/>
  <c r="S22" i="52" s="1"/>
  <c r="B13" i="68"/>
  <c r="B107" i="68"/>
  <c r="B108" i="68" s="1"/>
  <c r="B162" i="52"/>
  <c r="B196" i="52"/>
  <c r="B208" i="52"/>
  <c r="D127" i="52"/>
  <c r="D128" i="52" s="1"/>
  <c r="D129" i="52" s="1"/>
  <c r="D130" i="52" s="1"/>
  <c r="D131" i="52" s="1"/>
  <c r="D132" i="52" s="1"/>
  <c r="D133" i="52" s="1"/>
  <c r="C129" i="52"/>
  <c r="C130" i="52" s="1"/>
  <c r="C131" i="52" s="1"/>
  <c r="C132" i="52" s="1"/>
  <c r="C133" i="52" s="1"/>
  <c r="B58" i="52" l="1"/>
  <c r="S58" i="52" s="1" a="1"/>
  <c r="S58" i="52" s="1"/>
  <c r="P23" i="68" a="1"/>
  <c r="P23" i="68" s="1"/>
  <c r="I23" i="68" a="1"/>
  <c r="I23" i="68" s="1"/>
  <c r="P72" i="68" a="1"/>
  <c r="P72" i="68" s="1"/>
  <c r="I72" i="68" a="1"/>
  <c r="I72" i="68" s="1"/>
  <c r="P155" i="68" a="1"/>
  <c r="P155" i="68" s="1"/>
  <c r="I155" i="68" a="1"/>
  <c r="I155" i="68" s="1"/>
  <c r="P47" i="68" a="1"/>
  <c r="P47" i="68" s="1"/>
  <c r="I47" i="68" a="1"/>
  <c r="I47" i="68" s="1"/>
  <c r="P91" i="68" a="1"/>
  <c r="P91" i="68" s="1"/>
  <c r="I91" i="68" a="1"/>
  <c r="I91" i="68" s="1"/>
  <c r="P38" i="68" a="1"/>
  <c r="P38" i="68" s="1"/>
  <c r="I38" i="68" a="1"/>
  <c r="I38" i="68" s="1"/>
  <c r="I81" i="68" a="1"/>
  <c r="I81" i="68" s="1"/>
  <c r="P81" i="68" a="1"/>
  <c r="P81" i="68" s="1"/>
  <c r="I13" i="68" a="1"/>
  <c r="I13" i="68" s="1"/>
  <c r="P13" i="68" a="1"/>
  <c r="P13" i="68" s="1"/>
  <c r="I57" i="68" a="1"/>
  <c r="I57" i="68" s="1"/>
  <c r="P57" i="68" a="1"/>
  <c r="P57" i="68" s="1"/>
  <c r="P145" i="68" a="1"/>
  <c r="P145" i="68" s="1"/>
  <c r="I145" i="68" a="1"/>
  <c r="I145" i="68" s="1"/>
  <c r="P165" i="68" a="1"/>
  <c r="P165" i="68" s="1"/>
  <c r="I165" i="68" a="1"/>
  <c r="I165" i="68" s="1"/>
  <c r="Q139" i="52"/>
  <c r="B92" i="68"/>
  <c r="B82" i="68"/>
  <c r="B83" i="68" s="1"/>
  <c r="B24" i="68"/>
  <c r="B73" i="68"/>
  <c r="B74" i="68" s="1"/>
  <c r="B156" i="68"/>
  <c r="B157" i="68" s="1"/>
  <c r="B158" i="68" s="1"/>
  <c r="B48" i="68"/>
  <c r="B49" i="68" s="1"/>
  <c r="B39" i="68"/>
  <c r="B40" i="68" s="1"/>
  <c r="B125" i="68"/>
  <c r="B58" i="68"/>
  <c r="B146" i="68"/>
  <c r="B147" i="68" s="1"/>
  <c r="B166" i="68"/>
  <c r="B167" i="68" s="1"/>
  <c r="M113" i="52" a="1"/>
  <c r="M113" i="52" s="1"/>
  <c r="O113" i="52" a="1"/>
  <c r="O113" i="52" s="1"/>
  <c r="Q113" i="52" s="1"/>
  <c r="S208" i="52" a="1"/>
  <c r="S208" i="52" s="1"/>
  <c r="S196" i="52" a="1"/>
  <c r="S196" i="52" s="1"/>
  <c r="S104" i="52" a="1"/>
  <c r="S104" i="52" s="1"/>
  <c r="B110" i="66"/>
  <c r="B98" i="66"/>
  <c r="B56" i="66"/>
  <c r="B68" i="66"/>
  <c r="B194" i="66"/>
  <c r="B206" i="66"/>
  <c r="B87" i="66"/>
  <c r="B26" i="66"/>
  <c r="B182" i="66"/>
  <c r="B183" i="66" s="1"/>
  <c r="B184" i="66" s="1"/>
  <c r="B185" i="66" s="1"/>
  <c r="B152" i="66"/>
  <c r="B171" i="66"/>
  <c r="B129" i="66"/>
  <c r="B140" i="66"/>
  <c r="B141" i="66" s="1"/>
  <c r="B142" i="66" s="1"/>
  <c r="B143" i="66" s="1"/>
  <c r="P57" i="52" a="1"/>
  <c r="P57" i="52" s="1"/>
  <c r="O57" i="52" a="1"/>
  <c r="O57" i="52" s="1"/>
  <c r="M141" i="52" a="1"/>
  <c r="M141" i="52" s="1"/>
  <c r="O224" i="52" a="1"/>
  <c r="O224" i="52" s="1"/>
  <c r="P224" i="52" a="1"/>
  <c r="P224" i="52" s="1"/>
  <c r="M13" i="52" a="1"/>
  <c r="M13" i="52" s="1"/>
  <c r="B14" i="66"/>
  <c r="B115" i="52"/>
  <c r="B116" i="52" s="1"/>
  <c r="Q11" i="52"/>
  <c r="Q44" i="52"/>
  <c r="Q21" i="52"/>
  <c r="B59" i="52"/>
  <c r="B60" i="52" s="1"/>
  <c r="B61" i="52" s="1"/>
  <c r="B105" i="52"/>
  <c r="B106" i="52" s="1"/>
  <c r="B107" i="52" s="1"/>
  <c r="B24" i="52"/>
  <c r="B25" i="52" s="1"/>
  <c r="S23" i="52" a="1"/>
  <c r="S23" i="52" s="1"/>
  <c r="Q112" i="52"/>
  <c r="B226" i="52"/>
  <c r="S225" i="52" a="1"/>
  <c r="S225" i="52" s="1"/>
  <c r="Q102" i="52"/>
  <c r="B70" i="52"/>
  <c r="S69" i="52" a="1"/>
  <c r="S69" i="52" s="1"/>
  <c r="B47" i="52"/>
  <c r="S46" i="52" a="1"/>
  <c r="S46" i="52" s="1"/>
  <c r="B186" i="52"/>
  <c r="B187" i="52" s="1"/>
  <c r="B14" i="68"/>
  <c r="B163" i="52"/>
  <c r="B209" i="52"/>
  <c r="B197" i="52"/>
  <c r="B126" i="68" l="1"/>
  <c r="B59" i="68"/>
  <c r="B25" i="68"/>
  <c r="B93" i="68"/>
  <c r="M104" i="52" a="1"/>
  <c r="M104" i="52" s="1"/>
  <c r="S115" i="52" a="1"/>
  <c r="S115" i="52" s="1"/>
  <c r="M115" i="52" s="1" a="1"/>
  <c r="M115" i="52" s="1"/>
  <c r="B153" i="66"/>
  <c r="B154" i="66" s="1"/>
  <c r="B99" i="66"/>
  <c r="B100" i="66" s="1"/>
  <c r="B101" i="66" s="1"/>
  <c r="B172" i="66"/>
  <c r="B173" i="66" s="1"/>
  <c r="B174" i="66" s="1"/>
  <c r="B88" i="66"/>
  <c r="B89" i="66" s="1"/>
  <c r="B90" i="66" s="1"/>
  <c r="B57" i="66"/>
  <c r="B58" i="66" s="1"/>
  <c r="B59" i="66" s="1"/>
  <c r="B207" i="66"/>
  <c r="B208" i="66" s="1"/>
  <c r="B209" i="66" s="1"/>
  <c r="B130" i="66"/>
  <c r="B131" i="66" s="1"/>
  <c r="B132" i="66" s="1"/>
  <c r="B27" i="66"/>
  <c r="B28" i="66" s="1"/>
  <c r="B69" i="66"/>
  <c r="B70" i="66" s="1"/>
  <c r="B195" i="66"/>
  <c r="B196" i="66" s="1"/>
  <c r="B197" i="66" s="1"/>
  <c r="B198" i="66" s="1"/>
  <c r="B111" i="66"/>
  <c r="B112" i="66" s="1"/>
  <c r="M23" i="52" a="1"/>
  <c r="M23" i="52" s="1"/>
  <c r="M46" i="52" a="1"/>
  <c r="M46" i="52" s="1"/>
  <c r="P69" i="52" a="1"/>
  <c r="P69" i="52" s="1"/>
  <c r="O69" i="52" a="1"/>
  <c r="O69" i="52" s="1"/>
  <c r="B15" i="66"/>
  <c r="B16" i="66" s="1"/>
  <c r="B17" i="66" s="1"/>
  <c r="B164" i="52"/>
  <c r="B165" i="52" s="1"/>
  <c r="S163" i="52" a="1"/>
  <c r="S163" i="52" s="1"/>
  <c r="B48" i="52"/>
  <c r="B49" i="52" s="1"/>
  <c r="B71" i="52"/>
  <c r="B72" i="52" s="1"/>
  <c r="S70" i="52" a="1"/>
  <c r="S70" i="52" s="1"/>
  <c r="B227" i="52"/>
  <c r="B228" i="52" s="1"/>
  <c r="B26" i="52"/>
  <c r="S25" i="52" a="1"/>
  <c r="S25" i="52" s="1"/>
  <c r="B15" i="68"/>
  <c r="B117" i="52"/>
  <c r="B210" i="52"/>
  <c r="B198" i="52"/>
  <c r="B199" i="52" s="1"/>
  <c r="B166" i="52" l="1"/>
  <c r="S165" i="52" a="1"/>
  <c r="S165" i="52" s="1"/>
  <c r="B26" i="68"/>
  <c r="B60" i="68"/>
  <c r="B94" i="68"/>
  <c r="B127" i="68"/>
  <c r="B155" i="66"/>
  <c r="B113" i="66"/>
  <c r="B71" i="66"/>
  <c r="B29" i="66"/>
  <c r="M25" i="52" a="1"/>
  <c r="M25" i="52" s="1"/>
  <c r="P25" i="52" a="1"/>
  <c r="P25" i="52" s="1"/>
  <c r="O25" i="52" a="1"/>
  <c r="O25" i="52" s="1"/>
  <c r="B44" i="66"/>
  <c r="B118" i="52"/>
  <c r="S117" i="52" a="1"/>
  <c r="S117" i="52" s="1"/>
  <c r="B27" i="52"/>
  <c r="S26" i="52" a="1"/>
  <c r="S26" i="52" s="1"/>
  <c r="S164" i="52" a="1"/>
  <c r="S164" i="52" s="1"/>
  <c r="B211" i="52"/>
  <c r="S210" i="52" a="1"/>
  <c r="S210" i="52" s="1"/>
  <c r="B73" i="52"/>
  <c r="S72" i="52" a="1"/>
  <c r="S72" i="52" s="1"/>
  <c r="P127" i="68" l="1" a="1"/>
  <c r="P127" i="68" s="1"/>
  <c r="I127" i="68" a="1"/>
  <c r="I127" i="68" s="1"/>
  <c r="B128" i="68"/>
  <c r="B129" i="68" s="1"/>
  <c r="B130" i="68" s="1"/>
  <c r="B95" i="68"/>
  <c r="B61" i="68"/>
  <c r="B27" i="68"/>
  <c r="S211" i="52" a="1"/>
  <c r="S211" i="52" s="1"/>
  <c r="S118" i="52" a="1"/>
  <c r="S118" i="52" s="1"/>
  <c r="M118" i="52" s="1" a="1"/>
  <c r="M118" i="52" s="1"/>
  <c r="B72" i="66"/>
  <c r="B114" i="66"/>
  <c r="B30" i="66"/>
  <c r="B45" i="66"/>
  <c r="B156" i="66"/>
  <c r="O117" i="52" a="1"/>
  <c r="O117" i="52" s="1"/>
  <c r="M117" i="52" a="1"/>
  <c r="M117" i="52" s="1"/>
  <c r="P117" i="52" a="1"/>
  <c r="P117" i="52" s="1"/>
  <c r="O26" i="52" a="1"/>
  <c r="O26" i="52" s="1"/>
  <c r="M26" i="52" a="1"/>
  <c r="M26" i="52" s="1"/>
  <c r="P26" i="52" a="1"/>
  <c r="P26" i="52" s="1"/>
  <c r="B119" i="52"/>
  <c r="B120" i="52" s="1"/>
  <c r="B212" i="52"/>
  <c r="B213" i="52" s="1"/>
  <c r="S213" i="52" s="1" a="1"/>
  <c r="S213" i="52" s="1"/>
  <c r="B74" i="52"/>
  <c r="S73" i="52" a="1"/>
  <c r="S73" i="52" s="1"/>
  <c r="B28" i="52"/>
  <c r="S27" i="52" a="1"/>
  <c r="S27" i="52" s="1"/>
  <c r="Q25" i="52"/>
  <c r="B167" i="52"/>
  <c r="S166" i="52" a="1"/>
  <c r="S166" i="52" s="1"/>
  <c r="S119" i="52" l="1" a="1"/>
  <c r="S119" i="52" s="1"/>
  <c r="P119" i="52" s="1" a="1"/>
  <c r="P119" i="52" s="1"/>
  <c r="P118" i="52" a="1"/>
  <c r="P118" i="52" s="1"/>
  <c r="B96" i="68"/>
  <c r="B62" i="68"/>
  <c r="B28" i="68"/>
  <c r="O118" i="52" a="1"/>
  <c r="O118" i="52" s="1"/>
  <c r="S120" i="52" a="1"/>
  <c r="S120" i="52" s="1"/>
  <c r="P120" i="52" s="1" a="1"/>
  <c r="P120" i="52" s="1"/>
  <c r="S212" i="52" a="1"/>
  <c r="S212" i="52" s="1"/>
  <c r="B115" i="66"/>
  <c r="B31" i="66"/>
  <c r="B46" i="66"/>
  <c r="B47" i="66" s="1"/>
  <c r="B48" i="66" s="1"/>
  <c r="B157" i="66"/>
  <c r="B73" i="66"/>
  <c r="P27" i="52" a="1"/>
  <c r="P27" i="52" s="1"/>
  <c r="M27" i="52" a="1"/>
  <c r="M27" i="52" s="1"/>
  <c r="O27" i="52" a="1"/>
  <c r="O27" i="52" s="1"/>
  <c r="O213" i="52" a="1"/>
  <c r="O213" i="52" s="1"/>
  <c r="P213" i="52" a="1"/>
  <c r="P213" i="52" s="1"/>
  <c r="O166" i="52" a="1"/>
  <c r="O166" i="52" s="1"/>
  <c r="P166" i="52" a="1"/>
  <c r="P166" i="52" s="1"/>
  <c r="Q117" i="52"/>
  <c r="B168" i="52"/>
  <c r="B169" i="52" s="1"/>
  <c r="S167" i="52" a="1"/>
  <c r="S167" i="52" s="1"/>
  <c r="B29" i="52"/>
  <c r="S28" i="52" a="1"/>
  <c r="S28" i="52" s="1"/>
  <c r="B121" i="52"/>
  <c r="S121" i="52" s="1" a="1"/>
  <c r="S121" i="52" s="1"/>
  <c r="Q26" i="52"/>
  <c r="B75" i="52"/>
  <c r="S74" i="52" a="1"/>
  <c r="S74" i="52" s="1"/>
  <c r="B214" i="52"/>
  <c r="Q118" i="52" l="1"/>
  <c r="O119" i="52" a="1"/>
  <c r="O119" i="52" s="1"/>
  <c r="Q119" i="52" s="1"/>
  <c r="M119" i="52" a="1"/>
  <c r="M119" i="52" s="1"/>
  <c r="P28" i="68" a="1"/>
  <c r="P28" i="68" s="1"/>
  <c r="I28" i="68" a="1"/>
  <c r="I28" i="68" s="1"/>
  <c r="P62" i="68" a="1"/>
  <c r="P62" i="68" s="1"/>
  <c r="I62" i="68" a="1"/>
  <c r="I62" i="68" s="1"/>
  <c r="P96" i="68" a="1"/>
  <c r="P96" i="68" s="1"/>
  <c r="I96" i="68" a="1"/>
  <c r="I96" i="68" s="1"/>
  <c r="B97" i="68"/>
  <c r="B98" i="68" s="1"/>
  <c r="B99" i="68" s="1"/>
  <c r="B63" i="68"/>
  <c r="B64" i="68" s="1"/>
  <c r="B65" i="68" s="1"/>
  <c r="B29" i="68"/>
  <c r="B30" i="68" s="1"/>
  <c r="B31" i="68" s="1"/>
  <c r="M120" i="52" a="1"/>
  <c r="M120" i="52" s="1"/>
  <c r="O120" i="52" a="1"/>
  <c r="O120" i="52" s="1"/>
  <c r="Q120" i="52" s="1"/>
  <c r="S214" i="52" a="1"/>
  <c r="S214" i="52" s="1"/>
  <c r="B32" i="66"/>
  <c r="B74" i="66"/>
  <c r="B158" i="66"/>
  <c r="B116" i="66"/>
  <c r="B122" i="52"/>
  <c r="Q27" i="52"/>
  <c r="B76" i="52"/>
  <c r="S75" i="52" a="1"/>
  <c r="S75" i="52" s="1"/>
  <c r="B30" i="52"/>
  <c r="B31" i="52" s="1"/>
  <c r="S29" i="52" a="1"/>
  <c r="S29" i="52" s="1"/>
  <c r="B170" i="52"/>
  <c r="B171" i="52" s="1"/>
  <c r="S169" i="52" a="1"/>
  <c r="S169" i="52" s="1"/>
  <c r="B215" i="52"/>
  <c r="S171" i="52" l="1" a="1"/>
  <c r="S171" i="52" s="1"/>
  <c r="B172" i="52"/>
  <c r="S122" i="52" a="1"/>
  <c r="S122" i="52" s="1"/>
  <c r="M122" i="52" s="1" a="1"/>
  <c r="M122" i="52" s="1"/>
  <c r="B75" i="66"/>
  <c r="B159" i="66"/>
  <c r="B160" i="66" s="1"/>
  <c r="B161" i="66" s="1"/>
  <c r="B162" i="66" s="1"/>
  <c r="B163" i="66" s="1"/>
  <c r="B117" i="66"/>
  <c r="B33" i="66"/>
  <c r="M29" i="52" a="1"/>
  <c r="M29" i="52" s="1"/>
  <c r="P75" i="52" a="1"/>
  <c r="P75" i="52" s="1"/>
  <c r="O75" i="52" a="1"/>
  <c r="O75" i="52" s="1"/>
  <c r="B123" i="52"/>
  <c r="B124" i="52" s="1"/>
  <c r="B32" i="52"/>
  <c r="S31" i="52" a="1"/>
  <c r="S31" i="52" s="1"/>
  <c r="S170" i="52" a="1"/>
  <c r="S170" i="52" s="1"/>
  <c r="B77" i="52"/>
  <c r="B78" i="52" s="1"/>
  <c r="S76" i="52" a="1"/>
  <c r="S76" i="52" s="1"/>
  <c r="B216" i="52"/>
  <c r="B118" i="66" l="1"/>
  <c r="B119" i="66" s="1"/>
  <c r="B120" i="66" s="1"/>
  <c r="B121" i="66" s="1"/>
  <c r="B34" i="66"/>
  <c r="B35" i="66" s="1"/>
  <c r="B36" i="66" s="1"/>
  <c r="B37" i="66" s="1"/>
  <c r="B76" i="66"/>
  <c r="B77" i="66" s="1"/>
  <c r="B78" i="66" s="1"/>
  <c r="B79" i="66" s="1"/>
  <c r="O31" i="52" a="1"/>
  <c r="O31" i="52" s="1"/>
  <c r="P31" i="52" a="1"/>
  <c r="P31" i="52" s="1"/>
  <c r="M31" i="52" a="1"/>
  <c r="M31" i="52" s="1"/>
  <c r="B173" i="52"/>
  <c r="S172" i="52" a="1"/>
  <c r="S172" i="52" s="1"/>
  <c r="B125" i="52"/>
  <c r="S124" i="52" a="1"/>
  <c r="S124" i="52" s="1"/>
  <c r="B79" i="52"/>
  <c r="S78" i="52" a="1"/>
  <c r="S78" i="52" s="1"/>
  <c r="B33" i="52"/>
  <c r="S32" i="52" a="1"/>
  <c r="S32" i="52" s="1"/>
  <c r="B217" i="52"/>
  <c r="B218" i="52" s="1"/>
  <c r="S125" i="52" l="1" a="1"/>
  <c r="S125" i="52" s="1"/>
  <c r="M125" i="52" s="1" a="1"/>
  <c r="M125" i="52" s="1"/>
  <c r="P172" i="52" a="1"/>
  <c r="P172" i="52" s="1"/>
  <c r="O172" i="52" a="1"/>
  <c r="O172" i="52" s="1"/>
  <c r="P32" i="52" a="1"/>
  <c r="P32" i="52" s="1"/>
  <c r="M32" i="52" a="1"/>
  <c r="M32" i="52" s="1"/>
  <c r="O32" i="52" a="1"/>
  <c r="O32" i="52" s="1"/>
  <c r="O124" i="52" a="1"/>
  <c r="O124" i="52" s="1"/>
  <c r="M124" i="52" a="1"/>
  <c r="M124" i="52" s="1"/>
  <c r="P124" i="52" a="1"/>
  <c r="P124" i="52" s="1"/>
  <c r="B126" i="52"/>
  <c r="B80" i="52"/>
  <c r="S79" i="52" a="1"/>
  <c r="S79" i="52" s="1"/>
  <c r="B174" i="52"/>
  <c r="B175" i="52" s="1"/>
  <c r="B176" i="52" s="1"/>
  <c r="B177" i="52" s="1"/>
  <c r="S173" i="52" a="1"/>
  <c r="S173" i="52" s="1"/>
  <c r="Q31" i="52"/>
  <c r="B34" i="52"/>
  <c r="S33" i="52" a="1"/>
  <c r="S33" i="52" s="1"/>
  <c r="O125" i="52" l="1" a="1"/>
  <c r="O125" i="52" s="1"/>
  <c r="P125" i="52" a="1"/>
  <c r="P125" i="52" s="1"/>
  <c r="S126" i="52" a="1"/>
  <c r="S126" i="52" s="1"/>
  <c r="P126" i="52" s="1" a="1"/>
  <c r="P126" i="52" s="1"/>
  <c r="O33" i="52" a="1"/>
  <c r="O33" i="52" s="1"/>
  <c r="M33" i="52" a="1"/>
  <c r="M33" i="52" s="1"/>
  <c r="P33" i="52" a="1"/>
  <c r="P33" i="52" s="1"/>
  <c r="B127" i="52"/>
  <c r="Q124" i="52"/>
  <c r="Q32" i="52"/>
  <c r="B35" i="52"/>
  <c r="S34" i="52" a="1"/>
  <c r="S34" i="52" s="1"/>
  <c r="B81" i="52"/>
  <c r="S80" i="52" a="1"/>
  <c r="S80" i="52" s="1"/>
  <c r="M126" i="52" l="1" a="1"/>
  <c r="M126" i="52" s="1"/>
  <c r="O126" i="52" a="1"/>
  <c r="O126" i="52" s="1"/>
  <c r="Q126" i="52" s="1"/>
  <c r="Q125" i="52"/>
  <c r="S127" i="52" a="1"/>
  <c r="S127" i="52" s="1"/>
  <c r="B128" i="52"/>
  <c r="Q33" i="52"/>
  <c r="B36" i="52"/>
  <c r="B37" i="52" s="1"/>
  <c r="B38" i="52" s="1"/>
  <c r="B39" i="52" s="1"/>
  <c r="S35" i="52" a="1"/>
  <c r="S35" i="52" s="1"/>
  <c r="B82" i="52"/>
  <c r="S81" i="52" a="1"/>
  <c r="S81" i="52" s="1"/>
  <c r="P81" i="52" l="1" a="1"/>
  <c r="P81" i="52" s="1"/>
  <c r="O81" i="52" a="1"/>
  <c r="O81" i="52" s="1"/>
  <c r="M35" i="52" a="1"/>
  <c r="M35" i="52" s="1"/>
  <c r="O127" i="52" a="1"/>
  <c r="O127" i="52" s="1"/>
  <c r="M127" i="52" a="1"/>
  <c r="M127" i="52" s="1"/>
  <c r="P127" i="52" a="1"/>
  <c r="P127" i="52" s="1"/>
  <c r="S128" i="52" a="1"/>
  <c r="S128" i="52" s="1"/>
  <c r="B129" i="52"/>
  <c r="B83" i="52"/>
  <c r="B84" i="52" s="1"/>
  <c r="B85" i="52" s="1"/>
  <c r="B86" i="52" s="1"/>
  <c r="S82" i="52" a="1"/>
  <c r="S82" i="52" s="1"/>
  <c r="J35" i="58"/>
  <c r="I35" i="58"/>
  <c r="Q127" i="52" l="1"/>
  <c r="S129" i="52" a="1"/>
  <c r="S129" i="52" s="1"/>
  <c r="B130" i="52"/>
  <c r="B131" i="52" s="1"/>
  <c r="B132" i="52" s="1"/>
  <c r="B133" i="52" s="1"/>
  <c r="I120" i="58"/>
  <c r="I119" i="58"/>
  <c r="I118" i="58"/>
  <c r="I117" i="58"/>
  <c r="I116" i="58"/>
  <c r="I115" i="58"/>
  <c r="J87" i="58"/>
  <c r="J86" i="58"/>
  <c r="J77" i="58"/>
  <c r="J76" i="58"/>
  <c r="J53" i="58"/>
  <c r="J48" i="58"/>
  <c r="J47" i="58"/>
  <c r="J46" i="58"/>
  <c r="J70" i="58"/>
  <c r="J69" i="58"/>
  <c r="J63" i="58"/>
  <c r="J62" i="58"/>
  <c r="I85" i="58"/>
  <c r="I75" i="58"/>
  <c r="I68" i="58"/>
  <c r="I61" i="58"/>
  <c r="I84" i="58"/>
  <c r="I74" i="58"/>
  <c r="I67" i="58"/>
  <c r="I60" i="58"/>
  <c r="I83" i="58"/>
  <c r="I73" i="58"/>
  <c r="I66" i="58"/>
  <c r="I59" i="58"/>
  <c r="I72" i="58"/>
  <c r="I65" i="58"/>
  <c r="I82" i="58"/>
  <c r="I81" i="58"/>
  <c r="I71" i="58"/>
  <c r="I64" i="58"/>
  <c r="I57" i="58"/>
  <c r="I53" i="58"/>
  <c r="I48" i="58"/>
  <c r="I47" i="58"/>
  <c r="I46" i="58"/>
  <c r="J52" i="58"/>
  <c r="J45" i="58"/>
  <c r="J41" i="58"/>
  <c r="J37" i="58"/>
  <c r="J51" i="58"/>
  <c r="J44" i="58"/>
  <c r="J40" i="58"/>
  <c r="J36" i="58"/>
  <c r="J50" i="58"/>
  <c r="J43" i="58"/>
  <c r="I43" i="58"/>
  <c r="J39" i="58"/>
  <c r="I39" i="58"/>
  <c r="J42" i="58"/>
  <c r="J38" i="58"/>
  <c r="J34" i="58"/>
  <c r="J33" i="58"/>
  <c r="I52" i="58"/>
  <c r="I41" i="58"/>
  <c r="I45" i="58"/>
  <c r="I51" i="58"/>
  <c r="I44" i="58"/>
  <c r="I40" i="58"/>
  <c r="I36" i="58"/>
  <c r="I50" i="58"/>
  <c r="I49" i="58"/>
  <c r="I42" i="58"/>
  <c r="I38" i="58"/>
  <c r="I34" i="58"/>
  <c r="I33" i="58"/>
  <c r="V37" i="53"/>
  <c r="J29" i="58"/>
  <c r="J22" i="58"/>
  <c r="J21" i="58"/>
  <c r="J20" i="58"/>
  <c r="M129" i="52" l="1" a="1"/>
  <c r="M129" i="52" s="1"/>
  <c r="M4" i="66"/>
  <c r="O3" i="66"/>
  <c r="P4" i="66" s="1"/>
  <c r="H3" i="66"/>
  <c r="J4" i="66" s="1"/>
  <c r="AC29" i="53"/>
  <c r="S29" i="53"/>
  <c r="I29" i="53"/>
  <c r="AF29" i="53"/>
  <c r="V29" i="53"/>
  <c r="P160" i="66" l="1" a="1"/>
  <c r="P160" i="66" s="1"/>
  <c r="P141" i="66" a="1"/>
  <c r="P141" i="66" s="1"/>
  <c r="P118" i="66" a="1"/>
  <c r="P118" i="66" s="1"/>
  <c r="P99" i="66" a="1"/>
  <c r="P99" i="66" s="1"/>
  <c r="P76" i="66" a="1"/>
  <c r="P76" i="66" s="1"/>
  <c r="P57" i="66" a="1"/>
  <c r="P57" i="66" s="1"/>
  <c r="P34" i="66" a="1"/>
  <c r="P34" i="66" s="1"/>
  <c r="P15" i="66" a="1"/>
  <c r="P15" i="66" s="1"/>
  <c r="P195" i="66" a="1"/>
  <c r="P195" i="66" s="1"/>
  <c r="P172" i="66" a="1"/>
  <c r="P172" i="66" s="1"/>
  <c r="P153" i="66" a="1"/>
  <c r="P153" i="66" s="1"/>
  <c r="P130" i="66" a="1"/>
  <c r="P130" i="66" s="1"/>
  <c r="P111" i="66" a="1"/>
  <c r="P111" i="66" s="1"/>
  <c r="P88" i="66" a="1"/>
  <c r="P88" i="66" s="1"/>
  <c r="P69" i="66" a="1"/>
  <c r="P69" i="66" s="1"/>
  <c r="P46" i="66" a="1"/>
  <c r="P46" i="66" s="1"/>
  <c r="P27" i="66" a="1"/>
  <c r="P27" i="66" s="1"/>
  <c r="P207" i="66" a="1"/>
  <c r="P207" i="66" s="1"/>
  <c r="P183" i="66" a="1"/>
  <c r="P183" i="66" s="1"/>
  <c r="X25" i="53"/>
  <c r="W25" i="53"/>
  <c r="Y25" i="53"/>
  <c r="V25" i="53"/>
  <c r="Z25" i="53"/>
  <c r="AD25" i="53"/>
  <c r="AC25" i="53"/>
  <c r="AG25" i="53"/>
  <c r="AH25" i="53"/>
  <c r="AJ25" i="53"/>
  <c r="AI25" i="53"/>
  <c r="AF25" i="53"/>
  <c r="I25" i="53"/>
  <c r="J25" i="53"/>
  <c r="T25" i="53"/>
  <c r="S25" i="53"/>
  <c r="O4" i="66"/>
  <c r="H4" i="66"/>
  <c r="I4" i="66"/>
  <c r="Q4" i="66"/>
  <c r="K4" i="66"/>
  <c r="R4" i="66"/>
  <c r="F4" i="66"/>
  <c r="I160" i="66" l="1" a="1"/>
  <c r="I160" i="66" s="1"/>
  <c r="I141" i="66" a="1"/>
  <c r="I141" i="66" s="1"/>
  <c r="I118" i="66" a="1"/>
  <c r="I118" i="66" s="1"/>
  <c r="I99" i="66" a="1"/>
  <c r="I99" i="66" s="1"/>
  <c r="I76" i="66" a="1"/>
  <c r="I76" i="66" s="1"/>
  <c r="I57" i="66" a="1"/>
  <c r="I57" i="66" s="1"/>
  <c r="I34" i="66" a="1"/>
  <c r="I34" i="66" s="1"/>
  <c r="I15" i="66" a="1"/>
  <c r="I15" i="66" s="1"/>
  <c r="I195" i="66" a="1"/>
  <c r="I195" i="66" s="1"/>
  <c r="I172" i="66" a="1"/>
  <c r="I172" i="66" s="1"/>
  <c r="I153" i="66" a="1"/>
  <c r="I153" i="66" s="1"/>
  <c r="I130" i="66" a="1"/>
  <c r="I130" i="66" s="1"/>
  <c r="I111" i="66" a="1"/>
  <c r="I111" i="66" s="1"/>
  <c r="I88" i="66" a="1"/>
  <c r="I88" i="66" s="1"/>
  <c r="I69" i="66" a="1"/>
  <c r="I69" i="66" s="1"/>
  <c r="I46" i="66" a="1"/>
  <c r="I46" i="66" s="1"/>
  <c r="I27" i="66" a="1"/>
  <c r="I27" i="66" s="1"/>
  <c r="I207" i="66" a="1"/>
  <c r="I207" i="66" s="1"/>
  <c r="I183" i="66" a="1"/>
  <c r="I183" i="66" s="1"/>
  <c r="J28" i="58"/>
  <c r="J27" i="58"/>
  <c r="J19" i="58"/>
  <c r="J18" i="58"/>
  <c r="J14" i="58"/>
  <c r="J13" i="58"/>
  <c r="M4" i="52"/>
  <c r="J9" i="58"/>
  <c r="J8" i="58"/>
  <c r="I29" i="58" l="1"/>
  <c r="I22" i="58"/>
  <c r="I21" i="58"/>
  <c r="I20" i="58"/>
  <c r="C9" i="61" l="1"/>
  <c r="L7" i="61"/>
  <c r="M7" i="61"/>
  <c r="Q8" i="61"/>
  <c r="O8" i="61"/>
  <c r="N8" i="61"/>
  <c r="M8" i="61"/>
  <c r="L8" i="61"/>
  <c r="I8" i="61"/>
  <c r="H8" i="61"/>
  <c r="G8" i="61"/>
  <c r="E8" i="61"/>
  <c r="D8" i="61"/>
  <c r="C8" i="61"/>
  <c r="Q7" i="61"/>
  <c r="O7" i="61"/>
  <c r="N7" i="61"/>
  <c r="J7" i="61"/>
  <c r="I7" i="61"/>
  <c r="H7" i="61"/>
  <c r="G7" i="61"/>
  <c r="E7" i="61"/>
  <c r="D7" i="61"/>
  <c r="C7" i="61"/>
  <c r="F182" i="52" s="1" a="1"/>
  <c r="F182" i="52" s="1"/>
  <c r="Q6" i="61"/>
  <c r="O6" i="61"/>
  <c r="N6" i="61"/>
  <c r="M6" i="61"/>
  <c r="L6" i="61"/>
  <c r="J6" i="61"/>
  <c r="I6" i="61"/>
  <c r="H6" i="61"/>
  <c r="G6" i="61"/>
  <c r="E6" i="61"/>
  <c r="D6" i="61"/>
  <c r="C6" i="61"/>
  <c r="Q5" i="61"/>
  <c r="O5" i="61"/>
  <c r="N5" i="61"/>
  <c r="M5" i="61"/>
  <c r="L5" i="61"/>
  <c r="J5" i="61"/>
  <c r="I5" i="61"/>
  <c r="H5" i="61"/>
  <c r="G5" i="61"/>
  <c r="E5" i="61"/>
  <c r="D5" i="61"/>
  <c r="C5" i="61"/>
  <c r="E12" i="80" l="1" a="1"/>
  <c r="E12" i="80" s="1"/>
  <c r="E11" i="80" s="1"/>
  <c r="E12" i="82" a="1"/>
  <c r="E12" i="82" s="1"/>
  <c r="E11" i="82" s="1"/>
  <c r="E12" i="81" a="1"/>
  <c r="E12" i="81" s="1"/>
  <c r="E11" i="81" s="1"/>
  <c r="E12" i="79" a="1"/>
  <c r="E12" i="79" s="1"/>
  <c r="E11" i="79" s="1"/>
  <c r="E12" i="53" a="1"/>
  <c r="E12" i="53" s="1"/>
  <c r="F95" i="52" a="1"/>
  <c r="F95" i="52" s="1"/>
  <c r="F94" i="52" a="1"/>
  <c r="F94" i="52" s="1"/>
  <c r="F142" i="52" a="1"/>
  <c r="F142" i="52" s="1"/>
  <c r="F185" i="52" a="1"/>
  <c r="F185" i="52" s="1"/>
  <c r="F47" i="52" a="1"/>
  <c r="F47" i="52" s="1"/>
  <c r="F226" i="52" a="1"/>
  <c r="F226" i="52" s="1"/>
  <c r="F72" i="68" a="1"/>
  <c r="F72" i="68" s="1"/>
  <c r="F130" i="66" a="1"/>
  <c r="F130" i="66" s="1"/>
  <c r="F172" i="66" a="1"/>
  <c r="F172" i="66" s="1"/>
  <c r="F165" i="68" a="1"/>
  <c r="F165" i="68" s="1"/>
  <c r="F38" i="68" a="1"/>
  <c r="F38" i="68" s="1"/>
  <c r="F88" i="66" a="1"/>
  <c r="F88" i="66" s="1"/>
  <c r="F136" i="68" a="1"/>
  <c r="F136" i="68" s="1"/>
  <c r="F207" i="66" a="1"/>
  <c r="F207" i="66" s="1"/>
  <c r="F46" i="66" a="1"/>
  <c r="F46" i="66" s="1"/>
  <c r="F106" i="68" a="1"/>
  <c r="F106" i="68" s="1"/>
  <c r="F161" i="68" a="1"/>
  <c r="F161" i="68" s="1"/>
  <c r="F102" i="68" a="1"/>
  <c r="F102" i="68" s="1"/>
  <c r="F162" i="68" a="1"/>
  <c r="F162" i="68" s="1"/>
  <c r="F35" i="68" a="1"/>
  <c r="F35" i="68" s="1"/>
  <c r="F84" i="66" a="1"/>
  <c r="F84" i="66" s="1"/>
  <c r="F133" i="68" a="1"/>
  <c r="F133" i="68" s="1"/>
  <c r="F34" i="68" a="1"/>
  <c r="F34" i="68" s="1"/>
  <c r="F134" i="68" a="1"/>
  <c r="F134" i="68" s="1"/>
  <c r="F103" i="68" a="1"/>
  <c r="F103" i="68" s="1"/>
  <c r="F68" i="68" a="1"/>
  <c r="F68" i="68" s="1"/>
  <c r="F203" i="66" a="1"/>
  <c r="F203" i="66" s="1"/>
  <c r="F126" i="66" a="1"/>
  <c r="F126" i="66" s="1"/>
  <c r="F163" i="68" a="1"/>
  <c r="F163" i="68" s="1"/>
  <c r="F69" i="68" a="1"/>
  <c r="F69" i="68" s="1"/>
  <c r="F42" i="66" a="1"/>
  <c r="F42" i="66" s="1"/>
  <c r="F36" i="68" a="1"/>
  <c r="F36" i="68" s="1"/>
  <c r="F168" i="66" a="1"/>
  <c r="F168" i="66" s="1"/>
  <c r="F70" i="68" a="1"/>
  <c r="F70" i="68" s="1"/>
  <c r="F135" i="68" a="1"/>
  <c r="F135" i="68" s="1"/>
  <c r="F164" i="68" a="1"/>
  <c r="F164" i="68" s="1"/>
  <c r="F37" i="68" a="1"/>
  <c r="F37" i="68" s="1"/>
  <c r="F71" i="68" a="1"/>
  <c r="F71" i="68" s="1"/>
  <c r="F104" i="68" a="1"/>
  <c r="F104" i="68" s="1"/>
  <c r="F105" i="68" a="1"/>
  <c r="F105" i="68" s="1"/>
  <c r="F224" i="52" a="1"/>
  <c r="F224" i="52" s="1"/>
  <c r="F221" i="52" a="1"/>
  <c r="F221" i="52" s="1"/>
  <c r="F223" i="52" a="1"/>
  <c r="F223" i="52" s="1"/>
  <c r="F222" i="52" a="1"/>
  <c r="F222" i="52" s="1"/>
  <c r="F225" i="52" a="1"/>
  <c r="F225" i="52" s="1"/>
  <c r="F180" i="52" a="1"/>
  <c r="F180" i="52" s="1"/>
  <c r="F137" i="52" a="1"/>
  <c r="F137" i="52" s="1"/>
  <c r="F136" i="52" a="1"/>
  <c r="F136" i="52" s="1"/>
  <c r="F139" i="52" a="1"/>
  <c r="F139" i="52" s="1"/>
  <c r="F181" i="52" a="1"/>
  <c r="F181" i="52" s="1"/>
  <c r="F138" i="52" a="1"/>
  <c r="F138" i="52" s="1"/>
  <c r="F140" i="52" a="1"/>
  <c r="F140" i="52" s="1"/>
  <c r="F183" i="52" a="1"/>
  <c r="F183" i="52" s="1"/>
  <c r="F184" i="52" a="1"/>
  <c r="F184" i="52" s="1"/>
  <c r="F141" i="52" a="1"/>
  <c r="F141" i="52" s="1"/>
  <c r="D4" i="61"/>
  <c r="I4" i="61"/>
  <c r="N4" i="61"/>
  <c r="L4" i="61"/>
  <c r="C4" i="61"/>
  <c r="E4" i="61"/>
  <c r="J4" i="61"/>
  <c r="O4" i="61"/>
  <c r="G4" i="61"/>
  <c r="Q4" i="61"/>
  <c r="H4" i="61"/>
  <c r="M4" i="61"/>
  <c r="I26" i="58"/>
  <c r="I25" i="58"/>
  <c r="I24" i="58"/>
  <c r="I17" i="58"/>
  <c r="I16" i="58"/>
  <c r="I12" i="58"/>
  <c r="I11" i="58"/>
  <c r="I7" i="58"/>
  <c r="I6" i="58"/>
  <c r="I5" i="58"/>
  <c r="I10" i="58"/>
  <c r="I23" i="58"/>
  <c r="I15" i="58"/>
  <c r="H33" i="57" a="1"/>
  <c r="H21" i="57" a="1"/>
  <c r="H27" i="57" a="1"/>
  <c r="H15" i="57" a="1"/>
  <c r="H27" i="57" l="1"/>
  <c r="H33" i="57"/>
  <c r="H15" i="57"/>
  <c r="H21" i="57"/>
  <c r="J207" i="66"/>
  <c r="Q207" i="66"/>
  <c r="J165" i="68"/>
  <c r="Q165" i="68"/>
  <c r="J136" i="68"/>
  <c r="Q136" i="68"/>
  <c r="J172" i="66"/>
  <c r="Q172" i="66"/>
  <c r="J106" i="68"/>
  <c r="Q106" i="68"/>
  <c r="Q88" i="66"/>
  <c r="J88" i="66"/>
  <c r="J130" i="66"/>
  <c r="Q130" i="66"/>
  <c r="Q46" i="66"/>
  <c r="J46" i="66"/>
  <c r="J38" i="68"/>
  <c r="Q38" i="68"/>
  <c r="J72" i="68"/>
  <c r="Q72" i="68"/>
  <c r="I4" i="58"/>
  <c r="L29" i="53" l="1"/>
  <c r="E11" i="53"/>
  <c r="O3" i="52"/>
  <c r="R4" i="52" s="1"/>
  <c r="H3" i="52"/>
  <c r="K4" i="52" s="1"/>
  <c r="H9" i="57" a="1"/>
  <c r="H9" i="57" l="1"/>
  <c r="N25" i="53"/>
  <c r="M25" i="53"/>
  <c r="P25" i="53"/>
  <c r="O25" i="53"/>
  <c r="L25" i="53"/>
  <c r="F4" i="52"/>
  <c r="I4" i="52"/>
  <c r="H4" i="52"/>
  <c r="J4" i="52"/>
  <c r="P4" i="52"/>
  <c r="O4" i="52"/>
  <c r="Q4" i="52"/>
  <c r="H171" i="52" l="1" a="1"/>
  <c r="H171" i="52" s="1"/>
  <c r="J3" i="58"/>
  <c r="I3" i="58"/>
  <c r="I149" i="52" s="1" a="1"/>
  <c r="I149" i="52" s="1"/>
  <c r="H159" i="52" l="1" a="1"/>
  <c r="H159" i="52" s="1"/>
  <c r="P159" i="52" a="1"/>
  <c r="P159" i="52" s="1"/>
  <c r="H182" i="52" a="1"/>
  <c r="H182" i="52" s="1"/>
  <c r="I82" i="52" a="1"/>
  <c r="I82" i="52" s="1"/>
  <c r="O182" i="52" a="1"/>
  <c r="O182" i="52" s="1"/>
  <c r="I165" i="52" a="1"/>
  <c r="I165" i="52" s="1"/>
  <c r="H165" i="52" a="1"/>
  <c r="H165" i="52" s="1"/>
  <c r="O171" i="52" a="1"/>
  <c r="O171" i="52" s="1"/>
  <c r="O149" i="52" a="1"/>
  <c r="O149" i="52" s="1"/>
  <c r="P149" i="52" a="1"/>
  <c r="P149" i="52" s="1"/>
  <c r="I159" i="52" a="1"/>
  <c r="I159" i="52" s="1"/>
  <c r="O165" i="52" a="1"/>
  <c r="O165" i="52" s="1"/>
  <c r="P171" i="52" a="1"/>
  <c r="P171" i="52" s="1"/>
  <c r="P182" i="52" a="1"/>
  <c r="P182" i="52" s="1"/>
  <c r="Q182" i="52" s="1"/>
  <c r="I80" i="52" a="1"/>
  <c r="I80" i="52" s="1"/>
  <c r="AJ37" i="53" a="1"/>
  <c r="AJ37" i="53" s="1"/>
  <c r="Z37" i="53" a="1"/>
  <c r="Z37" i="53" s="1"/>
  <c r="P37" i="53" a="1"/>
  <c r="P37" i="53" s="1"/>
  <c r="I35" i="52" a="1"/>
  <c r="I35" i="52" s="1"/>
  <c r="P35" i="52" s="1" a="1"/>
  <c r="P35" i="52" s="1"/>
  <c r="H149" i="52" a="1"/>
  <c r="H149" i="52" s="1"/>
  <c r="O159" i="52" a="1"/>
  <c r="O159" i="52" s="1"/>
  <c r="P165" i="52" a="1"/>
  <c r="P165" i="52" s="1"/>
  <c r="I171" i="52" a="1"/>
  <c r="I171" i="52" s="1"/>
  <c r="I182" i="52" a="1"/>
  <c r="I182" i="52" s="1"/>
  <c r="J182" i="52" s="1"/>
  <c r="P19" i="68" a="1"/>
  <c r="P19" i="68" s="1"/>
  <c r="I151" i="68" a="1"/>
  <c r="I151" i="68" s="1"/>
  <c r="I120" i="68" a="1"/>
  <c r="I120" i="68" s="1"/>
  <c r="I102" i="68" a="1"/>
  <c r="I102" i="68" s="1"/>
  <c r="I141" i="68" a="1"/>
  <c r="I141" i="68" s="1"/>
  <c r="P43" i="68" a="1"/>
  <c r="P43" i="68" s="1"/>
  <c r="P87" i="68" a="1"/>
  <c r="P87" i="68" s="1"/>
  <c r="P9" i="68" a="1"/>
  <c r="P9" i="68" s="1"/>
  <c r="P53" i="68" a="1"/>
  <c r="P53" i="68" s="1"/>
  <c r="P133" i="68" a="1"/>
  <c r="P133" i="68" s="1"/>
  <c r="P111" i="68" a="1"/>
  <c r="P111" i="68" s="1"/>
  <c r="P151" i="68" a="1"/>
  <c r="P151" i="68" s="1"/>
  <c r="I53" i="68" a="1"/>
  <c r="I53" i="68" s="1"/>
  <c r="P102" i="68" a="1"/>
  <c r="P102" i="68" s="1"/>
  <c r="P77" i="68" a="1"/>
  <c r="P77" i="68" s="1"/>
  <c r="I43" i="68" a="1"/>
  <c r="I43" i="68" s="1"/>
  <c r="I9" i="68" a="1"/>
  <c r="I9" i="68" s="1"/>
  <c r="P161" i="68" a="1"/>
  <c r="P161" i="68" s="1"/>
  <c r="I34" i="68" a="1"/>
  <c r="I34" i="68" s="1"/>
  <c r="I77" i="68" a="1"/>
  <c r="I77" i="68" s="1"/>
  <c r="I68" i="68" a="1"/>
  <c r="I68" i="68" s="1"/>
  <c r="I111" i="68" a="1"/>
  <c r="I111" i="68" s="1"/>
  <c r="I19" i="68" a="1"/>
  <c r="I19" i="68" s="1"/>
  <c r="P68" i="68" a="1"/>
  <c r="P68" i="68" s="1"/>
  <c r="P120" i="68" a="1"/>
  <c r="P120" i="68" s="1"/>
  <c r="I161" i="68" a="1"/>
  <c r="I161" i="68" s="1"/>
  <c r="P141" i="68" a="1"/>
  <c r="P141" i="68" s="1"/>
  <c r="P34" i="68" a="1"/>
  <c r="P34" i="68" s="1"/>
  <c r="I87" i="68" a="1"/>
  <c r="I87" i="68" s="1"/>
  <c r="I133" i="68" a="1"/>
  <c r="I133" i="68" s="1"/>
  <c r="I78" i="68" a="1"/>
  <c r="I78" i="68" s="1"/>
  <c r="I54" i="68" a="1"/>
  <c r="I54" i="68" s="1"/>
  <c r="I44" i="68" a="1"/>
  <c r="I44" i="68" s="1"/>
  <c r="P134" i="68" a="1"/>
  <c r="P134" i="68" s="1"/>
  <c r="P135" i="68" s="1" a="1"/>
  <c r="P135" i="68" s="1"/>
  <c r="P104" i="68" a="1"/>
  <c r="P104" i="68" s="1"/>
  <c r="P88" i="68" a="1"/>
  <c r="P88" i="68" s="1"/>
  <c r="P142" i="68" a="1"/>
  <c r="P142" i="68" s="1"/>
  <c r="I104" i="68" a="1"/>
  <c r="I104" i="68" s="1"/>
  <c r="P20" i="68" a="1"/>
  <c r="P20" i="68" s="1"/>
  <c r="I142" i="68" a="1"/>
  <c r="I142" i="68" s="1"/>
  <c r="I162" i="68" a="1"/>
  <c r="I162" i="68" s="1"/>
  <c r="P78" i="68" a="1"/>
  <c r="P78" i="68" s="1"/>
  <c r="P35" i="68" a="1"/>
  <c r="P35" i="68" s="1"/>
  <c r="P44" i="68" a="1"/>
  <c r="P44" i="68" s="1"/>
  <c r="P152" i="68" a="1"/>
  <c r="P152" i="68" s="1"/>
  <c r="I88" i="68" a="1"/>
  <c r="I88" i="68" s="1"/>
  <c r="I10" i="68" a="1"/>
  <c r="I10" i="68" s="1"/>
  <c r="P162" i="68" a="1"/>
  <c r="P162" i="68" s="1"/>
  <c r="I112" i="68" a="1"/>
  <c r="I112" i="68" s="1"/>
  <c r="I35" i="68" a="1"/>
  <c r="I35" i="68" s="1"/>
  <c r="P103" i="68" a="1"/>
  <c r="P103" i="68" s="1"/>
  <c r="I152" i="68" a="1"/>
  <c r="I152" i="68" s="1"/>
  <c r="P69" i="68" a="1"/>
  <c r="P69" i="68" s="1"/>
  <c r="I121" i="68" a="1"/>
  <c r="I121" i="68" s="1"/>
  <c r="I20" i="68" a="1"/>
  <c r="I20" i="68" s="1"/>
  <c r="P10" i="68" a="1"/>
  <c r="P10" i="68" s="1"/>
  <c r="I69" i="68" a="1"/>
  <c r="I69" i="68" s="1"/>
  <c r="P54" i="68" a="1"/>
  <c r="P54" i="68" s="1"/>
  <c r="P112" i="68" a="1"/>
  <c r="P112" i="68" s="1"/>
  <c r="P113" i="68" s="1" a="1"/>
  <c r="P113" i="68" s="1"/>
  <c r="I103" i="68" a="1"/>
  <c r="I103" i="68" s="1"/>
  <c r="I134" i="68" a="1"/>
  <c r="I134" i="68" s="1"/>
  <c r="P121" i="68" a="1"/>
  <c r="P121" i="68" s="1"/>
  <c r="P143" i="68" a="1"/>
  <c r="P143" i="68" s="1"/>
  <c r="I70" i="68" a="1"/>
  <c r="I70" i="68" s="1"/>
  <c r="P89" i="68" a="1"/>
  <c r="P89" i="68" s="1"/>
  <c r="I143" i="68" a="1"/>
  <c r="I143" i="68" s="1"/>
  <c r="P55" i="68" a="1"/>
  <c r="P55" i="68" s="1"/>
  <c r="P21" i="68" a="1"/>
  <c r="P21" i="68" s="1"/>
  <c r="I153" i="68" a="1"/>
  <c r="I153" i="68" s="1"/>
  <c r="P163" i="68" a="1"/>
  <c r="P163" i="68" s="1"/>
  <c r="P11" i="68" a="1"/>
  <c r="P11" i="68" s="1"/>
  <c r="I163" i="68" a="1"/>
  <c r="I163" i="68" s="1"/>
  <c r="P153" i="68" a="1"/>
  <c r="P153" i="68" s="1"/>
  <c r="I89" i="68" a="1"/>
  <c r="I89" i="68" s="1"/>
  <c r="I55" i="68" a="1"/>
  <c r="I55" i="68" s="1"/>
  <c r="P45" i="68" a="1"/>
  <c r="P45" i="68" s="1"/>
  <c r="P79" i="68" a="1"/>
  <c r="P79" i="68" s="1"/>
  <c r="I21" i="68" a="1"/>
  <c r="I21" i="68" s="1"/>
  <c r="P36" i="68" a="1"/>
  <c r="P36" i="68" s="1"/>
  <c r="I11" i="68" a="1"/>
  <c r="I11" i="68" s="1"/>
  <c r="I45" i="68" a="1"/>
  <c r="I45" i="68" s="1"/>
  <c r="P70" i="68" a="1"/>
  <c r="P70" i="68" s="1"/>
  <c r="I79" i="68" a="1"/>
  <c r="I79" i="68" s="1"/>
  <c r="I36" i="68" a="1"/>
  <c r="I36" i="68" s="1"/>
  <c r="P124" i="68" a="1"/>
  <c r="P124" i="68" s="1"/>
  <c r="I124" i="68" a="1"/>
  <c r="I124" i="68" s="1"/>
  <c r="P58" i="68" a="1"/>
  <c r="P58" i="68" s="1"/>
  <c r="P125" i="68" a="1"/>
  <c r="P125" i="68" s="1"/>
  <c r="I58" i="68" a="1"/>
  <c r="I58" i="68" s="1"/>
  <c r="I125" i="68" a="1"/>
  <c r="I125" i="68" s="1"/>
  <c r="P92" i="68" a="1"/>
  <c r="P92" i="68" s="1"/>
  <c r="P24" i="68" a="1"/>
  <c r="P24" i="68" s="1"/>
  <c r="I92" i="68" a="1"/>
  <c r="I92" i="68" s="1"/>
  <c r="I24" i="68" a="1"/>
  <c r="I24" i="68" s="1"/>
  <c r="I59" i="68" a="1"/>
  <c r="I59" i="68" s="1"/>
  <c r="P93" i="68" a="1"/>
  <c r="P93" i="68" s="1"/>
  <c r="I25" i="68" a="1"/>
  <c r="I25" i="68" s="1"/>
  <c r="P59" i="68" a="1"/>
  <c r="P59" i="68" s="1"/>
  <c r="P25" i="68" a="1"/>
  <c r="P25" i="68" s="1"/>
  <c r="I93" i="68" a="1"/>
  <c r="I93" i="68" s="1"/>
  <c r="P26" i="68" a="1"/>
  <c r="P26" i="68" s="1"/>
  <c r="I60" i="68" a="1"/>
  <c r="I60" i="68" s="1"/>
  <c r="P60" i="68" a="1"/>
  <c r="P60" i="68" s="1"/>
  <c r="I26" i="68" a="1"/>
  <c r="I26" i="68" s="1"/>
  <c r="P94" i="68" a="1"/>
  <c r="P94" i="68" s="1"/>
  <c r="I94" i="68" a="1"/>
  <c r="I94" i="68" s="1"/>
  <c r="AB33" i="53" a="1"/>
  <c r="AB33" i="53" s="1"/>
  <c r="P189" i="66" a="1"/>
  <c r="P189" i="66" s="1"/>
  <c r="P40" i="66" a="1"/>
  <c r="P40" i="66" s="1"/>
  <c r="P177" i="66" a="1"/>
  <c r="P177" i="66" s="1"/>
  <c r="P105" i="66" a="1"/>
  <c r="P105" i="66" s="1"/>
  <c r="P136" i="66" a="1"/>
  <c r="P136" i="66" s="1"/>
  <c r="P83" i="66" a="1"/>
  <c r="P83" i="66" s="1"/>
  <c r="P64" i="66" a="1"/>
  <c r="P64" i="66" s="1"/>
  <c r="P149" i="66" a="1"/>
  <c r="P149" i="66" s="1"/>
  <c r="P107" i="66" a="1"/>
  <c r="P107" i="66" s="1"/>
  <c r="P179" i="66" a="1"/>
  <c r="P179" i="66" s="1"/>
  <c r="P84" i="66" a="1"/>
  <c r="P84" i="66" s="1"/>
  <c r="P108" i="66" a="1"/>
  <c r="P108" i="66" s="1"/>
  <c r="P12" i="66" a="1"/>
  <c r="P12" i="66" s="1"/>
  <c r="P169" i="66" a="1"/>
  <c r="P169" i="66" s="1"/>
  <c r="P192" i="66" a="1"/>
  <c r="P192" i="66" s="1"/>
  <c r="P86" i="66" a="1"/>
  <c r="P86" i="66" s="1"/>
  <c r="P25" i="66" a="1"/>
  <c r="P25" i="66" s="1"/>
  <c r="P128" i="66" a="1"/>
  <c r="P128" i="66" s="1"/>
  <c r="P112" i="66" a="1"/>
  <c r="P112" i="66" s="1"/>
  <c r="P29" i="66" a="1"/>
  <c r="P29" i="66" s="1"/>
  <c r="P71" i="66" a="1"/>
  <c r="P71" i="66" s="1"/>
  <c r="P156" i="66" a="1"/>
  <c r="P156" i="66" s="1"/>
  <c r="P115" i="66" a="1"/>
  <c r="P115" i="66" s="1"/>
  <c r="P151" i="66" a="1"/>
  <c r="P151" i="66" s="1"/>
  <c r="P72" i="66" a="1"/>
  <c r="P72" i="66" s="1"/>
  <c r="H33" i="53" a="1"/>
  <c r="H33" i="53" s="1"/>
  <c r="R33" i="53" a="1"/>
  <c r="R33" i="53" s="1"/>
  <c r="P124" i="66" a="1"/>
  <c r="P124" i="66" s="1"/>
  <c r="P147" i="66" a="1"/>
  <c r="P147" i="66" s="1"/>
  <c r="P135" i="66" a="1"/>
  <c r="P135" i="66" s="1"/>
  <c r="P148" i="66" a="1"/>
  <c r="P148" i="66" s="1"/>
  <c r="P94" i="66" a="1"/>
  <c r="P94" i="66" s="1"/>
  <c r="P22" i="66" a="1"/>
  <c r="P22" i="66" s="1"/>
  <c r="P202" i="66" a="1"/>
  <c r="P202" i="66" s="1"/>
  <c r="P137" i="66" a="1"/>
  <c r="P137" i="66" s="1"/>
  <c r="P53" i="66" a="1"/>
  <c r="P53" i="66" s="1"/>
  <c r="P126" i="66" a="1"/>
  <c r="P126" i="66" s="1"/>
  <c r="P168" i="66" a="1"/>
  <c r="P168" i="66" s="1"/>
  <c r="P24" i="66" a="1"/>
  <c r="P24" i="66" s="1"/>
  <c r="P96" i="66" a="1"/>
  <c r="P96" i="66" s="1"/>
  <c r="P66" i="66" a="1"/>
  <c r="P66" i="66" s="1"/>
  <c r="P180" i="66" a="1"/>
  <c r="P180" i="66" s="1"/>
  <c r="P170" i="66" a="1"/>
  <c r="P170" i="66" s="1"/>
  <c r="P181" i="66" a="1"/>
  <c r="P181" i="66" s="1"/>
  <c r="P109" i="66" a="1"/>
  <c r="P109" i="66" s="1"/>
  <c r="P154" i="66" a="1"/>
  <c r="P154" i="66" s="1"/>
  <c r="P155" i="66" a="1"/>
  <c r="P155" i="66" s="1"/>
  <c r="P30" i="66" a="1"/>
  <c r="P30" i="66" s="1"/>
  <c r="P157" i="66" a="1"/>
  <c r="P157" i="66" s="1"/>
  <c r="P158" i="66" a="1"/>
  <c r="P158" i="66" s="1"/>
  <c r="P193" i="66" a="1"/>
  <c r="P193" i="66" s="1"/>
  <c r="P73" i="66" a="1"/>
  <c r="P73" i="66" s="1"/>
  <c r="P51" i="66" a="1"/>
  <c r="P51" i="66" s="1"/>
  <c r="P166" i="66" a="1"/>
  <c r="P166" i="66" s="1"/>
  <c r="P63" i="66" a="1"/>
  <c r="P63" i="66" s="1"/>
  <c r="P93" i="66" a="1"/>
  <c r="P93" i="66" s="1"/>
  <c r="P106" i="66" a="1"/>
  <c r="P106" i="66" s="1"/>
  <c r="P190" i="66" a="1"/>
  <c r="P190" i="66" s="1"/>
  <c r="P10" i="66" a="1"/>
  <c r="P10" i="66" s="1"/>
  <c r="P52" i="66" a="1"/>
  <c r="P52" i="66" s="1"/>
  <c r="P11" i="66" a="1"/>
  <c r="P11" i="66" s="1"/>
  <c r="P65" i="66" a="1"/>
  <c r="P65" i="66" s="1"/>
  <c r="P42" i="66" a="1"/>
  <c r="P42" i="66" s="1"/>
  <c r="P95" i="66" a="1"/>
  <c r="P95" i="66" s="1"/>
  <c r="P85" i="66" a="1"/>
  <c r="P85" i="66" s="1"/>
  <c r="P127" i="66" a="1"/>
  <c r="P127" i="66" s="1"/>
  <c r="P138" i="66" a="1"/>
  <c r="P138" i="66" s="1"/>
  <c r="P97" i="66" a="1"/>
  <c r="P97" i="66" s="1"/>
  <c r="P70" i="66" a="1"/>
  <c r="P70" i="66" s="1"/>
  <c r="P21" i="66" a="1"/>
  <c r="P21" i="66" s="1"/>
  <c r="P82" i="66" a="1"/>
  <c r="P82" i="66" s="1"/>
  <c r="P9" i="66" a="1"/>
  <c r="P9" i="66" s="1"/>
  <c r="P201" i="66" a="1"/>
  <c r="P201" i="66" s="1"/>
  <c r="P41" i="66" a="1"/>
  <c r="P41" i="66" s="1"/>
  <c r="P125" i="66" a="1"/>
  <c r="P125" i="66" s="1"/>
  <c r="P178" i="66" a="1"/>
  <c r="P178" i="66" s="1"/>
  <c r="P167" i="66" a="1"/>
  <c r="P167" i="66" s="1"/>
  <c r="P203" i="66" a="1"/>
  <c r="P203" i="66" s="1"/>
  <c r="P23" i="66" a="1"/>
  <c r="P23" i="66" s="1"/>
  <c r="P191" i="66" a="1"/>
  <c r="P191" i="66" s="1"/>
  <c r="P204" i="66" a="1"/>
  <c r="P204" i="66" s="1"/>
  <c r="P54" i="66" a="1"/>
  <c r="P54" i="66" s="1"/>
  <c r="P43" i="66" a="1"/>
  <c r="P43" i="66" s="1"/>
  <c r="P150" i="66" a="1"/>
  <c r="P150" i="66" s="1"/>
  <c r="P205" i="66" a="1"/>
  <c r="P205" i="66" s="1"/>
  <c r="P67" i="66" a="1"/>
  <c r="P67" i="66" s="1"/>
  <c r="P139" i="66" a="1"/>
  <c r="P139" i="66" s="1"/>
  <c r="P55" i="66" a="1"/>
  <c r="P55" i="66" s="1"/>
  <c r="P28" i="66" a="1"/>
  <c r="P28" i="66" s="1"/>
  <c r="P44" i="66" a="1"/>
  <c r="P44" i="66" s="1"/>
  <c r="P114" i="66" a="1"/>
  <c r="P114" i="66" s="1"/>
  <c r="P31" i="66" a="1"/>
  <c r="P31" i="66" s="1"/>
  <c r="P116" i="66" a="1"/>
  <c r="P116" i="66" s="1"/>
  <c r="P32" i="66" a="1"/>
  <c r="P32" i="66" s="1"/>
  <c r="P13" i="66" a="1"/>
  <c r="P13" i="66" s="1"/>
  <c r="P113" i="66" a="1"/>
  <c r="P113" i="66" s="1"/>
  <c r="P74" i="66" a="1"/>
  <c r="P74" i="66" s="1"/>
  <c r="I166" i="66" a="1"/>
  <c r="I166" i="66" s="1"/>
  <c r="I9" i="66" a="1"/>
  <c r="I9" i="66" s="1"/>
  <c r="I135" i="66" a="1"/>
  <c r="I135" i="66" s="1"/>
  <c r="I93" i="66" a="1"/>
  <c r="I93" i="66" s="1"/>
  <c r="I22" i="66" a="1"/>
  <c r="I22" i="66" s="1"/>
  <c r="I41" i="66" a="1"/>
  <c r="I41" i="66" s="1"/>
  <c r="I52" i="66" a="1"/>
  <c r="I52" i="66" s="1"/>
  <c r="I65" i="66" a="1"/>
  <c r="I65" i="66" s="1"/>
  <c r="I126" i="66" a="1"/>
  <c r="I126" i="66" s="1"/>
  <c r="J126" i="66" s="1"/>
  <c r="I137" i="66" a="1"/>
  <c r="I137" i="66" s="1"/>
  <c r="I191" i="66" a="1"/>
  <c r="I191" i="66" s="1"/>
  <c r="I192" i="66" a="1"/>
  <c r="I192" i="66" s="1"/>
  <c r="I108" i="66" a="1"/>
  <c r="I108" i="66" s="1"/>
  <c r="I127" i="66" a="1"/>
  <c r="I127" i="66" s="1"/>
  <c r="I204" i="66" a="1"/>
  <c r="I204" i="66" s="1"/>
  <c r="I13" i="66" a="1"/>
  <c r="I13" i="66" s="1"/>
  <c r="I205" i="66" a="1"/>
  <c r="I205" i="66" s="1"/>
  <c r="I181" i="66" a="1"/>
  <c r="I181" i="66" s="1"/>
  <c r="I70" i="66" a="1"/>
  <c r="I70" i="66" s="1"/>
  <c r="I113" i="66" a="1"/>
  <c r="I113" i="66" s="1"/>
  <c r="I29" i="66" a="1"/>
  <c r="I29" i="66" s="1"/>
  <c r="I156" i="66" a="1"/>
  <c r="I156" i="66" s="1"/>
  <c r="I157" i="66" a="1"/>
  <c r="I157" i="66" s="1"/>
  <c r="I74" i="66" a="1"/>
  <c r="I74" i="66" s="1"/>
  <c r="I53" i="66" a="1"/>
  <c r="I53" i="66" s="1"/>
  <c r="I85" i="66" a="1"/>
  <c r="I85" i="66" s="1"/>
  <c r="I55" i="66" a="1"/>
  <c r="I55" i="66" s="1"/>
  <c r="I67" i="66" a="1"/>
  <c r="I67" i="66" s="1"/>
  <c r="I28" i="66" a="1"/>
  <c r="I28" i="66" s="1"/>
  <c r="I32" i="66" a="1"/>
  <c r="I32" i="66" s="1"/>
  <c r="I178" i="66" a="1"/>
  <c r="I178" i="66" s="1"/>
  <c r="I96" i="66" a="1"/>
  <c r="I96" i="66" s="1"/>
  <c r="I151" i="66" a="1"/>
  <c r="I151" i="66" s="1"/>
  <c r="I25" i="66" a="1"/>
  <c r="I25" i="66" s="1"/>
  <c r="I44" i="66" a="1"/>
  <c r="I44" i="66" s="1"/>
  <c r="I158" i="66" a="1"/>
  <c r="I158" i="66" s="1"/>
  <c r="I82" i="66" a="1"/>
  <c r="I82" i="66" s="1"/>
  <c r="I201" i="66" a="1"/>
  <c r="I201" i="66" s="1"/>
  <c r="I63" i="66" a="1"/>
  <c r="I63" i="66" s="1"/>
  <c r="I190" i="66" a="1"/>
  <c r="I190" i="66" s="1"/>
  <c r="I136" i="66" a="1"/>
  <c r="I136" i="66" s="1"/>
  <c r="I202" i="66" a="1"/>
  <c r="I202" i="66" s="1"/>
  <c r="I125" i="66" a="1"/>
  <c r="I125" i="66" s="1"/>
  <c r="I23" i="66" a="1"/>
  <c r="I23" i="66" s="1"/>
  <c r="I149" i="66" a="1"/>
  <c r="I149" i="66" s="1"/>
  <c r="I11" i="66" a="1"/>
  <c r="I11" i="66" s="1"/>
  <c r="I107" i="66" a="1"/>
  <c r="I107" i="66" s="1"/>
  <c r="I66" i="66" a="1"/>
  <c r="I66" i="66" s="1"/>
  <c r="I24" i="66" a="1"/>
  <c r="I24" i="66" s="1"/>
  <c r="I43" i="66" a="1"/>
  <c r="I43" i="66" s="1"/>
  <c r="I150" i="66" a="1"/>
  <c r="I150" i="66" s="1"/>
  <c r="I109" i="66" a="1"/>
  <c r="I109" i="66" s="1"/>
  <c r="I86" i="66" a="1"/>
  <c r="I86" i="66" s="1"/>
  <c r="I128" i="66" a="1"/>
  <c r="I128" i="66" s="1"/>
  <c r="I112" i="66" a="1"/>
  <c r="I112" i="66" s="1"/>
  <c r="I71" i="66" a="1"/>
  <c r="I71" i="66" s="1"/>
  <c r="I72" i="66" a="1"/>
  <c r="I72" i="66" s="1"/>
  <c r="I73" i="66" a="1"/>
  <c r="I73" i="66" s="1"/>
  <c r="I116" i="66" a="1"/>
  <c r="I116" i="66" s="1"/>
  <c r="I83" i="66" a="1"/>
  <c r="I83" i="66" s="1"/>
  <c r="I203" i="66" a="1"/>
  <c r="I203" i="66" s="1"/>
  <c r="I84" i="66" a="1"/>
  <c r="I84" i="66" s="1"/>
  <c r="I12" i="66" a="1"/>
  <c r="I12" i="66" s="1"/>
  <c r="I180" i="66" a="1"/>
  <c r="I180" i="66" s="1"/>
  <c r="I97" i="66" a="1"/>
  <c r="I97" i="66" s="1"/>
  <c r="I155" i="66" a="1"/>
  <c r="I155" i="66" s="1"/>
  <c r="I115" i="66" a="1"/>
  <c r="I115" i="66" s="1"/>
  <c r="I106" i="66" a="1"/>
  <c r="I106" i="66" s="1"/>
  <c r="I10" i="66" a="1"/>
  <c r="I10" i="66" s="1"/>
  <c r="I42" i="66" a="1"/>
  <c r="I42" i="66" s="1"/>
  <c r="I169" i="66" a="1"/>
  <c r="I169" i="66" s="1"/>
  <c r="I170" i="66" a="1"/>
  <c r="I170" i="66" s="1"/>
  <c r="I114" i="66" a="1"/>
  <c r="I114" i="66" s="1"/>
  <c r="I189" i="66" a="1"/>
  <c r="I189" i="66" s="1"/>
  <c r="I40" i="66" a="1"/>
  <c r="I40" i="66" s="1"/>
  <c r="I51" i="66" a="1"/>
  <c r="I51" i="66" s="1"/>
  <c r="I105" i="66" a="1"/>
  <c r="I105" i="66" s="1"/>
  <c r="I64" i="66" a="1"/>
  <c r="I64" i="66" s="1"/>
  <c r="I148" i="66" a="1"/>
  <c r="I148" i="66" s="1"/>
  <c r="I94" i="66" a="1"/>
  <c r="I94" i="66" s="1"/>
  <c r="I179" i="66" a="1"/>
  <c r="I179" i="66" s="1"/>
  <c r="I139" i="66" a="1"/>
  <c r="I139" i="66" s="1"/>
  <c r="I30" i="66" a="1"/>
  <c r="I30" i="66" s="1"/>
  <c r="I168" i="66" a="1"/>
  <c r="I168" i="66" s="1"/>
  <c r="J168" i="66" s="1"/>
  <c r="I54" i="66" a="1"/>
  <c r="I54" i="66" s="1"/>
  <c r="I193" i="66" a="1"/>
  <c r="I193" i="66" s="1"/>
  <c r="I31" i="66" a="1"/>
  <c r="I31" i="66" s="1"/>
  <c r="I124" i="66" a="1"/>
  <c r="I124" i="66" s="1"/>
  <c r="I147" i="66" a="1"/>
  <c r="I147" i="66" s="1"/>
  <c r="I177" i="66" a="1"/>
  <c r="I177" i="66" s="1"/>
  <c r="I21" i="66" a="1"/>
  <c r="I21" i="66" s="1"/>
  <c r="I167" i="66" a="1"/>
  <c r="I167" i="66" s="1"/>
  <c r="I95" i="66" a="1"/>
  <c r="I95" i="66" s="1"/>
  <c r="I138" i="66" a="1"/>
  <c r="I138" i="66" s="1"/>
  <c r="I154" i="66" a="1"/>
  <c r="I154" i="66" s="1"/>
  <c r="O147" i="52" a="1"/>
  <c r="O147" i="52" s="1"/>
  <c r="O180" i="52" a="1"/>
  <c r="O180" i="52" s="1"/>
  <c r="O148" i="52" a="1"/>
  <c r="O148" i="52" s="1"/>
  <c r="O194" i="52" a="1"/>
  <c r="O194" i="52" s="1"/>
  <c r="O161" i="52" a="1"/>
  <c r="O161" i="52" s="1"/>
  <c r="O225" i="52" a="1"/>
  <c r="O225" i="52" s="1"/>
  <c r="O210" i="52" a="1"/>
  <c r="O210" i="52" s="1"/>
  <c r="O167" i="52" a="1"/>
  <c r="O167" i="52" s="1"/>
  <c r="O173" i="52" a="1"/>
  <c r="O173" i="52" s="1"/>
  <c r="P190" i="52" a="1"/>
  <c r="P190" i="52" s="1"/>
  <c r="P148" i="52" a="1"/>
  <c r="P148" i="52" s="1"/>
  <c r="P181" i="52" a="1"/>
  <c r="P181" i="52" s="1"/>
  <c r="P223" i="52" a="1"/>
  <c r="P223" i="52" s="1"/>
  <c r="P184" i="52" a="1"/>
  <c r="P184" i="52" s="1"/>
  <c r="P163" i="52" a="1"/>
  <c r="P163" i="52" s="1"/>
  <c r="P167" i="52" a="1"/>
  <c r="P167" i="52" s="1"/>
  <c r="P170" i="52" a="1"/>
  <c r="P170" i="52" s="1"/>
  <c r="P89" i="52" a="1"/>
  <c r="P89" i="52" s="1"/>
  <c r="P64" i="52" a="1"/>
  <c r="P64" i="52" s="1"/>
  <c r="P103" i="52" a="1"/>
  <c r="P103" i="52" s="1"/>
  <c r="P68" i="52" a="1"/>
  <c r="P68" i="52" s="1"/>
  <c r="P114" i="52" a="1"/>
  <c r="P114" i="52" s="1"/>
  <c r="P28" i="52" a="1"/>
  <c r="P28" i="52" s="1"/>
  <c r="P78" i="52" a="1"/>
  <c r="P78" i="52" s="1"/>
  <c r="P82" i="52" a="1"/>
  <c r="P82" i="52" s="1"/>
  <c r="H93" i="52" a="1"/>
  <c r="H93" i="52" s="1"/>
  <c r="H180" i="52" a="1"/>
  <c r="H180" i="52" s="1"/>
  <c r="H42" i="52" a="1"/>
  <c r="H42" i="52" s="1"/>
  <c r="H202" i="52" a="1"/>
  <c r="H202" i="52" s="1"/>
  <c r="H148" i="52" a="1"/>
  <c r="H148" i="52" s="1"/>
  <c r="H20" i="52" a="1"/>
  <c r="H20" i="52" s="1"/>
  <c r="H191" i="52" a="1"/>
  <c r="H191" i="52" s="1"/>
  <c r="H53" i="52" a="1"/>
  <c r="H53" i="52" s="1"/>
  <c r="H44" i="52" a="1"/>
  <c r="H44" i="52" s="1"/>
  <c r="H11" i="52" a="1"/>
  <c r="H11" i="52" s="1"/>
  <c r="H21" i="52" a="1"/>
  <c r="H21" i="52" s="1"/>
  <c r="H206" i="52" a="1"/>
  <c r="H206" i="52" s="1"/>
  <c r="H151" i="52" a="1"/>
  <c r="H151" i="52" s="1"/>
  <c r="H13" i="52" a="1"/>
  <c r="H13" i="52" s="1"/>
  <c r="O13" i="52" s="1" a="1"/>
  <c r="O13" i="52" s="1"/>
  <c r="H208" i="52" a="1"/>
  <c r="H208" i="52" s="1"/>
  <c r="H70" i="52" a="1"/>
  <c r="H70" i="52" s="1"/>
  <c r="H26" i="52" a="1"/>
  <c r="H26" i="52" s="1"/>
  <c r="H164" i="52" a="1"/>
  <c r="H164" i="52" s="1"/>
  <c r="H27" i="52" a="1"/>
  <c r="H27" i="52" s="1"/>
  <c r="H119" i="52" a="1"/>
  <c r="H119" i="52" s="1"/>
  <c r="H29" i="52" a="1"/>
  <c r="H29" i="52" s="1"/>
  <c r="O29" i="52" s="1" a="1"/>
  <c r="O29" i="52" s="1"/>
  <c r="H31" i="52" a="1"/>
  <c r="H31" i="52" s="1"/>
  <c r="H33" i="52" a="1"/>
  <c r="H33" i="52" s="1"/>
  <c r="H80" i="52" a="1"/>
  <c r="H80" i="52" s="1"/>
  <c r="H82" i="52" a="1"/>
  <c r="H82" i="52" s="1"/>
  <c r="O89" i="52" a="1"/>
  <c r="O89" i="52" s="1"/>
  <c r="O53" i="52" a="1"/>
  <c r="O53" i="52" s="1"/>
  <c r="O56" i="52" a="1"/>
  <c r="O56" i="52" s="1"/>
  <c r="O45" i="52" a="1"/>
  <c r="O45" i="52" s="1"/>
  <c r="O58" i="52" a="1"/>
  <c r="O58" i="52" s="1"/>
  <c r="O28" i="52" a="1"/>
  <c r="O28" i="52" s="1"/>
  <c r="O78" i="52" a="1"/>
  <c r="O78" i="52" s="1"/>
  <c r="O82" i="52" a="1"/>
  <c r="O82" i="52" s="1"/>
  <c r="I90" i="52" a="1"/>
  <c r="I90" i="52" s="1"/>
  <c r="I52" i="52" a="1"/>
  <c r="I52" i="52" s="1"/>
  <c r="I64" i="52" a="1"/>
  <c r="I64" i="52" s="1"/>
  <c r="I100" i="52" a="1"/>
  <c r="I100" i="52" s="1"/>
  <c r="I138" i="52" a="1"/>
  <c r="I138" i="52" s="1"/>
  <c r="I112" i="52" a="1"/>
  <c r="I112" i="52" s="1"/>
  <c r="O157" i="52" a="1"/>
  <c r="O157" i="52" s="1"/>
  <c r="O190" i="52" a="1"/>
  <c r="O190" i="52" s="1"/>
  <c r="O203" i="52" a="1"/>
  <c r="O203" i="52" s="1"/>
  <c r="O223" i="52" a="1"/>
  <c r="O223" i="52" s="1"/>
  <c r="O206" i="52" a="1"/>
  <c r="O206" i="52" s="1"/>
  <c r="O208" i="52" a="1"/>
  <c r="O208" i="52" s="1"/>
  <c r="O164" i="52" a="1"/>
  <c r="O164" i="52" s="1"/>
  <c r="O214" i="52" a="1"/>
  <c r="O214" i="52" s="1"/>
  <c r="P180" i="52" a="1"/>
  <c r="P180" i="52" s="1"/>
  <c r="P221" i="52" a="1"/>
  <c r="P221" i="52" s="1"/>
  <c r="P158" i="52" a="1"/>
  <c r="P158" i="52" s="1"/>
  <c r="P193" i="52" a="1"/>
  <c r="P193" i="52" s="1"/>
  <c r="P151" i="52" a="1"/>
  <c r="P151" i="52" s="1"/>
  <c r="P196" i="52" a="1"/>
  <c r="P196" i="52" s="1"/>
  <c r="P164" i="52" a="1"/>
  <c r="P164" i="52" s="1"/>
  <c r="P212" i="52" a="1"/>
  <c r="P212" i="52" s="1"/>
  <c r="P173" i="52" a="1"/>
  <c r="P173" i="52" s="1"/>
  <c r="P93" i="52" a="1"/>
  <c r="P93" i="52" s="1"/>
  <c r="P65" i="52" a="1"/>
  <c r="P65" i="52" s="1"/>
  <c r="P56" i="52" a="1"/>
  <c r="P56" i="52" s="1"/>
  <c r="P22" i="52" a="1"/>
  <c r="P22" i="52" s="1"/>
  <c r="P70" i="52" a="1"/>
  <c r="P70" i="52" s="1"/>
  <c r="P121" i="52" a="1"/>
  <c r="P121" i="52" s="1"/>
  <c r="P79" i="52" a="1"/>
  <c r="P79" i="52" s="1"/>
  <c r="P128" i="52" a="1"/>
  <c r="P128" i="52" s="1"/>
  <c r="H90" i="52" a="1"/>
  <c r="H90" i="52" s="1"/>
  <c r="H190" i="52" a="1"/>
  <c r="H190" i="52" s="1"/>
  <c r="H110" i="52" a="1"/>
  <c r="H110" i="52" s="1"/>
  <c r="H157" i="52" a="1"/>
  <c r="H157" i="52" s="1"/>
  <c r="H138" i="52" a="1"/>
  <c r="H138" i="52" s="1"/>
  <c r="H100" i="52" a="1"/>
  <c r="H100" i="52" s="1"/>
  <c r="H111" i="52" a="1"/>
  <c r="H111" i="52" s="1"/>
  <c r="H181" i="52" a="1"/>
  <c r="H181" i="52" s="1"/>
  <c r="H194" i="52" a="1"/>
  <c r="H194" i="52" s="1"/>
  <c r="H112" i="52" a="1"/>
  <c r="H112" i="52" s="1"/>
  <c r="H67" i="52" a="1"/>
  <c r="H67" i="52" s="1"/>
  <c r="H161" i="52" a="1"/>
  <c r="H161" i="52" s="1"/>
  <c r="H68" i="52" a="1"/>
  <c r="H68" i="52" s="1"/>
  <c r="H23" i="52" a="1"/>
  <c r="H23" i="52" s="1"/>
  <c r="O23" i="52" s="1" a="1"/>
  <c r="O23" i="52" s="1"/>
  <c r="H225" i="52" a="1"/>
  <c r="H225" i="52" s="1"/>
  <c r="H115" i="52" a="1"/>
  <c r="H115" i="52" s="1"/>
  <c r="O115" i="52" s="1" a="1"/>
  <c r="O115" i="52" s="1"/>
  <c r="H72" i="52" a="1"/>
  <c r="H72" i="52" s="1"/>
  <c r="H118" i="52" a="1"/>
  <c r="H118" i="52" s="1"/>
  <c r="H212" i="52" a="1"/>
  <c r="H212" i="52" s="1"/>
  <c r="H74" i="52" a="1"/>
  <c r="H74" i="52" s="1"/>
  <c r="H170" i="52" a="1"/>
  <c r="H170" i="52" s="1"/>
  <c r="H78" i="52" a="1"/>
  <c r="H78" i="52" s="1"/>
  <c r="H79" i="52" a="1"/>
  <c r="H79" i="52" s="1"/>
  <c r="H126" i="52" a="1"/>
  <c r="H126" i="52" s="1"/>
  <c r="H129" i="52" a="1"/>
  <c r="H129" i="52" s="1"/>
  <c r="O129" i="52" s="1" a="1"/>
  <c r="O129" i="52" s="1"/>
  <c r="O93" i="52" a="1"/>
  <c r="O93" i="52" s="1"/>
  <c r="O65" i="52" a="1"/>
  <c r="O65" i="52" s="1"/>
  <c r="O55" i="52" a="1"/>
  <c r="O55" i="52" s="1"/>
  <c r="O22" i="52" a="1"/>
  <c r="O22" i="52" s="1"/>
  <c r="O70" i="52" a="1"/>
  <c r="O70" i="52" s="1"/>
  <c r="O74" i="52" a="1"/>
  <c r="O74" i="52" s="1"/>
  <c r="O79" i="52" a="1"/>
  <c r="O79" i="52" s="1"/>
  <c r="O128" i="52" a="1"/>
  <c r="O128" i="52" s="1"/>
  <c r="I91" i="52" a="1"/>
  <c r="I91" i="52" s="1"/>
  <c r="I190" i="52" a="1"/>
  <c r="I190" i="52" s="1"/>
  <c r="I202" i="52" a="1"/>
  <c r="I202" i="52" s="1"/>
  <c r="I42" i="52" a="1"/>
  <c r="I42" i="52" s="1"/>
  <c r="I65" i="52" a="1"/>
  <c r="I65" i="52" s="1"/>
  <c r="I158" i="52" a="1"/>
  <c r="I158" i="52" s="1"/>
  <c r="I53" i="52" a="1"/>
  <c r="I53" i="52" s="1"/>
  <c r="I20" i="52" a="1"/>
  <c r="I20" i="52" s="1"/>
  <c r="I102" i="52" a="1"/>
  <c r="I102" i="52" s="1"/>
  <c r="I67" i="52" a="1"/>
  <c r="I67" i="52" s="1"/>
  <c r="I21" i="52" a="1"/>
  <c r="I21" i="52" s="1"/>
  <c r="I151" i="52" a="1"/>
  <c r="I151" i="52" s="1"/>
  <c r="I161" i="52" a="1"/>
  <c r="I161" i="52" s="1"/>
  <c r="I58" i="52" a="1"/>
  <c r="I58" i="52" s="1"/>
  <c r="I46" i="52" a="1"/>
  <c r="I46" i="52" s="1"/>
  <c r="P46" i="52" s="1" a="1"/>
  <c r="P46" i="52" s="1"/>
  <c r="I115" i="52" a="1"/>
  <c r="I115" i="52" s="1"/>
  <c r="P115" i="52" s="1" a="1"/>
  <c r="P115" i="52" s="1"/>
  <c r="I72" i="52" a="1"/>
  <c r="I72" i="52" s="1"/>
  <c r="I27" i="52" a="1"/>
  <c r="I27" i="52" s="1"/>
  <c r="I74" i="52" a="1"/>
  <c r="I74" i="52" s="1"/>
  <c r="I212" i="52" a="1"/>
  <c r="I212" i="52" s="1"/>
  <c r="I170" i="52" a="1"/>
  <c r="I170" i="52" s="1"/>
  <c r="I32" i="52" a="1"/>
  <c r="I32" i="52" s="1"/>
  <c r="I125" i="52" a="1"/>
  <c r="I125" i="52" s="1"/>
  <c r="I126" i="52" a="1"/>
  <c r="I126" i="52" s="1"/>
  <c r="I129" i="52" a="1"/>
  <c r="I129" i="52" s="1"/>
  <c r="P129" i="52" s="1" a="1"/>
  <c r="P129" i="52" s="1"/>
  <c r="O221" i="52" a="1"/>
  <c r="O221" i="52" s="1"/>
  <c r="O158" i="52" a="1"/>
  <c r="O158" i="52" s="1"/>
  <c r="O222" i="52" a="1"/>
  <c r="O222" i="52" s="1"/>
  <c r="O205" i="52" a="1"/>
  <c r="O205" i="52" s="1"/>
  <c r="O184" i="52" a="1"/>
  <c r="O184" i="52" s="1"/>
  <c r="O196" i="52" a="1"/>
  <c r="O196" i="52" s="1"/>
  <c r="O211" i="52" a="1"/>
  <c r="O211" i="52" s="1"/>
  <c r="O169" i="52" a="1"/>
  <c r="O169" i="52" s="1"/>
  <c r="P202" i="52" a="1"/>
  <c r="P202" i="52" s="1"/>
  <c r="P157" i="52" a="1"/>
  <c r="P157" i="52" s="1"/>
  <c r="P191" i="52" a="1"/>
  <c r="P191" i="52" s="1"/>
  <c r="P194" i="52" a="1"/>
  <c r="P194" i="52" s="1"/>
  <c r="P161" i="52" a="1"/>
  <c r="P161" i="52" s="1"/>
  <c r="P225" i="52" a="1"/>
  <c r="P225" i="52" s="1"/>
  <c r="P210" i="52" a="1"/>
  <c r="P210" i="52" s="1"/>
  <c r="P214" i="52" a="1"/>
  <c r="P214" i="52" s="1"/>
  <c r="P91" i="52" a="1"/>
  <c r="P91" i="52" s="1"/>
  <c r="P52" i="52" a="1"/>
  <c r="P52" i="52" s="1"/>
  <c r="P67" i="52" a="1"/>
  <c r="P67" i="52" s="1"/>
  <c r="P55" i="52" a="1"/>
  <c r="P55" i="52" s="1"/>
  <c r="P45" i="52" a="1"/>
  <c r="P45" i="52" s="1"/>
  <c r="P72" i="52" a="1"/>
  <c r="P72" i="52" s="1"/>
  <c r="P74" i="52" a="1"/>
  <c r="P74" i="52" s="1"/>
  <c r="P80" i="52" a="1"/>
  <c r="P80" i="52" s="1"/>
  <c r="H91" i="52" a="1"/>
  <c r="H91" i="52" s="1"/>
  <c r="H99" i="52" a="1"/>
  <c r="H99" i="52" s="1"/>
  <c r="H19" i="52" a="1"/>
  <c r="H19" i="52" s="1"/>
  <c r="H52" i="52" a="1"/>
  <c r="H52" i="52" s="1"/>
  <c r="H221" i="52" a="1"/>
  <c r="H221" i="52" s="1"/>
  <c r="H101" i="52" a="1"/>
  <c r="H101" i="52" s="1"/>
  <c r="H203" i="52" a="1"/>
  <c r="H203" i="52" s="1"/>
  <c r="H158" i="52" a="1"/>
  <c r="H158" i="52" s="1"/>
  <c r="H43" i="52" a="1"/>
  <c r="H43" i="52" s="1"/>
  <c r="H193" i="52" a="1"/>
  <c r="H193" i="52" s="1"/>
  <c r="H102" i="52" a="1"/>
  <c r="H102" i="52" s="1"/>
  <c r="H223" i="52" a="1"/>
  <c r="H223" i="52" s="1"/>
  <c r="H113" i="52" a="1"/>
  <c r="H113" i="52" s="1"/>
  <c r="H184" i="52" a="1"/>
  <c r="H184" i="52" s="1"/>
  <c r="H196" i="52" a="1"/>
  <c r="H196" i="52" s="1"/>
  <c r="H46" i="52" a="1"/>
  <c r="H46" i="52" s="1"/>
  <c r="O46" i="52" s="1" a="1"/>
  <c r="O46" i="52" s="1"/>
  <c r="H163" i="52" a="1"/>
  <c r="H163" i="52" s="1"/>
  <c r="H210" i="52" a="1"/>
  <c r="H210" i="52" s="1"/>
  <c r="H211" i="52" a="1"/>
  <c r="H211" i="52" s="1"/>
  <c r="H120" i="52" a="1"/>
  <c r="H120" i="52" s="1"/>
  <c r="H169" i="52" a="1"/>
  <c r="H169" i="52" s="1"/>
  <c r="H122" i="52" a="1"/>
  <c r="H122" i="52" s="1"/>
  <c r="O122" i="52" s="1" a="1"/>
  <c r="O122" i="52" s="1"/>
  <c r="H32" i="52" a="1"/>
  <c r="H32" i="52" s="1"/>
  <c r="H173" i="52" a="1"/>
  <c r="H173" i="52" s="1"/>
  <c r="H35" i="52" a="1"/>
  <c r="H35" i="52" s="1"/>
  <c r="O35" i="52" s="1" a="1"/>
  <c r="O35" i="52" s="1"/>
  <c r="O91" i="52" a="1"/>
  <c r="O91" i="52" s="1"/>
  <c r="O64" i="52" a="1"/>
  <c r="O64" i="52" s="1"/>
  <c r="O67" i="52" a="1"/>
  <c r="O67" i="52" s="1"/>
  <c r="O140" i="52" a="1"/>
  <c r="O140" i="52" s="1"/>
  <c r="O68" i="52" a="1"/>
  <c r="O68" i="52" s="1"/>
  <c r="O72" i="52" a="1"/>
  <c r="O72" i="52" s="1"/>
  <c r="O121" i="52" a="1"/>
  <c r="O121" i="52" s="1"/>
  <c r="O80" i="52" a="1"/>
  <c r="O80" i="52" s="1"/>
  <c r="I89" i="52" a="1"/>
  <c r="I89" i="52" s="1"/>
  <c r="I157" i="52" a="1"/>
  <c r="I157" i="52" s="1"/>
  <c r="I110" i="52" a="1"/>
  <c r="I110" i="52" s="1"/>
  <c r="I180" i="52" a="1"/>
  <c r="I180" i="52" s="1"/>
  <c r="I9" i="52" a="1"/>
  <c r="I9" i="52" s="1"/>
  <c r="I10" i="52" a="1"/>
  <c r="I10" i="52" s="1"/>
  <c r="I148" i="52" a="1"/>
  <c r="I148" i="52" s="1"/>
  <c r="I101" i="52" a="1"/>
  <c r="I101" i="52" s="1"/>
  <c r="I203" i="52" a="1"/>
  <c r="I203" i="52" s="1"/>
  <c r="I205" i="52" a="1"/>
  <c r="I205" i="52" s="1"/>
  <c r="O202" i="52" a="1"/>
  <c r="O202" i="52" s="1"/>
  <c r="O191" i="52" a="1"/>
  <c r="O191" i="52" s="1"/>
  <c r="O181" i="52" a="1"/>
  <c r="O181" i="52" s="1"/>
  <c r="O193" i="52" a="1"/>
  <c r="O193" i="52" s="1"/>
  <c r="O151" i="52" a="1"/>
  <c r="O151" i="52" s="1"/>
  <c r="O163" i="52" a="1"/>
  <c r="O163" i="52" s="1"/>
  <c r="O212" i="52" a="1"/>
  <c r="O212" i="52" s="1"/>
  <c r="O170" i="52" a="1"/>
  <c r="O170" i="52" s="1"/>
  <c r="P147" i="52" a="1"/>
  <c r="P147" i="52" s="1"/>
  <c r="P203" i="52" a="1"/>
  <c r="P203" i="52" s="1"/>
  <c r="P222" i="52" a="1"/>
  <c r="P222" i="52" s="1"/>
  <c r="P205" i="52" a="1"/>
  <c r="P205" i="52" s="1"/>
  <c r="P206" i="52" a="1"/>
  <c r="P206" i="52" s="1"/>
  <c r="P208" i="52" a="1"/>
  <c r="P208" i="52" s="1"/>
  <c r="P211" i="52" a="1"/>
  <c r="P211" i="52" s="1"/>
  <c r="P169" i="52" a="1"/>
  <c r="P169" i="52" s="1"/>
  <c r="P90" i="52" a="1"/>
  <c r="P90" i="52" s="1"/>
  <c r="P53" i="52" a="1"/>
  <c r="P53" i="52" s="1"/>
  <c r="P12" i="52" a="1"/>
  <c r="P12" i="52" s="1"/>
  <c r="P140" i="52" a="1"/>
  <c r="P140" i="52" s="1"/>
  <c r="P58" i="52" a="1"/>
  <c r="P58" i="52" s="1"/>
  <c r="P73" i="52" a="1"/>
  <c r="P73" i="52" s="1"/>
  <c r="P76" i="52" a="1"/>
  <c r="P76" i="52" s="1"/>
  <c r="P34" i="52" a="1"/>
  <c r="P34" i="52" s="1"/>
  <c r="H89" i="52" a="1"/>
  <c r="H89" i="52" s="1"/>
  <c r="H147" i="52" a="1"/>
  <c r="H147" i="52" s="1"/>
  <c r="H136" i="52" a="1"/>
  <c r="H136" i="52" s="1"/>
  <c r="H64" i="52" a="1"/>
  <c r="H64" i="52" s="1"/>
  <c r="H9" i="52" a="1"/>
  <c r="H9" i="52" s="1"/>
  <c r="H10" i="52" a="1"/>
  <c r="H10" i="52" s="1"/>
  <c r="H222" i="52" a="1"/>
  <c r="H222" i="52" s="1"/>
  <c r="H137" i="52" a="1"/>
  <c r="H137" i="52" s="1"/>
  <c r="H65" i="52" a="1"/>
  <c r="H65" i="52" s="1"/>
  <c r="H55" i="52" a="1"/>
  <c r="H55" i="52" s="1"/>
  <c r="H205" i="52" a="1"/>
  <c r="H205" i="52" s="1"/>
  <c r="H139" i="52" a="1"/>
  <c r="H139" i="52" s="1"/>
  <c r="H56" i="52" a="1"/>
  <c r="H56" i="52" s="1"/>
  <c r="H141" i="52" a="1"/>
  <c r="H141" i="52" s="1"/>
  <c r="O141" i="52" s="1" a="1"/>
  <c r="O141" i="52" s="1"/>
  <c r="H104" i="52" a="1"/>
  <c r="H104" i="52" s="1"/>
  <c r="O104" i="52" s="1" a="1"/>
  <c r="O104" i="52" s="1"/>
  <c r="H58" i="52" a="1"/>
  <c r="H58" i="52" s="1"/>
  <c r="H25" i="52" a="1"/>
  <c r="H25" i="52" s="1"/>
  <c r="H117" i="52" a="1"/>
  <c r="H117" i="52" s="1"/>
  <c r="H73" i="52" a="1"/>
  <c r="H73" i="52" s="1"/>
  <c r="H167" i="52" a="1"/>
  <c r="H167" i="52" s="1"/>
  <c r="H214" i="52" a="1"/>
  <c r="H214" i="52" s="1"/>
  <c r="H76" i="52" a="1"/>
  <c r="H76" i="52" s="1"/>
  <c r="H124" i="52" a="1"/>
  <c r="H124" i="52" s="1"/>
  <c r="H125" i="52" a="1"/>
  <c r="H125" i="52" s="1"/>
  <c r="H127" i="52" a="1"/>
  <c r="H127" i="52" s="1"/>
  <c r="O90" i="52" a="1"/>
  <c r="O90" i="52" s="1"/>
  <c r="O52" i="52" a="1"/>
  <c r="O52" i="52" s="1"/>
  <c r="O103" i="52" a="1"/>
  <c r="O103" i="52" s="1"/>
  <c r="O12" i="52" a="1"/>
  <c r="O12" i="52" s="1"/>
  <c r="O114" i="52" a="1"/>
  <c r="O114" i="52" s="1"/>
  <c r="O73" i="52" a="1"/>
  <c r="O73" i="52" s="1"/>
  <c r="O76" i="52" a="1"/>
  <c r="O76" i="52" s="1"/>
  <c r="O34" i="52" a="1"/>
  <c r="O34" i="52" s="1"/>
  <c r="I93" i="52" a="1"/>
  <c r="I93" i="52" s="1"/>
  <c r="I221" i="52" a="1"/>
  <c r="I221" i="52" s="1"/>
  <c r="I99" i="52" a="1"/>
  <c r="I99" i="52" s="1"/>
  <c r="I19" i="52" a="1"/>
  <c r="I19" i="52" s="1"/>
  <c r="I147" i="52" a="1"/>
  <c r="I147" i="52" s="1"/>
  <c r="I111" i="52" a="1"/>
  <c r="I111" i="52" s="1"/>
  <c r="I137" i="52" a="1"/>
  <c r="I137" i="52" s="1"/>
  <c r="I43" i="52" a="1"/>
  <c r="I43" i="52" s="1"/>
  <c r="I191" i="52" a="1"/>
  <c r="I191" i="52" s="1"/>
  <c r="I223" i="52" a="1"/>
  <c r="I223" i="52" s="1"/>
  <c r="I139" i="52" a="1"/>
  <c r="I139" i="52" s="1"/>
  <c r="I11" i="52" a="1"/>
  <c r="I11" i="52" s="1"/>
  <c r="I13" i="52" a="1"/>
  <c r="I13" i="52" s="1"/>
  <c r="P13" i="52" s="1" a="1"/>
  <c r="P13" i="52" s="1"/>
  <c r="I113" i="52" a="1"/>
  <c r="I113" i="52" s="1"/>
  <c r="I225" i="52" a="1"/>
  <c r="I225" i="52" s="1"/>
  <c r="I23" i="52" a="1"/>
  <c r="I23" i="52" s="1"/>
  <c r="P23" i="52" s="1" a="1"/>
  <c r="P23" i="52" s="1"/>
  <c r="I70" i="52" a="1"/>
  <c r="I70" i="52" s="1"/>
  <c r="I117" i="52" a="1"/>
  <c r="I117" i="52" s="1"/>
  <c r="I211" i="52" a="1"/>
  <c r="I211" i="52" s="1"/>
  <c r="I167" i="52" a="1"/>
  <c r="I167" i="52" s="1"/>
  <c r="I29" i="52" a="1"/>
  <c r="I29" i="52" s="1"/>
  <c r="P29" i="52" s="1" a="1"/>
  <c r="P29" i="52" s="1"/>
  <c r="I122" i="52" a="1"/>
  <c r="I122" i="52" s="1"/>
  <c r="P122" i="52" s="1" a="1"/>
  <c r="P122" i="52" s="1"/>
  <c r="I124" i="52" a="1"/>
  <c r="I124" i="52" s="1"/>
  <c r="I173" i="52" a="1"/>
  <c r="I173" i="52" s="1"/>
  <c r="I127" i="52" a="1"/>
  <c r="I127" i="52" s="1"/>
  <c r="I136" i="52" a="1"/>
  <c r="I136" i="52" s="1"/>
  <c r="I181" i="52" a="1"/>
  <c r="I181" i="52" s="1"/>
  <c r="I222" i="52" a="1"/>
  <c r="I222" i="52" s="1"/>
  <c r="I33" i="52" a="1"/>
  <c r="I33" i="52" s="1"/>
  <c r="I31" i="52" a="1"/>
  <c r="I31" i="52" s="1"/>
  <c r="I120" i="52" a="1"/>
  <c r="I120" i="52" s="1"/>
  <c r="I210" i="52" a="1"/>
  <c r="I210" i="52" s="1"/>
  <c r="I104" i="52" a="1"/>
  <c r="I104" i="52" s="1"/>
  <c r="P104" i="52" s="1" a="1"/>
  <c r="P104" i="52" s="1"/>
  <c r="I184" i="52" a="1"/>
  <c r="I184" i="52" s="1"/>
  <c r="I194" i="52" a="1"/>
  <c r="I194" i="52" s="1"/>
  <c r="I79" i="52" a="1"/>
  <c r="I79" i="52" s="1"/>
  <c r="I214" i="52" a="1"/>
  <c r="I214" i="52" s="1"/>
  <c r="I73" i="52" a="1"/>
  <c r="I73" i="52" s="1"/>
  <c r="I164" i="52" a="1"/>
  <c r="I164" i="52" s="1"/>
  <c r="I196" i="52" a="1"/>
  <c r="I196" i="52" s="1"/>
  <c r="I206" i="52" a="1"/>
  <c r="I206" i="52" s="1"/>
  <c r="I55" i="52" a="1"/>
  <c r="I55" i="52" s="1"/>
  <c r="I78" i="52" a="1"/>
  <c r="I78" i="52" s="1"/>
  <c r="I169" i="52" a="1"/>
  <c r="I169" i="52" s="1"/>
  <c r="I118" i="52" a="1"/>
  <c r="I118" i="52" s="1"/>
  <c r="I163" i="52" a="1"/>
  <c r="I163" i="52" s="1"/>
  <c r="I208" i="52" a="1"/>
  <c r="I208" i="52" s="1"/>
  <c r="I141" i="52" a="1"/>
  <c r="I141" i="52" s="1"/>
  <c r="P141" i="52" s="1" a="1"/>
  <c r="P141" i="52" s="1"/>
  <c r="I193" i="52" a="1"/>
  <c r="I193" i="52" s="1"/>
  <c r="I76" i="52" a="1"/>
  <c r="I76" i="52" s="1"/>
  <c r="I119" i="52" a="1"/>
  <c r="I119" i="52" s="1"/>
  <c r="I26" i="52" a="1"/>
  <c r="I26" i="52" s="1"/>
  <c r="I25" i="52" a="1"/>
  <c r="I25" i="52" s="1"/>
  <c r="I68" i="52" a="1"/>
  <c r="I68" i="52" s="1"/>
  <c r="I56" i="52" a="1"/>
  <c r="I56" i="52" s="1"/>
  <c r="I44" i="52" a="1"/>
  <c r="I44" i="52" s="1"/>
  <c r="I18" i="61" a="1"/>
  <c r="I18" i="61" s="1"/>
  <c r="D12" i="82" s="1" a="1"/>
  <c r="D12" i="82" s="1"/>
  <c r="N17" i="61" a="1"/>
  <c r="N17" i="61" s="1"/>
  <c r="D13" i="80" s="1" a="1"/>
  <c r="D13" i="80" s="1"/>
  <c r="N16" i="61" a="1"/>
  <c r="N16" i="61" s="1"/>
  <c r="D13" i="81" s="1" a="1"/>
  <c r="D13" i="81" s="1"/>
  <c r="N15" i="61" a="1"/>
  <c r="N15" i="61" s="1"/>
  <c r="D13" i="79" s="1" a="1"/>
  <c r="D13" i="79" s="1"/>
  <c r="E15" i="61" a="1"/>
  <c r="E15" i="61" s="1"/>
  <c r="C12" i="79" s="1" a="1"/>
  <c r="C12" i="79" s="1"/>
  <c r="C11" i="79" s="1"/>
  <c r="I14" i="61" a="1"/>
  <c r="I14" i="61" s="1"/>
  <c r="D12" i="53" s="1" a="1"/>
  <c r="D12" i="53" s="1"/>
  <c r="G18" i="61" a="1"/>
  <c r="G18" i="61" s="1"/>
  <c r="F202" i="52" s="1" a="1"/>
  <c r="F202" i="52" s="1"/>
  <c r="J17" i="61" a="1"/>
  <c r="J17" i="61" s="1"/>
  <c r="J16" i="61" a="1"/>
  <c r="J16" i="61" s="1"/>
  <c r="J15" i="61" a="1"/>
  <c r="J15" i="61" s="1"/>
  <c r="K15" i="61" s="1"/>
  <c r="C15" i="61" a="1"/>
  <c r="C15" i="61" s="1"/>
  <c r="E14" i="61" a="1"/>
  <c r="E14" i="61" s="1"/>
  <c r="N18" i="61" a="1"/>
  <c r="N18" i="61" s="1"/>
  <c r="D13" i="82" s="1" a="1"/>
  <c r="D13" i="82" s="1"/>
  <c r="E18" i="61" a="1"/>
  <c r="E18" i="61" s="1"/>
  <c r="I17" i="61" a="1"/>
  <c r="I17" i="61" s="1"/>
  <c r="D12" i="80" s="1" a="1"/>
  <c r="D12" i="80" s="1"/>
  <c r="I16" i="61" a="1"/>
  <c r="I16" i="61" s="1"/>
  <c r="I15" i="61" a="1"/>
  <c r="I15" i="61" s="1"/>
  <c r="D12" i="79" s="1" a="1"/>
  <c r="D12" i="79" s="1"/>
  <c r="N14" i="61" a="1"/>
  <c r="N14" i="61" s="1"/>
  <c r="J18" i="61" a="1"/>
  <c r="J18" i="61" s="1"/>
  <c r="C18" i="61" a="1"/>
  <c r="C18" i="61" s="1"/>
  <c r="E17" i="61" a="1"/>
  <c r="E17" i="61" s="1"/>
  <c r="E16" i="61" a="1"/>
  <c r="E16" i="61" s="1"/>
  <c r="F149" i="52" s="1" a="1"/>
  <c r="F149" i="52" s="1"/>
  <c r="G15" i="61" a="1"/>
  <c r="G15" i="61" s="1"/>
  <c r="F64" i="52" s="1" a="1"/>
  <c r="F64" i="52" s="1"/>
  <c r="J14" i="61" a="1"/>
  <c r="J14" i="61" s="1"/>
  <c r="H33" i="82" a="1"/>
  <c r="H33" i="82" s="1"/>
  <c r="AB33" i="82" a="1"/>
  <c r="AB33" i="82" s="1"/>
  <c r="R33" i="82" a="1"/>
  <c r="R33" i="82" s="1"/>
  <c r="AJ37" i="82" a="1"/>
  <c r="AJ37" i="82" s="1"/>
  <c r="Z37" i="82" a="1"/>
  <c r="Z37" i="82" s="1"/>
  <c r="P37" i="82" a="1"/>
  <c r="P37" i="82" s="1"/>
  <c r="Z37" i="80" a="1"/>
  <c r="Z37" i="80" s="1"/>
  <c r="R33" i="80" a="1"/>
  <c r="R33" i="80" s="1"/>
  <c r="AB33" i="81" a="1"/>
  <c r="AB33" i="81" s="1"/>
  <c r="H33" i="81" a="1"/>
  <c r="H33" i="81" s="1"/>
  <c r="AJ37" i="80" a="1"/>
  <c r="AJ37" i="80" s="1"/>
  <c r="P37" i="80" a="1"/>
  <c r="P37" i="80" s="1"/>
  <c r="R33" i="81" a="1"/>
  <c r="R33" i="81" s="1"/>
  <c r="Z37" i="81" a="1"/>
  <c r="Z37" i="81" s="1"/>
  <c r="AJ37" i="81" a="1"/>
  <c r="AJ37" i="81" s="1"/>
  <c r="P37" i="81" a="1"/>
  <c r="P37" i="81" s="1"/>
  <c r="AB33" i="80" a="1"/>
  <c r="AB33" i="80" s="1"/>
  <c r="H33" i="80" a="1"/>
  <c r="H33" i="80" s="1"/>
  <c r="AB33" i="79" a="1"/>
  <c r="AB33" i="79" s="1"/>
  <c r="H33" i="79" a="1"/>
  <c r="H33" i="79" s="1"/>
  <c r="Z37" i="79" a="1"/>
  <c r="Z37" i="79" s="1"/>
  <c r="P37" i="79" a="1"/>
  <c r="P37" i="79" s="1"/>
  <c r="AJ37" i="79" a="1"/>
  <c r="AJ37" i="79" s="1"/>
  <c r="R33" i="79" a="1"/>
  <c r="R33" i="79" s="1"/>
  <c r="F34" i="57" a="1"/>
  <c r="F22" i="57" a="1"/>
  <c r="F28" i="57" a="1"/>
  <c r="D15" i="57" a="1"/>
  <c r="F33" i="57" a="1"/>
  <c r="F21" i="57" a="1"/>
  <c r="F9" i="57" a="1"/>
  <c r="F16" i="57" a="1"/>
  <c r="F15" i="57" a="1"/>
  <c r="M182" i="52" l="1" a="1"/>
  <c r="M182" i="52" s="1"/>
  <c r="P164" i="68" a="1"/>
  <c r="P164" i="68" s="1"/>
  <c r="Q225" i="52"/>
  <c r="I46" i="68" a="1"/>
  <c r="I46" i="68" s="1"/>
  <c r="D12" i="81" a="1"/>
  <c r="D12" i="81" s="1"/>
  <c r="D11" i="81" s="1"/>
  <c r="F159" i="52" a="1"/>
  <c r="F159" i="52" s="1"/>
  <c r="K16" i="61"/>
  <c r="J149" i="52"/>
  <c r="Q149" i="52"/>
  <c r="Q221" i="52"/>
  <c r="I144" i="68" a="1"/>
  <c r="I144" i="68" s="1"/>
  <c r="Q222" i="52"/>
  <c r="I56" i="68" a="1"/>
  <c r="I56" i="68" s="1"/>
  <c r="S57" i="68" s="1"/>
  <c r="Q223" i="52"/>
  <c r="P122" i="68" a="1"/>
  <c r="P122" i="68" s="1"/>
  <c r="I71" i="68" a="1"/>
  <c r="I71" i="68" s="1"/>
  <c r="S72" i="68" s="1"/>
  <c r="J138" i="52"/>
  <c r="P14" i="66" a="1"/>
  <c r="P14" i="66" s="1"/>
  <c r="P110" i="66" a="1"/>
  <c r="P110" i="66" s="1"/>
  <c r="T111" i="66" s="1"/>
  <c r="P26" i="66" a="1"/>
  <c r="P26" i="66" s="1"/>
  <c r="T27" i="66" s="1"/>
  <c r="P46" i="68" a="1"/>
  <c r="P46" i="68" s="1"/>
  <c r="I135" i="68" a="1"/>
  <c r="I135" i="68" s="1"/>
  <c r="S136" i="68" s="1"/>
  <c r="I113" i="68" a="1"/>
  <c r="I113" i="68" s="1"/>
  <c r="I154" i="68" a="1"/>
  <c r="I154" i="68" s="1"/>
  <c r="S155" i="68" s="1"/>
  <c r="P12" i="68" a="1"/>
  <c r="P12" i="68" s="1"/>
  <c r="P71" i="68" a="1"/>
  <c r="P71" i="68" s="1"/>
  <c r="T72" i="68" s="1"/>
  <c r="P154" i="68" a="1"/>
  <c r="P154" i="68" s="1"/>
  <c r="T155" i="68" s="1"/>
  <c r="I90" i="68" a="1"/>
  <c r="I90" i="68" s="1"/>
  <c r="S91" i="68" s="1"/>
  <c r="P68" i="66" a="1"/>
  <c r="P68" i="66" s="1"/>
  <c r="T69" i="66" s="1"/>
  <c r="I37" i="68" a="1"/>
  <c r="I37" i="68" s="1"/>
  <c r="S38" i="68" s="1"/>
  <c r="I110" i="66" a="1"/>
  <c r="I110" i="66" s="1"/>
  <c r="S111" i="66" s="1"/>
  <c r="I45" i="66" a="1"/>
  <c r="I45" i="66" s="1"/>
  <c r="S46" i="66" s="1"/>
  <c r="P98" i="66" a="1"/>
  <c r="P98" i="66" s="1"/>
  <c r="P75" i="66" a="1"/>
  <c r="P75" i="66" s="1"/>
  <c r="T76" i="66" s="1"/>
  <c r="P152" i="66" a="1"/>
  <c r="P152" i="66" s="1"/>
  <c r="T153" i="66" s="1"/>
  <c r="I61" i="68" a="1"/>
  <c r="I61" i="68" s="1"/>
  <c r="S62" i="68" s="1"/>
  <c r="I159" i="66" a="1"/>
  <c r="I159" i="66" s="1"/>
  <c r="S160" i="66" s="1"/>
  <c r="I95" i="68" a="1"/>
  <c r="I95" i="68" s="1"/>
  <c r="S96" i="68" s="1"/>
  <c r="I126" i="68" a="1"/>
  <c r="I126" i="68" s="1"/>
  <c r="S127" i="68" s="1"/>
  <c r="P105" i="68" a="1"/>
  <c r="P105" i="68" s="1"/>
  <c r="T106" i="68" s="1"/>
  <c r="I12" i="68" a="1"/>
  <c r="I12" i="68" s="1"/>
  <c r="P22" i="68" a="1"/>
  <c r="P22" i="68" s="1"/>
  <c r="T23" i="68" s="1"/>
  <c r="P117" i="66" a="1"/>
  <c r="P117" i="66" s="1"/>
  <c r="T118" i="66" s="1"/>
  <c r="I194" i="66" a="1"/>
  <c r="I194" i="66" s="1"/>
  <c r="S195" i="66" s="1"/>
  <c r="P33" i="66" a="1"/>
  <c r="P33" i="66" s="1"/>
  <c r="T34" i="66" s="1"/>
  <c r="P56" i="66" a="1"/>
  <c r="P56" i="66" s="1"/>
  <c r="P129" i="66" a="1"/>
  <c r="P129" i="66" s="1"/>
  <c r="T130" i="66" s="1"/>
  <c r="P194" i="66" a="1"/>
  <c r="P194" i="66" s="1"/>
  <c r="T195" i="66" s="1"/>
  <c r="P171" i="66" a="1"/>
  <c r="P171" i="66" s="1"/>
  <c r="T172" i="66" s="1"/>
  <c r="P140" i="66" a="1"/>
  <c r="P140" i="66" s="1"/>
  <c r="P87" i="66" a="1"/>
  <c r="P87" i="66" s="1"/>
  <c r="T88" i="66" s="1"/>
  <c r="P61" i="68" a="1"/>
  <c r="P61" i="68" s="1"/>
  <c r="T62" i="68" s="1"/>
  <c r="P95" i="68" a="1"/>
  <c r="P95" i="68" s="1"/>
  <c r="T96" i="68" s="1"/>
  <c r="P27" i="68" a="1"/>
  <c r="P27" i="68" s="1"/>
  <c r="T28" i="68" s="1"/>
  <c r="I164" i="68" a="1"/>
  <c r="I164" i="68" s="1"/>
  <c r="S165" i="68" s="1"/>
  <c r="I152" i="66" a="1"/>
  <c r="I152" i="66" s="1"/>
  <c r="S153" i="66" s="1"/>
  <c r="I129" i="66" a="1"/>
  <c r="I129" i="66" s="1"/>
  <c r="S130" i="66" s="1"/>
  <c r="P56" i="68" a="1"/>
  <c r="P56" i="68" s="1"/>
  <c r="T57" i="68" s="1"/>
  <c r="I80" i="68" a="1"/>
  <c r="I80" i="68" s="1"/>
  <c r="S81" i="68" s="1"/>
  <c r="P80" i="68" a="1"/>
  <c r="P80" i="68" s="1"/>
  <c r="I56" i="66" a="1"/>
  <c r="I56" i="66" s="1"/>
  <c r="S57" i="66" s="1"/>
  <c r="I206" i="66" a="1"/>
  <c r="I206" i="66" s="1"/>
  <c r="S207" i="66" s="1"/>
  <c r="I105" i="68" a="1"/>
  <c r="I105" i="68" s="1"/>
  <c r="S106" i="68" s="1"/>
  <c r="I171" i="66" a="1"/>
  <c r="I171" i="66" s="1"/>
  <c r="S172" i="66" s="1"/>
  <c r="I75" i="66" a="1"/>
  <c r="I75" i="66" s="1"/>
  <c r="S76" i="66" s="1"/>
  <c r="P90" i="68" a="1"/>
  <c r="P90" i="68" s="1"/>
  <c r="T91" i="68" s="1"/>
  <c r="P37" i="68" a="1"/>
  <c r="P37" i="68" s="1"/>
  <c r="T38" i="68" s="1"/>
  <c r="P45" i="66" a="1"/>
  <c r="P45" i="66" s="1"/>
  <c r="T46" i="66" s="1"/>
  <c r="I27" i="68" a="1"/>
  <c r="I27" i="68" s="1"/>
  <c r="S28" i="68" s="1"/>
  <c r="P126" i="68" a="1"/>
  <c r="P126" i="68" s="1"/>
  <c r="T127" i="68" s="1"/>
  <c r="P159" i="66" a="1"/>
  <c r="P159" i="66" s="1"/>
  <c r="T160" i="66" s="1"/>
  <c r="P206" i="66" a="1"/>
  <c r="P206" i="66" s="1"/>
  <c r="T207" i="66" s="1"/>
  <c r="P182" i="66" a="1"/>
  <c r="P182" i="66" s="1"/>
  <c r="I117" i="66" a="1"/>
  <c r="I117" i="66" s="1"/>
  <c r="S118" i="66" s="1"/>
  <c r="I98" i="66" a="1"/>
  <c r="I98" i="66" s="1"/>
  <c r="I87" i="66" a="1"/>
  <c r="I87" i="66" s="1"/>
  <c r="S88" i="66" s="1"/>
  <c r="I26" i="66" a="1"/>
  <c r="I26" i="66" s="1"/>
  <c r="S27" i="66" s="1"/>
  <c r="I68" i="66" a="1"/>
  <c r="I68" i="66" s="1"/>
  <c r="S69" i="66" s="1"/>
  <c r="I14" i="66" a="1"/>
  <c r="I14" i="66" s="1"/>
  <c r="S15" i="66" s="1"/>
  <c r="I22" i="68" a="1"/>
  <c r="I22" i="68" s="1"/>
  <c r="S23" i="68" s="1"/>
  <c r="P144" i="68" a="1"/>
  <c r="P144" i="68" s="1"/>
  <c r="I122" i="68" a="1"/>
  <c r="I122" i="68" s="1"/>
  <c r="S123" i="68" s="1"/>
  <c r="I140" i="66" a="1"/>
  <c r="I140" i="66" s="1"/>
  <c r="S141" i="66" s="1"/>
  <c r="I182" i="66" a="1"/>
  <c r="I182" i="66" s="1"/>
  <c r="I33" i="66" a="1"/>
  <c r="I33" i="66" s="1"/>
  <c r="S34" i="66" s="1"/>
  <c r="F59" i="52" a="1"/>
  <c r="F59" i="52" s="1"/>
  <c r="Q202" i="52"/>
  <c r="F209" i="52" a="1"/>
  <c r="F209" i="52" s="1"/>
  <c r="D13" i="53" a="1"/>
  <c r="D13" i="53" s="1"/>
  <c r="D11" i="53" s="1"/>
  <c r="K18" i="61"/>
  <c r="F24" i="52" a="1"/>
  <c r="F24" i="52" s="1"/>
  <c r="F21" i="57"/>
  <c r="F16" i="57"/>
  <c r="F28" i="57"/>
  <c r="F15" i="57"/>
  <c r="F34" i="57"/>
  <c r="F9" i="57"/>
  <c r="F22" i="57"/>
  <c r="D15" i="57"/>
  <c r="F33" i="57"/>
  <c r="D11" i="79"/>
  <c r="C17" i="61" a="1"/>
  <c r="C17" i="61" s="1"/>
  <c r="D17" i="61" s="1"/>
  <c r="C12" i="80" a="1"/>
  <c r="C12" i="80" s="1"/>
  <c r="C11" i="80" s="1"/>
  <c r="G17" i="61" a="1"/>
  <c r="G17" i="61" s="1"/>
  <c r="H17" i="61" s="1"/>
  <c r="D11" i="80"/>
  <c r="C14" i="61" a="1"/>
  <c r="C14" i="61" s="1"/>
  <c r="C12" i="53" a="1"/>
  <c r="C12" i="53" s="1"/>
  <c r="C16" i="61" a="1"/>
  <c r="C16" i="61" s="1"/>
  <c r="D16" i="61" s="1"/>
  <c r="C12" i="81" a="1"/>
  <c r="C12" i="81" s="1"/>
  <c r="C11" i="81" s="1"/>
  <c r="F197" i="52" a="1"/>
  <c r="F197" i="52" s="1"/>
  <c r="C12" i="82" a="1"/>
  <c r="C12" i="82" s="1"/>
  <c r="C11" i="82" s="1"/>
  <c r="G14" i="61" a="1"/>
  <c r="G14" i="61" s="1"/>
  <c r="H14" i="61" s="1"/>
  <c r="F71" i="52" a="1"/>
  <c r="F71" i="52" s="1"/>
  <c r="G16" i="61" a="1"/>
  <c r="G16" i="61" s="1"/>
  <c r="H16" i="61" s="1"/>
  <c r="D11" i="82"/>
  <c r="F105" i="52" a="1"/>
  <c r="F105" i="52" s="1"/>
  <c r="F116" i="52" a="1"/>
  <c r="F116" i="52" s="1"/>
  <c r="F14" i="52" a="1"/>
  <c r="F14" i="52" s="1"/>
  <c r="F152" i="52" a="1"/>
  <c r="F152" i="52" s="1"/>
  <c r="Q64" i="52"/>
  <c r="Q140" i="52"/>
  <c r="R136" i="52" s="1"/>
  <c r="Q181" i="52"/>
  <c r="Q180" i="52"/>
  <c r="Q184" i="52"/>
  <c r="Q68" i="68"/>
  <c r="J221" i="52"/>
  <c r="K17" i="61"/>
  <c r="K14" i="61"/>
  <c r="J139" i="52"/>
  <c r="J222" i="52"/>
  <c r="Q141" i="52"/>
  <c r="J184" i="52"/>
  <c r="J141" i="52"/>
  <c r="J181" i="52"/>
  <c r="F119" i="68" a="1"/>
  <c r="F119" i="68" s="1"/>
  <c r="F162" i="52" a="1"/>
  <c r="F162" i="52" s="1"/>
  <c r="F114" i="68" a="1"/>
  <c r="F114" i="68" s="1"/>
  <c r="F141" i="66" a="1"/>
  <c r="F141" i="66" s="1"/>
  <c r="F99" i="66" a="1"/>
  <c r="F99" i="66" s="1"/>
  <c r="F81" i="68" a="1"/>
  <c r="F81" i="68" s="1"/>
  <c r="F183" i="66" a="1"/>
  <c r="F183" i="66" s="1"/>
  <c r="F145" i="68" a="1"/>
  <c r="F145" i="68" s="1"/>
  <c r="F15" i="66" a="1"/>
  <c r="F15" i="66" s="1"/>
  <c r="J15" i="66" s="1"/>
  <c r="F13" i="68" a="1"/>
  <c r="F13" i="68" s="1"/>
  <c r="F47" i="68" a="1"/>
  <c r="F47" i="68" s="1"/>
  <c r="F57" i="66" a="1"/>
  <c r="F57" i="66" s="1"/>
  <c r="J136" i="52"/>
  <c r="Q133" i="68"/>
  <c r="Q34" i="68"/>
  <c r="J68" i="68"/>
  <c r="J133" i="68"/>
  <c r="J161" i="68"/>
  <c r="J137" i="52"/>
  <c r="J34" i="68"/>
  <c r="Q161" i="68"/>
  <c r="Q102" i="68"/>
  <c r="J102" i="68"/>
  <c r="J223" i="52"/>
  <c r="J225" i="52"/>
  <c r="M225" i="52" s="1" a="1"/>
  <c r="M225" i="52" s="1"/>
  <c r="Q203" i="66"/>
  <c r="Q84" i="66"/>
  <c r="J162" i="68"/>
  <c r="J84" i="66"/>
  <c r="Q168" i="66"/>
  <c r="M168" i="66" s="1"/>
  <c r="J42" i="66"/>
  <c r="J203" i="66"/>
  <c r="Q70" i="68"/>
  <c r="Q163" i="68"/>
  <c r="Q35" i="68"/>
  <c r="Q36" i="68"/>
  <c r="I52" i="68"/>
  <c r="J134" i="68"/>
  <c r="P52" i="68"/>
  <c r="J70" i="68"/>
  <c r="Q104" i="68"/>
  <c r="Q69" i="68"/>
  <c r="P150" i="68"/>
  <c r="Q103" i="68"/>
  <c r="Q134" i="68"/>
  <c r="T165" i="68"/>
  <c r="I150" i="68"/>
  <c r="P86" i="68"/>
  <c r="P119" i="68"/>
  <c r="T136" i="68"/>
  <c r="J103" i="68"/>
  <c r="Q162" i="68"/>
  <c r="P18" i="68"/>
  <c r="F11" i="66" a="1"/>
  <c r="F11" i="66" s="1"/>
  <c r="Q11" i="66" s="1"/>
  <c r="F12" i="68" a="1"/>
  <c r="F12" i="68" s="1"/>
  <c r="F9" i="68" a="1"/>
  <c r="F9" i="68" s="1"/>
  <c r="F10" i="68" a="1"/>
  <c r="F10" i="68" s="1"/>
  <c r="J10" i="68" s="1"/>
  <c r="F11" i="68" a="1"/>
  <c r="F11" i="68" s="1"/>
  <c r="J11" i="68" s="1"/>
  <c r="F20" i="66" a="1"/>
  <c r="F20" i="66" s="1"/>
  <c r="F18" i="68" a="1"/>
  <c r="F18" i="68" s="1"/>
  <c r="F188" i="66" a="1"/>
  <c r="F188" i="66" s="1"/>
  <c r="F150" i="68" a="1"/>
  <c r="F150" i="68" s="1"/>
  <c r="Q126" i="66"/>
  <c r="M126" i="66" s="1"/>
  <c r="I119" i="68"/>
  <c r="J69" i="68"/>
  <c r="J104" i="68"/>
  <c r="F137" i="66" a="1"/>
  <c r="F137" i="66" s="1"/>
  <c r="Q137" i="66" s="1"/>
  <c r="F113" i="68" a="1"/>
  <c r="F113" i="68" s="1"/>
  <c r="F111" i="68" a="1"/>
  <c r="F111" i="68" s="1"/>
  <c r="F112" i="68" a="1"/>
  <c r="F112" i="68" s="1"/>
  <c r="J112" i="68" s="1"/>
  <c r="F53" i="66" a="1"/>
  <c r="F53" i="66" s="1"/>
  <c r="J53" i="66" s="1"/>
  <c r="F46" i="68" a="1"/>
  <c r="F46" i="68" s="1"/>
  <c r="F43" i="68" a="1"/>
  <c r="F43" i="68" s="1"/>
  <c r="F44" i="68" a="1"/>
  <c r="F44" i="68" s="1"/>
  <c r="J44" i="68" s="1"/>
  <c r="F45" i="68" a="1"/>
  <c r="F45" i="68" s="1"/>
  <c r="Q45" i="68" s="1"/>
  <c r="J163" i="68"/>
  <c r="J36" i="68"/>
  <c r="I18" i="68"/>
  <c r="I29" i="68" s="1"/>
  <c r="F62" i="66" a="1"/>
  <c r="F62" i="66" s="1"/>
  <c r="F52" i="68" a="1"/>
  <c r="F52" i="68" s="1"/>
  <c r="F104" i="66" a="1"/>
  <c r="F104" i="66" s="1"/>
  <c r="F86" i="68" a="1"/>
  <c r="F86" i="68" s="1"/>
  <c r="F95" i="66" a="1"/>
  <c r="F95" i="66" s="1"/>
  <c r="Q95" i="66" s="1"/>
  <c r="F80" i="68" a="1"/>
  <c r="F80" i="68" s="1"/>
  <c r="F78" i="68" a="1"/>
  <c r="F78" i="68" s="1"/>
  <c r="Q78" i="68" s="1"/>
  <c r="F79" i="68" a="1"/>
  <c r="F79" i="68" s="1"/>
  <c r="J79" i="68" s="1"/>
  <c r="F77" i="68" a="1"/>
  <c r="F77" i="68" s="1"/>
  <c r="F179" i="66" a="1"/>
  <c r="F179" i="66" s="1"/>
  <c r="J179" i="66" s="1"/>
  <c r="F144" i="68" a="1"/>
  <c r="F144" i="68" s="1"/>
  <c r="F142" i="68" a="1"/>
  <c r="F142" i="68" s="1"/>
  <c r="Q142" i="68" s="1"/>
  <c r="F143" i="68" a="1"/>
  <c r="F143" i="68" s="1"/>
  <c r="J143" i="68" s="1"/>
  <c r="F141" i="68" a="1"/>
  <c r="F141" i="68" s="1"/>
  <c r="Q42" i="66"/>
  <c r="J35" i="68"/>
  <c r="T123" i="68"/>
  <c r="I188" i="66"/>
  <c r="P188" i="66"/>
  <c r="P146" i="66"/>
  <c r="P20" i="66"/>
  <c r="P62" i="66"/>
  <c r="I104" i="66"/>
  <c r="P104" i="66"/>
  <c r="J180" i="52"/>
  <c r="F96" i="66" a="1"/>
  <c r="F96" i="66" s="1"/>
  <c r="F93" i="66" a="1"/>
  <c r="F93" i="66" s="1"/>
  <c r="F97" i="66" a="1"/>
  <c r="F97" i="66" s="1"/>
  <c r="F94" i="66" a="1"/>
  <c r="F94" i="66" s="1"/>
  <c r="F98" i="66" a="1"/>
  <c r="F98" i="66" s="1"/>
  <c r="F100" i="52" a="1"/>
  <c r="F100" i="52" s="1"/>
  <c r="J100" i="52" s="1"/>
  <c r="F99" i="52" a="1"/>
  <c r="F99" i="52" s="1"/>
  <c r="J99" i="52" s="1"/>
  <c r="F101" i="52" a="1"/>
  <c r="F101" i="52" s="1"/>
  <c r="J101" i="52" s="1"/>
  <c r="F103" i="52" a="1"/>
  <c r="F103" i="52" s="1"/>
  <c r="Q103" i="52" s="1"/>
  <c r="F102" i="52" a="1"/>
  <c r="F102" i="52" s="1"/>
  <c r="J102" i="52" s="1"/>
  <c r="F104" i="52" a="1"/>
  <c r="F104" i="52" s="1"/>
  <c r="Q104" i="52" s="1"/>
  <c r="F181" i="66" a="1"/>
  <c r="F181" i="66" s="1"/>
  <c r="F178" i="66" a="1"/>
  <c r="F178" i="66" s="1"/>
  <c r="F182" i="66" a="1"/>
  <c r="F182" i="66" s="1"/>
  <c r="F180" i="66" a="1"/>
  <c r="F180" i="66" s="1"/>
  <c r="F177" i="66" a="1"/>
  <c r="F177" i="66" s="1"/>
  <c r="F13" i="66" a="1"/>
  <c r="F13" i="66" s="1"/>
  <c r="F14" i="66" a="1"/>
  <c r="F14" i="66" s="1"/>
  <c r="F10" i="66" a="1"/>
  <c r="F10" i="66" s="1"/>
  <c r="F9" i="66" a="1"/>
  <c r="F9" i="66" s="1"/>
  <c r="F12" i="66" a="1"/>
  <c r="F12" i="66" s="1"/>
  <c r="F13" i="52" a="1"/>
  <c r="F13" i="52" s="1"/>
  <c r="Q13" i="52" s="1"/>
  <c r="F10" i="52" a="1"/>
  <c r="F10" i="52" s="1"/>
  <c r="F12" i="52" a="1"/>
  <c r="F12" i="52" s="1"/>
  <c r="Q12" i="52" s="1"/>
  <c r="F11" i="52" a="1"/>
  <c r="F11" i="52" s="1"/>
  <c r="F9" i="52" a="1"/>
  <c r="F9" i="52" s="1"/>
  <c r="Q9" i="52" s="1"/>
  <c r="F146" i="66" a="1"/>
  <c r="F146" i="66" s="1"/>
  <c r="F157" i="52" a="1"/>
  <c r="F157" i="52" s="1"/>
  <c r="Q157" i="52" s="1"/>
  <c r="F158" i="52" a="1"/>
  <c r="F158" i="52" s="1"/>
  <c r="Q158" i="52" s="1"/>
  <c r="F160" i="52" a="1"/>
  <c r="F160" i="52" s="1"/>
  <c r="F161" i="52" a="1"/>
  <c r="F161" i="52" s="1"/>
  <c r="Q161" i="52" s="1"/>
  <c r="F138" i="66" a="1"/>
  <c r="F138" i="66" s="1"/>
  <c r="F136" i="66" a="1"/>
  <c r="F136" i="66" s="1"/>
  <c r="F140" i="66" a="1"/>
  <c r="F140" i="66" s="1"/>
  <c r="F147" i="52" a="1"/>
  <c r="F147" i="52" s="1"/>
  <c r="Q147" i="52" s="1"/>
  <c r="F139" i="66" a="1"/>
  <c r="F139" i="66" s="1"/>
  <c r="F135" i="66" a="1"/>
  <c r="F135" i="66" s="1"/>
  <c r="F151" i="52" a="1"/>
  <c r="F151" i="52" s="1"/>
  <c r="Q151" i="52" s="1"/>
  <c r="F150" i="52" a="1"/>
  <c r="F150" i="52" s="1"/>
  <c r="F148" i="52" a="1"/>
  <c r="F148" i="52" s="1"/>
  <c r="Q148" i="52" s="1"/>
  <c r="F54" i="66" a="1"/>
  <c r="F54" i="66" s="1"/>
  <c r="F52" i="66" a="1"/>
  <c r="F52" i="66" s="1"/>
  <c r="F55" i="66" a="1"/>
  <c r="F55" i="66" s="1"/>
  <c r="F51" i="66" a="1"/>
  <c r="F51" i="66" s="1"/>
  <c r="F56" i="66" a="1"/>
  <c r="F56" i="66" s="1"/>
  <c r="F205" i="52" a="1"/>
  <c r="F205" i="52" s="1"/>
  <c r="Q205" i="52" s="1"/>
  <c r="F206" i="52" a="1"/>
  <c r="F206" i="52" s="1"/>
  <c r="Q206" i="52" s="1"/>
  <c r="F207" i="52" a="1"/>
  <c r="F207" i="52" s="1"/>
  <c r="F208" i="52" a="1"/>
  <c r="F208" i="52" s="1"/>
  <c r="Q208" i="52" s="1"/>
  <c r="F190" i="52" a="1"/>
  <c r="F190" i="52" s="1"/>
  <c r="Q190" i="52" s="1"/>
  <c r="F193" i="52" a="1"/>
  <c r="F193" i="52" s="1"/>
  <c r="Q193" i="52" s="1"/>
  <c r="F194" i="52" a="1"/>
  <c r="F194" i="52" s="1"/>
  <c r="Q194" i="52" s="1"/>
  <c r="F195" i="52" a="1"/>
  <c r="F195" i="52" s="1"/>
  <c r="F196" i="52" a="1"/>
  <c r="F196" i="52" s="1"/>
  <c r="Q196" i="52" s="1"/>
  <c r="J202" i="52"/>
  <c r="F110" i="52" a="1"/>
  <c r="F110" i="52" s="1"/>
  <c r="J110" i="52" s="1"/>
  <c r="F111" i="52" a="1"/>
  <c r="F111" i="52" s="1"/>
  <c r="J111" i="52" s="1"/>
  <c r="F113" i="52" a="1"/>
  <c r="F113" i="52" s="1"/>
  <c r="J113" i="52" s="1"/>
  <c r="F112" i="52" a="1"/>
  <c r="F112" i="52" s="1"/>
  <c r="J112" i="52" s="1"/>
  <c r="F114" i="52" a="1"/>
  <c r="F114" i="52" s="1"/>
  <c r="Q114" i="52" s="1"/>
  <c r="F115" i="52" a="1"/>
  <c r="F115" i="52" s="1"/>
  <c r="Q115" i="52" s="1"/>
  <c r="F23" i="52" a="1"/>
  <c r="F23" i="52" s="1"/>
  <c r="Q23" i="52" s="1"/>
  <c r="F20" i="52" a="1"/>
  <c r="F20" i="52" s="1"/>
  <c r="J20" i="52" s="1"/>
  <c r="F19" i="52" a="1"/>
  <c r="F19" i="52" s="1"/>
  <c r="J19" i="52" s="1"/>
  <c r="F22" i="52" a="1"/>
  <c r="F22" i="52" s="1"/>
  <c r="Q22" i="52" s="1"/>
  <c r="F21" i="52" a="1"/>
  <c r="F21" i="52" s="1"/>
  <c r="J21" i="52" s="1"/>
  <c r="F52" i="52" a="1"/>
  <c r="F52" i="52" s="1"/>
  <c r="Q52" i="52" s="1"/>
  <c r="F55" i="52" a="1"/>
  <c r="F55" i="52" s="1"/>
  <c r="Q55" i="52" s="1"/>
  <c r="F56" i="52" a="1"/>
  <c r="F56" i="52" s="1"/>
  <c r="Q56" i="52" s="1"/>
  <c r="F57" i="52" a="1"/>
  <c r="F57" i="52" s="1"/>
  <c r="F58" i="52" a="1"/>
  <c r="F58" i="52" s="1"/>
  <c r="Q58" i="52" s="1"/>
  <c r="F92" i="52" a="1"/>
  <c r="F92" i="52" s="1"/>
  <c r="F90" i="52" a="1"/>
  <c r="F90" i="52" s="1"/>
  <c r="Q90" i="52" s="1"/>
  <c r="F91" i="52" a="1"/>
  <c r="F91" i="52" s="1"/>
  <c r="Q91" i="52" s="1"/>
  <c r="F89" i="52" a="1"/>
  <c r="F89" i="52" s="1"/>
  <c r="Q89" i="52" s="1"/>
  <c r="F93" i="52" a="1"/>
  <c r="F93" i="52" s="1"/>
  <c r="Q93" i="52" s="1"/>
  <c r="F69" i="52" a="1"/>
  <c r="F69" i="52" s="1"/>
  <c r="F68" i="52" a="1"/>
  <c r="F68" i="52" s="1"/>
  <c r="Q68" i="52" s="1"/>
  <c r="F67" i="52" a="1"/>
  <c r="F67" i="52" s="1"/>
  <c r="Q67" i="52" s="1"/>
  <c r="F70" i="52" a="1"/>
  <c r="F70" i="52" s="1"/>
  <c r="Q70" i="52" s="1"/>
  <c r="J64" i="52"/>
  <c r="F42" i="52" a="1"/>
  <c r="F42" i="52" s="1"/>
  <c r="F45" i="52" a="1"/>
  <c r="F45" i="52" s="1"/>
  <c r="Q45" i="52" s="1"/>
  <c r="F43" i="52" a="1"/>
  <c r="F43" i="52" s="1"/>
  <c r="F46" i="52" a="1"/>
  <c r="F46" i="52" s="1"/>
  <c r="Q46" i="52" s="1"/>
  <c r="F44" i="52" a="1"/>
  <c r="F44" i="52" s="1"/>
  <c r="F206" i="66" a="1"/>
  <c r="F206" i="66" s="1"/>
  <c r="F201" i="66" a="1"/>
  <c r="F201" i="66" s="1"/>
  <c r="F202" i="66" a="1"/>
  <c r="F202" i="66" s="1"/>
  <c r="F204" i="66" a="1"/>
  <c r="F204" i="66" s="1"/>
  <c r="F205" i="66" a="1"/>
  <c r="F205" i="66" s="1"/>
  <c r="F129" i="66" a="1"/>
  <c r="F129" i="66" s="1"/>
  <c r="F124" i="66" a="1"/>
  <c r="F124" i="66" s="1"/>
  <c r="F125" i="66" a="1"/>
  <c r="F125" i="66" s="1"/>
  <c r="F128" i="66" a="1"/>
  <c r="F128" i="66" s="1"/>
  <c r="F127" i="66" a="1"/>
  <c r="F127" i="66" s="1"/>
  <c r="F87" i="66" a="1"/>
  <c r="F87" i="66" s="1"/>
  <c r="F82" i="66" a="1"/>
  <c r="F82" i="66" s="1"/>
  <c r="F86" i="66" a="1"/>
  <c r="F86" i="66" s="1"/>
  <c r="F85" i="66" a="1"/>
  <c r="F85" i="66" s="1"/>
  <c r="F83" i="66" a="1"/>
  <c r="F83" i="66" s="1"/>
  <c r="F171" i="66" a="1"/>
  <c r="F171" i="66" s="1"/>
  <c r="F166" i="66" a="1"/>
  <c r="F166" i="66" s="1"/>
  <c r="F169" i="66" a="1"/>
  <c r="F169" i="66" s="1"/>
  <c r="F170" i="66" a="1"/>
  <c r="F170" i="66" s="1"/>
  <c r="F167" i="66" a="1"/>
  <c r="F167" i="66" s="1"/>
  <c r="F41" i="66" a="1"/>
  <c r="F41" i="66" s="1"/>
  <c r="F40" i="66" a="1"/>
  <c r="F40" i="66" s="1"/>
  <c r="F43" i="66" a="1"/>
  <c r="F43" i="66" s="1"/>
  <c r="F44" i="66" a="1"/>
  <c r="F44" i="66" s="1"/>
  <c r="F45" i="66" a="1"/>
  <c r="F45" i="66" s="1"/>
  <c r="H18" i="61"/>
  <c r="F203" i="52" s="1" a="1"/>
  <c r="F203" i="52" s="1"/>
  <c r="Q203" i="52" s="1"/>
  <c r="H15" i="61"/>
  <c r="F65" i="52" s="1" a="1"/>
  <c r="F65" i="52" s="1"/>
  <c r="O15" i="61"/>
  <c r="L14" i="61"/>
  <c r="L15" i="61"/>
  <c r="F77" i="52" s="1" a="1"/>
  <c r="F77" i="52" s="1"/>
  <c r="O16" i="61"/>
  <c r="O14" i="61"/>
  <c r="O18" i="61"/>
  <c r="L16" i="61"/>
  <c r="L17" i="61"/>
  <c r="F123" i="52" s="1" a="1"/>
  <c r="F123" i="52" s="1"/>
  <c r="O17" i="61"/>
  <c r="L18" i="61"/>
  <c r="F215" i="52" s="1" a="1"/>
  <c r="F215" i="52" s="1"/>
  <c r="B18" i="44"/>
  <c r="B19" i="44" s="1"/>
  <c r="B20" i="44" s="1"/>
  <c r="B12" i="44"/>
  <c r="B13" i="44" s="1"/>
  <c r="B14" i="44" s="1"/>
  <c r="B15" i="44" s="1"/>
  <c r="B16" i="44" s="1"/>
  <c r="B5" i="44"/>
  <c r="B6" i="44" s="1"/>
  <c r="D33" i="57" a="1"/>
  <c r="D21" i="57" a="1"/>
  <c r="F10" i="57" a="1"/>
  <c r="F27" i="57" a="1"/>
  <c r="D27" i="57" a="1"/>
  <c r="M222" i="52" l="1" a="1"/>
  <c r="M222" i="52" s="1"/>
  <c r="J183" i="52"/>
  <c r="K182" i="52" s="1"/>
  <c r="Q183" i="52"/>
  <c r="F27" i="57"/>
  <c r="M149" i="52" a="1"/>
  <c r="M149" i="52" s="1"/>
  <c r="F168" i="52" a="1"/>
  <c r="F168" i="52" s="1"/>
  <c r="F165" i="52" a="1"/>
  <c r="F165" i="52" s="1"/>
  <c r="Q150" i="52"/>
  <c r="R147" i="52" s="1"/>
  <c r="J159" i="52"/>
  <c r="Q159" i="52"/>
  <c r="Q224" i="52"/>
  <c r="R223" i="52" s="1"/>
  <c r="M223" i="52" a="1"/>
  <c r="M223" i="52" s="1"/>
  <c r="M221" i="52" a="1"/>
  <c r="M221" i="52" s="1"/>
  <c r="M202" i="52" a="1"/>
  <c r="M202" i="52" s="1"/>
  <c r="F10" i="57"/>
  <c r="F30" i="52" a="1"/>
  <c r="F30" i="52" s="1"/>
  <c r="Q204" i="52"/>
  <c r="R203" i="52" s="1"/>
  <c r="M181" i="52" a="1"/>
  <c r="M181" i="52" s="1"/>
  <c r="M184" i="52" a="1"/>
  <c r="M184" i="52" s="1"/>
  <c r="M180" i="52" a="1"/>
  <c r="M180" i="52" s="1"/>
  <c r="D27" i="57"/>
  <c r="D33" i="57"/>
  <c r="D21" i="57"/>
  <c r="M64" i="52" a="1"/>
  <c r="M64" i="52" s="1"/>
  <c r="M68" i="68"/>
  <c r="Q15" i="66"/>
  <c r="R139" i="52"/>
  <c r="R137" i="52"/>
  <c r="R138" i="52"/>
  <c r="T47" i="68"/>
  <c r="T145" i="68"/>
  <c r="S99" i="66"/>
  <c r="T141" i="66"/>
  <c r="T81" i="68"/>
  <c r="T57" i="66"/>
  <c r="S145" i="68"/>
  <c r="T99" i="66"/>
  <c r="T15" i="66"/>
  <c r="T114" i="68"/>
  <c r="T183" i="66"/>
  <c r="S114" i="68"/>
  <c r="S47" i="68"/>
  <c r="S183" i="66"/>
  <c r="S13" i="68"/>
  <c r="T13" i="68"/>
  <c r="Q92" i="52"/>
  <c r="R91" i="52" s="1"/>
  <c r="F66" i="52"/>
  <c r="Q65" i="52"/>
  <c r="R19" i="52"/>
  <c r="R20" i="52"/>
  <c r="R21" i="52"/>
  <c r="R99" i="52"/>
  <c r="R100" i="52"/>
  <c r="R101" i="52"/>
  <c r="R102" i="52"/>
  <c r="R42" i="52"/>
  <c r="R43" i="52"/>
  <c r="R44" i="52"/>
  <c r="R111" i="52"/>
  <c r="R110" i="52"/>
  <c r="R113" i="52"/>
  <c r="R112" i="52"/>
  <c r="R9" i="52"/>
  <c r="D14" i="61"/>
  <c r="C11" i="53"/>
  <c r="F161" i="66" a="1"/>
  <c r="F161" i="66" s="1"/>
  <c r="F128" i="68" a="1"/>
  <c r="F128" i="68" s="1"/>
  <c r="F175" i="52" a="1"/>
  <c r="F175" i="52" s="1"/>
  <c r="F97" i="68" a="1"/>
  <c r="F97" i="68" s="1"/>
  <c r="F119" i="66" a="1"/>
  <c r="F119" i="66" s="1"/>
  <c r="F131" i="52" a="1"/>
  <c r="F131" i="52" s="1"/>
  <c r="F35" i="66" a="1"/>
  <c r="F35" i="66" s="1"/>
  <c r="F29" i="68" a="1"/>
  <c r="F29" i="68" s="1"/>
  <c r="F37" i="52" a="1"/>
  <c r="F37" i="52" s="1"/>
  <c r="F63" i="68" a="1"/>
  <c r="F63" i="68" s="1"/>
  <c r="F77" i="66" a="1"/>
  <c r="F77" i="66" s="1"/>
  <c r="F84" i="52" a="1"/>
  <c r="F84" i="52" s="1"/>
  <c r="F156" i="68" a="1"/>
  <c r="F156" i="68" s="1"/>
  <c r="F196" i="66" a="1"/>
  <c r="F196" i="66" s="1"/>
  <c r="F216" i="52" a="1"/>
  <c r="F216" i="52" s="1"/>
  <c r="F155" i="68" a="1"/>
  <c r="F155" i="68" s="1"/>
  <c r="F195" i="66" a="1"/>
  <c r="F195" i="66" s="1"/>
  <c r="F23" i="68" a="1"/>
  <c r="F23" i="68" s="1"/>
  <c r="F27" i="66" a="1"/>
  <c r="F27" i="66" s="1"/>
  <c r="Q13" i="68"/>
  <c r="J13" i="68"/>
  <c r="J81" i="68"/>
  <c r="Q81" i="68"/>
  <c r="Q99" i="66"/>
  <c r="J99" i="66"/>
  <c r="F91" i="68" a="1"/>
  <c r="F91" i="68" s="1"/>
  <c r="F111" i="66" a="1"/>
  <c r="F111" i="66" s="1"/>
  <c r="J57" i="66"/>
  <c r="Q57" i="66"/>
  <c r="J145" i="68"/>
  <c r="Q145" i="68"/>
  <c r="Q141" i="66"/>
  <c r="J141" i="66"/>
  <c r="F123" i="68" a="1"/>
  <c r="F123" i="68" s="1"/>
  <c r="F153" i="66" a="1"/>
  <c r="F153" i="66" s="1"/>
  <c r="F57" i="68" a="1"/>
  <c r="F57" i="68" s="1"/>
  <c r="F69" i="66" a="1"/>
  <c r="F69" i="66" s="1"/>
  <c r="J47" i="68"/>
  <c r="Q47" i="68"/>
  <c r="Q183" i="66"/>
  <c r="J183" i="66"/>
  <c r="Q114" i="68"/>
  <c r="J114" i="68"/>
  <c r="M161" i="68"/>
  <c r="J224" i="52"/>
  <c r="M84" i="66"/>
  <c r="I20" i="66"/>
  <c r="Q179" i="66"/>
  <c r="M179" i="66" s="1"/>
  <c r="J11" i="66"/>
  <c r="M11" i="66" s="1"/>
  <c r="J140" i="52"/>
  <c r="K136" i="52" s="1"/>
  <c r="M34" i="68"/>
  <c r="M133" i="68"/>
  <c r="M102" i="68"/>
  <c r="M162" i="68"/>
  <c r="Q141" i="68"/>
  <c r="J141" i="68"/>
  <c r="Q77" i="68"/>
  <c r="J77" i="68"/>
  <c r="J43" i="68"/>
  <c r="Q43" i="68"/>
  <c r="J111" i="68"/>
  <c r="Q111" i="68"/>
  <c r="Q9" i="68"/>
  <c r="J9" i="68"/>
  <c r="M42" i="66"/>
  <c r="P161" i="66"/>
  <c r="M203" i="66"/>
  <c r="J137" i="66"/>
  <c r="M137" i="66" s="1"/>
  <c r="M70" i="68"/>
  <c r="P119" i="66"/>
  <c r="J95" i="66"/>
  <c r="M95" i="66" s="1"/>
  <c r="Q53" i="66"/>
  <c r="M53" i="66" s="1"/>
  <c r="J71" i="68"/>
  <c r="Q112" i="68"/>
  <c r="M112" i="68" s="1"/>
  <c r="M134" i="68"/>
  <c r="M103" i="68"/>
  <c r="J80" i="68"/>
  <c r="Q44" i="68"/>
  <c r="M44" i="68" s="1"/>
  <c r="Q10" i="68"/>
  <c r="M10" i="68" s="1"/>
  <c r="Q11" i="68"/>
  <c r="M11" i="68" s="1"/>
  <c r="J45" i="68"/>
  <c r="M45" i="68" s="1"/>
  <c r="Q164" i="68"/>
  <c r="Q166" i="68" s="1"/>
  <c r="J164" i="68"/>
  <c r="Q144" i="68"/>
  <c r="Q135" i="68"/>
  <c r="J135" i="68"/>
  <c r="Q113" i="68"/>
  <c r="J105" i="68"/>
  <c r="Q105" i="68"/>
  <c r="Q80" i="68"/>
  <c r="Q71" i="68"/>
  <c r="J46" i="68"/>
  <c r="Q37" i="68"/>
  <c r="J37" i="68"/>
  <c r="I156" i="68"/>
  <c r="Q79" i="68"/>
  <c r="M79" i="68" s="1"/>
  <c r="J78" i="68"/>
  <c r="M78" i="68" s="1"/>
  <c r="Q143" i="68"/>
  <c r="M143" i="68" s="1"/>
  <c r="Q12" i="68"/>
  <c r="I128" i="68"/>
  <c r="M35" i="68"/>
  <c r="J12" i="68"/>
  <c r="P128" i="68"/>
  <c r="M104" i="68"/>
  <c r="I86" i="68"/>
  <c r="I97" i="68" s="1"/>
  <c r="Q46" i="68"/>
  <c r="Q18" i="68"/>
  <c r="F149" i="66" a="1"/>
  <c r="F149" i="66" s="1"/>
  <c r="J149" i="66" s="1"/>
  <c r="F121" i="68" a="1"/>
  <c r="F121" i="68" s="1"/>
  <c r="F120" i="68" a="1"/>
  <c r="F120" i="68" s="1"/>
  <c r="F122" i="68" a="1"/>
  <c r="F122" i="68" s="1"/>
  <c r="J122" i="68" s="1"/>
  <c r="F65" i="66" a="1"/>
  <c r="F65" i="66" s="1"/>
  <c r="J65" i="66" s="1"/>
  <c r="F56" i="68" a="1"/>
  <c r="F56" i="68" s="1"/>
  <c r="Q56" i="68" s="1"/>
  <c r="F53" i="68" a="1"/>
  <c r="F53" i="68" s="1"/>
  <c r="F54" i="68" a="1"/>
  <c r="F54" i="68" s="1"/>
  <c r="F55" i="68" a="1"/>
  <c r="F55" i="68" s="1"/>
  <c r="I63" i="68"/>
  <c r="J52" i="68"/>
  <c r="M36" i="68"/>
  <c r="P156" i="68"/>
  <c r="J150" i="68"/>
  <c r="J142" i="68"/>
  <c r="J144" i="68"/>
  <c r="F107" i="66" a="1"/>
  <c r="F107" i="66" s="1"/>
  <c r="Q107" i="66" s="1"/>
  <c r="F90" i="68" a="1"/>
  <c r="F90" i="68" s="1"/>
  <c r="J90" i="68" s="1"/>
  <c r="F88" i="68" a="1"/>
  <c r="F88" i="68" s="1"/>
  <c r="F89" i="68" a="1"/>
  <c r="F89" i="68" s="1"/>
  <c r="F87" i="68" a="1"/>
  <c r="F87" i="68" s="1"/>
  <c r="F191" i="66" a="1"/>
  <c r="F191" i="66" s="1"/>
  <c r="J191" i="66" s="1"/>
  <c r="F154" i="68" a="1"/>
  <c r="F154" i="68" s="1"/>
  <c r="J154" i="68" s="1"/>
  <c r="F152" i="68" a="1"/>
  <c r="F152" i="68" s="1"/>
  <c r="F153" i="68" a="1"/>
  <c r="F153" i="68" s="1"/>
  <c r="F151" i="68" a="1"/>
  <c r="F151" i="68" s="1"/>
  <c r="F19" i="68" a="1"/>
  <c r="F19" i="68" s="1"/>
  <c r="F22" i="68" a="1"/>
  <c r="F22" i="68" s="1"/>
  <c r="J22" i="68" s="1"/>
  <c r="F20" i="68" a="1"/>
  <c r="F20" i="68" s="1"/>
  <c r="F21" i="68" a="1"/>
  <c r="F21" i="68" s="1"/>
  <c r="Q86" i="68"/>
  <c r="P63" i="68"/>
  <c r="Q119" i="68"/>
  <c r="M69" i="68"/>
  <c r="P29" i="68"/>
  <c r="J113" i="68"/>
  <c r="J119" i="68"/>
  <c r="M163" i="68"/>
  <c r="Q150" i="68"/>
  <c r="P97" i="68"/>
  <c r="J182" i="66"/>
  <c r="Q182" i="66"/>
  <c r="K181" i="52"/>
  <c r="J140" i="66"/>
  <c r="J56" i="66"/>
  <c r="Q140" i="66"/>
  <c r="Q56" i="66"/>
  <c r="Q45" i="66"/>
  <c r="J206" i="66"/>
  <c r="Q129" i="66"/>
  <c r="J129" i="66"/>
  <c r="J45" i="66"/>
  <c r="J171" i="66"/>
  <c r="P35" i="66"/>
  <c r="J98" i="66"/>
  <c r="J87" i="66"/>
  <c r="Q171" i="66"/>
  <c r="Q87" i="66"/>
  <c r="I119" i="66"/>
  <c r="Q206" i="66"/>
  <c r="Q98" i="66"/>
  <c r="I146" i="66"/>
  <c r="I161" i="66" s="1"/>
  <c r="I62" i="66"/>
  <c r="I77" i="66" s="1"/>
  <c r="Q62" i="66"/>
  <c r="Q14" i="66"/>
  <c r="F21" i="66" a="1"/>
  <c r="F21" i="66" s="1"/>
  <c r="J21" i="66" s="1"/>
  <c r="F23" i="66" a="1"/>
  <c r="F23" i="66" s="1"/>
  <c r="J44" i="66"/>
  <c r="Q44" i="66"/>
  <c r="Q86" i="66"/>
  <c r="J86" i="66"/>
  <c r="Q128" i="66"/>
  <c r="J128" i="66"/>
  <c r="J124" i="66"/>
  <c r="Q124" i="66"/>
  <c r="J205" i="66"/>
  <c r="Q205" i="66"/>
  <c r="Q202" i="66"/>
  <c r="J202" i="66"/>
  <c r="Q54" i="66"/>
  <c r="J54" i="66"/>
  <c r="J139" i="66"/>
  <c r="Q139" i="66"/>
  <c r="J136" i="66"/>
  <c r="Q136" i="66"/>
  <c r="J9" i="66"/>
  <c r="Q9" i="66"/>
  <c r="Q13" i="66"/>
  <c r="J13" i="66"/>
  <c r="Q180" i="66"/>
  <c r="J180" i="66"/>
  <c r="J181" i="66"/>
  <c r="Q181" i="66"/>
  <c r="J94" i="66"/>
  <c r="Q94" i="66"/>
  <c r="Q167" i="66"/>
  <c r="J167" i="66"/>
  <c r="Q40" i="66"/>
  <c r="J40" i="66"/>
  <c r="J169" i="66"/>
  <c r="Q169" i="66"/>
  <c r="Q83" i="66"/>
  <c r="J83" i="66"/>
  <c r="J125" i="66"/>
  <c r="Q125" i="66"/>
  <c r="J204" i="66"/>
  <c r="Q204" i="66"/>
  <c r="J201" i="66"/>
  <c r="Q201" i="66"/>
  <c r="J138" i="66"/>
  <c r="Q138" i="66"/>
  <c r="J12" i="66"/>
  <c r="Q12" i="66"/>
  <c r="J10" i="66"/>
  <c r="Q10" i="66"/>
  <c r="Q97" i="66"/>
  <c r="J97" i="66"/>
  <c r="J43" i="66"/>
  <c r="Q43" i="66"/>
  <c r="Q170" i="66"/>
  <c r="J170" i="66"/>
  <c r="Q166" i="66"/>
  <c r="J166" i="66"/>
  <c r="Q85" i="66"/>
  <c r="J85" i="66"/>
  <c r="J127" i="66"/>
  <c r="Q127" i="66"/>
  <c r="J51" i="66"/>
  <c r="Q51" i="66"/>
  <c r="J14" i="66"/>
  <c r="Q93" i="66"/>
  <c r="J93" i="66"/>
  <c r="Q41" i="66"/>
  <c r="J41" i="66"/>
  <c r="Q82" i="66"/>
  <c r="J82" i="66"/>
  <c r="J55" i="66"/>
  <c r="Q55" i="66"/>
  <c r="J52" i="66"/>
  <c r="Q52" i="66"/>
  <c r="J135" i="66"/>
  <c r="Q135" i="66"/>
  <c r="Q177" i="66"/>
  <c r="J177" i="66"/>
  <c r="Q178" i="66"/>
  <c r="J178" i="66"/>
  <c r="Q96" i="66"/>
  <c r="J96" i="66"/>
  <c r="P196" i="66"/>
  <c r="I196" i="66"/>
  <c r="J188" i="66"/>
  <c r="Q188" i="66"/>
  <c r="J104" i="66"/>
  <c r="Q104" i="66"/>
  <c r="P77" i="66"/>
  <c r="Q20" i="66"/>
  <c r="D18" i="61"/>
  <c r="F191" i="52" s="1" a="1"/>
  <c r="F191" i="52" s="1"/>
  <c r="Q191" i="52" s="1"/>
  <c r="F210" i="52" a="1"/>
  <c r="F210" i="52" s="1"/>
  <c r="Q210" i="52" s="1"/>
  <c r="F211" i="52" a="1"/>
  <c r="F211" i="52" s="1"/>
  <c r="Q211" i="52" s="1"/>
  <c r="F212" i="52" a="1"/>
  <c r="F212" i="52" s="1"/>
  <c r="Q212" i="52" s="1"/>
  <c r="F213" i="52" a="1"/>
  <c r="F213" i="52" s="1"/>
  <c r="F214" i="52" a="1"/>
  <c r="F214" i="52" s="1"/>
  <c r="Q214" i="52" s="1"/>
  <c r="J147" i="52"/>
  <c r="J193" i="52"/>
  <c r="M193" i="52" s="1" a="1"/>
  <c r="M193" i="52" s="1"/>
  <c r="J206" i="52"/>
  <c r="M206" i="52" s="1" a="1"/>
  <c r="M206" i="52" s="1"/>
  <c r="J203" i="52"/>
  <c r="M203" i="52" s="1" a="1"/>
  <c r="M203" i="52" s="1"/>
  <c r="J151" i="52"/>
  <c r="J196" i="52"/>
  <c r="M196" i="52" s="1" a="1"/>
  <c r="M196" i="52" s="1"/>
  <c r="J190" i="52"/>
  <c r="M190" i="52" s="1" a="1"/>
  <c r="M190" i="52" s="1"/>
  <c r="J205" i="52"/>
  <c r="M205" i="52" s="1" a="1"/>
  <c r="M205" i="52" s="1"/>
  <c r="J158" i="52"/>
  <c r="M158" i="52" s="1" a="1"/>
  <c r="M158" i="52" s="1"/>
  <c r="J208" i="52"/>
  <c r="M208" i="52" s="1" a="1"/>
  <c r="M208" i="52" s="1"/>
  <c r="F204" i="52"/>
  <c r="J157" i="52"/>
  <c r="F163" i="52" a="1"/>
  <c r="F163" i="52" s="1"/>
  <c r="Q163" i="52" s="1"/>
  <c r="F164" i="52" a="1"/>
  <c r="F164" i="52" s="1"/>
  <c r="Q164" i="52" s="1"/>
  <c r="F166" i="52" a="1"/>
  <c r="F166" i="52" s="1"/>
  <c r="F167" i="52" a="1"/>
  <c r="F167" i="52" s="1"/>
  <c r="Q167" i="52" s="1"/>
  <c r="J148" i="52"/>
  <c r="M148" i="52" s="1" a="1"/>
  <c r="M148" i="52" s="1"/>
  <c r="J194" i="52"/>
  <c r="M194" i="52" s="1" a="1"/>
  <c r="M194" i="52" s="1"/>
  <c r="J161" i="52"/>
  <c r="J114" i="52"/>
  <c r="M114" i="52" s="1"/>
  <c r="F117" i="52" a="1"/>
  <c r="F117" i="52" s="1"/>
  <c r="F118" i="52" a="1"/>
  <c r="F118" i="52" s="1"/>
  <c r="F120" i="52" a="1"/>
  <c r="F120" i="52" s="1"/>
  <c r="F119" i="52" a="1"/>
  <c r="F119" i="52" s="1"/>
  <c r="F121" i="52" a="1"/>
  <c r="F121" i="52" s="1"/>
  <c r="Q121" i="52" s="1"/>
  <c r="F122" i="52" a="1"/>
  <c r="F122" i="52" s="1"/>
  <c r="Q122" i="52" s="1"/>
  <c r="J104" i="52"/>
  <c r="J103" i="52"/>
  <c r="M103" i="52" s="1"/>
  <c r="J115" i="52"/>
  <c r="J22" i="52"/>
  <c r="M22" i="52" s="1"/>
  <c r="D15" i="61"/>
  <c r="F53" i="52" s="1" a="1"/>
  <c r="F53" i="52" s="1"/>
  <c r="Q53" i="52" s="1"/>
  <c r="J70" i="52"/>
  <c r="M70" i="52" s="1" a="1"/>
  <c r="M70" i="52" s="1"/>
  <c r="J65" i="52"/>
  <c r="J67" i="52"/>
  <c r="M67" i="52" s="1" a="1"/>
  <c r="M67" i="52" s="1"/>
  <c r="F75" i="52" a="1"/>
  <c r="F75" i="52" s="1"/>
  <c r="F72" i="52" a="1"/>
  <c r="F72" i="52" s="1"/>
  <c r="Q72" i="52" s="1"/>
  <c r="F76" i="52" a="1"/>
  <c r="F76" i="52" s="1"/>
  <c r="Q76" i="52" s="1"/>
  <c r="F74" i="52" a="1"/>
  <c r="F74" i="52" s="1"/>
  <c r="Q74" i="52" s="1"/>
  <c r="F73" i="52" a="1"/>
  <c r="F73" i="52" s="1"/>
  <c r="Q73" i="52" s="1"/>
  <c r="J68" i="52"/>
  <c r="M68" i="52" s="1" a="1"/>
  <c r="M68" i="52" s="1"/>
  <c r="F26" i="52" a="1"/>
  <c r="F26" i="52" s="1"/>
  <c r="J26" i="52" s="1"/>
  <c r="F29" i="52" a="1"/>
  <c r="F29" i="52" s="1"/>
  <c r="J29" i="52" s="1"/>
  <c r="F27" i="52" a="1"/>
  <c r="F27" i="52" s="1"/>
  <c r="J27" i="52" s="1"/>
  <c r="F25" i="52" a="1"/>
  <c r="F25" i="52" s="1"/>
  <c r="J25" i="52" s="1"/>
  <c r="F28" i="52" a="1"/>
  <c r="F28" i="52" s="1"/>
  <c r="Q28" i="52" s="1"/>
  <c r="J23" i="52"/>
  <c r="M16" i="61"/>
  <c r="F152" i="66" a="1"/>
  <c r="F152" i="66" s="1"/>
  <c r="F147" i="66" a="1"/>
  <c r="F147" i="66" s="1"/>
  <c r="F148" i="66" a="1"/>
  <c r="F148" i="66" s="1"/>
  <c r="F150" i="66" a="1"/>
  <c r="F150" i="66" s="1"/>
  <c r="F151" i="66" a="1"/>
  <c r="F151" i="66" s="1"/>
  <c r="M15" i="61"/>
  <c r="F83" i="52" s="1" a="1"/>
  <c r="F83" i="52" s="1"/>
  <c r="F68" i="66" a="1"/>
  <c r="F68" i="66" s="1"/>
  <c r="J68" i="66" s="1"/>
  <c r="F63" i="66" a="1"/>
  <c r="F63" i="66" s="1"/>
  <c r="F67" i="66" a="1"/>
  <c r="F67" i="66" s="1"/>
  <c r="F64" i="66" a="1"/>
  <c r="F64" i="66" s="1"/>
  <c r="F66" i="66" a="1"/>
  <c r="F66" i="66" s="1"/>
  <c r="J93" i="52"/>
  <c r="M93" i="52" s="1" a="1"/>
  <c r="M93" i="52" s="1"/>
  <c r="J89" i="52"/>
  <c r="M89" i="52" s="1" a="1"/>
  <c r="M89" i="52" s="1"/>
  <c r="J90" i="52"/>
  <c r="M90" i="52" s="1" a="1"/>
  <c r="M90" i="52" s="1"/>
  <c r="J58" i="52"/>
  <c r="M58" i="52" s="1" a="1"/>
  <c r="M58" i="52" s="1"/>
  <c r="J52" i="52"/>
  <c r="M52" i="52" s="1" a="1"/>
  <c r="M52" i="52" s="1"/>
  <c r="M18" i="61"/>
  <c r="F194" i="66" a="1"/>
  <c r="F194" i="66" s="1"/>
  <c r="Q194" i="66" s="1"/>
  <c r="F189" i="66" a="1"/>
  <c r="F189" i="66" s="1"/>
  <c r="F190" i="66" a="1"/>
  <c r="F190" i="66" s="1"/>
  <c r="F193" i="66" a="1"/>
  <c r="F193" i="66" s="1"/>
  <c r="F192" i="66" a="1"/>
  <c r="F192" i="66" s="1"/>
  <c r="M17" i="61"/>
  <c r="F130" i="52" s="1" a="1"/>
  <c r="F130" i="52" s="1"/>
  <c r="F110" i="66" a="1"/>
  <c r="F110" i="66" s="1"/>
  <c r="J110" i="66" s="1"/>
  <c r="F105" i="66" a="1"/>
  <c r="F105" i="66" s="1"/>
  <c r="F109" i="66" a="1"/>
  <c r="F109" i="66" s="1"/>
  <c r="F108" i="66" a="1"/>
  <c r="F108" i="66" s="1"/>
  <c r="F106" i="66" a="1"/>
  <c r="F106" i="66" s="1"/>
  <c r="J91" i="52"/>
  <c r="M91" i="52" s="1" a="1"/>
  <c r="M91" i="52" s="1"/>
  <c r="J56" i="52"/>
  <c r="M56" i="52" s="1" a="1"/>
  <c r="M56" i="52" s="1"/>
  <c r="J55" i="52"/>
  <c r="M55" i="52" s="1" a="1"/>
  <c r="M55" i="52" s="1"/>
  <c r="J46" i="52"/>
  <c r="J10" i="52"/>
  <c r="J43" i="52"/>
  <c r="J42" i="52"/>
  <c r="J11" i="52"/>
  <c r="J44" i="52"/>
  <c r="J13" i="52"/>
  <c r="F24" i="66" a="1"/>
  <c r="F24" i="66" s="1"/>
  <c r="F26" i="66" a="1"/>
  <c r="F26" i="66" s="1"/>
  <c r="Q26" i="66" s="1"/>
  <c r="F25" i="66" a="1"/>
  <c r="F25" i="66" s="1"/>
  <c r="F22" i="66" a="1"/>
  <c r="F22" i="66" s="1"/>
  <c r="J9" i="52"/>
  <c r="M14" i="61"/>
  <c r="D9" i="57" a="1"/>
  <c r="R180" i="52" l="1"/>
  <c r="R182" i="52"/>
  <c r="R149" i="52"/>
  <c r="R222" i="52"/>
  <c r="R221" i="52"/>
  <c r="M147" i="52" a="1"/>
  <c r="M147" i="52" s="1"/>
  <c r="J150" i="52"/>
  <c r="K149" i="52" s="1"/>
  <c r="M159" i="52" a="1"/>
  <c r="M159" i="52" s="1"/>
  <c r="Q160" i="52"/>
  <c r="R157" i="52" s="1"/>
  <c r="M157" i="52" a="1"/>
  <c r="M157" i="52" s="1"/>
  <c r="J160" i="52"/>
  <c r="K157" i="52" s="1"/>
  <c r="Q165" i="52"/>
  <c r="J165" i="52"/>
  <c r="F174" i="52" a="1"/>
  <c r="F174" i="52" s="1"/>
  <c r="F171" i="52" a="1"/>
  <c r="F171" i="52" s="1"/>
  <c r="M161" i="52" a="1"/>
  <c r="M161" i="52" s="1"/>
  <c r="M151" i="52" a="1"/>
  <c r="M151" i="52" s="1"/>
  <c r="Q207" i="52"/>
  <c r="R205" i="52" s="1"/>
  <c r="F36" i="52" a="1"/>
  <c r="F36" i="52" s="1"/>
  <c r="R202" i="52"/>
  <c r="Q213" i="52"/>
  <c r="R212" i="52" s="1"/>
  <c r="Q192" i="52"/>
  <c r="S7" i="66"/>
  <c r="D9" i="57"/>
  <c r="M65" i="52" a="1"/>
  <c r="M65" i="52" s="1"/>
  <c r="R148" i="52"/>
  <c r="R181" i="52"/>
  <c r="Q75" i="52"/>
  <c r="R73" i="52" s="1"/>
  <c r="Q54" i="52"/>
  <c r="Q57" i="52" s="1"/>
  <c r="R89" i="52"/>
  <c r="R90" i="52"/>
  <c r="Q29" i="52"/>
  <c r="K21" i="52"/>
  <c r="K101" i="52"/>
  <c r="K19" i="52"/>
  <c r="K102" i="52"/>
  <c r="R117" i="52"/>
  <c r="R118" i="52"/>
  <c r="R120" i="52"/>
  <c r="R119" i="52"/>
  <c r="M140" i="52"/>
  <c r="K138" i="52"/>
  <c r="K139" i="52"/>
  <c r="K180" i="52"/>
  <c r="M183" i="52" s="1"/>
  <c r="K110" i="52"/>
  <c r="K137" i="52"/>
  <c r="R25" i="52"/>
  <c r="R27" i="52"/>
  <c r="R26" i="52"/>
  <c r="K222" i="52"/>
  <c r="K221" i="52"/>
  <c r="K99" i="52"/>
  <c r="K223" i="52"/>
  <c r="K113" i="52"/>
  <c r="K112" i="52"/>
  <c r="K20" i="52"/>
  <c r="K100" i="52"/>
  <c r="Q66" i="52"/>
  <c r="Q69" i="52" s="1"/>
  <c r="K111" i="52"/>
  <c r="R11" i="52"/>
  <c r="R10" i="52"/>
  <c r="J226" i="52"/>
  <c r="K225" i="52" s="1"/>
  <c r="T7" i="66"/>
  <c r="S7" i="68"/>
  <c r="T7" i="68"/>
  <c r="Q153" i="66"/>
  <c r="J153" i="66"/>
  <c r="Q111" i="66"/>
  <c r="J111" i="66"/>
  <c r="Q27" i="66"/>
  <c r="J27" i="66"/>
  <c r="F62" i="68" a="1"/>
  <c r="F62" i="68" s="1"/>
  <c r="F76" i="66" a="1"/>
  <c r="F76" i="66" s="1"/>
  <c r="Q123" i="68"/>
  <c r="J123" i="68"/>
  <c r="Q91" i="68"/>
  <c r="J91" i="68"/>
  <c r="Q23" i="68"/>
  <c r="J23" i="68"/>
  <c r="Q69" i="66"/>
  <c r="J69" i="66"/>
  <c r="Q195" i="66"/>
  <c r="J195" i="66"/>
  <c r="F28" i="68" a="1"/>
  <c r="F28" i="68" s="1"/>
  <c r="F34" i="66" a="1"/>
  <c r="F34" i="66" s="1"/>
  <c r="F96" i="68" a="1"/>
  <c r="F96" i="68" s="1"/>
  <c r="F118" i="66" a="1"/>
  <c r="F118" i="66" s="1"/>
  <c r="F127" i="68" a="1"/>
  <c r="F127" i="68" s="1"/>
  <c r="F160" i="66" a="1"/>
  <c r="F160" i="66" s="1"/>
  <c r="J57" i="68"/>
  <c r="Q57" i="68"/>
  <c r="J155" i="68"/>
  <c r="Q155" i="68"/>
  <c r="J167" i="52"/>
  <c r="J212" i="52"/>
  <c r="M212" i="52" s="1" a="1"/>
  <c r="M212" i="52" s="1"/>
  <c r="J164" i="52"/>
  <c r="M164" i="52" s="1" a="1"/>
  <c r="M164" i="52" s="1"/>
  <c r="J211" i="52"/>
  <c r="M211" i="52" s="1" a="1"/>
  <c r="M211" i="52" s="1"/>
  <c r="J163" i="52"/>
  <c r="J214" i="52"/>
  <c r="M214" i="52" s="1" a="1"/>
  <c r="M214" i="52" s="1"/>
  <c r="J210" i="52"/>
  <c r="M210" i="52" s="1" a="1"/>
  <c r="M210" i="52" s="1"/>
  <c r="J120" i="52"/>
  <c r="J122" i="52"/>
  <c r="J118" i="52"/>
  <c r="J117" i="52"/>
  <c r="J119" i="52"/>
  <c r="J76" i="52"/>
  <c r="M76" i="52" s="1" a="1"/>
  <c r="M76" i="52" s="1"/>
  <c r="J72" i="52"/>
  <c r="M72" i="52" s="1" a="1"/>
  <c r="M72" i="52" s="1"/>
  <c r="J74" i="52"/>
  <c r="M74" i="52" s="1" a="1"/>
  <c r="M74" i="52" s="1"/>
  <c r="J73" i="52"/>
  <c r="M73" i="52" s="1" a="1"/>
  <c r="M73" i="52" s="1"/>
  <c r="I35" i="66"/>
  <c r="J20" i="66"/>
  <c r="J142" i="52"/>
  <c r="J121" i="68"/>
  <c r="Q121" i="68"/>
  <c r="R68" i="68"/>
  <c r="Q73" i="68"/>
  <c r="Q74" i="68" s="1"/>
  <c r="K34" i="68"/>
  <c r="J39" i="68"/>
  <c r="J40" i="68" s="1"/>
  <c r="K161" i="68"/>
  <c r="J166" i="68"/>
  <c r="J167" i="68" s="1"/>
  <c r="R34" i="68"/>
  <c r="Q39" i="68"/>
  <c r="Q40" i="68" s="1"/>
  <c r="Q167" i="68"/>
  <c r="R167" i="68" s="1"/>
  <c r="R166" i="68"/>
  <c r="R102" i="68"/>
  <c r="Q107" i="68"/>
  <c r="Q108" i="68" s="1"/>
  <c r="K68" i="68"/>
  <c r="J73" i="68"/>
  <c r="J74" i="68" s="1"/>
  <c r="M9" i="68"/>
  <c r="M77" i="68"/>
  <c r="M141" i="68"/>
  <c r="Q19" i="68"/>
  <c r="J19" i="68"/>
  <c r="J151" i="68"/>
  <c r="Q151" i="68"/>
  <c r="M111" i="68"/>
  <c r="J87" i="68"/>
  <c r="Q87" i="68"/>
  <c r="J53" i="68"/>
  <c r="Q53" i="68"/>
  <c r="J120" i="68"/>
  <c r="Q120" i="68"/>
  <c r="M105" i="68"/>
  <c r="M43" i="68"/>
  <c r="Q151" i="66"/>
  <c r="J151" i="66"/>
  <c r="Q148" i="66"/>
  <c r="J148" i="66"/>
  <c r="Q150" i="66"/>
  <c r="J150" i="66"/>
  <c r="J147" i="66"/>
  <c r="Q147" i="66"/>
  <c r="J185" i="52"/>
  <c r="R164" i="68"/>
  <c r="R161" i="68"/>
  <c r="M106" i="68"/>
  <c r="Q149" i="66"/>
  <c r="M149" i="66" s="1"/>
  <c r="M71" i="68"/>
  <c r="Q122" i="68"/>
  <c r="M122" i="68" s="1"/>
  <c r="J107" i="66"/>
  <c r="M107" i="66" s="1"/>
  <c r="J191" i="52"/>
  <c r="M191" i="52" s="1" a="1"/>
  <c r="M191" i="52" s="1"/>
  <c r="Q191" i="66"/>
  <c r="M191" i="66" s="1"/>
  <c r="J86" i="68"/>
  <c r="M86" i="68" s="1"/>
  <c r="R105" i="68"/>
  <c r="Q65" i="66"/>
  <c r="M65" i="66" s="1"/>
  <c r="M135" i="68"/>
  <c r="J137" i="68"/>
  <c r="J138" i="68" s="1"/>
  <c r="M37" i="68"/>
  <c r="M80" i="68"/>
  <c r="Q82" i="68"/>
  <c r="Q83" i="68" s="1"/>
  <c r="Q90" i="68"/>
  <c r="M90" i="68" s="1"/>
  <c r="K163" i="68"/>
  <c r="M164" i="68"/>
  <c r="R71" i="68"/>
  <c r="F72" i="66" a="1"/>
  <c r="F72" i="66" s="1"/>
  <c r="Q72" i="66" s="1"/>
  <c r="F58" i="68" a="1"/>
  <c r="F58" i="68" s="1"/>
  <c r="F61" i="68" a="1"/>
  <c r="F61" i="68" s="1"/>
  <c r="F60" i="68" a="1"/>
  <c r="F60" i="68" s="1"/>
  <c r="F59" i="68" a="1"/>
  <c r="F59" i="68" s="1"/>
  <c r="M38" i="68"/>
  <c r="R163" i="68"/>
  <c r="R162" i="68"/>
  <c r="R35" i="68"/>
  <c r="R36" i="68"/>
  <c r="J21" i="68"/>
  <c r="Q21" i="68"/>
  <c r="Q152" i="68"/>
  <c r="J152" i="68"/>
  <c r="Q88" i="68"/>
  <c r="J88" i="68"/>
  <c r="K36" i="68"/>
  <c r="J18" i="68"/>
  <c r="K71" i="68"/>
  <c r="M150" i="68"/>
  <c r="R37" i="68"/>
  <c r="Q54" i="68"/>
  <c r="J54" i="68"/>
  <c r="Q154" i="68"/>
  <c r="M154" i="68" s="1"/>
  <c r="M12" i="68"/>
  <c r="K35" i="68"/>
  <c r="M46" i="68"/>
  <c r="Q22" i="68"/>
  <c r="F30" i="66" a="1"/>
  <c r="F30" i="66" s="1"/>
  <c r="Q30" i="66" s="1"/>
  <c r="F24" i="68" a="1"/>
  <c r="F24" i="68" s="1"/>
  <c r="F27" i="68" a="1"/>
  <c r="F27" i="68" s="1"/>
  <c r="F25" i="68" a="1"/>
  <c r="F25" i="68" s="1"/>
  <c r="F26" i="68" a="1"/>
  <c r="F26" i="68" s="1"/>
  <c r="F114" i="66" a="1"/>
  <c r="F114" i="66" s="1"/>
  <c r="Q114" i="66" s="1"/>
  <c r="F95" i="68" a="1"/>
  <c r="F95" i="68" s="1"/>
  <c r="F93" i="68" a="1"/>
  <c r="F93" i="68" s="1"/>
  <c r="F94" i="68" a="1"/>
  <c r="F94" i="68" s="1"/>
  <c r="F92" i="68" a="1"/>
  <c r="F92" i="68" s="1"/>
  <c r="F156" i="66" a="1"/>
  <c r="F156" i="66" s="1"/>
  <c r="Q156" i="66" s="1"/>
  <c r="F126" i="68" a="1"/>
  <c r="F126" i="68" s="1"/>
  <c r="F125" i="68" a="1"/>
  <c r="F125" i="68" s="1"/>
  <c r="F124" i="68" a="1"/>
  <c r="F124" i="68" s="1"/>
  <c r="K37" i="68"/>
  <c r="M119" i="68"/>
  <c r="K69" i="68"/>
  <c r="Q153" i="68"/>
  <c r="J153" i="68"/>
  <c r="Q89" i="68"/>
  <c r="J89" i="68"/>
  <c r="M142" i="68"/>
  <c r="R70" i="68"/>
  <c r="R69" i="68"/>
  <c r="M72" i="68"/>
  <c r="K70" i="68"/>
  <c r="M113" i="68"/>
  <c r="J20" i="68"/>
  <c r="Q20" i="68"/>
  <c r="M144" i="68"/>
  <c r="Q55" i="68"/>
  <c r="J55" i="68"/>
  <c r="Q52" i="68"/>
  <c r="M165" i="68"/>
  <c r="K164" i="68"/>
  <c r="K162" i="68"/>
  <c r="J56" i="68"/>
  <c r="R104" i="68"/>
  <c r="R103" i="68"/>
  <c r="M182" i="66"/>
  <c r="Q146" i="66"/>
  <c r="J62" i="66"/>
  <c r="M62" i="66" s="1"/>
  <c r="J194" i="66"/>
  <c r="M87" i="66"/>
  <c r="Q184" i="66"/>
  <c r="Q185" i="66" s="1"/>
  <c r="M98" i="66"/>
  <c r="M129" i="66"/>
  <c r="M56" i="66"/>
  <c r="Q68" i="66"/>
  <c r="J26" i="66"/>
  <c r="Q110" i="66"/>
  <c r="M171" i="66"/>
  <c r="M140" i="66"/>
  <c r="Q152" i="66"/>
  <c r="J152" i="66"/>
  <c r="M45" i="66"/>
  <c r="J146" i="66"/>
  <c r="M206" i="66"/>
  <c r="Q21" i="66"/>
  <c r="J23" i="66"/>
  <c r="Q23" i="66"/>
  <c r="M10" i="66"/>
  <c r="M14" i="66"/>
  <c r="M13" i="66"/>
  <c r="M9" i="66"/>
  <c r="M55" i="66"/>
  <c r="M139" i="66"/>
  <c r="Q109" i="66"/>
  <c r="J109" i="66"/>
  <c r="J64" i="66"/>
  <c r="Q64" i="66"/>
  <c r="M178" i="66"/>
  <c r="M166" i="66"/>
  <c r="M97" i="66"/>
  <c r="M83" i="66"/>
  <c r="M180" i="66"/>
  <c r="M54" i="66"/>
  <c r="M52" i="66"/>
  <c r="M51" i="66"/>
  <c r="M138" i="66"/>
  <c r="M201" i="66"/>
  <c r="M94" i="66"/>
  <c r="M205" i="66"/>
  <c r="M128" i="66"/>
  <c r="M86" i="66"/>
  <c r="J106" i="66"/>
  <c r="Q106" i="66"/>
  <c r="Q189" i="66"/>
  <c r="J189" i="66"/>
  <c r="Q22" i="66"/>
  <c r="J22" i="66"/>
  <c r="J25" i="66"/>
  <c r="Q25" i="66"/>
  <c r="J108" i="66"/>
  <c r="Q108" i="66"/>
  <c r="J190" i="66"/>
  <c r="Q190" i="66"/>
  <c r="J67" i="66"/>
  <c r="Q67" i="66"/>
  <c r="M96" i="66"/>
  <c r="M177" i="66"/>
  <c r="M82" i="66"/>
  <c r="M41" i="66"/>
  <c r="M93" i="66"/>
  <c r="M85" i="66"/>
  <c r="M170" i="66"/>
  <c r="M40" i="66"/>
  <c r="M167" i="66"/>
  <c r="M202" i="66"/>
  <c r="Q24" i="66"/>
  <c r="J24" i="66"/>
  <c r="J193" i="66"/>
  <c r="Q193" i="66"/>
  <c r="Q63" i="66"/>
  <c r="J63" i="66"/>
  <c r="J105" i="66"/>
  <c r="Q105" i="66"/>
  <c r="J192" i="66"/>
  <c r="Q192" i="66"/>
  <c r="J66" i="66"/>
  <c r="Q66" i="66"/>
  <c r="M135" i="66"/>
  <c r="M127" i="66"/>
  <c r="M43" i="66"/>
  <c r="M204" i="66"/>
  <c r="M125" i="66"/>
  <c r="M169" i="66"/>
  <c r="M181" i="66"/>
  <c r="M136" i="66"/>
  <c r="M124" i="66"/>
  <c r="M44" i="66"/>
  <c r="M188" i="66"/>
  <c r="M104" i="66"/>
  <c r="M12" i="66"/>
  <c r="J204" i="52"/>
  <c r="F192" i="52"/>
  <c r="K147" i="52"/>
  <c r="F169" i="52" a="1"/>
  <c r="F169" i="52" s="1"/>
  <c r="Q169" i="52" s="1"/>
  <c r="F170" i="52" a="1"/>
  <c r="F170" i="52" s="1"/>
  <c r="Q170" i="52" s="1"/>
  <c r="F172" i="52" a="1"/>
  <c r="F172" i="52" s="1"/>
  <c r="F173" i="52" a="1"/>
  <c r="F173" i="52" s="1"/>
  <c r="Q173" i="52" s="1"/>
  <c r="J105" i="52"/>
  <c r="J116" i="52"/>
  <c r="J53" i="52"/>
  <c r="M53" i="52" s="1" a="1"/>
  <c r="M53" i="52" s="1"/>
  <c r="F124" i="52" a="1"/>
  <c r="F124" i="52" s="1"/>
  <c r="F125" i="52" a="1"/>
  <c r="F125" i="52" s="1"/>
  <c r="F127" i="52" a="1"/>
  <c r="F127" i="52" s="1"/>
  <c r="F126" i="52" a="1"/>
  <c r="F126" i="52" s="1"/>
  <c r="F128" i="52" a="1"/>
  <c r="F128" i="52" s="1"/>
  <c r="Q128" i="52" s="1"/>
  <c r="F129" i="52" a="1"/>
  <c r="F129" i="52" s="1"/>
  <c r="Q129" i="52" s="1"/>
  <c r="F54" i="52"/>
  <c r="J12" i="52"/>
  <c r="K11" i="52" s="1"/>
  <c r="J92" i="52"/>
  <c r="K89" i="52" s="1"/>
  <c r="J45" i="52"/>
  <c r="M45" i="52" s="1"/>
  <c r="J24" i="52"/>
  <c r="F79" i="52" a="1"/>
  <c r="F79" i="52" s="1"/>
  <c r="Q79" i="52" s="1"/>
  <c r="F80" i="52" a="1"/>
  <c r="F80" i="52" s="1"/>
  <c r="Q80" i="52" s="1"/>
  <c r="F81" i="52" a="1"/>
  <c r="F81" i="52" s="1"/>
  <c r="F82" i="52" a="1"/>
  <c r="F82" i="52" s="1"/>
  <c r="Q82" i="52" s="1"/>
  <c r="F78" i="52" a="1"/>
  <c r="F78" i="52" s="1"/>
  <c r="Q78" i="52" s="1"/>
  <c r="J66" i="52"/>
  <c r="K65" i="52" s="1"/>
  <c r="F34" i="52" a="1"/>
  <c r="F34" i="52" s="1"/>
  <c r="Q34" i="52" s="1"/>
  <c r="F32" i="52" a="1"/>
  <c r="F32" i="52" s="1"/>
  <c r="J32" i="52" s="1"/>
  <c r="F35" i="52" a="1"/>
  <c r="F35" i="52" s="1"/>
  <c r="Q35" i="52" s="1"/>
  <c r="F33" i="52" a="1"/>
  <c r="F33" i="52" s="1"/>
  <c r="J33" i="52" s="1"/>
  <c r="F31" i="52" a="1"/>
  <c r="F31" i="52" s="1"/>
  <c r="J31" i="52" s="1"/>
  <c r="F116" i="66" a="1"/>
  <c r="F116" i="66" s="1"/>
  <c r="F115" i="66" a="1"/>
  <c r="F115" i="66" s="1"/>
  <c r="F113" i="66" a="1"/>
  <c r="F113" i="66" s="1"/>
  <c r="F117" i="66" a="1"/>
  <c r="F117" i="66" s="1"/>
  <c r="F112" i="66" a="1"/>
  <c r="F112" i="66" s="1"/>
  <c r="F74" i="66" a="1"/>
  <c r="F74" i="66" s="1"/>
  <c r="F73" i="66" a="1"/>
  <c r="F73" i="66" s="1"/>
  <c r="F71" i="66" a="1"/>
  <c r="F71" i="66" s="1"/>
  <c r="F75" i="66" a="1"/>
  <c r="F75" i="66" s="1"/>
  <c r="F70" i="66" a="1"/>
  <c r="F70" i="66" s="1"/>
  <c r="F158" i="66" a="1"/>
  <c r="F158" i="66" s="1"/>
  <c r="F157" i="66" a="1"/>
  <c r="F157" i="66" s="1"/>
  <c r="F155" i="66" a="1"/>
  <c r="F155" i="66" s="1"/>
  <c r="F159" i="66" a="1"/>
  <c r="F159" i="66" s="1"/>
  <c r="F154" i="66" a="1"/>
  <c r="F154" i="66" s="1"/>
  <c r="F32" i="66" a="1"/>
  <c r="F32" i="66" s="1"/>
  <c r="F29" i="66" a="1"/>
  <c r="F29" i="66" s="1"/>
  <c r="F28" i="66" a="1"/>
  <c r="F28" i="66" s="1"/>
  <c r="F31" i="66" a="1"/>
  <c r="F31" i="66" s="1"/>
  <c r="F33" i="66" a="1"/>
  <c r="F33" i="66" s="1"/>
  <c r="AC36" i="53" a="1"/>
  <c r="AC36" i="81" a="1"/>
  <c r="AI36" i="79" a="1"/>
  <c r="AI36" i="53" a="1"/>
  <c r="AC36" i="79" a="1"/>
  <c r="AC36" i="82" a="1"/>
  <c r="AI36" i="80" a="1"/>
  <c r="R206" i="52" l="1"/>
  <c r="K159" i="52"/>
  <c r="R159" i="52"/>
  <c r="R158" i="52"/>
  <c r="M165" i="52" a="1"/>
  <c r="M165" i="52" s="1"/>
  <c r="J171" i="52"/>
  <c r="Q171" i="52"/>
  <c r="Q166" i="52"/>
  <c r="R164" i="52" s="1"/>
  <c r="M167" i="52" a="1"/>
  <c r="M167" i="52" s="1"/>
  <c r="M163" i="52" a="1"/>
  <c r="M163" i="52" s="1"/>
  <c r="J166" i="52"/>
  <c r="K165" i="52" s="1"/>
  <c r="R204" i="52"/>
  <c r="R211" i="52"/>
  <c r="R210" i="52"/>
  <c r="R191" i="52"/>
  <c r="Q195" i="52"/>
  <c r="R192" i="52" s="1"/>
  <c r="R190" i="52"/>
  <c r="R53" i="52"/>
  <c r="R52" i="52"/>
  <c r="M224" i="52"/>
  <c r="Q81" i="52"/>
  <c r="R78" i="52" s="1"/>
  <c r="J227" i="52"/>
  <c r="J228" i="52" s="1"/>
  <c r="K10" i="52"/>
  <c r="K148" i="52"/>
  <c r="M150" i="52" s="1"/>
  <c r="R74" i="52"/>
  <c r="K9" i="52"/>
  <c r="R65" i="52"/>
  <c r="R64" i="52"/>
  <c r="K44" i="52"/>
  <c r="K43" i="52"/>
  <c r="K90" i="52"/>
  <c r="R32" i="52"/>
  <c r="R31" i="52"/>
  <c r="R33" i="52"/>
  <c r="K202" i="52"/>
  <c r="K203" i="52"/>
  <c r="R55" i="52"/>
  <c r="R56" i="52"/>
  <c r="M66" i="52"/>
  <c r="K64" i="52"/>
  <c r="M92" i="52"/>
  <c r="R124" i="52"/>
  <c r="R125" i="52"/>
  <c r="R126" i="52"/>
  <c r="R127" i="52"/>
  <c r="R72" i="52"/>
  <c r="K91" i="52"/>
  <c r="K158" i="52"/>
  <c r="M160" i="52" s="1"/>
  <c r="K42" i="52"/>
  <c r="R54" i="52"/>
  <c r="M12" i="52"/>
  <c r="J207" i="52"/>
  <c r="K204" i="52" s="1"/>
  <c r="K224" i="52"/>
  <c r="K140" i="52"/>
  <c r="K141" i="52"/>
  <c r="AC36" i="82"/>
  <c r="AC36" i="81"/>
  <c r="AI36" i="80"/>
  <c r="AI36" i="79"/>
  <c r="AC36" i="79"/>
  <c r="Q160" i="66"/>
  <c r="J160" i="66"/>
  <c r="Q34" i="66"/>
  <c r="J34" i="66"/>
  <c r="Q76" i="66"/>
  <c r="J76" i="66"/>
  <c r="Q127" i="68"/>
  <c r="J127" i="68"/>
  <c r="Q28" i="68"/>
  <c r="J28" i="68"/>
  <c r="J29" i="68" s="1"/>
  <c r="Q62" i="68"/>
  <c r="J62" i="68"/>
  <c r="Q118" i="66"/>
  <c r="J118" i="66"/>
  <c r="J96" i="68"/>
  <c r="Q96" i="68"/>
  <c r="J169" i="52"/>
  <c r="J173" i="52"/>
  <c r="J35" i="52"/>
  <c r="J170" i="52"/>
  <c r="M170" i="52" s="1" a="1"/>
  <c r="M170" i="52" s="1"/>
  <c r="J121" i="52"/>
  <c r="M121" i="52" s="1"/>
  <c r="J124" i="52"/>
  <c r="J125" i="52"/>
  <c r="J126" i="52"/>
  <c r="J129" i="52"/>
  <c r="J127" i="52"/>
  <c r="J82" i="52"/>
  <c r="M82" i="52" s="1" a="1"/>
  <c r="M82" i="52" s="1"/>
  <c r="J80" i="52"/>
  <c r="M80" i="52" s="1" a="1"/>
  <c r="M80" i="52" s="1"/>
  <c r="J78" i="52"/>
  <c r="M78" i="52" s="1" a="1"/>
  <c r="M78" i="52" s="1"/>
  <c r="J79" i="52"/>
  <c r="M79" i="52" s="1" a="1"/>
  <c r="M79" i="52" s="1"/>
  <c r="J143" i="52"/>
  <c r="J144" i="52" s="1"/>
  <c r="AI36" i="53"/>
  <c r="M120" i="68"/>
  <c r="M74" i="68"/>
  <c r="M121" i="68"/>
  <c r="K183" i="52"/>
  <c r="K105" i="68"/>
  <c r="K104" i="68"/>
  <c r="K103" i="68"/>
  <c r="K135" i="68"/>
  <c r="AC36" i="53"/>
  <c r="M40" i="68"/>
  <c r="R166" i="66"/>
  <c r="Q173" i="66"/>
  <c r="Q174" i="66" s="1"/>
  <c r="R203" i="66"/>
  <c r="Q208" i="66"/>
  <c r="K11" i="66"/>
  <c r="J16" i="66"/>
  <c r="J17" i="66" s="1"/>
  <c r="K77" i="68"/>
  <c r="J82" i="68"/>
  <c r="J83" i="68" s="1"/>
  <c r="K203" i="66"/>
  <c r="J208" i="66"/>
  <c r="J209" i="66" s="1"/>
  <c r="R53" i="66"/>
  <c r="Q58" i="66"/>
  <c r="Q59" i="66" s="1"/>
  <c r="K42" i="66"/>
  <c r="J47" i="66"/>
  <c r="J48" i="66" s="1"/>
  <c r="R126" i="66"/>
  <c r="Q131" i="66"/>
  <c r="Q132" i="66" s="1"/>
  <c r="K84" i="66"/>
  <c r="J89" i="66"/>
  <c r="J90" i="66" s="1"/>
  <c r="R11" i="66"/>
  <c r="Q16" i="66"/>
  <c r="Q17" i="66" s="1"/>
  <c r="K137" i="66"/>
  <c r="J142" i="66"/>
  <c r="J143" i="66" s="1"/>
  <c r="K141" i="68"/>
  <c r="J146" i="68"/>
  <c r="J147" i="68" s="1"/>
  <c r="R135" i="68"/>
  <c r="Q137" i="68"/>
  <c r="Q138" i="68" s="1"/>
  <c r="J106" i="52"/>
  <c r="J107" i="52" s="1"/>
  <c r="R140" i="66"/>
  <c r="Q142" i="66"/>
  <c r="Q143" i="66" s="1"/>
  <c r="K53" i="66"/>
  <c r="J58" i="66"/>
  <c r="J59" i="66" s="1"/>
  <c r="R95" i="66"/>
  <c r="Q100" i="66"/>
  <c r="Q101" i="66" s="1"/>
  <c r="K168" i="66"/>
  <c r="J173" i="66"/>
  <c r="J174" i="66" s="1"/>
  <c r="K43" i="68"/>
  <c r="J48" i="68"/>
  <c r="J49" i="68" s="1"/>
  <c r="R43" i="68"/>
  <c r="Q48" i="68"/>
  <c r="Q49" i="68" s="1"/>
  <c r="R10" i="68"/>
  <c r="Q14" i="68"/>
  <c r="Q15" i="68" s="1"/>
  <c r="K9" i="68"/>
  <c r="J14" i="68"/>
  <c r="J15" i="68" s="1"/>
  <c r="J186" i="52"/>
  <c r="J187" i="52" s="1"/>
  <c r="K95" i="66"/>
  <c r="J100" i="66"/>
  <c r="J101" i="66" s="1"/>
  <c r="R84" i="66"/>
  <c r="Q89" i="66"/>
  <c r="Q90" i="66" s="1"/>
  <c r="K126" i="66"/>
  <c r="J131" i="66"/>
  <c r="J132" i="66" s="1"/>
  <c r="R42" i="66"/>
  <c r="Q47" i="66"/>
  <c r="Q48" i="66" s="1"/>
  <c r="J184" i="66"/>
  <c r="J185" i="66" s="1"/>
  <c r="M185" i="66" s="1"/>
  <c r="R141" i="68"/>
  <c r="Q146" i="68"/>
  <c r="Q147" i="68" s="1"/>
  <c r="K113" i="68"/>
  <c r="J115" i="68"/>
  <c r="J116" i="68" s="1"/>
  <c r="R111" i="68"/>
  <c r="Q115" i="68"/>
  <c r="Q116" i="68" s="1"/>
  <c r="K102" i="68"/>
  <c r="J107" i="68"/>
  <c r="J108" i="68" s="1"/>
  <c r="M167" i="68"/>
  <c r="J58" i="68"/>
  <c r="Q58" i="68"/>
  <c r="M53" i="68"/>
  <c r="M87" i="68"/>
  <c r="M151" i="68"/>
  <c r="J124" i="68"/>
  <c r="Q124" i="68"/>
  <c r="R120" i="68" s="1"/>
  <c r="Q92" i="68"/>
  <c r="J92" i="68"/>
  <c r="Q24" i="68"/>
  <c r="J24" i="68"/>
  <c r="R133" i="68"/>
  <c r="R134" i="68"/>
  <c r="K111" i="68"/>
  <c r="M19" i="68"/>
  <c r="M136" i="68"/>
  <c r="K133" i="68"/>
  <c r="M150" i="66"/>
  <c r="M151" i="66"/>
  <c r="M148" i="66"/>
  <c r="Q155" i="66"/>
  <c r="J155" i="66"/>
  <c r="M147" i="66"/>
  <c r="K184" i="52"/>
  <c r="R80" i="68"/>
  <c r="R77" i="68"/>
  <c r="J192" i="52"/>
  <c r="K191" i="52" s="1"/>
  <c r="J72" i="66"/>
  <c r="M72" i="66" s="1"/>
  <c r="J114" i="66"/>
  <c r="M114" i="66" s="1"/>
  <c r="J156" i="66"/>
  <c r="M156" i="66" s="1"/>
  <c r="K134" i="68"/>
  <c r="R79" i="68"/>
  <c r="K10" i="68"/>
  <c r="R12" i="68"/>
  <c r="K12" i="68"/>
  <c r="R11" i="68"/>
  <c r="K11" i="68"/>
  <c r="R9" i="68"/>
  <c r="J30" i="66"/>
  <c r="M30" i="66" s="1"/>
  <c r="M13" i="68"/>
  <c r="K144" i="68"/>
  <c r="K142" i="68"/>
  <c r="R78" i="68"/>
  <c r="R113" i="68"/>
  <c r="R112" i="68"/>
  <c r="M114" i="68"/>
  <c r="R46" i="68"/>
  <c r="R45" i="68"/>
  <c r="R44" i="68"/>
  <c r="K112" i="68"/>
  <c r="M81" i="68"/>
  <c r="K80" i="68"/>
  <c r="K78" i="68"/>
  <c r="K79" i="68"/>
  <c r="M55" i="68"/>
  <c r="R205" i="66"/>
  <c r="M89" i="68"/>
  <c r="M153" i="68"/>
  <c r="K204" i="66"/>
  <c r="Q126" i="68"/>
  <c r="J126" i="68"/>
  <c r="K202" i="66"/>
  <c r="M88" i="68"/>
  <c r="M152" i="68"/>
  <c r="K201" i="66"/>
  <c r="K171" i="66"/>
  <c r="R201" i="66"/>
  <c r="R19" i="68"/>
  <c r="J93" i="68"/>
  <c r="Q93" i="68"/>
  <c r="J26" i="68"/>
  <c r="Q26" i="68"/>
  <c r="Q27" i="68"/>
  <c r="J27" i="68"/>
  <c r="M22" i="68"/>
  <c r="R204" i="66"/>
  <c r="M21" i="68"/>
  <c r="J60" i="68"/>
  <c r="Q60" i="68"/>
  <c r="Q61" i="68"/>
  <c r="J61" i="68"/>
  <c r="M146" i="66"/>
  <c r="M56" i="68"/>
  <c r="M52" i="68"/>
  <c r="K206" i="66"/>
  <c r="Q125" i="68"/>
  <c r="J125" i="68"/>
  <c r="R87" i="68"/>
  <c r="R206" i="66"/>
  <c r="M20" i="68"/>
  <c r="M47" i="68"/>
  <c r="K45" i="68"/>
  <c r="K46" i="68"/>
  <c r="K44" i="68"/>
  <c r="R202" i="66"/>
  <c r="Q94" i="68"/>
  <c r="J94" i="68"/>
  <c r="Q95" i="68"/>
  <c r="J95" i="68"/>
  <c r="Q25" i="68"/>
  <c r="J25" i="68"/>
  <c r="M54" i="68"/>
  <c r="R142" i="68"/>
  <c r="R143" i="68"/>
  <c r="R144" i="68"/>
  <c r="M18" i="68"/>
  <c r="M145" i="68"/>
  <c r="K143" i="68"/>
  <c r="K205" i="66"/>
  <c r="J59" i="68"/>
  <c r="Q59" i="68"/>
  <c r="R152" i="66"/>
  <c r="R56" i="66"/>
  <c r="R128" i="66"/>
  <c r="K94" i="66"/>
  <c r="R85" i="66"/>
  <c r="K140" i="66"/>
  <c r="R98" i="66"/>
  <c r="K86" i="66"/>
  <c r="R9" i="66"/>
  <c r="R169" i="66"/>
  <c r="R12" i="66"/>
  <c r="K170" i="66"/>
  <c r="R41" i="66"/>
  <c r="K52" i="66"/>
  <c r="K98" i="66"/>
  <c r="K124" i="66"/>
  <c r="R13" i="66"/>
  <c r="R83" i="66"/>
  <c r="K10" i="66"/>
  <c r="K41" i="66"/>
  <c r="R52" i="66"/>
  <c r="R124" i="66"/>
  <c r="K13" i="66"/>
  <c r="K83" i="66"/>
  <c r="R10" i="66"/>
  <c r="K166" i="66"/>
  <c r="M172" i="66"/>
  <c r="R168" i="66"/>
  <c r="R129" i="66"/>
  <c r="R54" i="66"/>
  <c r="R167" i="66"/>
  <c r="K127" i="66"/>
  <c r="K93" i="66"/>
  <c r="K96" i="66"/>
  <c r="R45" i="66"/>
  <c r="K128" i="66"/>
  <c r="R94" i="66"/>
  <c r="K85" i="66"/>
  <c r="R87" i="66"/>
  <c r="K125" i="66"/>
  <c r="R97" i="66"/>
  <c r="K14" i="66"/>
  <c r="R125" i="66"/>
  <c r="K97" i="66"/>
  <c r="R93" i="66"/>
  <c r="R96" i="66"/>
  <c r="M21" i="66"/>
  <c r="M68" i="66"/>
  <c r="K44" i="66"/>
  <c r="K139" i="66"/>
  <c r="R40" i="66"/>
  <c r="K43" i="66"/>
  <c r="K51" i="66"/>
  <c r="R55" i="66"/>
  <c r="K129" i="66"/>
  <c r="K54" i="66"/>
  <c r="K167" i="66"/>
  <c r="R127" i="66"/>
  <c r="R82" i="66"/>
  <c r="R14" i="66"/>
  <c r="K82" i="66"/>
  <c r="K55" i="66"/>
  <c r="M141" i="66"/>
  <c r="R137" i="66"/>
  <c r="K152" i="66"/>
  <c r="K87" i="66"/>
  <c r="R86" i="66"/>
  <c r="K9" i="66"/>
  <c r="K169" i="66"/>
  <c r="K12" i="66"/>
  <c r="R170" i="66"/>
  <c r="R135" i="66"/>
  <c r="R171" i="66"/>
  <c r="R44" i="66"/>
  <c r="R139" i="66"/>
  <c r="K40" i="66"/>
  <c r="R43" i="66"/>
  <c r="R51" i="66"/>
  <c r="K56" i="66"/>
  <c r="K136" i="66"/>
  <c r="K138" i="66"/>
  <c r="K45" i="66"/>
  <c r="R136" i="66"/>
  <c r="R138" i="66"/>
  <c r="K135" i="66"/>
  <c r="K177" i="66"/>
  <c r="K181" i="66"/>
  <c r="K178" i="66"/>
  <c r="K180" i="66"/>
  <c r="K179" i="66"/>
  <c r="K182" i="66"/>
  <c r="R178" i="66"/>
  <c r="R177" i="66"/>
  <c r="R180" i="66"/>
  <c r="R179" i="66"/>
  <c r="R181" i="66"/>
  <c r="R182" i="66"/>
  <c r="M183" i="66"/>
  <c r="K105" i="66"/>
  <c r="K21" i="66"/>
  <c r="M88" i="66"/>
  <c r="R26" i="66"/>
  <c r="J33" i="66"/>
  <c r="Q33" i="66"/>
  <c r="K66" i="66"/>
  <c r="M207" i="66"/>
  <c r="R107" i="66"/>
  <c r="M110" i="66"/>
  <c r="Q75" i="66"/>
  <c r="J75" i="66"/>
  <c r="M57" i="66"/>
  <c r="M152" i="66"/>
  <c r="M26" i="66"/>
  <c r="M130" i="66"/>
  <c r="Q159" i="66"/>
  <c r="J159" i="66"/>
  <c r="J117" i="66"/>
  <c r="Q117" i="66"/>
  <c r="K191" i="66"/>
  <c r="M99" i="66"/>
  <c r="M46" i="66"/>
  <c r="R65" i="66"/>
  <c r="M194" i="66"/>
  <c r="M23" i="66"/>
  <c r="M25" i="66"/>
  <c r="M106" i="66"/>
  <c r="Q28" i="66"/>
  <c r="J28" i="66"/>
  <c r="Q157" i="66"/>
  <c r="J157" i="66"/>
  <c r="Q70" i="66"/>
  <c r="J70" i="66"/>
  <c r="Q73" i="66"/>
  <c r="J73" i="66"/>
  <c r="M63" i="66"/>
  <c r="M24" i="66"/>
  <c r="M190" i="66"/>
  <c r="M108" i="66"/>
  <c r="J113" i="66"/>
  <c r="Q113" i="66"/>
  <c r="J116" i="66"/>
  <c r="Q116" i="66"/>
  <c r="M192" i="66"/>
  <c r="M193" i="66"/>
  <c r="M189" i="66"/>
  <c r="J31" i="66"/>
  <c r="Q31" i="66"/>
  <c r="J29" i="66"/>
  <c r="Q29" i="66"/>
  <c r="J74" i="66"/>
  <c r="Q74" i="66"/>
  <c r="J112" i="66"/>
  <c r="Q112" i="66"/>
  <c r="J115" i="66"/>
  <c r="Q115" i="66"/>
  <c r="M67" i="66"/>
  <c r="M109" i="66"/>
  <c r="J32" i="66"/>
  <c r="Q32" i="66"/>
  <c r="Q158" i="66"/>
  <c r="J158" i="66"/>
  <c r="J71" i="66"/>
  <c r="Q71" i="66"/>
  <c r="M66" i="66"/>
  <c r="M105" i="66"/>
  <c r="M22" i="66"/>
  <c r="M64" i="66"/>
  <c r="K114" i="52"/>
  <c r="J69" i="52"/>
  <c r="K66" i="52" s="1"/>
  <c r="J54" i="52"/>
  <c r="K22" i="52"/>
  <c r="J162" i="52"/>
  <c r="J152" i="52"/>
  <c r="J213" i="52"/>
  <c r="K211" i="52" s="1"/>
  <c r="K115" i="52"/>
  <c r="K104" i="52"/>
  <c r="K103" i="52"/>
  <c r="J28" i="52"/>
  <c r="J75" i="52"/>
  <c r="M75" i="52" s="1"/>
  <c r="J94" i="52"/>
  <c r="J14" i="52"/>
  <c r="J47" i="52"/>
  <c r="J48" i="52" s="1"/>
  <c r="J49" i="52" s="1"/>
  <c r="K23" i="52"/>
  <c r="Q154" i="66"/>
  <c r="J154" i="66"/>
  <c r="AI35" i="81" a="1"/>
  <c r="D48" i="85" a="1"/>
  <c r="AC35" i="79" a="1"/>
  <c r="O35" i="79" a="1"/>
  <c r="O35" i="81" a="1"/>
  <c r="AC34" i="80" a="1"/>
  <c r="AC34" i="53" a="1"/>
  <c r="AI35" i="53" a="1"/>
  <c r="I36" i="82" a="1"/>
  <c r="AC34" i="82" a="1"/>
  <c r="I35" i="81" a="1"/>
  <c r="I35" i="82" a="1"/>
  <c r="O36" i="53" a="1"/>
  <c r="O36" i="79" a="1"/>
  <c r="I48" i="85" a="1"/>
  <c r="I36" i="81" a="1"/>
  <c r="O35" i="82" a="1"/>
  <c r="I54" i="85" a="1"/>
  <c r="AI35" i="79" a="1"/>
  <c r="AI35" i="80" a="1"/>
  <c r="AI36" i="81" a="1"/>
  <c r="AC35" i="80" a="1"/>
  <c r="D54" i="85" a="1"/>
  <c r="AI36" i="82" a="1"/>
  <c r="O36" i="81" a="1"/>
  <c r="I36" i="53" a="1"/>
  <c r="O36" i="80" a="1"/>
  <c r="D66" i="85" a="1"/>
  <c r="I35" i="79" a="1"/>
  <c r="D72" i="85" a="1"/>
  <c r="O36" i="82" a="1"/>
  <c r="I36" i="80" a="1"/>
  <c r="AF36" i="79" a="1"/>
  <c r="AC35" i="53" a="1"/>
  <c r="AF36" i="82" a="1"/>
  <c r="I36" i="79" a="1"/>
  <c r="AC35" i="81" a="1"/>
  <c r="O35" i="80" a="1"/>
  <c r="AC36" i="80" a="1"/>
  <c r="AC35" i="82" a="1"/>
  <c r="I35" i="80" a="1"/>
  <c r="O35" i="53" a="1"/>
  <c r="I35" i="53" a="1"/>
  <c r="I60" i="85" a="1"/>
  <c r="AC34" i="81" a="1"/>
  <c r="AF36" i="53" a="1"/>
  <c r="R165" i="52" l="1"/>
  <c r="K164" i="52"/>
  <c r="M171" i="52" a="1"/>
  <c r="M171" i="52" s="1"/>
  <c r="R163" i="52"/>
  <c r="Q172" i="52"/>
  <c r="R170" i="52" s="1"/>
  <c r="M173" i="52" a="1"/>
  <c r="M173" i="52" s="1"/>
  <c r="M169" i="52" a="1"/>
  <c r="M169" i="52" s="1"/>
  <c r="J172" i="52"/>
  <c r="K169" i="52" s="1"/>
  <c r="D54" i="85"/>
  <c r="I54" i="85"/>
  <c r="I60" i="85"/>
  <c r="I48" i="85"/>
  <c r="D72" i="85"/>
  <c r="D48" i="85"/>
  <c r="D66" i="85"/>
  <c r="R193" i="52"/>
  <c r="R194" i="52"/>
  <c r="AD36" i="82"/>
  <c r="AD36" i="53"/>
  <c r="AD36" i="81"/>
  <c r="M105" i="52"/>
  <c r="M116" i="52"/>
  <c r="M142" i="52"/>
  <c r="J209" i="52"/>
  <c r="K207" i="52" s="1"/>
  <c r="M204" i="52"/>
  <c r="R80" i="52"/>
  <c r="K74" i="52"/>
  <c r="J95" i="52"/>
  <c r="J96" i="52" s="1"/>
  <c r="K93" i="52"/>
  <c r="M54" i="52"/>
  <c r="K52" i="52"/>
  <c r="K120" i="52"/>
  <c r="K212" i="52"/>
  <c r="K190" i="52"/>
  <c r="M192" i="52" s="1"/>
  <c r="K67" i="52"/>
  <c r="K68" i="52"/>
  <c r="K119" i="52"/>
  <c r="M69" i="52"/>
  <c r="R67" i="52"/>
  <c r="R68" i="52"/>
  <c r="K118" i="52"/>
  <c r="K210" i="52"/>
  <c r="K53" i="52"/>
  <c r="K25" i="52"/>
  <c r="K26" i="52"/>
  <c r="K27" i="52"/>
  <c r="K160" i="52"/>
  <c r="K205" i="52"/>
  <c r="K206" i="52"/>
  <c r="K73" i="52"/>
  <c r="K92" i="52"/>
  <c r="K163" i="52"/>
  <c r="M166" i="52" s="1"/>
  <c r="R66" i="52"/>
  <c r="K72" i="52"/>
  <c r="K117" i="52"/>
  <c r="R79" i="52"/>
  <c r="J195" i="52"/>
  <c r="J128" i="52"/>
  <c r="M128" i="52" s="1"/>
  <c r="J123" i="52"/>
  <c r="AF36" i="82"/>
  <c r="AF36" i="53"/>
  <c r="AF36" i="79"/>
  <c r="AD36" i="79"/>
  <c r="AC34" i="82"/>
  <c r="O35" i="82"/>
  <c r="O36" i="82"/>
  <c r="AC35" i="82"/>
  <c r="AC36" i="80"/>
  <c r="I36" i="82"/>
  <c r="AI36" i="82"/>
  <c r="AI36" i="81"/>
  <c r="I35" i="82"/>
  <c r="I36" i="80"/>
  <c r="O36" i="81"/>
  <c r="I35" i="81"/>
  <c r="AC35" i="81"/>
  <c r="AC35" i="80"/>
  <c r="AI35" i="80"/>
  <c r="AI35" i="81"/>
  <c r="O36" i="80"/>
  <c r="I36" i="81"/>
  <c r="AC34" i="80"/>
  <c r="AC34" i="81"/>
  <c r="O35" i="80"/>
  <c r="O35" i="81"/>
  <c r="I35" i="80"/>
  <c r="I36" i="79"/>
  <c r="AC35" i="79"/>
  <c r="AI35" i="79"/>
  <c r="O36" i="79"/>
  <c r="O35" i="79"/>
  <c r="I35" i="79"/>
  <c r="M138" i="68"/>
  <c r="O35" i="53"/>
  <c r="AI35" i="53"/>
  <c r="O36" i="53"/>
  <c r="M126" i="68"/>
  <c r="M108" i="68"/>
  <c r="M83" i="68"/>
  <c r="M124" i="68"/>
  <c r="M125" i="68"/>
  <c r="K120" i="68"/>
  <c r="M123" i="68"/>
  <c r="M174" i="66"/>
  <c r="M132" i="66"/>
  <c r="M101" i="66"/>
  <c r="M59" i="66"/>
  <c r="M116" i="68"/>
  <c r="I36" i="53"/>
  <c r="AC35" i="53"/>
  <c r="I35" i="53"/>
  <c r="AC34" i="53"/>
  <c r="M15" i="68"/>
  <c r="M48" i="66"/>
  <c r="M17" i="66"/>
  <c r="M147" i="68"/>
  <c r="J153" i="52"/>
  <c r="J154" i="52" s="1"/>
  <c r="Q209" i="66"/>
  <c r="R208" i="66"/>
  <c r="M49" i="68"/>
  <c r="M143" i="66"/>
  <c r="M90" i="66"/>
  <c r="M24" i="68"/>
  <c r="M92" i="68"/>
  <c r="M58" i="68"/>
  <c r="M155" i="66"/>
  <c r="J15" i="52"/>
  <c r="J16" i="52" s="1"/>
  <c r="K153" i="68"/>
  <c r="K151" i="68"/>
  <c r="Q156" i="68"/>
  <c r="Q157" i="68" s="1"/>
  <c r="Q158" i="68" s="1"/>
  <c r="R151" i="68"/>
  <c r="K89" i="68"/>
  <c r="K87" i="68"/>
  <c r="K54" i="68"/>
  <c r="K53" i="68"/>
  <c r="R56" i="68"/>
  <c r="R53" i="68"/>
  <c r="K21" i="68"/>
  <c r="K19" i="68"/>
  <c r="M153" i="66"/>
  <c r="R154" i="68"/>
  <c r="K20" i="68"/>
  <c r="R20" i="68"/>
  <c r="M59" i="68"/>
  <c r="M95" i="68"/>
  <c r="K56" i="68"/>
  <c r="R152" i="68"/>
  <c r="M93" i="68"/>
  <c r="R21" i="68"/>
  <c r="K88" i="68"/>
  <c r="M91" i="68"/>
  <c r="K90" i="68"/>
  <c r="R92" i="68"/>
  <c r="R88" i="68"/>
  <c r="R55" i="68"/>
  <c r="R54" i="68"/>
  <c r="K55" i="68"/>
  <c r="M25" i="68"/>
  <c r="M94" i="68"/>
  <c r="K121" i="68"/>
  <c r="K122" i="68"/>
  <c r="R90" i="68"/>
  <c r="K92" i="68"/>
  <c r="M60" i="68"/>
  <c r="M26" i="68"/>
  <c r="R153" i="68"/>
  <c r="K152" i="68"/>
  <c r="R125" i="68"/>
  <c r="M155" i="68"/>
  <c r="K154" i="68"/>
  <c r="J156" i="68"/>
  <c r="J157" i="68" s="1"/>
  <c r="J158" i="68" s="1"/>
  <c r="M57" i="68"/>
  <c r="R121" i="68"/>
  <c r="R122" i="68"/>
  <c r="M61" i="68"/>
  <c r="M27" i="68"/>
  <c r="R89" i="68"/>
  <c r="R22" i="68"/>
  <c r="M23" i="68"/>
  <c r="K22" i="68"/>
  <c r="R22" i="66"/>
  <c r="R193" i="66"/>
  <c r="R192" i="66"/>
  <c r="R105" i="66"/>
  <c r="R24" i="66"/>
  <c r="R108" i="66"/>
  <c r="R66" i="66"/>
  <c r="R190" i="66"/>
  <c r="R68" i="66"/>
  <c r="K23" i="66"/>
  <c r="K26" i="66"/>
  <c r="K25" i="66"/>
  <c r="R25" i="66"/>
  <c r="K108" i="66"/>
  <c r="K193" i="66"/>
  <c r="K192" i="66"/>
  <c r="R106" i="66"/>
  <c r="K67" i="66"/>
  <c r="R110" i="66"/>
  <c r="R23" i="66"/>
  <c r="R194" i="66"/>
  <c r="R191" i="66"/>
  <c r="K150" i="66"/>
  <c r="K147" i="66"/>
  <c r="K151" i="66"/>
  <c r="K148" i="66"/>
  <c r="K149" i="66"/>
  <c r="R64" i="66"/>
  <c r="R21" i="66"/>
  <c r="K190" i="66"/>
  <c r="R63" i="66"/>
  <c r="K22" i="66"/>
  <c r="K24" i="66"/>
  <c r="R109" i="66"/>
  <c r="R189" i="66"/>
  <c r="R67" i="66"/>
  <c r="K68" i="66"/>
  <c r="K65" i="66"/>
  <c r="K110" i="66"/>
  <c r="K107" i="66"/>
  <c r="K106" i="66"/>
  <c r="K194" i="66"/>
  <c r="R150" i="66"/>
  <c r="R151" i="66"/>
  <c r="R148" i="66"/>
  <c r="R147" i="66"/>
  <c r="R149" i="66"/>
  <c r="K109" i="66"/>
  <c r="K189" i="66"/>
  <c r="K63" i="66"/>
  <c r="K64" i="66"/>
  <c r="Q196" i="66"/>
  <c r="Q197" i="66" s="1"/>
  <c r="Q198" i="66" s="1"/>
  <c r="M27" i="66"/>
  <c r="K156" i="66"/>
  <c r="M159" i="66"/>
  <c r="M69" i="66"/>
  <c r="K114" i="66"/>
  <c r="K30" i="66"/>
  <c r="M195" i="66"/>
  <c r="J196" i="66"/>
  <c r="J197" i="66" s="1"/>
  <c r="J198" i="66" s="1"/>
  <c r="R156" i="66"/>
  <c r="R30" i="66"/>
  <c r="M111" i="66"/>
  <c r="R114" i="66"/>
  <c r="M75" i="66"/>
  <c r="M33" i="66"/>
  <c r="K45" i="52"/>
  <c r="K72" i="66"/>
  <c r="M117" i="66"/>
  <c r="R72" i="66"/>
  <c r="K161" i="52"/>
  <c r="M113" i="66"/>
  <c r="M70" i="66"/>
  <c r="M157" i="66"/>
  <c r="M158" i="66"/>
  <c r="M32" i="66"/>
  <c r="M112" i="66"/>
  <c r="M29" i="66"/>
  <c r="M116" i="66"/>
  <c r="M71" i="66"/>
  <c r="M74" i="66"/>
  <c r="M73" i="66"/>
  <c r="M28" i="66"/>
  <c r="M115" i="66"/>
  <c r="M31" i="66"/>
  <c r="M154" i="66"/>
  <c r="M15" i="66"/>
  <c r="J57" i="52"/>
  <c r="J168" i="52"/>
  <c r="J77" i="52"/>
  <c r="J71" i="52"/>
  <c r="J215" i="52"/>
  <c r="J30" i="52"/>
  <c r="K150" i="52"/>
  <c r="K151" i="52"/>
  <c r="K12" i="52"/>
  <c r="J34" i="52"/>
  <c r="J81" i="52"/>
  <c r="M81" i="52" s="1"/>
  <c r="K13" i="52"/>
  <c r="K46" i="52"/>
  <c r="L36" i="81" a="1"/>
  <c r="L36" i="53" a="1"/>
  <c r="L35" i="81" a="1"/>
  <c r="L35" i="80" a="1"/>
  <c r="I47" i="85" a="1"/>
  <c r="D72" i="83" a="1"/>
  <c r="AF35" i="81" a="1"/>
  <c r="AF35" i="80" a="1"/>
  <c r="D46" i="85" a="1"/>
  <c r="I60" i="83" a="1"/>
  <c r="D71" i="83" a="1"/>
  <c r="L35" i="53" a="1"/>
  <c r="I48" i="83" a="1"/>
  <c r="I65" i="85" a="1"/>
  <c r="L35" i="82" a="1"/>
  <c r="AI35" i="82" a="1"/>
  <c r="I47" i="83" a="1"/>
  <c r="I71" i="83" a="1"/>
  <c r="L35" i="79" a="1"/>
  <c r="U22" i="57" a="1"/>
  <c r="L36" i="79" a="1"/>
  <c r="D47" i="85" a="1"/>
  <c r="AF36" i="80" a="1"/>
  <c r="D47" i="83" a="1"/>
  <c r="U25" i="57" a="1"/>
  <c r="D60" i="83" a="1"/>
  <c r="D53" i="83" a="1"/>
  <c r="I72" i="85" a="1"/>
  <c r="U21" i="57" a="1"/>
  <c r="I34" i="53" a="1"/>
  <c r="AF35" i="53" a="1"/>
  <c r="I53" i="85" a="1"/>
  <c r="D58" i="85" a="1"/>
  <c r="I34" i="80" a="1"/>
  <c r="I59" i="83" a="1"/>
  <c r="L36" i="80" a="1"/>
  <c r="I66" i="83" a="1"/>
  <c r="D53" i="85" a="1"/>
  <c r="AF36" i="81" a="1"/>
  <c r="D59" i="85" a="1"/>
  <c r="I72" i="83" a="1"/>
  <c r="D48" i="83" a="1"/>
  <c r="I54" i="83" a="1"/>
  <c r="L36" i="82" a="1"/>
  <c r="D54" i="83" a="1"/>
  <c r="AF35" i="79" a="1"/>
  <c r="D70" i="85" a="1"/>
  <c r="AC34" i="79" a="1"/>
  <c r="D71" i="85" a="1"/>
  <c r="I65" i="83" a="1"/>
  <c r="D66" i="83" a="1"/>
  <c r="D60" i="85" a="1"/>
  <c r="I59" i="85" a="1"/>
  <c r="I66" i="85" a="1"/>
  <c r="D65" i="85" a="1"/>
  <c r="D64" i="85" a="1"/>
  <c r="I53" i="83" a="1"/>
  <c r="D65" i="83" a="1"/>
  <c r="D59" i="83" a="1"/>
  <c r="R171" i="52" l="1"/>
  <c r="K171" i="52"/>
  <c r="R169" i="52"/>
  <c r="I47" i="85"/>
  <c r="D64" i="85"/>
  <c r="I65" i="85"/>
  <c r="I66" i="85"/>
  <c r="D71" i="85"/>
  <c r="D47" i="85"/>
  <c r="D58" i="85"/>
  <c r="I59" i="85"/>
  <c r="I72" i="85"/>
  <c r="I53" i="85"/>
  <c r="D59" i="85"/>
  <c r="D46" i="85"/>
  <c r="D53" i="85"/>
  <c r="D65" i="85"/>
  <c r="D60" i="85"/>
  <c r="D70" i="85"/>
  <c r="D65" i="83"/>
  <c r="D47" i="83"/>
  <c r="I53" i="83"/>
  <c r="D54" i="83"/>
  <c r="I47" i="83"/>
  <c r="I54" i="83"/>
  <c r="D59" i="83"/>
  <c r="I66" i="83"/>
  <c r="I72" i="83"/>
  <c r="D48" i="83"/>
  <c r="I65" i="83"/>
  <c r="D66" i="83"/>
  <c r="D60" i="83"/>
  <c r="D72" i="83"/>
  <c r="I71" i="83"/>
  <c r="I48" i="83"/>
  <c r="D53" i="83"/>
  <c r="I59" i="83"/>
  <c r="I60" i="83"/>
  <c r="D71" i="83"/>
  <c r="U21" i="57"/>
  <c r="U25" i="57"/>
  <c r="U22" i="57"/>
  <c r="AG36" i="82"/>
  <c r="AD35" i="80"/>
  <c r="AG36" i="53"/>
  <c r="AD35" i="81"/>
  <c r="AD36" i="80"/>
  <c r="AD35" i="82"/>
  <c r="K208" i="52"/>
  <c r="M213" i="52"/>
  <c r="M207" i="52"/>
  <c r="AC34" i="79"/>
  <c r="K167" i="52"/>
  <c r="M34" i="52"/>
  <c r="K32" i="52"/>
  <c r="K31" i="52"/>
  <c r="K33" i="52"/>
  <c r="M57" i="52"/>
  <c r="K55" i="52"/>
  <c r="K56" i="52"/>
  <c r="K194" i="52"/>
  <c r="K193" i="52"/>
  <c r="K80" i="52"/>
  <c r="K192" i="52"/>
  <c r="K124" i="52"/>
  <c r="K78" i="52"/>
  <c r="K125" i="52"/>
  <c r="K127" i="52"/>
  <c r="K54" i="52"/>
  <c r="K126" i="52"/>
  <c r="K170" i="52"/>
  <c r="M172" i="52" s="1"/>
  <c r="K79" i="52"/>
  <c r="J197" i="52"/>
  <c r="J198" i="52" s="1"/>
  <c r="J199" i="52" s="1"/>
  <c r="K121" i="52"/>
  <c r="K122" i="52"/>
  <c r="J36" i="81"/>
  <c r="J35" i="81"/>
  <c r="J36" i="82"/>
  <c r="J35" i="82"/>
  <c r="J36" i="80"/>
  <c r="J36" i="79"/>
  <c r="J35" i="79"/>
  <c r="J35" i="80"/>
  <c r="J130" i="52"/>
  <c r="AG36" i="79"/>
  <c r="AF36" i="80"/>
  <c r="AF36" i="81"/>
  <c r="AF35" i="79"/>
  <c r="AF35" i="81"/>
  <c r="AF35" i="53"/>
  <c r="AF35" i="80"/>
  <c r="AD35" i="79"/>
  <c r="AI35" i="82"/>
  <c r="L36" i="82"/>
  <c r="L35" i="82"/>
  <c r="AD34" i="82"/>
  <c r="AC37" i="82"/>
  <c r="L36" i="81"/>
  <c r="L36" i="80"/>
  <c r="I34" i="80"/>
  <c r="L35" i="80"/>
  <c r="L35" i="81"/>
  <c r="AD34" i="80"/>
  <c r="AC37" i="80"/>
  <c r="AD34" i="81"/>
  <c r="AC37" i="81"/>
  <c r="L35" i="79"/>
  <c r="L36" i="79"/>
  <c r="J216" i="52"/>
  <c r="J217" i="52" s="1"/>
  <c r="J218" i="52" s="1"/>
  <c r="J35" i="66"/>
  <c r="J36" i="66" s="1"/>
  <c r="J37" i="66" s="1"/>
  <c r="R209" i="66"/>
  <c r="AD34" i="53"/>
  <c r="AC37" i="53"/>
  <c r="J128" i="68"/>
  <c r="J129" i="68" s="1"/>
  <c r="J130" i="68" s="1"/>
  <c r="M127" i="68"/>
  <c r="M198" i="66"/>
  <c r="M158" i="68"/>
  <c r="L35" i="53"/>
  <c r="I34" i="53"/>
  <c r="L36" i="53"/>
  <c r="M209" i="66"/>
  <c r="K124" i="68"/>
  <c r="M156" i="68"/>
  <c r="K61" i="68"/>
  <c r="K58" i="68"/>
  <c r="R60" i="68"/>
  <c r="R58" i="68"/>
  <c r="J63" i="68"/>
  <c r="K25" i="68"/>
  <c r="K24" i="68"/>
  <c r="Q29" i="68"/>
  <c r="R24" i="68"/>
  <c r="Q97" i="68"/>
  <c r="Q98" i="68" s="1"/>
  <c r="Q99" i="68" s="1"/>
  <c r="R59" i="68"/>
  <c r="R94" i="68"/>
  <c r="K27" i="68"/>
  <c r="K126" i="68"/>
  <c r="K60" i="68"/>
  <c r="R93" i="68"/>
  <c r="M96" i="68"/>
  <c r="R61" i="68"/>
  <c r="Q63" i="68"/>
  <c r="Q64" i="68" s="1"/>
  <c r="Q65" i="68" s="1"/>
  <c r="M62" i="68"/>
  <c r="R25" i="68"/>
  <c r="R26" i="68"/>
  <c r="R126" i="68"/>
  <c r="Q128" i="68"/>
  <c r="Q129" i="68" s="1"/>
  <c r="Q130" i="68" s="1"/>
  <c r="K26" i="68"/>
  <c r="M28" i="68"/>
  <c r="J30" i="68"/>
  <c r="J31" i="68" s="1"/>
  <c r="K94" i="68"/>
  <c r="R95" i="68"/>
  <c r="J97" i="68"/>
  <c r="J98" i="68" s="1"/>
  <c r="J99" i="68" s="1"/>
  <c r="R27" i="68"/>
  <c r="K125" i="68"/>
  <c r="K59" i="68"/>
  <c r="K93" i="68"/>
  <c r="K95" i="68"/>
  <c r="K113" i="66"/>
  <c r="K154" i="66"/>
  <c r="K115" i="66"/>
  <c r="R116" i="66"/>
  <c r="K159" i="66"/>
  <c r="R117" i="66"/>
  <c r="R115" i="66"/>
  <c r="K116" i="66"/>
  <c r="R155" i="66"/>
  <c r="R31" i="66"/>
  <c r="R158" i="66"/>
  <c r="R74" i="66"/>
  <c r="R28" i="66"/>
  <c r="K29" i="66"/>
  <c r="R33" i="66"/>
  <c r="Q77" i="66"/>
  <c r="Q78" i="66" s="1"/>
  <c r="Q79" i="66" s="1"/>
  <c r="R159" i="66"/>
  <c r="K75" i="66"/>
  <c r="K157" i="66"/>
  <c r="K71" i="66"/>
  <c r="K73" i="66"/>
  <c r="K158" i="66"/>
  <c r="K28" i="66"/>
  <c r="K155" i="66"/>
  <c r="R70" i="66"/>
  <c r="K31" i="66"/>
  <c r="R32" i="66"/>
  <c r="R154" i="66"/>
  <c r="Q35" i="66"/>
  <c r="Q36" i="66" s="1"/>
  <c r="Q37" i="66" s="1"/>
  <c r="K112" i="66"/>
  <c r="R75" i="66"/>
  <c r="R157" i="66"/>
  <c r="K117" i="66"/>
  <c r="K70" i="66"/>
  <c r="R113" i="66"/>
  <c r="R112" i="66"/>
  <c r="K33" i="66"/>
  <c r="K74" i="66"/>
  <c r="R71" i="66"/>
  <c r="K32" i="66"/>
  <c r="R73" i="66"/>
  <c r="R29" i="66"/>
  <c r="J161" i="66"/>
  <c r="M196" i="66"/>
  <c r="Q119" i="66"/>
  <c r="Q120" i="66" s="1"/>
  <c r="Q121" i="66" s="1"/>
  <c r="Q161" i="66"/>
  <c r="Q162" i="66" s="1"/>
  <c r="Q163" i="66" s="1"/>
  <c r="M34" i="66"/>
  <c r="M160" i="66"/>
  <c r="M76" i="66"/>
  <c r="J77" i="66"/>
  <c r="M118" i="66"/>
  <c r="J119" i="66"/>
  <c r="J120" i="66" s="1"/>
  <c r="J121" i="66" s="1"/>
  <c r="K76" i="52"/>
  <c r="K166" i="52"/>
  <c r="K214" i="52"/>
  <c r="J174" i="52"/>
  <c r="K70" i="52"/>
  <c r="K69" i="52"/>
  <c r="K195" i="52"/>
  <c r="K213" i="52"/>
  <c r="K29" i="52"/>
  <c r="J83" i="52"/>
  <c r="K82" i="52" s="1"/>
  <c r="K75" i="52"/>
  <c r="J59" i="52"/>
  <c r="K28" i="52"/>
  <c r="J36" i="52"/>
  <c r="K34" i="52" s="1"/>
  <c r="J35" i="53"/>
  <c r="J36" i="53"/>
  <c r="Y36" i="81" a="1"/>
  <c r="Y35" i="53" a="1"/>
  <c r="S36" i="82" a="1"/>
  <c r="U12" i="57" a="1"/>
  <c r="T24" i="57" a="1"/>
  <c r="Y35" i="79" a="1"/>
  <c r="D73" i="85" a="1"/>
  <c r="I71" i="85" a="1"/>
  <c r="D46" i="83" a="1"/>
  <c r="U9" i="57" a="1"/>
  <c r="T13" i="57" a="1"/>
  <c r="T10" i="57" a="1"/>
  <c r="S35" i="53" a="1"/>
  <c r="D67" i="85" a="1"/>
  <c r="S36" i="53" a="1"/>
  <c r="T12" i="57" a="1"/>
  <c r="Y36" i="82" a="1"/>
  <c r="D52" i="85" a="1"/>
  <c r="T9" i="57" a="1"/>
  <c r="U11" i="57" a="1"/>
  <c r="U24" i="57" a="1"/>
  <c r="S36" i="80" a="1"/>
  <c r="U13" i="57" a="1"/>
  <c r="I34" i="82" a="1"/>
  <c r="S35" i="80" a="1"/>
  <c r="Y35" i="80" a="1"/>
  <c r="Y35" i="82" a="1"/>
  <c r="D49" i="85" a="1"/>
  <c r="D61" i="85" a="1"/>
  <c r="U10" i="57" a="1"/>
  <c r="Y35" i="81" a="1"/>
  <c r="D58" i="83" a="1"/>
  <c r="U23" i="57" a="1"/>
  <c r="T21" i="57" a="1"/>
  <c r="AF35" i="82" a="1"/>
  <c r="T22" i="57" a="1"/>
  <c r="T23" i="57" a="1"/>
  <c r="T11" i="57" a="1"/>
  <c r="D67" i="85" l="1"/>
  <c r="D49" i="85"/>
  <c r="D73" i="85"/>
  <c r="I71" i="85"/>
  <c r="D61" i="85"/>
  <c r="D52" i="85"/>
  <c r="D46" i="83"/>
  <c r="D58" i="83"/>
  <c r="T23" i="57"/>
  <c r="U24" i="57"/>
  <c r="T21" i="57"/>
  <c r="U23" i="57"/>
  <c r="T24" i="57"/>
  <c r="T22" i="57"/>
  <c r="T13" i="57"/>
  <c r="U12" i="57"/>
  <c r="T10" i="57"/>
  <c r="U11" i="57"/>
  <c r="T12" i="57"/>
  <c r="U13" i="57"/>
  <c r="T11" i="57"/>
  <c r="U10" i="57"/>
  <c r="T9" i="57"/>
  <c r="U9" i="57"/>
  <c r="AG36" i="81"/>
  <c r="AG36" i="80"/>
  <c r="AC37" i="79"/>
  <c r="AG35" i="80"/>
  <c r="AG35" i="81"/>
  <c r="K196" i="52"/>
  <c r="M123" i="52"/>
  <c r="AD34" i="79"/>
  <c r="AD37" i="79" s="1"/>
  <c r="AG37" i="79" s="1"/>
  <c r="M195" i="52"/>
  <c r="J175" i="52"/>
  <c r="J176" i="52" s="1"/>
  <c r="J177" i="52" s="1"/>
  <c r="J131" i="52"/>
  <c r="J132" i="52" s="1"/>
  <c r="J133" i="52" s="1"/>
  <c r="K129" i="52"/>
  <c r="K128" i="52"/>
  <c r="J71" i="83"/>
  <c r="F71" i="83"/>
  <c r="G72" i="83"/>
  <c r="J72" i="83"/>
  <c r="F65" i="83"/>
  <c r="J65" i="83"/>
  <c r="J66" i="83"/>
  <c r="G66" i="83"/>
  <c r="G60" i="83"/>
  <c r="J60" i="83"/>
  <c r="J59" i="83"/>
  <c r="F59" i="83"/>
  <c r="F53" i="83"/>
  <c r="J53" i="83"/>
  <c r="J54" i="83"/>
  <c r="G54" i="83"/>
  <c r="J47" i="83"/>
  <c r="J48" i="83"/>
  <c r="F47" i="83"/>
  <c r="G48" i="83"/>
  <c r="M36" i="81"/>
  <c r="M35" i="82"/>
  <c r="M35" i="80"/>
  <c r="M36" i="79"/>
  <c r="M35" i="81"/>
  <c r="M36" i="82"/>
  <c r="M35" i="79"/>
  <c r="M36" i="80"/>
  <c r="I34" i="82"/>
  <c r="AG35" i="79"/>
  <c r="AF35" i="82"/>
  <c r="Y35" i="82"/>
  <c r="Y36" i="82"/>
  <c r="S36" i="82"/>
  <c r="AD37" i="82"/>
  <c r="AG37" i="82" s="1"/>
  <c r="S36" i="80"/>
  <c r="Y36" i="81"/>
  <c r="S35" i="80"/>
  <c r="Y35" i="80"/>
  <c r="Y35" i="81"/>
  <c r="AD37" i="80"/>
  <c r="AG37" i="80" s="1"/>
  <c r="AD37" i="81"/>
  <c r="AG37" i="81" s="1"/>
  <c r="J34" i="80"/>
  <c r="I37" i="80"/>
  <c r="Y35" i="79"/>
  <c r="Y35" i="53"/>
  <c r="J34" i="53"/>
  <c r="I37" i="53"/>
  <c r="M121" i="66"/>
  <c r="M99" i="68"/>
  <c r="M130" i="68"/>
  <c r="M128" i="68"/>
  <c r="S35" i="53"/>
  <c r="S36" i="53"/>
  <c r="M37" i="66"/>
  <c r="Q30" i="68"/>
  <c r="Q31" i="68" s="1"/>
  <c r="J78" i="66"/>
  <c r="J79" i="66" s="1"/>
  <c r="J162" i="66"/>
  <c r="J163" i="66" s="1"/>
  <c r="K57" i="52"/>
  <c r="J60" i="52"/>
  <c r="J61" i="52" s="1"/>
  <c r="J64" i="68"/>
  <c r="J65" i="68" s="1"/>
  <c r="R124" i="68"/>
  <c r="M63" i="68"/>
  <c r="M29" i="68"/>
  <c r="M97" i="68"/>
  <c r="M77" i="66"/>
  <c r="M35" i="66"/>
  <c r="M119" i="66"/>
  <c r="M161" i="66"/>
  <c r="K35" i="52"/>
  <c r="J37" i="52"/>
  <c r="K81" i="52"/>
  <c r="K173" i="52"/>
  <c r="J84" i="52"/>
  <c r="K58" i="52"/>
  <c r="K172" i="52"/>
  <c r="M36" i="53"/>
  <c r="M35" i="53"/>
  <c r="I66" i="84" a="1"/>
  <c r="D47" i="84" a="1"/>
  <c r="I65" i="84" a="1"/>
  <c r="S34" i="82" a="1"/>
  <c r="S35" i="81" a="1"/>
  <c r="I34" i="81" a="1"/>
  <c r="I53" i="84" a="1"/>
  <c r="Y36" i="79" a="1"/>
  <c r="D55" i="85" a="1"/>
  <c r="D48" i="84" a="1"/>
  <c r="T25" i="57" a="1"/>
  <c r="S36" i="81" a="1"/>
  <c r="V35" i="80" a="1"/>
  <c r="S36" i="79" a="1"/>
  <c r="D61" i="83" a="1"/>
  <c r="D49" i="83" a="1"/>
  <c r="D59" i="84" a="1"/>
  <c r="D70" i="83" a="1"/>
  <c r="Y36" i="53" a="1"/>
  <c r="I59" i="84" a="1"/>
  <c r="S35" i="82" a="1"/>
  <c r="Y36" i="80" a="1"/>
  <c r="S35" i="79" a="1"/>
  <c r="I34" i="79" a="1"/>
  <c r="V36" i="82" a="1"/>
  <c r="I71" i="84" a="1"/>
  <c r="D72" i="84" a="1"/>
  <c r="I72" i="84" a="1"/>
  <c r="V35" i="53" a="1"/>
  <c r="I47" i="84" a="1"/>
  <c r="D60" i="84" a="1"/>
  <c r="D55" i="85" l="1"/>
  <c r="I59" i="84"/>
  <c r="D48" i="84"/>
  <c r="I47" i="84"/>
  <c r="D59" i="84"/>
  <c r="D72" i="84"/>
  <c r="D47" i="84"/>
  <c r="I53" i="84"/>
  <c r="I66" i="84"/>
  <c r="I72" i="84"/>
  <c r="I65" i="84"/>
  <c r="D60" i="84"/>
  <c r="I71" i="84"/>
  <c r="D70" i="83"/>
  <c r="D49" i="83"/>
  <c r="D61" i="83"/>
  <c r="D62" i="83" s="1"/>
  <c r="T25" i="57"/>
  <c r="AG35" i="82"/>
  <c r="J37" i="53"/>
  <c r="M130" i="52"/>
  <c r="T36" i="53"/>
  <c r="T36" i="80"/>
  <c r="T35" i="53"/>
  <c r="T35" i="80"/>
  <c r="T36" i="82"/>
  <c r="I37" i="82"/>
  <c r="J34" i="82"/>
  <c r="J37" i="82" s="1"/>
  <c r="M37" i="82" s="1"/>
  <c r="S35" i="82"/>
  <c r="S34" i="82"/>
  <c r="V36" i="82"/>
  <c r="AD38" i="82"/>
  <c r="AD38" i="80"/>
  <c r="S36" i="81"/>
  <c r="S36" i="79"/>
  <c r="S35" i="81"/>
  <c r="S35" i="79"/>
  <c r="I34" i="81"/>
  <c r="I34" i="79"/>
  <c r="Y36" i="80"/>
  <c r="V35" i="80"/>
  <c r="J37" i="80"/>
  <c r="M37" i="80" s="1"/>
  <c r="AD38" i="81"/>
  <c r="Y36" i="79"/>
  <c r="AD38" i="79"/>
  <c r="Y36" i="53"/>
  <c r="M31" i="68"/>
  <c r="M163" i="66"/>
  <c r="M65" i="68"/>
  <c r="M79" i="66"/>
  <c r="V35" i="53"/>
  <c r="J85" i="52"/>
  <c r="J86" i="52" s="1"/>
  <c r="J38" i="52"/>
  <c r="J39" i="52" s="1"/>
  <c r="U19" i="57" a="1"/>
  <c r="T15" i="57" a="1"/>
  <c r="D53" i="84" a="1"/>
  <c r="V36" i="80" a="1"/>
  <c r="D54" i="84" a="1"/>
  <c r="S34" i="53" a="1"/>
  <c r="D64" i="83" a="1"/>
  <c r="I48" i="84" a="1"/>
  <c r="D52" i="83" a="1"/>
  <c r="T17" i="57" a="1"/>
  <c r="D73" i="83" a="1"/>
  <c r="D71" i="84" a="1"/>
  <c r="D65" i="84" a="1"/>
  <c r="I60" i="84" a="1"/>
  <c r="S34" i="80" a="1"/>
  <c r="V36" i="81" a="1"/>
  <c r="V36" i="53" a="1"/>
  <c r="S34" i="79" a="1"/>
  <c r="V35" i="79" a="1"/>
  <c r="V35" i="81" a="1"/>
  <c r="V36" i="79" a="1"/>
  <c r="V35" i="82" a="1"/>
  <c r="D66" i="84" a="1"/>
  <c r="I54" i="84" a="1"/>
  <c r="D70" i="84" a="1"/>
  <c r="S34" i="81" a="1"/>
  <c r="I54" i="84" l="1"/>
  <c r="I60" i="84"/>
  <c r="D65" i="84"/>
  <c r="F65" i="84" s="1"/>
  <c r="D54" i="84"/>
  <c r="I48" i="84"/>
  <c r="D66" i="84"/>
  <c r="J66" i="84" s="1"/>
  <c r="D70" i="84"/>
  <c r="D53" i="84"/>
  <c r="J53" i="84" s="1"/>
  <c r="D71" i="84"/>
  <c r="F71" i="84" s="1"/>
  <c r="D52" i="83"/>
  <c r="D73" i="83"/>
  <c r="D64" i="83"/>
  <c r="T15" i="57"/>
  <c r="U19" i="57"/>
  <c r="T17" i="57"/>
  <c r="J38" i="53"/>
  <c r="W36" i="82"/>
  <c r="J65" i="85"/>
  <c r="J71" i="85"/>
  <c r="F53" i="85"/>
  <c r="J66" i="85"/>
  <c r="F47" i="85"/>
  <c r="J47" i="85"/>
  <c r="F59" i="85"/>
  <c r="J59" i="85"/>
  <c r="G72" i="85"/>
  <c r="J72" i="85"/>
  <c r="W35" i="80"/>
  <c r="T35" i="82"/>
  <c r="F59" i="84"/>
  <c r="J59" i="84"/>
  <c r="T36" i="81"/>
  <c r="F47" i="84"/>
  <c r="J47" i="84"/>
  <c r="G72" i="84"/>
  <c r="J72" i="84"/>
  <c r="T35" i="81"/>
  <c r="D50" i="83"/>
  <c r="T36" i="79"/>
  <c r="T35" i="79"/>
  <c r="V35" i="82"/>
  <c r="T34" i="82"/>
  <c r="S37" i="82"/>
  <c r="J38" i="82"/>
  <c r="V35" i="81"/>
  <c r="V35" i="79"/>
  <c r="S34" i="81"/>
  <c r="V36" i="81"/>
  <c r="V36" i="80"/>
  <c r="S34" i="80"/>
  <c r="J38" i="80"/>
  <c r="J34" i="81"/>
  <c r="I37" i="81"/>
  <c r="J34" i="79"/>
  <c r="I37" i="79"/>
  <c r="V36" i="79"/>
  <c r="S34" i="79"/>
  <c r="V36" i="53"/>
  <c r="S34" i="53"/>
  <c r="U17" i="57" a="1"/>
  <c r="D67" i="83" a="1"/>
  <c r="D55" i="83" a="1"/>
  <c r="D73" i="84" a="1"/>
  <c r="U15" i="57" a="1"/>
  <c r="D46" i="84" a="1"/>
  <c r="T18" i="57" a="1"/>
  <c r="D52" i="84" a="1"/>
  <c r="T19" i="57" a="1"/>
  <c r="D64" i="84" a="1"/>
  <c r="U18" i="57" a="1"/>
  <c r="D58" i="84" a="1"/>
  <c r="U16" i="57" a="1"/>
  <c r="T16" i="57" a="1"/>
  <c r="D46" i="84" l="1"/>
  <c r="D64" i="84"/>
  <c r="D73" i="84"/>
  <c r="D74" i="84" s="1"/>
  <c r="D52" i="84"/>
  <c r="D58" i="84"/>
  <c r="D67" i="83"/>
  <c r="D68" i="83" s="1"/>
  <c r="D55" i="83"/>
  <c r="D56" i="83" s="1"/>
  <c r="U15" i="57"/>
  <c r="T16" i="57"/>
  <c r="U17" i="57"/>
  <c r="T18" i="57"/>
  <c r="T19" i="57"/>
  <c r="U16" i="57"/>
  <c r="U18" i="57"/>
  <c r="W36" i="53"/>
  <c r="W36" i="80"/>
  <c r="F53" i="84"/>
  <c r="F65" i="85"/>
  <c r="G66" i="85"/>
  <c r="J53" i="85"/>
  <c r="F71" i="85"/>
  <c r="D74" i="85"/>
  <c r="G54" i="85"/>
  <c r="J54" i="85"/>
  <c r="G48" i="85"/>
  <c r="J48" i="85"/>
  <c r="W35" i="81"/>
  <c r="G66" i="84"/>
  <c r="W36" i="81"/>
  <c r="G60" i="85"/>
  <c r="J60" i="85"/>
  <c r="W35" i="82"/>
  <c r="J65" i="84"/>
  <c r="J60" i="84"/>
  <c r="G60" i="84"/>
  <c r="J71" i="84"/>
  <c r="G54" i="84"/>
  <c r="J54" i="84"/>
  <c r="G48" i="84"/>
  <c r="J48" i="84"/>
  <c r="D74" i="83"/>
  <c r="W36" i="79"/>
  <c r="W35" i="79"/>
  <c r="T37" i="82"/>
  <c r="W37" i="82" s="1"/>
  <c r="J37" i="79"/>
  <c r="T34" i="81"/>
  <c r="S37" i="81"/>
  <c r="J37" i="81"/>
  <c r="M37" i="81" s="1"/>
  <c r="T34" i="80"/>
  <c r="S37" i="80"/>
  <c r="T34" i="79"/>
  <c r="S37" i="79"/>
  <c r="T34" i="53"/>
  <c r="T37" i="53" s="1"/>
  <c r="W37" i="53" s="1"/>
  <c r="S37" i="53"/>
  <c r="D49" i="84" a="1"/>
  <c r="D67" i="84" a="1"/>
  <c r="D61" i="84" a="1"/>
  <c r="D55" i="84" a="1"/>
  <c r="D55" i="84" l="1"/>
  <c r="D56" i="84" s="1"/>
  <c r="D67" i="84"/>
  <c r="D68" i="84" s="1"/>
  <c r="D49" i="84"/>
  <c r="D50" i="84" s="1"/>
  <c r="D61" i="84"/>
  <c r="D62" i="84" s="1"/>
  <c r="D50" i="85"/>
  <c r="D56" i="85"/>
  <c r="D68" i="85"/>
  <c r="D62" i="85"/>
  <c r="T38" i="82"/>
  <c r="M37" i="79"/>
  <c r="J38" i="79"/>
  <c r="T37" i="80"/>
  <c r="W37" i="80" s="1"/>
  <c r="T37" i="81"/>
  <c r="W37" i="81" s="1"/>
  <c r="J38" i="81"/>
  <c r="T37" i="79"/>
  <c r="W37" i="79" s="1"/>
  <c r="T38" i="53"/>
  <c r="M20" i="66"/>
  <c r="T38" i="79" l="1"/>
  <c r="T38" i="81"/>
  <c r="T38" i="80"/>
  <c r="W35" i="53"/>
  <c r="AD35" i="53" l="1"/>
  <c r="AD37" i="53" l="1"/>
  <c r="AD38" i="53" s="1"/>
  <c r="AG35" i="53"/>
  <c r="AG37" i="53" l="1"/>
  <c r="M28" i="52" l="1"/>
  <c r="Q94" i="52" l="1"/>
  <c r="M94" i="52" s="1"/>
  <c r="Q95" i="52" l="1"/>
  <c r="Q96" i="52" s="1"/>
  <c r="M96" i="52" s="1"/>
  <c r="AF34" i="79" a="1"/>
  <c r="AI34" i="79" a="1"/>
  <c r="AF34" i="79" l="1"/>
  <c r="AI34" i="79"/>
  <c r="I52" i="85" a="1"/>
  <c r="S22" i="57" a="1"/>
  <c r="I52" i="85" l="1"/>
  <c r="S22" i="57"/>
  <c r="AF38" i="79"/>
  <c r="AB39" i="79" l="1"/>
  <c r="AI37" i="79" s="1"/>
  <c r="J52" i="85"/>
  <c r="E51" i="85" s="1"/>
  <c r="Q71" i="52"/>
  <c r="M71" i="52" s="1"/>
  <c r="Q77" i="52"/>
  <c r="M77" i="52" s="1"/>
  <c r="Q83" i="52"/>
  <c r="M83" i="52" s="1"/>
  <c r="I55" i="85" a="1"/>
  <c r="I55" i="85" l="1"/>
  <c r="J55" i="85" s="1"/>
  <c r="Q84" i="52"/>
  <c r="Q85" i="52" s="1"/>
  <c r="Q86" i="52" s="1"/>
  <c r="M86" i="52" s="1"/>
  <c r="F51" i="85"/>
  <c r="G51" i="85" s="1"/>
  <c r="Y34" i="79" a="1"/>
  <c r="V34" i="79" a="1"/>
  <c r="H55" i="85" l="1"/>
  <c r="H51" i="85"/>
  <c r="V34" i="79"/>
  <c r="Y34" i="79"/>
  <c r="I52" i="84" a="1"/>
  <c r="S16" i="57" a="1"/>
  <c r="I52" i="84" l="1"/>
  <c r="S16" i="57"/>
  <c r="V38" i="79"/>
  <c r="R39" i="79" l="1"/>
  <c r="Y37" i="79" s="1"/>
  <c r="J52" i="84"/>
  <c r="I55" i="84" a="1"/>
  <c r="I55" i="84" l="1"/>
  <c r="J55" i="84" s="1"/>
  <c r="Y44" i="79"/>
  <c r="X34" i="79"/>
  <c r="X36" i="79"/>
  <c r="X37" i="79"/>
  <c r="D9" i="79"/>
  <c r="D16" i="79" s="1"/>
  <c r="X35" i="79"/>
  <c r="E51" i="84"/>
  <c r="F51" i="84" s="1"/>
  <c r="G51" i="84" s="1"/>
  <c r="W34" i="79"/>
  <c r="W38" i="79" s="1"/>
  <c r="E52" i="84"/>
  <c r="I56" i="85"/>
  <c r="L56" i="85" s="1"/>
  <c r="E52" i="85"/>
  <c r="Q59" i="52"/>
  <c r="M59" i="52" s="1"/>
  <c r="G18" i="57" a="1"/>
  <c r="W16" i="57" a="1"/>
  <c r="F14" i="57" a="1"/>
  <c r="W16" i="57" l="1"/>
  <c r="X38" i="79"/>
  <c r="H55" i="84"/>
  <c r="H51" i="84"/>
  <c r="D15" i="79"/>
  <c r="F14" i="57"/>
  <c r="I56" i="84"/>
  <c r="G18" i="57"/>
  <c r="Q60" i="52"/>
  <c r="Q61" i="52" s="1"/>
  <c r="M61" i="52" s="1"/>
  <c r="F18" i="57" a="1"/>
  <c r="O34" i="79" a="1"/>
  <c r="L34" i="79" a="1"/>
  <c r="L56" i="84" l="1"/>
  <c r="F18" i="57"/>
  <c r="L34" i="79"/>
  <c r="O34" i="79"/>
  <c r="S10" i="57" a="1"/>
  <c r="I52" i="83" a="1"/>
  <c r="I52" i="83" l="1"/>
  <c r="S10" i="57"/>
  <c r="L38" i="79"/>
  <c r="H39" i="79" l="1"/>
  <c r="O37" i="79" s="1"/>
  <c r="J52" i="83"/>
  <c r="I55" i="83" a="1"/>
  <c r="I55" i="83" l="1"/>
  <c r="J55" i="83" s="1"/>
  <c r="C9" i="79"/>
  <c r="C16" i="79" s="1"/>
  <c r="E51" i="83"/>
  <c r="F51" i="83" s="1"/>
  <c r="G51" i="83" s="1"/>
  <c r="N37" i="79"/>
  <c r="N34" i="79"/>
  <c r="N35" i="79"/>
  <c r="N36" i="79"/>
  <c r="O44" i="79"/>
  <c r="M34" i="79"/>
  <c r="M38" i="79" s="1"/>
  <c r="AH37" i="79"/>
  <c r="AH34" i="79"/>
  <c r="AH35" i="79"/>
  <c r="AH36" i="79"/>
  <c r="AI44" i="79"/>
  <c r="E52" i="83"/>
  <c r="E9" i="79"/>
  <c r="D14" i="57" a="1"/>
  <c r="E18" i="57" a="1"/>
  <c r="H14" i="57" a="1"/>
  <c r="W10" i="57" a="1"/>
  <c r="W10" i="57" l="1"/>
  <c r="H55" i="83"/>
  <c r="I56" i="83"/>
  <c r="H51" i="83"/>
  <c r="C15" i="79"/>
  <c r="D14" i="57"/>
  <c r="E18" i="57"/>
  <c r="H14" i="57"/>
  <c r="E15" i="79"/>
  <c r="E16" i="79"/>
  <c r="AH38" i="79"/>
  <c r="N38" i="79"/>
  <c r="AG34" i="79"/>
  <c r="AG38" i="79" s="1"/>
  <c r="M84" i="52"/>
  <c r="R57" i="52"/>
  <c r="R58" i="52"/>
  <c r="R69" i="52"/>
  <c r="R70" i="52"/>
  <c r="R92" i="52"/>
  <c r="R93" i="52"/>
  <c r="R81" i="52"/>
  <c r="R82" i="52"/>
  <c r="R75" i="52"/>
  <c r="R76" i="52"/>
  <c r="W22" i="57" a="1"/>
  <c r="I18" i="57" a="1"/>
  <c r="D18" i="57" a="1"/>
  <c r="H18" i="57" a="1"/>
  <c r="W22" i="57" l="1"/>
  <c r="L56" i="83"/>
  <c r="D18" i="57"/>
  <c r="H18" i="57"/>
  <c r="I18" i="57"/>
  <c r="Q24" i="52"/>
  <c r="M24" i="52" s="1"/>
  <c r="Q30" i="52"/>
  <c r="M30" i="52" s="1"/>
  <c r="Q36" i="52"/>
  <c r="M36" i="52" s="1"/>
  <c r="Q37" i="52" l="1"/>
  <c r="Q38" i="52" s="1"/>
  <c r="Q39" i="52" s="1"/>
  <c r="M39" i="52" s="1"/>
  <c r="Y34" i="53" a="1"/>
  <c r="V34" i="53" a="1"/>
  <c r="V34" i="53" l="1"/>
  <c r="Y34" i="53"/>
  <c r="S15" i="57" a="1"/>
  <c r="I46" i="84" a="1"/>
  <c r="I46" i="84" l="1"/>
  <c r="S15" i="57"/>
  <c r="V38" i="53"/>
  <c r="R39" i="53" l="1"/>
  <c r="Y37" i="53" s="1"/>
  <c r="J46" i="84"/>
  <c r="Q14" i="52"/>
  <c r="M14" i="52" s="1"/>
  <c r="I49" i="84" a="1"/>
  <c r="I49" i="84" l="1"/>
  <c r="H49" i="84" s="1"/>
  <c r="E45" i="84"/>
  <c r="F45" i="84" s="1"/>
  <c r="G45" i="84" s="1"/>
  <c r="Q15" i="52"/>
  <c r="Q16" i="52" s="1"/>
  <c r="M16" i="52" s="1"/>
  <c r="O34" i="53" a="1"/>
  <c r="L34" i="53" a="1"/>
  <c r="J49" i="84" l="1"/>
  <c r="L34" i="53"/>
  <c r="O34" i="53"/>
  <c r="S9" i="57" a="1"/>
  <c r="I46" i="83" a="1"/>
  <c r="H45" i="84" l="1"/>
  <c r="I46" i="83"/>
  <c r="S9" i="57"/>
  <c r="J46" i="83" l="1"/>
  <c r="D9" i="53"/>
  <c r="F8" i="57" a="1"/>
  <c r="F8" i="57" l="1"/>
  <c r="D15" i="53"/>
  <c r="D16" i="53"/>
  <c r="E45" i="83"/>
  <c r="F45" i="83" s="1"/>
  <c r="G45" i="83" s="1"/>
  <c r="Y44" i="53"/>
  <c r="X37" i="53"/>
  <c r="X34" i="53"/>
  <c r="X35" i="53"/>
  <c r="X36" i="53"/>
  <c r="Q47" i="52"/>
  <c r="W15" i="57" a="1"/>
  <c r="F12" i="57" a="1"/>
  <c r="G12" i="57" a="1"/>
  <c r="W15" i="57" l="1"/>
  <c r="F12" i="57"/>
  <c r="G12" i="57"/>
  <c r="Q48" i="52"/>
  <c r="Q49" i="52" s="1"/>
  <c r="M49" i="52" s="1"/>
  <c r="M47" i="52"/>
  <c r="X38" i="53"/>
  <c r="AF34" i="53" a="1"/>
  <c r="AI34" i="53" a="1"/>
  <c r="AF34" i="53" l="1"/>
  <c r="AI34" i="53"/>
  <c r="S21" i="57" a="1"/>
  <c r="I46" i="85" a="1"/>
  <c r="I46" i="85" l="1"/>
  <c r="S21" i="57"/>
  <c r="AF38" i="53"/>
  <c r="AB39" i="53" l="1"/>
  <c r="AI37" i="53" s="1"/>
  <c r="J46" i="85"/>
  <c r="E45" i="85" s="1"/>
  <c r="F45" i="85" s="1"/>
  <c r="G45" i="85" s="1"/>
  <c r="I49" i="85" a="1"/>
  <c r="I49" i="85" l="1"/>
  <c r="J49" i="85" s="1"/>
  <c r="W34" i="53"/>
  <c r="W38" i="53" s="1"/>
  <c r="I50" i="84"/>
  <c r="L50" i="84" s="1"/>
  <c r="E46" i="84"/>
  <c r="AH37" i="53"/>
  <c r="AH34" i="53"/>
  <c r="AH35" i="53"/>
  <c r="AH36" i="53"/>
  <c r="AI44" i="53"/>
  <c r="E9" i="53"/>
  <c r="H8" i="57" a="1"/>
  <c r="H45" i="85" l="1"/>
  <c r="H49" i="85"/>
  <c r="H8" i="57"/>
  <c r="E15" i="53"/>
  <c r="E16" i="53"/>
  <c r="AH38" i="53"/>
  <c r="E46" i="83"/>
  <c r="M34" i="53"/>
  <c r="AG34" i="53"/>
  <c r="I50" i="85"/>
  <c r="E46" i="85"/>
  <c r="M37" i="52"/>
  <c r="R22" i="52"/>
  <c r="R23" i="52"/>
  <c r="R34" i="52"/>
  <c r="R35" i="52"/>
  <c r="R13" i="52"/>
  <c r="R12" i="52"/>
  <c r="R45" i="52"/>
  <c r="R46" i="52"/>
  <c r="R28" i="52"/>
  <c r="R29" i="52"/>
  <c r="Q116" i="52"/>
  <c r="Q123" i="52"/>
  <c r="Q130" i="52"/>
  <c r="H12" i="57" a="1"/>
  <c r="W21" i="57" a="1"/>
  <c r="I12" i="57" a="1"/>
  <c r="W21" i="57" l="1"/>
  <c r="L50" i="85"/>
  <c r="H12" i="57"/>
  <c r="I12" i="57"/>
  <c r="AG38" i="53"/>
  <c r="Q131" i="52"/>
  <c r="Q132" i="52" s="1"/>
  <c r="Q133" i="52" s="1"/>
  <c r="M133" i="52" s="1"/>
  <c r="V34" i="80" a="1"/>
  <c r="Y34" i="80" a="1"/>
  <c r="V34" i="80" l="1"/>
  <c r="Y34" i="80"/>
  <c r="S17" i="57" a="1"/>
  <c r="I58" i="84" a="1"/>
  <c r="I58" i="84" l="1"/>
  <c r="S17" i="57"/>
  <c r="V38" i="80"/>
  <c r="R39" i="80" l="1"/>
  <c r="Y37" i="80" s="1"/>
  <c r="J58" i="84"/>
  <c r="Q142" i="52"/>
  <c r="Q143" i="52" s="1"/>
  <c r="I61" i="84" a="1"/>
  <c r="I61" i="84" l="1"/>
  <c r="J61" i="84" s="1"/>
  <c r="E57" i="84"/>
  <c r="F57" i="84" s="1"/>
  <c r="G57" i="84" s="1"/>
  <c r="Q144" i="52"/>
  <c r="M144" i="52" s="1"/>
  <c r="AF34" i="80" a="1"/>
  <c r="AI34" i="80" a="1"/>
  <c r="H61" i="84" l="1"/>
  <c r="H57" i="84"/>
  <c r="AF34" i="80"/>
  <c r="AI34" i="80"/>
  <c r="S23" i="57" a="1"/>
  <c r="I58" i="85" a="1"/>
  <c r="I58" i="85" l="1"/>
  <c r="S23" i="57"/>
  <c r="AF38" i="80"/>
  <c r="AB39" i="80" l="1"/>
  <c r="AI37" i="80" s="1"/>
  <c r="J58" i="85"/>
  <c r="E57" i="85" s="1"/>
  <c r="F57" i="85" s="1"/>
  <c r="G57" i="85" s="1"/>
  <c r="X37" i="80"/>
  <c r="X34" i="80"/>
  <c r="X35" i="80"/>
  <c r="X36" i="80"/>
  <c r="Y44" i="80"/>
  <c r="D9" i="80"/>
  <c r="I61" i="85" a="1"/>
  <c r="F20" i="57" a="1"/>
  <c r="I61" i="85" l="1"/>
  <c r="H61" i="85" s="1"/>
  <c r="F20" i="57"/>
  <c r="D15" i="80"/>
  <c r="D16" i="80"/>
  <c r="X38" i="80"/>
  <c r="I62" i="84"/>
  <c r="L62" i="84" s="1"/>
  <c r="E58" i="84"/>
  <c r="W34" i="80"/>
  <c r="W38" i="80" s="1"/>
  <c r="E58" i="85"/>
  <c r="Q105" i="52"/>
  <c r="Q106" i="52" s="1"/>
  <c r="W17" i="57" a="1"/>
  <c r="G24" i="57" a="1"/>
  <c r="F24" i="57" a="1"/>
  <c r="W17" i="57" l="1"/>
  <c r="J61" i="85"/>
  <c r="I62" i="85"/>
  <c r="G24" i="57"/>
  <c r="F24" i="57"/>
  <c r="Q107" i="52"/>
  <c r="M107" i="52" s="1"/>
  <c r="O34" i="80" a="1"/>
  <c r="L34" i="80" a="1"/>
  <c r="H57" i="85" l="1"/>
  <c r="L62" i="85" s="1"/>
  <c r="L34" i="80"/>
  <c r="O34" i="80"/>
  <c r="I58" i="83" a="1"/>
  <c r="S11" i="57" a="1"/>
  <c r="I58" i="83" l="1"/>
  <c r="S11" i="57"/>
  <c r="L38" i="80"/>
  <c r="H39" i="80" l="1"/>
  <c r="O37" i="80" s="1"/>
  <c r="J58" i="83"/>
  <c r="E57" i="83" s="1"/>
  <c r="I61" i="83" a="1"/>
  <c r="I61" i="83" l="1"/>
  <c r="H61" i="83" s="1"/>
  <c r="N37" i="80"/>
  <c r="C9" i="80"/>
  <c r="C16" i="80" s="1"/>
  <c r="O44" i="80"/>
  <c r="N36" i="80"/>
  <c r="N34" i="80"/>
  <c r="N35" i="80"/>
  <c r="F57" i="83"/>
  <c r="G57" i="83" s="1"/>
  <c r="AH37" i="80"/>
  <c r="AH34" i="80"/>
  <c r="AH35" i="80"/>
  <c r="AH36" i="80"/>
  <c r="AI44" i="80"/>
  <c r="E9" i="80"/>
  <c r="D20" i="57" a="1"/>
  <c r="W11" i="57" a="1"/>
  <c r="E24" i="57" a="1"/>
  <c r="H20" i="57" a="1"/>
  <c r="W11" i="57" l="1"/>
  <c r="J61" i="83"/>
  <c r="D20" i="57"/>
  <c r="C15" i="80"/>
  <c r="N38" i="80"/>
  <c r="E24" i="57"/>
  <c r="H20" i="57"/>
  <c r="E15" i="80"/>
  <c r="E16" i="80"/>
  <c r="AH38" i="80"/>
  <c r="M34" i="80"/>
  <c r="M38" i="80" s="1"/>
  <c r="M131" i="52"/>
  <c r="AG34" i="80"/>
  <c r="AG38" i="80" s="1"/>
  <c r="I62" i="83"/>
  <c r="E58" i="83"/>
  <c r="R128" i="52"/>
  <c r="R129" i="52"/>
  <c r="R121" i="52"/>
  <c r="R122" i="52"/>
  <c r="R141" i="52"/>
  <c r="R140" i="52"/>
  <c r="R103" i="52"/>
  <c r="R104" i="52"/>
  <c r="R114" i="52"/>
  <c r="R115" i="52"/>
  <c r="H24" i="57" a="1"/>
  <c r="W23" i="57" a="1"/>
  <c r="D24" i="57" a="1"/>
  <c r="I24" i="57" a="1"/>
  <c r="W23" i="57" l="1"/>
  <c r="H57" i="83"/>
  <c r="L62" i="83" s="1"/>
  <c r="D24" i="57"/>
  <c r="I24" i="57"/>
  <c r="H24" i="57"/>
  <c r="Q162" i="52" l="1"/>
  <c r="Q168" i="52"/>
  <c r="Q174" i="52"/>
  <c r="Q175" i="52" l="1"/>
  <c r="Q176" i="52" s="1"/>
  <c r="Q177" i="52" s="1"/>
  <c r="M177" i="52" s="1"/>
  <c r="V34" i="81" a="1"/>
  <c r="Y34" i="81" a="1"/>
  <c r="V34" i="81" l="1"/>
  <c r="Y34" i="81"/>
  <c r="I64" i="84" a="1"/>
  <c r="S18" i="57" a="1"/>
  <c r="I64" i="84" l="1"/>
  <c r="S18" i="57"/>
  <c r="V38" i="81"/>
  <c r="R39" i="81" l="1"/>
  <c r="D9" i="81" s="1"/>
  <c r="Y37" i="81" l="1"/>
  <c r="I67" i="84" a="1"/>
  <c r="I67" i="84" l="1"/>
  <c r="J64" i="84"/>
  <c r="E63" i="84" s="1"/>
  <c r="Q185" i="52"/>
  <c r="Q186" i="52" s="1"/>
  <c r="J67" i="84" l="1"/>
  <c r="Q187" i="52"/>
  <c r="F63" i="84"/>
  <c r="G63" i="84" s="1"/>
  <c r="AI34" i="81" a="1"/>
  <c r="I68" i="84" l="1"/>
  <c r="H63" i="84"/>
  <c r="AI34" i="81"/>
  <c r="M187" i="52"/>
  <c r="AF34" i="81" a="1"/>
  <c r="I64" i="85" a="1"/>
  <c r="L68" i="84" l="1"/>
  <c r="I64" i="85"/>
  <c r="J64" i="85" s="1"/>
  <c r="E63" i="85" s="1"/>
  <c r="AF34" i="81"/>
  <c r="S24" i="57" a="1"/>
  <c r="S24" i="57" l="1"/>
  <c r="AF38" i="81"/>
  <c r="F63" i="85"/>
  <c r="G63" i="85" s="1"/>
  <c r="H67" i="84"/>
  <c r="Q152" i="52"/>
  <c r="Q153" i="52" s="1"/>
  <c r="AB39" i="81" l="1"/>
  <c r="AI37" i="81" s="1"/>
  <c r="Q154" i="52"/>
  <c r="I67" i="85" a="1"/>
  <c r="O34" i="81" a="1"/>
  <c r="I67" i="85" l="1"/>
  <c r="E9" i="81"/>
  <c r="O34" i="81"/>
  <c r="M154" i="52"/>
  <c r="L34" i="81" a="1"/>
  <c r="I64" i="83" a="1"/>
  <c r="I64" i="83" l="1"/>
  <c r="J64" i="83" s="1"/>
  <c r="E63" i="83" s="1"/>
  <c r="J67" i="85"/>
  <c r="I68" i="85"/>
  <c r="L34" i="81"/>
  <c r="H67" i="85"/>
  <c r="X34" i="81"/>
  <c r="X35" i="81"/>
  <c r="X36" i="81"/>
  <c r="X37" i="81"/>
  <c r="S12" i="57" a="1"/>
  <c r="H63" i="85" l="1"/>
  <c r="L68" i="85" s="1"/>
  <c r="S12" i="57"/>
  <c r="L38" i="81"/>
  <c r="X38" i="81"/>
  <c r="F63" i="83"/>
  <c r="G63" i="83" s="1"/>
  <c r="D15" i="81"/>
  <c r="F30" i="57" a="1"/>
  <c r="H39" i="81" l="1"/>
  <c r="O37" i="81" s="1"/>
  <c r="F30" i="57"/>
  <c r="D16" i="81"/>
  <c r="E16" i="81"/>
  <c r="Y44" i="81"/>
  <c r="AH34" i="81"/>
  <c r="AH35" i="81"/>
  <c r="AH36" i="81"/>
  <c r="AH37" i="81"/>
  <c r="W18" i="57" a="1"/>
  <c r="I30" i="57" a="1"/>
  <c r="W24" i="57" a="1"/>
  <c r="F26" i="57" a="1"/>
  <c r="G30" i="57" a="1"/>
  <c r="I67" i="83" a="1"/>
  <c r="W24" i="57" l="1"/>
  <c r="W18" i="57"/>
  <c r="I67" i="83"/>
  <c r="N37" i="81"/>
  <c r="N35" i="81"/>
  <c r="N34" i="81"/>
  <c r="C9" i="81"/>
  <c r="C16" i="81" s="1"/>
  <c r="N36" i="81"/>
  <c r="I30" i="57"/>
  <c r="F26" i="57"/>
  <c r="G30" i="57"/>
  <c r="AH38" i="81"/>
  <c r="E30" i="57" a="1"/>
  <c r="W12" i="57" a="1"/>
  <c r="W12" i="57" l="1"/>
  <c r="N38" i="81"/>
  <c r="E30" i="57"/>
  <c r="J67" i="83"/>
  <c r="I68" i="83"/>
  <c r="H67" i="83"/>
  <c r="H63" i="83" l="1"/>
  <c r="L68" i="83" s="1"/>
  <c r="H26" i="57" a="1"/>
  <c r="H26" i="57" l="1"/>
  <c r="E15" i="81"/>
  <c r="C15" i="81"/>
  <c r="AI44" i="81"/>
  <c r="O44" i="81"/>
  <c r="E64" i="84"/>
  <c r="W34" i="81"/>
  <c r="W38" i="81" s="1"/>
  <c r="E64" i="85"/>
  <c r="E64" i="83"/>
  <c r="M34" i="81"/>
  <c r="M38" i="81" s="1"/>
  <c r="AG34" i="81"/>
  <c r="AG38" i="81" s="1"/>
  <c r="M175" i="52"/>
  <c r="R150" i="52"/>
  <c r="M152" i="52"/>
  <c r="R151" i="52"/>
  <c r="R172" i="52"/>
  <c r="M174" i="52"/>
  <c r="R173" i="52"/>
  <c r="R161" i="52"/>
  <c r="R160" i="52"/>
  <c r="M162" i="52"/>
  <c r="R183" i="52"/>
  <c r="M185" i="52"/>
  <c r="R184" i="52"/>
  <c r="R166" i="52"/>
  <c r="M168" i="52"/>
  <c r="R167" i="52"/>
  <c r="D30" i="57" a="1"/>
  <c r="D26" i="57" a="1"/>
  <c r="H30" i="57" a="1"/>
  <c r="H30" i="57" l="1"/>
  <c r="D30" i="57"/>
  <c r="D26" i="57"/>
  <c r="Q197" i="52" l="1"/>
  <c r="Q198" i="52" s="1"/>
  <c r="Q199" i="52" l="1"/>
  <c r="M199" i="52" s="1"/>
  <c r="O34" i="82" a="1"/>
  <c r="L34" i="82" a="1"/>
  <c r="L34" i="82" l="1"/>
  <c r="O34" i="82"/>
  <c r="I70" i="83" a="1"/>
  <c r="S13" i="57" a="1"/>
  <c r="I70" i="83" l="1"/>
  <c r="S13" i="57"/>
  <c r="L38" i="82"/>
  <c r="H39" i="82" l="1"/>
  <c r="C9" i="82" s="1"/>
  <c r="O37" i="82" l="1"/>
  <c r="I73" i="83" a="1"/>
  <c r="I73" i="83" l="1"/>
  <c r="J73" i="83" l="1"/>
  <c r="J70" i="83"/>
  <c r="E69" i="83" s="1"/>
  <c r="C15" i="82"/>
  <c r="D36" i="57" a="1"/>
  <c r="I74" i="83" l="1"/>
  <c r="H73" i="83"/>
  <c r="F69" i="83"/>
  <c r="G69" i="83" s="1"/>
  <c r="H69" i="83" s="1"/>
  <c r="D36" i="57"/>
  <c r="C16" i="82"/>
  <c r="W13" i="57" a="1"/>
  <c r="E36" i="57" a="1"/>
  <c r="W13" i="57" l="1"/>
  <c r="L74" i="83"/>
  <c r="E36" i="57"/>
  <c r="N34" i="82"/>
  <c r="N35" i="82"/>
  <c r="N36" i="82"/>
  <c r="N37" i="82"/>
  <c r="Q209" i="52"/>
  <c r="Q215" i="52"/>
  <c r="Q216" i="52" l="1"/>
  <c r="Q217" i="52" s="1"/>
  <c r="Q218" i="52" s="1"/>
  <c r="M218" i="52" s="1"/>
  <c r="N38" i="82"/>
  <c r="V34" i="82" a="1"/>
  <c r="V34" i="82" l="1"/>
  <c r="S19" i="57" a="1"/>
  <c r="S19" i="57" l="1"/>
  <c r="V38" i="82"/>
  <c r="D32" i="57" a="1"/>
  <c r="R39" i="82" l="1"/>
  <c r="D9" i="82" s="1"/>
  <c r="D16" i="82" s="1"/>
  <c r="D32" i="57"/>
  <c r="O44" i="82"/>
  <c r="W19" i="57" a="1"/>
  <c r="G36" i="57" a="1"/>
  <c r="Y34" i="82" a="1"/>
  <c r="W19" i="57" l="1"/>
  <c r="D15" i="82"/>
  <c r="G36" i="57"/>
  <c r="Y34" i="82"/>
  <c r="I70" i="84" a="1"/>
  <c r="F36" i="57" a="1"/>
  <c r="I70" i="84" l="1"/>
  <c r="J70" i="84" s="1"/>
  <c r="E69" i="84" s="1"/>
  <c r="F36" i="57"/>
  <c r="Y37" i="82"/>
  <c r="I73" i="84" a="1"/>
  <c r="I73" i="84" l="1"/>
  <c r="J73" i="84" s="1"/>
  <c r="F69" i="84"/>
  <c r="G69" i="84" s="1"/>
  <c r="I74" i="84" l="1"/>
  <c r="H69" i="84"/>
  <c r="L74" i="84" l="1"/>
  <c r="F32" i="57" a="1"/>
  <c r="F32" i="57" l="1"/>
  <c r="H73" i="84"/>
  <c r="X34" i="82"/>
  <c r="X35" i="82"/>
  <c r="X36" i="82"/>
  <c r="X37" i="82"/>
  <c r="E70" i="83"/>
  <c r="E70" i="84"/>
  <c r="X38" i="82" l="1"/>
  <c r="Y44" i="82"/>
  <c r="M34" i="82"/>
  <c r="M38" i="82" s="1"/>
  <c r="W34" i="82"/>
  <c r="W38" i="82" s="1"/>
  <c r="R195" i="52"/>
  <c r="R196" i="52"/>
  <c r="M197" i="52"/>
  <c r="Q226" i="52"/>
  <c r="Q227" i="52" s="1"/>
  <c r="Q228" i="52" s="1"/>
  <c r="M228" i="52" s="1"/>
  <c r="AI34" i="82" a="1"/>
  <c r="AF34" i="82" a="1"/>
  <c r="AF34" i="82" l="1"/>
  <c r="AF38" i="82" s="1"/>
  <c r="AI34" i="82"/>
  <c r="S25" i="57" a="1"/>
  <c r="I70" i="85" a="1"/>
  <c r="I70" i="85" l="1"/>
  <c r="S25" i="57"/>
  <c r="AB39" i="82"/>
  <c r="E9" i="82" s="1"/>
  <c r="AI37" i="82" l="1"/>
  <c r="I73" i="85" a="1"/>
  <c r="I73" i="85" l="1"/>
  <c r="H73" i="85" l="1"/>
  <c r="J73" i="85" l="1"/>
  <c r="I74" i="85"/>
  <c r="M216" i="52"/>
  <c r="AH34" i="82"/>
  <c r="AH35" i="82"/>
  <c r="AH36" i="82"/>
  <c r="AH37" i="82"/>
  <c r="E16" i="82"/>
  <c r="I36" i="57" a="1"/>
  <c r="W25" i="57" a="1"/>
  <c r="W25" i="57" l="1"/>
  <c r="J70" i="85"/>
  <c r="E69" i="85" s="1"/>
  <c r="AH38" i="82"/>
  <c r="I36" i="57"/>
  <c r="AI44" i="82"/>
  <c r="E15" i="82"/>
  <c r="H36" i="57" a="1"/>
  <c r="F69" i="85" l="1"/>
  <c r="G69" i="85" s="1"/>
  <c r="H69" i="85" s="1"/>
  <c r="L74" i="85" s="1"/>
  <c r="H36" i="57"/>
  <c r="R208" i="52"/>
  <c r="R207" i="52"/>
  <c r="M209" i="52"/>
  <c r="E70" i="85"/>
  <c r="AG34" i="82"/>
  <c r="AG38" i="82" s="1"/>
  <c r="R225" i="52"/>
  <c r="R224" i="52"/>
  <c r="M226" i="52"/>
  <c r="R213" i="52"/>
  <c r="R214" i="52"/>
  <c r="M215" i="52"/>
  <c r="H32" i="57" a="1"/>
  <c r="H32" i="57" l="1"/>
  <c r="M37" i="53" l="1"/>
  <c r="M38" i="53" s="1"/>
  <c r="L38" i="53"/>
  <c r="H39" i="53" s="1"/>
  <c r="N36" i="53" l="1"/>
  <c r="N35" i="53"/>
  <c r="C9" i="53"/>
  <c r="N34" i="53"/>
  <c r="O37" i="53"/>
  <c r="D8" i="57" a="1"/>
  <c r="I49" i="83" a="1"/>
  <c r="D8" i="57" l="1"/>
  <c r="I49" i="83"/>
  <c r="C16" i="53"/>
  <c r="C15" i="53"/>
  <c r="O44" i="53"/>
  <c r="N37" i="53"/>
  <c r="N38" i="53" s="1"/>
  <c r="D12" i="57" a="1"/>
  <c r="E12" i="57" a="1"/>
  <c r="W9" i="57" a="1"/>
  <c r="E12" i="57" l="1"/>
  <c r="W9" i="57"/>
  <c r="D12" i="57"/>
  <c r="I50" i="83"/>
  <c r="H49" i="83"/>
  <c r="J49" i="83"/>
  <c r="H45" i="83" l="1"/>
  <c r="L50" i="83" s="1"/>
</calcChain>
</file>

<file path=xl/sharedStrings.xml><?xml version="1.0" encoding="utf-8"?>
<sst xmlns="http://schemas.openxmlformats.org/spreadsheetml/2006/main" count="4669" uniqueCount="214">
  <si>
    <t>Energex</t>
  </si>
  <si>
    <t>Distribution zone</t>
  </si>
  <si>
    <t>Ausgrid</t>
  </si>
  <si>
    <t>Essential</t>
  </si>
  <si>
    <t>Endeavour</t>
  </si>
  <si>
    <t>SAPN</t>
  </si>
  <si>
    <t>Residential</t>
  </si>
  <si>
    <t>Contents</t>
  </si>
  <si>
    <t>Network costs</t>
  </si>
  <si>
    <t>Wholesale costs</t>
  </si>
  <si>
    <t>Index</t>
  </si>
  <si>
    <t>S. No.</t>
  </si>
  <si>
    <t>Customer type</t>
  </si>
  <si>
    <t>Tariff type</t>
  </si>
  <si>
    <t>Small business</t>
  </si>
  <si>
    <t>CL1</t>
  </si>
  <si>
    <t>CL2</t>
  </si>
  <si>
    <t>CL</t>
  </si>
  <si>
    <t>Default Market Offer 2 (DMO2)</t>
  </si>
  <si>
    <t>2020-21</t>
  </si>
  <si>
    <t>Environmental costs</t>
  </si>
  <si>
    <t>Summary</t>
  </si>
  <si>
    <t>&lt;&lt;Back to Index</t>
  </si>
  <si>
    <t>Draft Determination</t>
  </si>
  <si>
    <t>Flat rate</t>
  </si>
  <si>
    <t>Change</t>
  </si>
  <si>
    <t>Cost</t>
  </si>
  <si>
    <t>Tariff</t>
  </si>
  <si>
    <t>Proportion</t>
  </si>
  <si>
    <t>Usage</t>
  </si>
  <si>
    <t>kWh/yr</t>
  </si>
  <si>
    <t>Units</t>
  </si>
  <si>
    <t>2019-20</t>
  </si>
  <si>
    <t>%</t>
  </si>
  <si>
    <t>Value</t>
  </si>
  <si>
    <t>Assumption</t>
  </si>
  <si>
    <t>CPI</t>
  </si>
  <si>
    <t>Days in year</t>
  </si>
  <si>
    <t>Description</t>
  </si>
  <si>
    <t>Yes</t>
  </si>
  <si>
    <t>No</t>
  </si>
  <si>
    <t>GST</t>
  </si>
  <si>
    <t>TOU</t>
  </si>
  <si>
    <t>Base year</t>
  </si>
  <si>
    <t>Determination year</t>
  </si>
  <si>
    <t>Index assessment</t>
  </si>
  <si>
    <t>$/MWh</t>
  </si>
  <si>
    <t>$</t>
  </si>
  <si>
    <t>Fixed</t>
  </si>
  <si>
    <t>Variable</t>
  </si>
  <si>
    <t>Annual usage (kWh)</t>
  </si>
  <si>
    <t>Contribution 
to change</t>
  </si>
  <si>
    <t>Controlled load usage (kWh)</t>
  </si>
  <si>
    <t>Flat rate usage (kWh)</t>
  </si>
  <si>
    <t>DUOS</t>
  </si>
  <si>
    <t>TUOS</t>
  </si>
  <si>
    <t>CCF</t>
  </si>
  <si>
    <t>kWh</t>
  </si>
  <si>
    <t>Total</t>
  </si>
  <si>
    <t>Block</t>
  </si>
  <si>
    <t>Block1</t>
  </si>
  <si>
    <t>Block2</t>
  </si>
  <si>
    <t>CL1 Proportion</t>
  </si>
  <si>
    <t>2019-20 APP (approved)</t>
  </si>
  <si>
    <t>2019-20 APP (indicative)</t>
  </si>
  <si>
    <t>NUOS</t>
  </si>
  <si>
    <t>NA</t>
  </si>
  <si>
    <t>ACS</t>
  </si>
  <si>
    <t>Network cost</t>
  </si>
  <si>
    <t>Wholesale cost</t>
  </si>
  <si>
    <t>Environmental cost</t>
  </si>
  <si>
    <t>Residual cost</t>
  </si>
  <si>
    <t>Network Cost</t>
  </si>
  <si>
    <t>Description2</t>
  </si>
  <si>
    <t>DMO price</t>
  </si>
  <si>
    <t>Step change</t>
  </si>
  <si>
    <t>$ pa</t>
  </si>
  <si>
    <t>Overall change in costs (%)</t>
  </si>
  <si>
    <t>WEC</t>
  </si>
  <si>
    <t>Ancillary</t>
  </si>
  <si>
    <t>RERT</t>
  </si>
  <si>
    <t>Losses</t>
  </si>
  <si>
    <t>LRET</t>
  </si>
  <si>
    <t>SRES</t>
  </si>
  <si>
    <t>ESS</t>
  </si>
  <si>
    <t>Small Business</t>
  </si>
  <si>
    <t>QSS</t>
  </si>
  <si>
    <t>JSO</t>
  </si>
  <si>
    <t>DUOS-Total</t>
  </si>
  <si>
    <t>NEM fee</t>
  </si>
  <si>
    <t>REES</t>
  </si>
  <si>
    <t>Total inc GST</t>
  </si>
  <si>
    <t>Wholesale Cost</t>
  </si>
  <si>
    <t>Environmental Cost</t>
  </si>
  <si>
    <t>DMO Price</t>
  </si>
  <si>
    <t>Model Annual Usage</t>
  </si>
  <si>
    <t>Click on each box to go to the sheet</t>
  </si>
  <si>
    <t>Tariff level 1</t>
  </si>
  <si>
    <t>Tariff level 2</t>
  </si>
  <si>
    <t>Tariff level 3</t>
  </si>
  <si>
    <t>For DD</t>
  </si>
  <si>
    <t>For FD</t>
  </si>
  <si>
    <t>All costs excl GST</t>
  </si>
  <si>
    <t>CL2 Proportion</t>
  </si>
  <si>
    <t>Note: DMO prices have been rounded to the nearest integer</t>
  </si>
  <si>
    <t>Cost stacks</t>
  </si>
  <si>
    <t>Check</t>
  </si>
  <si>
    <t>Detail inputs</t>
  </si>
  <si>
    <t>Key inputs</t>
  </si>
  <si>
    <t>Structure</t>
  </si>
  <si>
    <t>Model Structure and Acronyms</t>
  </si>
  <si>
    <t>Distribution Use of System</t>
  </si>
  <si>
    <t>Transmission Use of System</t>
  </si>
  <si>
    <t>Network Use of System</t>
  </si>
  <si>
    <t>Climate Change Fund</t>
  </si>
  <si>
    <t>Jurisdictional Scheme Obligations</t>
  </si>
  <si>
    <t>Alternative Control Services</t>
  </si>
  <si>
    <t>Wholesale Energy Cost</t>
  </si>
  <si>
    <t>Ancillary Charges</t>
  </si>
  <si>
    <t>ECA</t>
  </si>
  <si>
    <t>FRC</t>
  </si>
  <si>
    <t>NTP</t>
  </si>
  <si>
    <t>Full Retail Contestability</t>
  </si>
  <si>
    <t>National Transmission Planner</t>
  </si>
  <si>
    <t>Prudential fee</t>
  </si>
  <si>
    <t>RPP</t>
  </si>
  <si>
    <t>STP</t>
  </si>
  <si>
    <t>LGC</t>
  </si>
  <si>
    <t>STC</t>
  </si>
  <si>
    <t>DLF</t>
  </si>
  <si>
    <t>MLF</t>
  </si>
  <si>
    <t>Network losses, combined loss factor of DLF and MLF</t>
  </si>
  <si>
    <t>Renewable Power Percentage</t>
  </si>
  <si>
    <t>Small-scale Technology Percentage</t>
  </si>
  <si>
    <t>Large-scale Generation Certificate</t>
  </si>
  <si>
    <t>Small-scale Generation Certificate</t>
  </si>
  <si>
    <t>Large-scale Renewable Energy Target</t>
  </si>
  <si>
    <t>Small-scale Renewable Energy Scheme</t>
  </si>
  <si>
    <t>Retail Energy Efficiency Scheme (South Australia)</t>
  </si>
  <si>
    <t>Energy Savings Scheme (New South Wales)</t>
  </si>
  <si>
    <t>Controlled Load</t>
  </si>
  <si>
    <t>Time Of Use</t>
  </si>
  <si>
    <t>DMO</t>
  </si>
  <si>
    <t>Default Market Offer</t>
  </si>
  <si>
    <t>MWh</t>
  </si>
  <si>
    <t>Mega Watt hour</t>
  </si>
  <si>
    <t>pa</t>
  </si>
  <si>
    <t>per annum</t>
  </si>
  <si>
    <t>All prices inc GST</t>
  </si>
  <si>
    <t>Key Inputs and Assumptions</t>
  </si>
  <si>
    <t>General inputs</t>
  </si>
  <si>
    <t>Cost inputs - wholesale and environmental costs</t>
  </si>
  <si>
    <t>Determination</t>
  </si>
  <si>
    <t>Draft</t>
  </si>
  <si>
    <t>Note: Residual costs include step changes, if any</t>
  </si>
  <si>
    <t>Overall tariff</t>
  </si>
  <si>
    <t>Type</t>
  </si>
  <si>
    <t>Draft x-factor</t>
  </si>
  <si>
    <t>without CL</t>
  </si>
  <si>
    <t>with CL</t>
  </si>
  <si>
    <t>All prices and costs incl GST</t>
  </si>
  <si>
    <t>All cell values that are to be updated in blue</t>
  </si>
  <si>
    <t>Indicative tariff (NUOS)</t>
  </si>
  <si>
    <t>Indicative tariff (Detail)</t>
  </si>
  <si>
    <t>List of acronyms</t>
  </si>
  <si>
    <t>APP</t>
  </si>
  <si>
    <t>Annual Pricing Proposal</t>
  </si>
  <si>
    <t>Consultant report</t>
  </si>
  <si>
    <t>AER analysis</t>
  </si>
  <si>
    <t>DMO 2019-20 Determination</t>
  </si>
  <si>
    <t>DMO 2020-21 Determination</t>
  </si>
  <si>
    <t>AER Draft Decision SAPN Distribution Determination Att 1 Annual Revenue Requirement</t>
  </si>
  <si>
    <t>AER Draft Decision Energex Distribution Determination Att 1 Annual Revenue Requirement</t>
  </si>
  <si>
    <t>AER Powerlink Determination 2017-22 revenue change (updated Jan 2019)</t>
  </si>
  <si>
    <t>AER ElectraNet Determination 2018-23 (updated Aug 2019)</t>
  </si>
  <si>
    <t>Change y-o-y</t>
  </si>
  <si>
    <t>Decimal</t>
  </si>
  <si>
    <t>Prudential</t>
  </si>
  <si>
    <t>Reliability and Emergency Reserve Trader</t>
  </si>
  <si>
    <t>Energy Consumers Australia</t>
  </si>
  <si>
    <t>Queensland Solar Bonus Scheme</t>
  </si>
  <si>
    <t>SA Power Networks</t>
  </si>
  <si>
    <t>Residential without CL</t>
  </si>
  <si>
    <t>Residential with CL</t>
  </si>
  <si>
    <t>Small business without CL</t>
  </si>
  <si>
    <t>Source, if any</t>
  </si>
  <si>
    <t>Residential without Controlled Load</t>
  </si>
  <si>
    <t>Residential with Controlled Load</t>
  </si>
  <si>
    <t>Small Business without Controlled Load</t>
  </si>
  <si>
    <t>Cost stacks with changes in underlying costs</t>
  </si>
  <si>
    <t>change</t>
  </si>
  <si>
    <t>National Electricity Market fees, which includes AEMO, ECA, FRC and NTP fees</t>
  </si>
  <si>
    <t>Distribution Loss Factor</t>
  </si>
  <si>
    <t>Marginal Loss Factor</t>
  </si>
  <si>
    <t>for annual usage of</t>
  </si>
  <si>
    <t>Summary of cost changes</t>
  </si>
  <si>
    <t>and adjustments</t>
  </si>
  <si>
    <t>Note:</t>
  </si>
  <si>
    <t>Note: Overall change in costs include step changes and all adjustments to residual, including inflation</t>
  </si>
  <si>
    <t>RBA forecast  as of Nov 2019 (Avg of YTQ Dec 2020 and Jun 2021)</t>
  </si>
  <si>
    <t>By tariff type</t>
  </si>
  <si>
    <t>By distribution zone</t>
  </si>
  <si>
    <t>Index Assessment to Determine DMO Prices</t>
  </si>
  <si>
    <t>By cost type</t>
  </si>
  <si>
    <t>Cost Calculations for DMO Prices</t>
  </si>
  <si>
    <t>Inputs and Assumptions</t>
  </si>
  <si>
    <t>Section 1: Overview</t>
  </si>
  <si>
    <t>Overview</t>
  </si>
  <si>
    <t>Section 2: Cost stacks with changes in underlying costs</t>
  </si>
  <si>
    <t>Section 3: Index Assessment to Determine DMO Prices</t>
  </si>
  <si>
    <t>Section 4: Cost Calculations for DMO Prices</t>
  </si>
  <si>
    <t>Section 5: Inputs and Assumptions</t>
  </si>
  <si>
    <t>Base</t>
  </si>
  <si>
    <t>2020-21 revised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</si>
</sst>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
    <numFmt numFmtId="166" formatCode="&quot;$&quot;#,##0"/>
    <numFmt numFmtId="167" formatCode="#,##0.0"/>
    <numFmt numFmtId="168" formatCode="\+0.0;\-0.0;0.0"/>
    <numFmt numFmtId="169" formatCode="#,##0.0000000"/>
    <numFmt numFmtId="170" formatCode="\+&quot;$&quot;0;\-&quot;$&quot;0;&quot;$&quot;0"/>
    <numFmt numFmtId="171" formatCode="\+0.0%;\-0.0%;0.0%"/>
    <numFmt numFmtId="172" formatCode="0.00000"/>
    <numFmt numFmtId="173" formatCode="\+0.00%;\-0.00%;0.00%"/>
  </numFmts>
  <fonts count="64" x14ac:knownFonts="1">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10"/>
      <color theme="1"/>
      <name val="Arial"/>
      <family val="2"/>
    </font>
    <font>
      <b/>
      <sz val="10"/>
      <color theme="1"/>
      <name val="Arial"/>
      <family val="2"/>
    </font>
    <font>
      <u/>
      <sz val="11"/>
      <color theme="10"/>
      <name val="Calibri"/>
      <family val="2"/>
      <scheme val="minor"/>
    </font>
    <font>
      <b/>
      <sz val="28"/>
      <color theme="1"/>
      <name val="Calibri"/>
      <family val="2"/>
      <scheme val="minor"/>
    </font>
    <font>
      <b/>
      <sz val="18"/>
      <color theme="1"/>
      <name val="Calibri"/>
      <family val="2"/>
      <scheme val="minor"/>
    </font>
    <font>
      <b/>
      <sz val="12"/>
      <color rgb="FF076A92"/>
      <name val="Arial"/>
      <family val="2"/>
    </font>
    <font>
      <sz val="9"/>
      <color theme="1"/>
      <name val="Calibri"/>
      <family val="2"/>
      <scheme val="minor"/>
    </font>
    <font>
      <b/>
      <sz val="14"/>
      <color theme="1"/>
      <name val="Calibri"/>
      <family val="2"/>
      <scheme val="minor"/>
    </font>
    <font>
      <b/>
      <sz val="14"/>
      <color theme="1"/>
      <name val="Arial"/>
      <family val="2"/>
    </font>
    <font>
      <u/>
      <sz val="8"/>
      <color theme="10"/>
      <name val="Calibri"/>
      <family val="2"/>
      <scheme val="minor"/>
    </font>
    <font>
      <sz val="11"/>
      <color theme="1"/>
      <name val="Calibri"/>
      <family val="2"/>
      <scheme val="minor"/>
    </font>
    <font>
      <b/>
      <sz val="11"/>
      <color rgb="FFFF0000"/>
      <name val="Calibri"/>
      <family val="2"/>
      <scheme val="minor"/>
    </font>
    <font>
      <b/>
      <sz val="10"/>
      <color theme="0"/>
      <name val="Calibri"/>
      <family val="2"/>
      <scheme val="minor"/>
    </font>
    <font>
      <sz val="10"/>
      <color rgb="FF076A92"/>
      <name val="Calibri"/>
      <family val="2"/>
      <scheme val="minor"/>
    </font>
    <font>
      <b/>
      <sz val="12"/>
      <color theme="1"/>
      <name val="Calibri"/>
      <family val="2"/>
      <scheme val="minor"/>
    </font>
    <font>
      <sz val="11"/>
      <color rgb="FFFFFF00"/>
      <name val="Calibri"/>
      <family val="2"/>
      <scheme val="minor"/>
    </font>
    <font>
      <b/>
      <sz val="10"/>
      <color rgb="FFFFFF66"/>
      <name val="Calibri"/>
      <family val="2"/>
      <scheme val="minor"/>
    </font>
    <font>
      <b/>
      <sz val="11"/>
      <color rgb="FFFFFF66"/>
      <name val="Calibri"/>
      <family val="2"/>
      <scheme val="minor"/>
    </font>
    <font>
      <b/>
      <sz val="11"/>
      <color theme="1" tint="0.34998626667073579"/>
      <name val="Calibri"/>
      <family val="2"/>
      <scheme val="minor"/>
    </font>
    <font>
      <b/>
      <sz val="10"/>
      <color rgb="FF076A92"/>
      <name val="Calibri"/>
      <family val="2"/>
      <scheme val="minor"/>
    </font>
    <font>
      <b/>
      <sz val="12"/>
      <color rgb="FF076A92"/>
      <name val="Calibri"/>
      <family val="2"/>
      <scheme val="minor"/>
    </font>
    <font>
      <sz val="12"/>
      <color theme="1"/>
      <name val="Calibri"/>
      <family val="2"/>
      <scheme val="minor"/>
    </font>
    <font>
      <b/>
      <sz val="16"/>
      <color theme="0"/>
      <name val="Calibri"/>
      <family val="2"/>
      <scheme val="minor"/>
    </font>
    <font>
      <b/>
      <sz val="10"/>
      <name val="Calibri"/>
      <family val="2"/>
      <scheme val="minor"/>
    </font>
    <font>
      <sz val="10"/>
      <name val="Calibri"/>
      <family val="2"/>
      <scheme val="minor"/>
    </font>
    <font>
      <sz val="11"/>
      <color rgb="FF076A92"/>
      <name val="Calibri"/>
      <family val="2"/>
      <scheme val="minor"/>
    </font>
    <font>
      <b/>
      <sz val="10"/>
      <color theme="1" tint="0.34998626667073579"/>
      <name val="Calibri"/>
      <family val="2"/>
      <scheme val="minor"/>
    </font>
    <font>
      <sz val="11"/>
      <name val="Calibri"/>
      <family val="2"/>
      <scheme val="minor"/>
    </font>
    <font>
      <sz val="11"/>
      <color theme="0"/>
      <name val="Calibri"/>
      <family val="2"/>
      <scheme val="minor"/>
    </font>
    <font>
      <b/>
      <sz val="11"/>
      <name val="Calibri"/>
      <family val="2"/>
      <scheme val="minor"/>
    </font>
    <font>
      <b/>
      <sz val="12"/>
      <color theme="0"/>
      <name val="Calibri"/>
      <family val="2"/>
      <scheme val="minor"/>
    </font>
    <font>
      <b/>
      <sz val="10"/>
      <color theme="0" tint="-0.14999847407452621"/>
      <name val="Calibri"/>
      <family val="2"/>
      <scheme val="minor"/>
    </font>
    <font>
      <u/>
      <sz val="10"/>
      <color theme="10"/>
      <name val="Arial"/>
      <family val="2"/>
    </font>
    <font>
      <i/>
      <sz val="8"/>
      <color theme="1" tint="0.499984740745262"/>
      <name val="Calibri"/>
      <family val="2"/>
      <scheme val="minor"/>
    </font>
    <font>
      <sz val="8"/>
      <color theme="1" tint="0.499984740745262"/>
      <name val="Calibri"/>
      <family val="2"/>
      <scheme val="minor"/>
    </font>
    <font>
      <i/>
      <sz val="9"/>
      <color theme="1"/>
      <name val="Calibri"/>
      <family val="2"/>
      <scheme val="minor"/>
    </font>
    <font>
      <i/>
      <sz val="9"/>
      <color theme="0" tint="-0.34998626667073579"/>
      <name val="Calibri"/>
      <family val="2"/>
      <scheme val="minor"/>
    </font>
    <font>
      <sz val="11"/>
      <color theme="0" tint="-0.34998626667073579"/>
      <name val="Calibri"/>
      <family val="2"/>
      <scheme val="minor"/>
    </font>
    <font>
      <b/>
      <i/>
      <sz val="9"/>
      <color theme="0" tint="-0.34998626667073579"/>
      <name val="Calibri"/>
      <family val="2"/>
      <scheme val="minor"/>
    </font>
    <font>
      <b/>
      <sz val="11"/>
      <color theme="0" tint="-0.34998626667073579"/>
      <name val="Calibri"/>
      <family val="2"/>
      <scheme val="minor"/>
    </font>
    <font>
      <i/>
      <sz val="9"/>
      <color theme="1" tint="0.499984740745262"/>
      <name val="Calibri"/>
      <family val="2"/>
      <scheme val="minor"/>
    </font>
    <font>
      <b/>
      <sz val="11"/>
      <color theme="4" tint="0.59999389629810485"/>
      <name val="Calibri"/>
      <family val="2"/>
      <scheme val="minor"/>
    </font>
    <font>
      <i/>
      <sz val="9"/>
      <color theme="1" tint="0.34998626667073579"/>
      <name val="Calibri"/>
      <family val="2"/>
      <scheme val="minor"/>
    </font>
    <font>
      <sz val="11"/>
      <color rgb="FF0070C0"/>
      <name val="Calibri"/>
      <family val="2"/>
      <scheme val="minor"/>
    </font>
    <font>
      <sz val="8"/>
      <color theme="1"/>
      <name val="Calibri"/>
      <family val="2"/>
      <scheme val="minor"/>
    </font>
    <font>
      <i/>
      <sz val="9"/>
      <name val="Calibri"/>
      <family val="2"/>
      <scheme val="minor"/>
    </font>
    <font>
      <i/>
      <sz val="9"/>
      <color indexed="8"/>
      <name val="Calibri"/>
      <family val="2"/>
      <scheme val="minor"/>
    </font>
    <font>
      <i/>
      <sz val="11"/>
      <color theme="0" tint="-4.9989318521683403E-2"/>
      <name val="Calibri"/>
      <family val="2"/>
      <scheme val="minor"/>
    </font>
    <font>
      <i/>
      <sz val="10"/>
      <color theme="0" tint="-4.9989318521683403E-2"/>
      <name val="Calibri"/>
      <family val="2"/>
      <scheme val="minor"/>
    </font>
    <font>
      <i/>
      <sz val="8"/>
      <color theme="0" tint="-0.249977111117893"/>
      <name val="Calibri"/>
      <family val="2"/>
      <scheme val="minor"/>
    </font>
    <font>
      <i/>
      <sz val="8"/>
      <color indexed="55" tint="-0.249977111117893"/>
      <name val="Calibri"/>
      <family val="2"/>
      <scheme val="minor"/>
    </font>
    <font>
      <b/>
      <sz val="10"/>
      <color theme="9" tint="-0.249977111117893"/>
      <name val="Calibri"/>
      <family val="2"/>
      <scheme val="minor"/>
    </font>
    <font>
      <b/>
      <sz val="11"/>
      <color theme="9" tint="-0.249977111117893"/>
      <name val="Calibri"/>
      <family val="2"/>
      <scheme val="minor"/>
    </font>
    <font>
      <i/>
      <sz val="9"/>
      <color theme="0" tint="-0.14999847407452621"/>
      <name val="Calibri"/>
      <family val="2"/>
      <scheme val="minor"/>
    </font>
    <font>
      <i/>
      <sz val="11"/>
      <color theme="0" tint="-0.34998626667073579"/>
      <name val="Calibri"/>
      <family val="2"/>
      <scheme val="minor"/>
    </font>
    <font>
      <i/>
      <sz val="9"/>
      <color rgb="FF0070C0"/>
      <name val="Calibri"/>
      <family val="2"/>
      <scheme val="minor"/>
    </font>
    <font>
      <sz val="11"/>
      <color theme="0" tint="-4.9989318521683403E-2"/>
      <name val="Calibri"/>
      <family val="2"/>
      <scheme val="minor"/>
    </font>
    <font>
      <i/>
      <sz val="8"/>
      <color theme="1"/>
      <name val="Calibri"/>
      <family val="2"/>
      <scheme val="minor"/>
    </font>
    <font>
      <sz val="11"/>
      <color rgb="FFFF0000"/>
      <name val="Calibri"/>
      <family val="2"/>
      <scheme val="minor"/>
    </font>
    <font>
      <sz val="12"/>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76A92"/>
        <bgColor indexed="64"/>
      </patternFill>
    </fill>
    <fill>
      <patternFill patternType="solid">
        <fgColor theme="1" tint="0.34998626667073579"/>
        <bgColor indexed="64"/>
      </patternFill>
    </fill>
    <fill>
      <patternFill patternType="solid">
        <fgColor rgb="FF595959"/>
        <bgColor indexed="64"/>
      </patternFill>
    </fill>
    <fill>
      <patternFill patternType="solid">
        <fgColor rgb="FFC14E00"/>
        <bgColor indexed="64"/>
      </patternFill>
    </fill>
    <fill>
      <patternFill patternType="solid">
        <fgColor theme="0" tint="-0.14999847407452621"/>
        <bgColor indexed="64"/>
      </patternFill>
    </fill>
    <fill>
      <patternFill patternType="solid">
        <fgColor theme="1" tint="0.14999847407452621"/>
        <bgColor indexed="64"/>
      </patternFill>
    </fill>
  </fills>
  <borders count="35">
    <border>
      <left/>
      <right/>
      <top/>
      <bottom/>
      <diagonal/>
    </border>
    <border>
      <left/>
      <right/>
      <top/>
      <bottom style="thin">
        <color theme="0"/>
      </bottom>
      <diagonal/>
    </border>
    <border>
      <left/>
      <right/>
      <top/>
      <bottom style="thick">
        <color rgb="FF076A92"/>
      </bottom>
      <diagonal/>
    </border>
    <border>
      <left/>
      <right/>
      <top/>
      <bottom style="thick">
        <color theme="0"/>
      </bottom>
      <diagonal/>
    </border>
    <border>
      <left/>
      <right/>
      <top style="thin">
        <color theme="0"/>
      </top>
      <bottom/>
      <diagonal/>
    </border>
    <border>
      <left/>
      <right/>
      <top style="thick">
        <color theme="0"/>
      </top>
      <bottom style="thin">
        <color theme="0"/>
      </bottom>
      <diagonal/>
    </border>
    <border>
      <left/>
      <right/>
      <top/>
      <bottom style="medium">
        <color rgb="FF076A92"/>
      </bottom>
      <diagonal/>
    </border>
    <border>
      <left/>
      <right/>
      <top/>
      <bottom style="thick">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bottom style="medium">
        <color rgb="FF076A92"/>
      </bottom>
      <diagonal/>
    </border>
    <border>
      <left style="thin">
        <color theme="0" tint="-0.24994659260841701"/>
      </left>
      <right/>
      <top/>
      <bottom style="medium">
        <color rgb="FF076A92"/>
      </bottom>
      <diagonal/>
    </border>
  </borders>
  <cellStyleXfs count="4">
    <xf numFmtId="0" fontId="0" fillId="0" borderId="0"/>
    <xf numFmtId="0" fontId="3" fillId="0" borderId="0"/>
    <xf numFmtId="0" fontId="6" fillId="0" borderId="0" applyNumberFormat="0" applyFill="0" applyBorder="0" applyAlignment="0" applyProtection="0"/>
    <xf numFmtId="9" fontId="14" fillId="0" borderId="0" applyFont="0" applyFill="0" applyBorder="0" applyAlignment="0" applyProtection="0"/>
  </cellStyleXfs>
  <cellXfs count="291">
    <xf numFmtId="0" fontId="0" fillId="0" borderId="0" xfId="0"/>
    <xf numFmtId="0" fontId="4" fillId="2"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8"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vertical="center"/>
    </xf>
    <xf numFmtId="0" fontId="1" fillId="5" borderId="0" xfId="0" applyFont="1" applyFill="1" applyBorder="1" applyAlignment="1">
      <alignment horizontal="center" vertical="center"/>
    </xf>
    <xf numFmtId="3" fontId="0" fillId="2" borderId="0" xfId="0" applyNumberFormat="1" applyFill="1" applyBorder="1" applyAlignment="1">
      <alignment horizontal="center" vertical="center"/>
    </xf>
    <xf numFmtId="0" fontId="0" fillId="3" borderId="0" xfId="0" applyFill="1" applyAlignment="1">
      <alignment vertical="center"/>
    </xf>
    <xf numFmtId="0" fontId="11" fillId="3" borderId="0" xfId="0" applyFont="1" applyFill="1" applyAlignment="1">
      <alignment vertical="center"/>
    </xf>
    <xf numFmtId="0" fontId="9" fillId="2" borderId="0" xfId="0" applyFont="1" applyFill="1" applyAlignment="1">
      <alignment horizontal="center" vertical="center"/>
    </xf>
    <xf numFmtId="164" fontId="4" fillId="2" borderId="0" xfId="0" applyNumberFormat="1" applyFont="1" applyFill="1" applyAlignment="1">
      <alignment horizontal="center" vertical="center"/>
    </xf>
    <xf numFmtId="0" fontId="5" fillId="2" borderId="0" xfId="0" applyNumberFormat="1" applyFont="1" applyFill="1" applyAlignment="1">
      <alignment horizontal="center" vertical="center"/>
    </xf>
    <xf numFmtId="0" fontId="12" fillId="3" borderId="0" xfId="0" applyFont="1" applyFill="1" applyAlignment="1">
      <alignment horizontal="left"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left" vertical="center"/>
    </xf>
    <xf numFmtId="0" fontId="0" fillId="3" borderId="0" xfId="0" applyFill="1" applyAlignment="1">
      <alignment horizontal="left" vertical="center"/>
    </xf>
    <xf numFmtId="0" fontId="1" fillId="5" borderId="0" xfId="0" applyFont="1" applyFill="1" applyBorder="1" applyAlignment="1">
      <alignment horizontal="left" vertical="center"/>
    </xf>
    <xf numFmtId="0" fontId="0" fillId="2" borderId="0" xfId="0" applyFill="1" applyBorder="1" applyAlignment="1">
      <alignment horizontal="left" vertical="center"/>
    </xf>
    <xf numFmtId="0" fontId="2" fillId="2" borderId="0" xfId="0" applyFont="1" applyFill="1" applyAlignment="1">
      <alignment horizontal="center" vertical="center"/>
    </xf>
    <xf numFmtId="165" fontId="0" fillId="2" borderId="0" xfId="0" applyNumberFormat="1" applyFill="1" applyAlignment="1">
      <alignment horizontal="center" vertical="center"/>
    </xf>
    <xf numFmtId="3" fontId="0" fillId="2" borderId="0" xfId="0" applyNumberFormat="1" applyFill="1" applyBorder="1" applyAlignment="1">
      <alignment horizontal="left" vertical="center"/>
    </xf>
    <xf numFmtId="0" fontId="11" fillId="3" borderId="0" xfId="0" applyFont="1" applyFill="1" applyAlignment="1">
      <alignment horizontal="left" vertical="center"/>
    </xf>
    <xf numFmtId="0" fontId="2" fillId="2" borderId="0" xfId="0" applyFont="1" applyFill="1" applyAlignment="1"/>
    <xf numFmtId="0" fontId="1" fillId="5" borderId="0" xfId="0" applyFont="1" applyFill="1" applyBorder="1" applyAlignment="1">
      <alignment horizontal="left"/>
    </xf>
    <xf numFmtId="0" fontId="0" fillId="2" borderId="0" xfId="0" applyFill="1" applyAlignment="1">
      <alignment vertical="top"/>
    </xf>
    <xf numFmtId="0" fontId="0" fillId="6" borderId="0" xfId="0" applyFill="1" applyAlignment="1">
      <alignment vertical="top"/>
    </xf>
    <xf numFmtId="0" fontId="1" fillId="5" borderId="0" xfId="0" applyFont="1" applyFill="1" applyBorder="1" applyAlignment="1">
      <alignment horizontal="center" vertical="top"/>
    </xf>
    <xf numFmtId="0" fontId="0" fillId="2" borderId="0" xfId="0" applyFill="1" applyBorder="1" applyAlignment="1">
      <alignment vertical="center"/>
    </xf>
    <xf numFmtId="0" fontId="0" fillId="2" borderId="0" xfId="0" applyFont="1" applyFill="1" applyBorder="1" applyAlignment="1">
      <alignment horizontal="center" vertical="center"/>
    </xf>
    <xf numFmtId="0" fontId="18" fillId="2" borderId="0" xfId="0" applyFont="1" applyFill="1" applyAlignment="1">
      <alignment vertical="center"/>
    </xf>
    <xf numFmtId="0" fontId="19" fillId="2" borderId="0" xfId="0" applyFont="1" applyFill="1" applyAlignment="1">
      <alignment vertical="center"/>
    </xf>
    <xf numFmtId="0" fontId="0" fillId="2" borderId="0" xfId="0" applyNumberFormat="1" applyFill="1" applyBorder="1" applyAlignment="1">
      <alignment horizontal="center" vertical="center"/>
    </xf>
    <xf numFmtId="3" fontId="0" fillId="2" borderId="0" xfId="0" applyNumberFormat="1" applyFill="1" applyAlignment="1">
      <alignment horizontal="center" vertical="center"/>
    </xf>
    <xf numFmtId="0" fontId="1" fillId="5" borderId="0" xfId="0" applyFont="1" applyFill="1" applyBorder="1" applyAlignment="1">
      <alignment horizontal="center"/>
    </xf>
    <xf numFmtId="3" fontId="6" fillId="2" borderId="0" xfId="2" applyNumberFormat="1" applyFill="1" applyBorder="1" applyAlignment="1">
      <alignment horizontal="left" vertical="center"/>
    </xf>
    <xf numFmtId="9" fontId="0" fillId="2" borderId="0" xfId="3" applyFont="1" applyFill="1" applyAlignment="1">
      <alignment horizontal="center" vertical="center"/>
    </xf>
    <xf numFmtId="0" fontId="21" fillId="7" borderId="0" xfId="0" applyFont="1" applyFill="1" applyBorder="1" applyAlignment="1">
      <alignment horizontal="left" vertical="center"/>
    </xf>
    <xf numFmtId="0" fontId="2" fillId="2" borderId="0" xfId="0" applyFont="1" applyFill="1" applyAlignment="1">
      <alignment horizontal="left" vertical="center"/>
    </xf>
    <xf numFmtId="0" fontId="22" fillId="5" borderId="0" xfId="0" applyFont="1" applyFill="1" applyBorder="1" applyAlignment="1">
      <alignment horizontal="center"/>
    </xf>
    <xf numFmtId="0" fontId="1" fillId="5" borderId="1" xfId="0" applyFont="1" applyFill="1" applyBorder="1" applyAlignment="1">
      <alignment horizontal="center" vertical="center"/>
    </xf>
    <xf numFmtId="165" fontId="0" fillId="2" borderId="0" xfId="3" applyNumberFormat="1" applyFont="1" applyFill="1" applyAlignment="1">
      <alignment horizontal="center" vertical="center"/>
    </xf>
    <xf numFmtId="0" fontId="1" fillId="5" borderId="0" xfId="0" applyFont="1" applyFill="1" applyAlignment="1">
      <alignment horizontal="center"/>
    </xf>
    <xf numFmtId="0" fontId="2" fillId="5" borderId="0" xfId="0" applyFont="1" applyFill="1" applyAlignment="1">
      <alignment horizontal="center"/>
    </xf>
    <xf numFmtId="0" fontId="16" fillId="5" borderId="0" xfId="0" applyFont="1" applyFill="1" applyBorder="1" applyAlignment="1">
      <alignment horizontal="center" vertical="center"/>
    </xf>
    <xf numFmtId="0" fontId="16" fillId="5" borderId="0" xfId="0" applyFont="1" applyFill="1" applyAlignment="1">
      <alignment horizontal="center" vertical="center"/>
    </xf>
    <xf numFmtId="0" fontId="16" fillId="5" borderId="0" xfId="0" applyFont="1" applyFill="1" applyAlignment="1">
      <alignment horizontal="center" vertical="center"/>
    </xf>
    <xf numFmtId="0" fontId="16" fillId="5" borderId="0" xfId="0" applyFont="1" applyFill="1" applyAlignment="1">
      <alignment horizontal="center" vertical="center" wrapText="1"/>
    </xf>
    <xf numFmtId="0" fontId="25" fillId="2" borderId="0" xfId="0" applyFont="1" applyFill="1" applyAlignment="1">
      <alignment vertical="center"/>
    </xf>
    <xf numFmtId="0" fontId="1" fillId="5" borderId="0" xfId="0" applyFont="1" applyFill="1" applyBorder="1" applyAlignment="1"/>
    <xf numFmtId="0" fontId="1" fillId="4" borderId="0" xfId="0" applyFont="1" applyFill="1" applyBorder="1" applyAlignment="1">
      <alignment horizontal="center"/>
    </xf>
    <xf numFmtId="0" fontId="1" fillId="4" borderId="0" xfId="0" applyFont="1" applyFill="1" applyBorder="1" applyAlignment="1">
      <alignment horizontal="center" vertical="top" wrapText="1"/>
    </xf>
    <xf numFmtId="0" fontId="28" fillId="2" borderId="0" xfId="0" applyFont="1" applyFill="1" applyAlignment="1">
      <alignment horizontal="left" vertical="center"/>
    </xf>
    <xf numFmtId="4" fontId="28" fillId="2" borderId="0" xfId="0" applyNumberFormat="1" applyFont="1" applyFill="1" applyAlignment="1">
      <alignment horizontal="center" vertical="center"/>
    </xf>
    <xf numFmtId="165" fontId="28" fillId="2" borderId="0" xfId="0" applyNumberFormat="1" applyFont="1" applyFill="1" applyAlignment="1">
      <alignment horizontal="center" vertical="center"/>
    </xf>
    <xf numFmtId="0" fontId="28" fillId="2" borderId="0" xfId="0" applyFont="1" applyFill="1" applyAlignment="1">
      <alignment vertical="center"/>
    </xf>
    <xf numFmtId="0" fontId="28" fillId="2" borderId="0" xfId="0" applyFont="1" applyFill="1" applyAlignment="1">
      <alignment horizontal="right" vertical="center"/>
    </xf>
    <xf numFmtId="2" fontId="28" fillId="2" borderId="0" xfId="0" applyNumberFormat="1" applyFont="1" applyFill="1" applyAlignment="1">
      <alignment horizontal="center" vertical="center"/>
    </xf>
    <xf numFmtId="0" fontId="24" fillId="8" borderId="0" xfId="0" applyFont="1" applyFill="1" applyBorder="1" applyAlignment="1">
      <alignment vertical="center"/>
    </xf>
    <xf numFmtId="0" fontId="23" fillId="2" borderId="0" xfId="0" applyFont="1" applyFill="1" applyBorder="1" applyAlignment="1">
      <alignment vertical="center"/>
    </xf>
    <xf numFmtId="3" fontId="23" fillId="2" borderId="0" xfId="0" applyNumberFormat="1" applyFont="1" applyFill="1" applyBorder="1" applyAlignment="1">
      <alignment horizontal="center" vertical="center"/>
    </xf>
    <xf numFmtId="0" fontId="23" fillId="8" borderId="0" xfId="0" applyFont="1" applyFill="1" applyBorder="1" applyAlignment="1">
      <alignment vertical="center"/>
    </xf>
    <xf numFmtId="3" fontId="23" fillId="8" borderId="0" xfId="0" applyNumberFormat="1" applyFont="1" applyFill="1" applyBorder="1" applyAlignment="1">
      <alignment horizontal="center" vertical="center"/>
    </xf>
    <xf numFmtId="0" fontId="17" fillId="8" borderId="0" xfId="0" applyFont="1" applyFill="1" applyBorder="1" applyAlignment="1">
      <alignment vertical="center"/>
    </xf>
    <xf numFmtId="3" fontId="17" fillId="8" borderId="0" xfId="0" applyNumberFormat="1" applyFont="1" applyFill="1" applyBorder="1" applyAlignment="1">
      <alignment horizontal="center" vertical="center"/>
    </xf>
    <xf numFmtId="0" fontId="29" fillId="2" borderId="0" xfId="0" applyFont="1" applyFill="1" applyBorder="1" applyAlignment="1">
      <alignment vertical="center"/>
    </xf>
    <xf numFmtId="0" fontId="17" fillId="8" borderId="2" xfId="0" applyFont="1" applyFill="1" applyBorder="1" applyAlignment="1">
      <alignment vertical="center"/>
    </xf>
    <xf numFmtId="165" fontId="28" fillId="2" borderId="0" xfId="3" applyNumberFormat="1" applyFont="1" applyFill="1" applyAlignment="1">
      <alignment horizontal="center" vertical="center"/>
    </xf>
    <xf numFmtId="0" fontId="30" fillId="5" borderId="0" xfId="0" applyFont="1" applyFill="1" applyBorder="1" applyAlignment="1">
      <alignment horizontal="center" vertical="center"/>
    </xf>
    <xf numFmtId="0" fontId="31" fillId="2" borderId="0" xfId="0" applyFont="1" applyFill="1" applyAlignment="1">
      <alignment vertical="center"/>
    </xf>
    <xf numFmtId="3" fontId="2" fillId="2" borderId="0" xfId="0" applyNumberFormat="1" applyFont="1" applyFill="1" applyAlignment="1">
      <alignment horizontal="center" vertical="center"/>
    </xf>
    <xf numFmtId="9" fontId="2" fillId="2" borderId="0" xfId="3" applyFont="1" applyFill="1" applyAlignment="1">
      <alignment horizontal="center" vertical="center"/>
    </xf>
    <xf numFmtId="165" fontId="2" fillId="2" borderId="0" xfId="3" applyNumberFormat="1" applyFont="1" applyFill="1" applyAlignment="1">
      <alignment horizontal="center" vertical="center"/>
    </xf>
    <xf numFmtId="0" fontId="0" fillId="2" borderId="0" xfId="0" applyFont="1" applyFill="1" applyAlignment="1">
      <alignment vertical="center"/>
    </xf>
    <xf numFmtId="3" fontId="0" fillId="2" borderId="0" xfId="0" applyNumberFormat="1" applyFont="1" applyFill="1" applyAlignment="1">
      <alignment horizontal="center" vertical="center"/>
    </xf>
    <xf numFmtId="165" fontId="14" fillId="2" borderId="0" xfId="3" applyNumberFormat="1" applyFont="1" applyFill="1" applyAlignment="1">
      <alignment horizontal="center" vertical="center"/>
    </xf>
    <xf numFmtId="0" fontId="16" fillId="4" borderId="0" xfId="0" applyFont="1" applyFill="1" applyBorder="1" applyAlignment="1">
      <alignment vertical="center"/>
    </xf>
    <xf numFmtId="0" fontId="16" fillId="4"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33" fillId="2" borderId="0" xfId="0" applyFont="1" applyFill="1" applyBorder="1" applyAlignment="1">
      <alignment vertical="center"/>
    </xf>
    <xf numFmtId="3" fontId="31" fillId="2" borderId="0" xfId="0" applyNumberFormat="1" applyFont="1" applyFill="1" applyAlignment="1">
      <alignment horizontal="center" vertical="center"/>
    </xf>
    <xf numFmtId="0" fontId="31" fillId="2" borderId="0" xfId="0" applyFont="1" applyFill="1" applyAlignment="1">
      <alignment horizontal="center" vertical="center"/>
    </xf>
    <xf numFmtId="9" fontId="31" fillId="2" borderId="0" xfId="3" applyFont="1" applyFill="1" applyAlignment="1">
      <alignment horizontal="center" vertical="center"/>
    </xf>
    <xf numFmtId="9" fontId="14" fillId="2" borderId="0" xfId="3" applyFont="1" applyFill="1" applyAlignment="1">
      <alignment horizontal="center" vertical="center"/>
    </xf>
    <xf numFmtId="0" fontId="0" fillId="2" borderId="0" xfId="0" applyFont="1" applyFill="1" applyAlignment="1">
      <alignment horizontal="center" vertical="center"/>
    </xf>
    <xf numFmtId="4" fontId="0" fillId="2" borderId="0" xfId="0" applyNumberFormat="1" applyFill="1" applyAlignment="1">
      <alignment horizontal="center" vertical="center"/>
    </xf>
    <xf numFmtId="4" fontId="0" fillId="3" borderId="0" xfId="0" applyNumberFormat="1" applyFill="1" applyAlignment="1">
      <alignment horizontal="center" vertical="center"/>
    </xf>
    <xf numFmtId="4" fontId="22" fillId="5" borderId="0" xfId="0" applyNumberFormat="1" applyFont="1" applyFill="1" applyBorder="1" applyAlignment="1">
      <alignment horizontal="center"/>
    </xf>
    <xf numFmtId="4" fontId="1" fillId="5" borderId="0" xfId="0" applyNumberFormat="1" applyFont="1" applyFill="1" applyBorder="1" applyAlignment="1">
      <alignment horizontal="center" vertical="center"/>
    </xf>
    <xf numFmtId="4" fontId="1" fillId="5" borderId="0" xfId="0" applyNumberFormat="1" applyFont="1" applyFill="1" applyBorder="1" applyAlignment="1">
      <alignment horizontal="center" vertical="top"/>
    </xf>
    <xf numFmtId="4" fontId="2" fillId="2" borderId="0" xfId="0" applyNumberFormat="1" applyFont="1" applyFill="1" applyAlignment="1">
      <alignment horizontal="center" vertical="center"/>
    </xf>
    <xf numFmtId="4" fontId="0" fillId="2" borderId="0" xfId="0" applyNumberFormat="1" applyFont="1" applyFill="1" applyAlignment="1">
      <alignment horizontal="center" vertical="center"/>
    </xf>
    <xf numFmtId="0" fontId="0" fillId="2" borderId="0" xfId="0" applyFill="1"/>
    <xf numFmtId="0" fontId="32" fillId="2" borderId="0" xfId="0" applyFont="1" applyFill="1" applyAlignment="1">
      <alignment vertical="center"/>
    </xf>
    <xf numFmtId="0" fontId="35" fillId="8" borderId="0" xfId="0" applyFont="1" applyFill="1" applyBorder="1" applyAlignment="1">
      <alignment vertical="center"/>
    </xf>
    <xf numFmtId="0" fontId="25" fillId="2" borderId="0" xfId="0" applyFont="1" applyFill="1"/>
    <xf numFmtId="0" fontId="24" fillId="2" borderId="0" xfId="0" applyFont="1" applyFill="1" applyBorder="1" applyAlignment="1">
      <alignment vertical="center"/>
    </xf>
    <xf numFmtId="0" fontId="16" fillId="2" borderId="0" xfId="0" applyFont="1" applyFill="1" applyBorder="1" applyAlignment="1">
      <alignment vertical="center"/>
    </xf>
    <xf numFmtId="0" fontId="35" fillId="8" borderId="6" xfId="0" applyFont="1" applyFill="1" applyBorder="1" applyAlignment="1">
      <alignment vertical="center"/>
    </xf>
    <xf numFmtId="0" fontId="36" fillId="2" borderId="0" xfId="2" applyFont="1" applyFill="1" applyAlignment="1">
      <alignment horizontal="left" vertical="center"/>
    </xf>
    <xf numFmtId="0" fontId="27" fillId="2" borderId="7" xfId="0" applyFont="1" applyFill="1" applyBorder="1" applyAlignment="1">
      <alignment horizontal="left" vertical="center"/>
    </xf>
    <xf numFmtId="4" fontId="27" fillId="2" borderId="7" xfId="0" applyNumberFormat="1" applyFont="1" applyFill="1" applyBorder="1" applyAlignment="1">
      <alignment horizontal="center" vertical="center"/>
    </xf>
    <xf numFmtId="165" fontId="27" fillId="2" borderId="7" xfId="0" applyNumberFormat="1" applyFont="1" applyFill="1" applyBorder="1" applyAlignment="1">
      <alignment horizontal="center" vertical="center"/>
    </xf>
    <xf numFmtId="0" fontId="27" fillId="2" borderId="7" xfId="0" applyFont="1" applyFill="1" applyBorder="1" applyAlignment="1">
      <alignment vertical="center"/>
    </xf>
    <xf numFmtId="0" fontId="16" fillId="5" borderId="0" xfId="0" applyFont="1" applyFill="1" applyBorder="1" applyAlignment="1">
      <alignment horizontal="center" vertical="center"/>
    </xf>
    <xf numFmtId="0" fontId="1" fillId="5" borderId="0" xfId="0" applyFont="1" applyFill="1" applyBorder="1" applyAlignment="1">
      <alignment horizontal="center" vertical="center"/>
    </xf>
    <xf numFmtId="2" fontId="0" fillId="2" borderId="0" xfId="0" applyNumberFormat="1" applyFill="1" applyAlignment="1">
      <alignment vertical="center"/>
    </xf>
    <xf numFmtId="0" fontId="22" fillId="5" borderId="0" xfId="0" applyFont="1" applyFill="1" applyBorder="1" applyAlignment="1">
      <alignment horizontal="center" vertical="center"/>
    </xf>
    <xf numFmtId="0" fontId="37" fillId="2" borderId="0" xfId="0" applyFont="1" applyFill="1" applyAlignment="1">
      <alignment vertical="center"/>
    </xf>
    <xf numFmtId="0" fontId="19" fillId="5" borderId="0" xfId="0" applyFont="1" applyFill="1" applyAlignment="1">
      <alignment vertical="center"/>
    </xf>
    <xf numFmtId="0" fontId="0" fillId="5" borderId="0" xfId="0" applyFill="1" applyAlignment="1">
      <alignment vertical="center"/>
    </xf>
    <xf numFmtId="0" fontId="38" fillId="2" borderId="0" xfId="0" applyFont="1" applyFill="1" applyAlignment="1">
      <alignment vertical="center"/>
    </xf>
    <xf numFmtId="0" fontId="18" fillId="2" borderId="8" xfId="0" applyFont="1" applyFill="1" applyBorder="1" applyAlignment="1">
      <alignment vertical="center"/>
    </xf>
    <xf numFmtId="0" fontId="32" fillId="2" borderId="9"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15" fillId="2" borderId="0" xfId="0" applyFont="1" applyFill="1" applyBorder="1" applyAlignment="1">
      <alignment vertical="center"/>
    </xf>
    <xf numFmtId="0" fontId="0" fillId="2" borderId="12" xfId="0" applyFill="1" applyBorder="1" applyAlignment="1">
      <alignment vertical="center"/>
    </xf>
    <xf numFmtId="0" fontId="25" fillId="2" borderId="12" xfId="0" applyFont="1" applyFill="1" applyBorder="1" applyAlignment="1">
      <alignment vertical="center"/>
    </xf>
    <xf numFmtId="0" fontId="25" fillId="2" borderId="11" xfId="0" applyFont="1" applyFill="1" applyBorder="1" applyAlignment="1">
      <alignment vertical="center"/>
    </xf>
    <xf numFmtId="0" fontId="25" fillId="2" borderId="0" xfId="0" applyFont="1"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4" fontId="0" fillId="2" borderId="0" xfId="0" applyNumberFormat="1" applyFont="1" applyFill="1" applyAlignment="1">
      <alignment vertical="center"/>
    </xf>
    <xf numFmtId="0" fontId="40" fillId="2" borderId="0" xfId="0" applyFont="1" applyFill="1" applyAlignment="1">
      <alignment horizontal="center" vertical="center"/>
    </xf>
    <xf numFmtId="0" fontId="41" fillId="2" borderId="0" xfId="0" applyFont="1" applyFill="1" applyAlignment="1">
      <alignment horizontal="center" vertical="center"/>
    </xf>
    <xf numFmtId="0" fontId="40" fillId="3" borderId="0" xfId="0" applyFont="1" applyFill="1" applyAlignment="1">
      <alignment horizontal="center" vertical="center"/>
    </xf>
    <xf numFmtId="0" fontId="41" fillId="3" borderId="0" xfId="0" applyFont="1" applyFill="1" applyAlignment="1">
      <alignment horizontal="center" vertical="center"/>
    </xf>
    <xf numFmtId="0" fontId="42" fillId="2" borderId="0" xfId="0" applyFont="1" applyFill="1" applyAlignment="1">
      <alignment horizontal="center"/>
    </xf>
    <xf numFmtId="0" fontId="43" fillId="2" borderId="0" xfId="0" applyFont="1" applyFill="1" applyAlignment="1">
      <alignment horizontal="center"/>
    </xf>
    <xf numFmtId="0" fontId="42" fillId="2" borderId="0" xfId="0" applyFont="1" applyFill="1" applyBorder="1" applyAlignment="1">
      <alignment horizontal="center" vertical="center"/>
    </xf>
    <xf numFmtId="0" fontId="43" fillId="2" borderId="0" xfId="0" applyFont="1" applyFill="1" applyBorder="1" applyAlignment="1">
      <alignment horizontal="center" vertical="center"/>
    </xf>
    <xf numFmtId="0" fontId="40" fillId="2" borderId="0" xfId="0" applyFont="1" applyFill="1" applyBorder="1" applyAlignment="1">
      <alignment horizontal="center"/>
    </xf>
    <xf numFmtId="0" fontId="39" fillId="2" borderId="0" xfId="0" applyFont="1" applyFill="1"/>
    <xf numFmtId="0" fontId="44" fillId="2" borderId="0" xfId="0" applyFont="1" applyFill="1" applyAlignment="1">
      <alignment vertical="center"/>
    </xf>
    <xf numFmtId="4" fontId="44" fillId="2" borderId="0" xfId="0" applyNumberFormat="1" applyFont="1" applyFill="1" applyAlignment="1">
      <alignment vertical="center"/>
    </xf>
    <xf numFmtId="0" fontId="39" fillId="2" borderId="0" xfId="0" applyFont="1" applyFill="1" applyAlignment="1">
      <alignment vertical="center"/>
    </xf>
    <xf numFmtId="165" fontId="17" fillId="8" borderId="2" xfId="0" applyNumberFormat="1"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horizontal="center" vertical="center"/>
    </xf>
    <xf numFmtId="169" fontId="0" fillId="2" borderId="0" xfId="0" applyNumberFormat="1" applyFill="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3" fontId="0" fillId="2" borderId="18" xfId="0" applyNumberFormat="1" applyFill="1" applyBorder="1" applyAlignment="1">
      <alignment horizontal="center" vertical="center"/>
    </xf>
    <xf numFmtId="0" fontId="0" fillId="2" borderId="19" xfId="0" applyFill="1" applyBorder="1" applyAlignment="1">
      <alignment vertical="center"/>
    </xf>
    <xf numFmtId="0" fontId="0" fillId="2" borderId="20" xfId="0" applyFill="1" applyBorder="1" applyAlignment="1">
      <alignment vertical="center"/>
    </xf>
    <xf numFmtId="167" fontId="0" fillId="2" borderId="0" xfId="0" applyNumberFormat="1" applyFill="1" applyBorder="1" applyAlignment="1">
      <alignment horizontal="center" vertical="center"/>
    </xf>
    <xf numFmtId="168" fontId="0" fillId="2" borderId="21" xfId="0" applyNumberFormat="1" applyFill="1" applyBorder="1" applyAlignment="1">
      <alignment horizontal="center" vertical="center"/>
    </xf>
    <xf numFmtId="0" fontId="0" fillId="2" borderId="22" xfId="0" applyFill="1" applyBorder="1" applyAlignment="1">
      <alignment vertical="center"/>
    </xf>
    <xf numFmtId="0" fontId="0" fillId="2" borderId="16" xfId="0" applyFill="1" applyBorder="1" applyAlignment="1">
      <alignment vertical="center"/>
    </xf>
    <xf numFmtId="3" fontId="0" fillId="2" borderId="16" xfId="0" applyNumberFormat="1" applyFill="1" applyBorder="1" applyAlignment="1">
      <alignment horizontal="center" vertical="center"/>
    </xf>
    <xf numFmtId="0" fontId="0" fillId="2" borderId="23" xfId="0" applyFill="1" applyBorder="1" applyAlignment="1">
      <alignment vertical="center"/>
    </xf>
    <xf numFmtId="0" fontId="45" fillId="9" borderId="24" xfId="0" applyFont="1" applyFill="1" applyBorder="1" applyAlignment="1">
      <alignment vertical="center"/>
    </xf>
    <xf numFmtId="0" fontId="45" fillId="9" borderId="25" xfId="0" applyFont="1" applyFill="1" applyBorder="1" applyAlignment="1">
      <alignment vertical="center"/>
    </xf>
    <xf numFmtId="0" fontId="1" fillId="9" borderId="25" xfId="0" applyFont="1" applyFill="1" applyBorder="1" applyAlignment="1">
      <alignment vertical="center"/>
    </xf>
    <xf numFmtId="0" fontId="1" fillId="9" borderId="26" xfId="0" applyFont="1" applyFill="1" applyBorder="1" applyAlignment="1">
      <alignment horizontal="center" vertical="center"/>
    </xf>
    <xf numFmtId="0" fontId="46" fillId="2" borderId="0" xfId="0" applyFont="1" applyFill="1" applyAlignment="1">
      <alignment vertical="center"/>
    </xf>
    <xf numFmtId="4" fontId="47" fillId="2" borderId="0" xfId="0" applyNumberFormat="1" applyFont="1" applyFill="1" applyBorder="1" applyAlignment="1">
      <alignment horizontal="center" vertical="center"/>
    </xf>
    <xf numFmtId="10" fontId="47" fillId="2" borderId="0" xfId="3" applyNumberFormat="1" applyFont="1" applyFill="1" applyBorder="1" applyAlignment="1">
      <alignment horizontal="center" vertical="center"/>
    </xf>
    <xf numFmtId="2" fontId="47" fillId="2" borderId="0" xfId="0" applyNumberFormat="1" applyFont="1" applyFill="1" applyBorder="1" applyAlignment="1">
      <alignment horizontal="center" vertical="center"/>
    </xf>
    <xf numFmtId="10" fontId="47" fillId="2" borderId="0" xfId="0" applyNumberFormat="1" applyFont="1" applyFill="1" applyBorder="1" applyAlignment="1">
      <alignment horizontal="center" vertical="center"/>
    </xf>
    <xf numFmtId="0" fontId="47" fillId="2" borderId="0" xfId="0" applyNumberFormat="1" applyFont="1" applyFill="1" applyBorder="1" applyAlignment="1">
      <alignment horizontal="center" vertical="center"/>
    </xf>
    <xf numFmtId="3" fontId="47" fillId="2" borderId="0" xfId="0" applyNumberFormat="1" applyFont="1" applyFill="1" applyBorder="1" applyAlignment="1">
      <alignment horizontal="center" vertical="center"/>
    </xf>
    <xf numFmtId="9" fontId="47" fillId="2" borderId="0" xfId="3" applyFont="1" applyFill="1" applyBorder="1" applyAlignment="1">
      <alignment horizontal="center" vertical="center"/>
    </xf>
    <xf numFmtId="0" fontId="47" fillId="2" borderId="0" xfId="0" applyFont="1" applyFill="1" applyAlignment="1">
      <alignment horizontal="center" vertical="center"/>
    </xf>
    <xf numFmtId="165" fontId="47" fillId="2" borderId="0" xfId="0" applyNumberFormat="1" applyFont="1" applyFill="1" applyAlignment="1">
      <alignment horizontal="center" vertical="center"/>
    </xf>
    <xf numFmtId="0" fontId="47" fillId="2" borderId="0" xfId="0" applyFont="1" applyFill="1" applyAlignment="1">
      <alignment vertical="center"/>
    </xf>
    <xf numFmtId="0" fontId="48"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0" fontId="51" fillId="2" borderId="0" xfId="0" applyFont="1" applyFill="1" applyAlignment="1">
      <alignment vertical="center"/>
    </xf>
    <xf numFmtId="0" fontId="52" fillId="4" borderId="0" xfId="0" applyFont="1" applyFill="1" applyBorder="1" applyAlignment="1">
      <alignment horizontal="center" vertical="center" wrapText="1"/>
    </xf>
    <xf numFmtId="0" fontId="53" fillId="2" borderId="0" xfId="0" applyFont="1" applyFill="1" applyAlignment="1">
      <alignment horizontal="center" vertical="center"/>
    </xf>
    <xf numFmtId="0" fontId="54" fillId="2" borderId="0" xfId="0" applyFont="1" applyFill="1" applyAlignment="1">
      <alignment horizontal="center" vertical="center"/>
    </xf>
    <xf numFmtId="3" fontId="48" fillId="2" borderId="0" xfId="0" applyNumberFormat="1" applyFont="1" applyFill="1" applyAlignment="1">
      <alignment horizontal="center" vertical="center"/>
    </xf>
    <xf numFmtId="0" fontId="6" fillId="0" borderId="0" xfId="2"/>
    <xf numFmtId="0" fontId="57" fillId="2" borderId="0" xfId="0" applyFont="1" applyFill="1" applyAlignment="1">
      <alignment horizontal="center" vertical="center"/>
    </xf>
    <xf numFmtId="10" fontId="47" fillId="2" borderId="0" xfId="0" applyNumberFormat="1" applyFont="1" applyFill="1" applyAlignment="1">
      <alignment horizontal="center" vertical="center"/>
    </xf>
    <xf numFmtId="3" fontId="22" fillId="8" borderId="0"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0" fontId="6" fillId="2" borderId="0" xfId="2" applyFill="1" applyAlignment="1">
      <alignment vertical="center"/>
    </xf>
    <xf numFmtId="0" fontId="58" fillId="2" borderId="0" xfId="0" applyFont="1" applyFill="1" applyAlignment="1">
      <alignment vertical="center"/>
    </xf>
    <xf numFmtId="0" fontId="59" fillId="2" borderId="0" xfId="0" applyFont="1" applyFill="1" applyAlignment="1">
      <alignment vertical="center"/>
    </xf>
    <xf numFmtId="3" fontId="29" fillId="8" borderId="0" xfId="0" applyNumberFormat="1" applyFont="1" applyFill="1" applyBorder="1" applyAlignment="1">
      <alignment horizontal="center" vertical="center"/>
    </xf>
    <xf numFmtId="0" fontId="24" fillId="8" borderId="31" xfId="0" applyFont="1" applyFill="1" applyBorder="1" applyAlignment="1">
      <alignment vertical="center"/>
    </xf>
    <xf numFmtId="0" fontId="24" fillId="2" borderId="31" xfId="0" applyFont="1" applyFill="1" applyBorder="1" applyAlignment="1">
      <alignment vertical="center"/>
    </xf>
    <xf numFmtId="0" fontId="34" fillId="4" borderId="27" xfId="0" applyFont="1" applyFill="1" applyBorder="1" applyAlignment="1">
      <alignment vertical="center" wrapText="1"/>
    </xf>
    <xf numFmtId="3" fontId="22" fillId="8" borderId="32" xfId="0" applyNumberFormat="1" applyFont="1" applyFill="1" applyBorder="1" applyAlignment="1">
      <alignment horizontal="center" vertical="center"/>
    </xf>
    <xf numFmtId="3" fontId="22" fillId="8" borderId="31" xfId="0" applyNumberFormat="1" applyFont="1" applyFill="1" applyBorder="1" applyAlignment="1">
      <alignment horizontal="center" vertical="center"/>
    </xf>
    <xf numFmtId="3" fontId="22" fillId="2" borderId="32" xfId="0" applyNumberFormat="1" applyFont="1" applyFill="1" applyBorder="1" applyAlignment="1">
      <alignment horizontal="center" vertical="center"/>
    </xf>
    <xf numFmtId="3" fontId="22" fillId="2" borderId="31" xfId="0" applyNumberFormat="1" applyFont="1" applyFill="1" applyBorder="1" applyAlignment="1">
      <alignment horizontal="center" vertical="center"/>
    </xf>
    <xf numFmtId="0" fontId="55" fillId="2" borderId="31" xfId="0" applyFont="1" applyFill="1" applyBorder="1" applyAlignment="1">
      <alignment vertical="center"/>
    </xf>
    <xf numFmtId="170" fontId="56" fillId="2" borderId="32" xfId="3" applyNumberFormat="1" applyFont="1" applyFill="1" applyBorder="1" applyAlignment="1">
      <alignment horizontal="right" vertical="center"/>
    </xf>
    <xf numFmtId="165" fontId="56" fillId="2" borderId="31" xfId="3" applyNumberFormat="1" applyFont="1" applyFill="1" applyBorder="1" applyAlignment="1">
      <alignment horizontal="left" vertical="center"/>
    </xf>
    <xf numFmtId="165" fontId="56" fillId="2" borderId="0" xfId="3" applyNumberFormat="1" applyFont="1" applyFill="1" applyBorder="1" applyAlignment="1">
      <alignment horizontal="left" vertical="center"/>
    </xf>
    <xf numFmtId="0" fontId="55" fillId="8" borderId="31" xfId="0" applyFont="1" applyFill="1" applyBorder="1" applyAlignment="1">
      <alignment vertical="center"/>
    </xf>
    <xf numFmtId="170" fontId="56" fillId="8" borderId="32" xfId="3" applyNumberFormat="1" applyFont="1" applyFill="1" applyBorder="1" applyAlignment="1">
      <alignment horizontal="right" vertical="center"/>
    </xf>
    <xf numFmtId="165" fontId="56" fillId="8" borderId="31" xfId="3" applyNumberFormat="1" applyFont="1" applyFill="1" applyBorder="1" applyAlignment="1">
      <alignment horizontal="left" vertical="center"/>
    </xf>
    <xf numFmtId="165" fontId="56" fillId="8" borderId="0" xfId="3" applyNumberFormat="1" applyFont="1" applyFill="1" applyBorder="1" applyAlignment="1">
      <alignment horizontal="left" vertical="center"/>
    </xf>
    <xf numFmtId="165" fontId="56" fillId="8" borderId="6" xfId="3" applyNumberFormat="1" applyFont="1" applyFill="1" applyBorder="1" applyAlignment="1">
      <alignment horizontal="left" vertical="center"/>
    </xf>
    <xf numFmtId="171" fontId="0" fillId="2" borderId="0" xfId="3" applyNumberFormat="1" applyFont="1" applyFill="1" applyAlignment="1">
      <alignment horizontal="center" vertical="center"/>
    </xf>
    <xf numFmtId="171" fontId="2" fillId="2" borderId="0" xfId="3" applyNumberFormat="1" applyFont="1" applyFill="1" applyAlignment="1">
      <alignment horizontal="center" vertical="center"/>
    </xf>
    <xf numFmtId="171" fontId="0" fillId="2" borderId="0" xfId="0" applyNumberFormat="1" applyFill="1" applyAlignment="1">
      <alignment horizontal="center" vertical="center"/>
    </xf>
    <xf numFmtId="171" fontId="2" fillId="2" borderId="0" xfId="0" applyNumberFormat="1" applyFont="1" applyFill="1" applyAlignment="1">
      <alignment horizontal="center" vertical="center"/>
    </xf>
    <xf numFmtId="171" fontId="0" fillId="2" borderId="16" xfId="3" applyNumberFormat="1" applyFont="1" applyFill="1" applyBorder="1" applyAlignment="1">
      <alignment horizontal="center" vertical="center"/>
    </xf>
    <xf numFmtId="171" fontId="2" fillId="2" borderId="16" xfId="3" applyNumberFormat="1" applyFont="1" applyFill="1" applyBorder="1" applyAlignment="1">
      <alignment horizontal="center" vertical="center"/>
    </xf>
    <xf numFmtId="3" fontId="22" fillId="8" borderId="32" xfId="0" applyNumberFormat="1" applyFont="1" applyFill="1" applyBorder="1" applyAlignment="1">
      <alignment horizontal="center" vertical="center" wrapText="1"/>
    </xf>
    <xf numFmtId="3" fontId="22" fillId="8" borderId="31" xfId="0" applyNumberFormat="1" applyFont="1" applyFill="1" applyBorder="1" applyAlignment="1">
      <alignment horizontal="center" vertical="center" wrapText="1"/>
    </xf>
    <xf numFmtId="0" fontId="30" fillId="8" borderId="31" xfId="0" applyFont="1" applyFill="1" applyBorder="1" applyAlignment="1">
      <alignment horizontal="left" vertical="center" wrapText="1"/>
    </xf>
    <xf numFmtId="0" fontId="0" fillId="0" borderId="31" xfId="0" applyBorder="1" applyAlignment="1">
      <alignment horizontal="left" vertical="center" wrapText="1"/>
    </xf>
    <xf numFmtId="3" fontId="22" fillId="2" borderId="32" xfId="0" applyNumberFormat="1" applyFont="1" applyFill="1" applyBorder="1" applyAlignment="1">
      <alignment horizontal="center" vertical="center"/>
    </xf>
    <xf numFmtId="3" fontId="22" fillId="2" borderId="31" xfId="0" applyNumberFormat="1" applyFont="1" applyFill="1" applyBorder="1" applyAlignment="1">
      <alignment horizontal="center" vertical="center"/>
    </xf>
    <xf numFmtId="3" fontId="22" fillId="8" borderId="32" xfId="0" applyNumberFormat="1" applyFont="1" applyFill="1" applyBorder="1" applyAlignment="1">
      <alignment horizontal="center" vertical="center"/>
    </xf>
    <xf numFmtId="3" fontId="22" fillId="8" borderId="0" xfId="0" applyNumberFormat="1" applyFont="1" applyFill="1" applyBorder="1" applyAlignment="1">
      <alignment horizontal="center" vertical="center"/>
    </xf>
    <xf numFmtId="3" fontId="22" fillId="8" borderId="31" xfId="0" applyNumberFormat="1" applyFont="1" applyFill="1" applyBorder="1" applyAlignment="1">
      <alignment horizontal="center" vertical="center"/>
    </xf>
    <xf numFmtId="3" fontId="22" fillId="2" borderId="32" xfId="0" applyNumberFormat="1" applyFont="1" applyFill="1" applyBorder="1" applyAlignment="1">
      <alignment horizontal="center" vertical="center" wrapText="1"/>
    </xf>
    <xf numFmtId="3" fontId="22" fillId="2" borderId="31"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xf>
    <xf numFmtId="0" fontId="16" fillId="5" borderId="0" xfId="0" applyFont="1" applyFill="1" applyBorder="1" applyAlignment="1">
      <alignment horizontal="center" vertical="center"/>
    </xf>
    <xf numFmtId="0" fontId="0" fillId="8" borderId="31" xfId="0" applyFill="1" applyBorder="1" applyAlignment="1">
      <alignment horizontal="left" vertical="center" wrapText="1"/>
    </xf>
    <xf numFmtId="0" fontId="60" fillId="2" borderId="0" xfId="0" applyFont="1" applyFill="1" applyAlignment="1">
      <alignment horizontal="center" vertical="center"/>
    </xf>
    <xf numFmtId="0" fontId="32" fillId="2" borderId="0" xfId="0" applyFont="1" applyFill="1" applyAlignment="1">
      <alignment horizontal="center" vertical="center"/>
    </xf>
    <xf numFmtId="0" fontId="61" fillId="2" borderId="0" xfId="0" applyFont="1" applyFill="1" applyAlignment="1">
      <alignment vertical="top"/>
    </xf>
    <xf numFmtId="3" fontId="22" fillId="8" borderId="32" xfId="0" applyNumberFormat="1" applyFont="1" applyFill="1" applyBorder="1" applyAlignment="1">
      <alignment horizontal="center" vertical="center"/>
    </xf>
    <xf numFmtId="172" fontId="0" fillId="2" borderId="0" xfId="0" applyNumberFormat="1" applyFill="1" applyAlignment="1">
      <alignment vertical="center"/>
    </xf>
    <xf numFmtId="0" fontId="16" fillId="4" borderId="1" xfId="0" applyFont="1" applyFill="1" applyBorder="1" applyAlignment="1">
      <alignment horizontal="center" vertical="top" wrapText="1"/>
    </xf>
    <xf numFmtId="0" fontId="16" fillId="4" borderId="0" xfId="0" applyFont="1" applyFill="1" applyBorder="1" applyAlignment="1">
      <alignment horizontal="center"/>
    </xf>
    <xf numFmtId="10" fontId="56" fillId="8" borderId="31" xfId="3" applyNumberFormat="1" applyFont="1" applyFill="1" applyBorder="1" applyAlignment="1">
      <alignment horizontal="left" vertical="center"/>
    </xf>
    <xf numFmtId="0" fontId="55" fillId="8" borderId="33" xfId="0" applyFont="1" applyFill="1" applyBorder="1" applyAlignment="1">
      <alignment vertical="center"/>
    </xf>
    <xf numFmtId="170" fontId="56" fillId="8" borderId="34" xfId="3" applyNumberFormat="1" applyFont="1" applyFill="1" applyBorder="1" applyAlignment="1">
      <alignment horizontal="right" vertical="center"/>
    </xf>
    <xf numFmtId="165" fontId="56" fillId="8" borderId="33" xfId="3" applyNumberFormat="1" applyFont="1" applyFill="1" applyBorder="1" applyAlignment="1">
      <alignment horizontal="left" vertical="center"/>
    </xf>
    <xf numFmtId="10" fontId="56" fillId="8" borderId="33" xfId="3" applyNumberFormat="1" applyFont="1" applyFill="1" applyBorder="1" applyAlignment="1">
      <alignment horizontal="left" vertical="center"/>
    </xf>
    <xf numFmtId="2" fontId="47" fillId="2" borderId="0" xfId="0" applyNumberFormat="1" applyFont="1" applyFill="1" applyAlignment="1">
      <alignment horizontal="center" vertical="center"/>
    </xf>
    <xf numFmtId="0" fontId="62" fillId="2" borderId="0" xfId="0" applyFont="1" applyFill="1" applyAlignment="1">
      <alignment vertical="center"/>
    </xf>
    <xf numFmtId="0" fontId="63" fillId="2" borderId="0" xfId="0" applyFont="1" applyFill="1"/>
    <xf numFmtId="1" fontId="5" fillId="2" borderId="0" xfId="0" applyNumberFormat="1" applyFont="1" applyFill="1" applyAlignment="1">
      <alignment horizontal="center" vertical="center"/>
    </xf>
    <xf numFmtId="3" fontId="24" fillId="8" borderId="0" xfId="0" applyNumberFormat="1" applyFont="1" applyFill="1" applyBorder="1" applyAlignment="1">
      <alignment horizontal="center" vertical="center"/>
    </xf>
    <xf numFmtId="0" fontId="13" fillId="2" borderId="0" xfId="2" applyFont="1" applyFill="1" applyAlignment="1">
      <alignment horizontal="left" vertical="center"/>
    </xf>
    <xf numFmtId="3" fontId="22" fillId="8" borderId="32" xfId="0" applyNumberFormat="1" applyFont="1" applyFill="1" applyBorder="1" applyAlignment="1">
      <alignment horizontal="center" vertical="center" wrapText="1"/>
    </xf>
    <xf numFmtId="3" fontId="22" fillId="8" borderId="31" xfId="0" applyNumberFormat="1" applyFont="1" applyFill="1" applyBorder="1" applyAlignment="1">
      <alignment horizontal="center" vertical="center" wrapText="1"/>
    </xf>
    <xf numFmtId="166" fontId="24" fillId="8" borderId="30" xfId="0" applyNumberFormat="1" applyFont="1" applyFill="1" applyBorder="1" applyAlignment="1">
      <alignment horizontal="center" vertical="center"/>
    </xf>
    <xf numFmtId="166" fontId="24" fillId="8" borderId="32" xfId="0" applyNumberFormat="1" applyFont="1" applyFill="1" applyBorder="1" applyAlignment="1">
      <alignment horizontal="center" vertical="center"/>
    </xf>
    <xf numFmtId="3" fontId="22" fillId="8" borderId="30" xfId="0" applyNumberFormat="1" applyFont="1" applyFill="1" applyBorder="1" applyAlignment="1">
      <alignment horizontal="center" vertical="center"/>
    </xf>
    <xf numFmtId="3" fontId="22" fillId="8" borderId="32" xfId="0" applyNumberFormat="1" applyFont="1" applyFill="1" applyBorder="1" applyAlignment="1">
      <alignment horizontal="center" vertical="center"/>
    </xf>
    <xf numFmtId="0" fontId="1" fillId="4" borderId="28" xfId="0" applyFont="1" applyFill="1" applyBorder="1" applyAlignment="1">
      <alignment horizontal="center"/>
    </xf>
    <xf numFmtId="0" fontId="1" fillId="4" borderId="28" xfId="0" applyFont="1" applyFill="1" applyBorder="1" applyAlignment="1">
      <alignment horizontal="center" vertical="top" wrapText="1"/>
    </xf>
    <xf numFmtId="166" fontId="24" fillId="8" borderId="0" xfId="0" applyNumberFormat="1" applyFont="1" applyFill="1" applyBorder="1" applyAlignment="1">
      <alignment horizontal="center" vertical="center"/>
    </xf>
    <xf numFmtId="166" fontId="24" fillId="8" borderId="31" xfId="0" applyNumberFormat="1" applyFont="1" applyFill="1" applyBorder="1" applyAlignment="1">
      <alignment horizontal="center" vertical="center"/>
    </xf>
    <xf numFmtId="166" fontId="24" fillId="2" borderId="32" xfId="0" applyNumberFormat="1" applyFont="1" applyFill="1" applyBorder="1" applyAlignment="1">
      <alignment horizontal="center" vertical="center"/>
    </xf>
    <xf numFmtId="166" fontId="24" fillId="2" borderId="31" xfId="0" applyNumberFormat="1" applyFont="1" applyFill="1" applyBorder="1" applyAlignment="1">
      <alignment horizontal="center" vertical="center"/>
    </xf>
    <xf numFmtId="166" fontId="24" fillId="2" borderId="0" xfId="0" applyNumberFormat="1" applyFont="1" applyFill="1" applyBorder="1" applyAlignment="1">
      <alignment horizontal="center" vertical="center"/>
    </xf>
    <xf numFmtId="3" fontId="22" fillId="2" borderId="32" xfId="0" applyNumberFormat="1" applyFont="1" applyFill="1" applyBorder="1" applyAlignment="1">
      <alignment horizontal="center" vertical="center"/>
    </xf>
    <xf numFmtId="3" fontId="22" fillId="2" borderId="31"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3" fontId="22" fillId="2" borderId="32" xfId="0" applyNumberFormat="1" applyFont="1" applyFill="1" applyBorder="1" applyAlignment="1">
      <alignment horizontal="center" vertical="center" wrapText="1"/>
    </xf>
    <xf numFmtId="3" fontId="22" fillId="2" borderId="31" xfId="0" applyNumberFormat="1" applyFont="1" applyFill="1" applyBorder="1" applyAlignment="1">
      <alignment horizontal="center" vertical="center" wrapText="1"/>
    </xf>
    <xf numFmtId="0" fontId="1" fillId="4" borderId="0" xfId="0" applyFont="1" applyFill="1" applyAlignment="1">
      <alignment horizontal="center" vertical="center" wrapText="1"/>
    </xf>
    <xf numFmtId="0" fontId="30" fillId="8" borderId="31" xfId="0" applyFont="1" applyFill="1" applyBorder="1" applyAlignment="1">
      <alignment horizontal="left" vertical="center" wrapText="1"/>
    </xf>
    <xf numFmtId="0" fontId="30" fillId="2" borderId="31" xfId="0" applyFont="1" applyFill="1" applyBorder="1" applyAlignment="1">
      <alignment horizontal="left" vertical="center" wrapText="1"/>
    </xf>
    <xf numFmtId="0" fontId="0" fillId="0" borderId="31" xfId="0" applyBorder="1" applyAlignment="1">
      <alignment horizontal="left" vertical="center" wrapText="1"/>
    </xf>
    <xf numFmtId="3" fontId="22" fillId="8" borderId="0" xfId="0" applyNumberFormat="1" applyFont="1" applyFill="1" applyBorder="1" applyAlignment="1">
      <alignment horizontal="center" vertical="center"/>
    </xf>
    <xf numFmtId="3" fontId="22" fillId="8" borderId="31" xfId="0" applyNumberFormat="1" applyFont="1" applyFill="1" applyBorder="1" applyAlignment="1">
      <alignment horizontal="center" vertical="center"/>
    </xf>
    <xf numFmtId="0" fontId="1" fillId="4" borderId="0" xfId="0" applyFont="1" applyFill="1" applyBorder="1" applyAlignment="1">
      <alignment wrapText="1"/>
    </xf>
    <xf numFmtId="0" fontId="0" fillId="0" borderId="0" xfId="0" applyAlignment="1">
      <alignment horizontal="left" vertical="center"/>
    </xf>
    <xf numFmtId="0" fontId="1" fillId="4" borderId="29" xfId="0" applyFont="1" applyFill="1" applyBorder="1" applyAlignment="1">
      <alignment horizontal="center"/>
    </xf>
    <xf numFmtId="0" fontId="1" fillId="4" borderId="29" xfId="0" applyFont="1" applyFill="1" applyBorder="1" applyAlignment="1">
      <alignment horizontal="center" vertical="top" wrapText="1"/>
    </xf>
    <xf numFmtId="0" fontId="16" fillId="5" borderId="0" xfId="0" applyFont="1" applyFill="1" applyBorder="1" applyAlignment="1">
      <alignment horizontal="center" vertical="center"/>
    </xf>
    <xf numFmtId="0" fontId="16" fillId="5" borderId="0" xfId="0" applyFont="1" applyFill="1" applyAlignment="1">
      <alignment horizontal="left" vertical="center"/>
    </xf>
    <xf numFmtId="0" fontId="16" fillId="5" borderId="5" xfId="0" applyFont="1" applyFill="1" applyBorder="1" applyAlignment="1">
      <alignment horizontal="center" vertical="center"/>
    </xf>
    <xf numFmtId="0" fontId="16" fillId="5" borderId="3" xfId="0" applyFont="1" applyFill="1" applyBorder="1" applyAlignment="1">
      <alignment horizontal="center" vertical="center"/>
    </xf>
    <xf numFmtId="0" fontId="26" fillId="4" borderId="0" xfId="0" applyFont="1" applyFill="1" applyBorder="1" applyAlignment="1">
      <alignment vertical="center"/>
    </xf>
    <xf numFmtId="0" fontId="1" fillId="5" borderId="1" xfId="0" applyFont="1" applyFill="1" applyBorder="1" applyAlignment="1">
      <alignment horizontal="center"/>
    </xf>
    <xf numFmtId="0" fontId="1" fillId="5" borderId="0" xfId="0" applyFont="1" applyFill="1" applyBorder="1" applyAlignment="1">
      <alignment horizontal="center" vertical="center"/>
    </xf>
    <xf numFmtId="0" fontId="20" fillId="7" borderId="0" xfId="0" applyFont="1" applyFill="1" applyBorder="1" applyAlignment="1">
      <alignment horizontal="center" vertical="center"/>
    </xf>
    <xf numFmtId="0" fontId="1" fillId="4" borderId="0" xfId="0" applyFont="1" applyFill="1" applyBorder="1" applyAlignment="1">
      <alignment horizontal="left" vertical="center"/>
    </xf>
    <xf numFmtId="0" fontId="16" fillId="4" borderId="1" xfId="0" applyFont="1" applyFill="1" applyBorder="1" applyAlignment="1">
      <alignment horizontal="center" vertical="top"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0" xfId="0" applyFont="1" applyFill="1" applyBorder="1" applyAlignment="1">
      <alignment horizontal="center"/>
    </xf>
    <xf numFmtId="173" fontId="0" fillId="2" borderId="0" xfId="3" applyNumberFormat="1" applyFont="1" applyFill="1" applyAlignment="1">
      <alignment horizontal="center" vertical="center"/>
    </xf>
    <xf numFmtId="173" fontId="60" fillId="2" borderId="0" xfId="0" applyNumberFormat="1" applyFont="1" applyFill="1" applyAlignment="1">
      <alignment horizontal="center" vertical="center"/>
    </xf>
    <xf numFmtId="173" fontId="0" fillId="2" borderId="16" xfId="3" applyNumberFormat="1" applyFont="1" applyFill="1" applyBorder="1" applyAlignment="1">
      <alignment horizontal="center" vertical="center"/>
    </xf>
  </cellXfs>
  <cellStyles count="4">
    <cellStyle name="Hyperlink" xfId="2" builtinId="8"/>
    <cellStyle name="Normal" xfId="0" builtinId="0"/>
    <cellStyle name="Normal 2" xfId="1"/>
    <cellStyle name="Percent" xfId="3" builtinId="5"/>
  </cellStyles>
  <dxfs count="9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ont>
        <color rgb="FF92D050"/>
      </font>
    </dxf>
    <dxf>
      <font>
        <color rgb="FFC00000"/>
      </font>
    </dxf>
    <dxf>
      <fill>
        <patternFill>
          <bgColor theme="0" tint="-4.9989318521683403E-2"/>
        </patternFill>
      </fill>
    </dxf>
    <dxf>
      <font>
        <color theme="0" tint="-4.9989318521683403E-2"/>
      </font>
    </dxf>
    <dxf>
      <font>
        <color theme="0"/>
      </font>
    </dxf>
    <dxf>
      <font>
        <color rgb="FF92D050"/>
      </font>
    </dxf>
    <dxf>
      <font>
        <color rgb="FF9C0006"/>
      </font>
    </dxf>
    <dxf>
      <fill>
        <patternFill>
          <bgColor theme="0" tint="-4.9989318521683403E-2"/>
        </patternFill>
      </fill>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ill>
        <patternFill>
          <bgColor theme="0" tint="-4.9989318521683403E-2"/>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ill>
        <patternFill>
          <bgColor theme="0" tint="-4.9989318521683403E-2"/>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ill>
        <patternFill>
          <bgColor theme="0" tint="-4.9989318521683403E-2"/>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06C7C"/>
      <color rgb="FF076A92"/>
      <color rgb="FFFFFF66"/>
      <color rgb="FFBCEAFC"/>
      <color rgb="FFA0E0FA"/>
      <color rgb="FFFFFF99"/>
      <color rgb="FF595959"/>
      <color rgb="FFDBE5F1"/>
      <color rgb="FF009900"/>
      <color rgb="FF14AB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CL'!$A$45</c:f>
          <c:strCache>
            <c:ptCount val="1"/>
            <c:pt idx="0">
              <c:v>Ausgrid Residential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CL'!$C$45</c:f>
              <c:strCache>
                <c:ptCount val="1"/>
                <c:pt idx="0">
                  <c:v>Base</c:v>
                </c:pt>
              </c:strCache>
            </c:strRef>
          </c:tx>
          <c:spPr>
            <a:noFill/>
            <a:ln>
              <a:noFill/>
            </a:ln>
            <a:effectLst/>
          </c:spPr>
          <c:invertIfNegative val="0"/>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CL'!$D$45:$I$45</c:f>
              <c:numCache>
                <c:formatCode>#,##0</c:formatCode>
                <c:ptCount val="6"/>
                <c:pt idx="0">
                  <c:v>0</c:v>
                </c:pt>
                <c:pt idx="1">
                  <c:v>1467</c:v>
                </c:pt>
                <c:pt idx="2">
                  <c:v>1476.4509855000001</c:v>
                </c:pt>
                <c:pt idx="3">
                  <c:v>1476.2364855000001</c:v>
                </c:pt>
                <c:pt idx="4">
                  <c:v>1476.2364855000001</c:v>
                </c:pt>
                <c:pt idx="5">
                  <c:v>0</c:v>
                </c:pt>
              </c:numCache>
            </c:numRef>
          </c:val>
          <c:extLst>
            <c:ext xmlns:c16="http://schemas.microsoft.com/office/drawing/2014/chart" uri="{C3380CC4-5D6E-409C-BE32-E72D297353CC}">
              <c16:uniqueId val="{00000000-10F9-4E69-A6C0-4875FB7503E8}"/>
            </c:ext>
          </c:extLst>
        </c:ser>
        <c:ser>
          <c:idx val="1"/>
          <c:order val="1"/>
          <c:tx>
            <c:strRef>
              <c:f>'Res wo CL'!$C$46</c:f>
              <c:strCache>
                <c:ptCount val="1"/>
                <c:pt idx="0">
                  <c:v>Network cost</c:v>
                </c:pt>
              </c:strCache>
            </c:strRef>
          </c:tx>
          <c:spPr>
            <a:solidFill>
              <a:schemeClr val="tx2">
                <a:lumMod val="40000"/>
                <a:lumOff val="60000"/>
              </a:schemeClr>
            </a:solidFill>
            <a:ln>
              <a:noFill/>
            </a:ln>
            <a:effectLst/>
          </c:spPr>
          <c:invertIfNegative val="0"/>
          <c:dLbls>
            <c:dLbl>
              <c:idx val="1"/>
              <c:tx>
                <c:strRef>
                  <c:f>'Res wo CL'!$J$46</c:f>
                  <c:strCache>
                    <c:ptCount val="1"/>
                    <c:pt idx="0">
                      <c:v>+9.5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{203747FE-B432-464C-B130-B04FD5114B63}</c15:txfldGUID>
                      <c15:f>'Res wo CL'!$J$46</c15:f>
                      <c15:dlblFieldTableCache>
                        <c:ptCount val="1"/>
                        <c:pt idx="0">
                          <c:v>+9.5</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CL'!$D$46:$I$46</c:f>
              <c:numCache>
                <c:formatCode>#,##0.0</c:formatCode>
                <c:ptCount val="6"/>
                <c:pt idx="0" formatCode="#,##0">
                  <c:v>530.66646600000001</c:v>
                </c:pt>
                <c:pt idx="1">
                  <c:v>9.4509855000000016</c:v>
                </c:pt>
                <c:pt idx="5" formatCode="#,##0">
                  <c:v>540.11745150000002</c:v>
                </c:pt>
              </c:numCache>
            </c:numRef>
          </c:val>
          <c:extLst>
            <c:ext xmlns:c16="http://schemas.microsoft.com/office/drawing/2014/chart" uri="{C3380CC4-5D6E-409C-BE32-E72D297353CC}">
              <c16:uniqueId val="{00000001-10F9-4E69-A6C0-4875FB7503E8}"/>
            </c:ext>
          </c:extLst>
        </c:ser>
        <c:ser>
          <c:idx val="2"/>
          <c:order val="2"/>
          <c:tx>
            <c:strRef>
              <c:f>'Res wo CL'!$C$47</c:f>
              <c:strCache>
                <c:ptCount val="1"/>
                <c:pt idx="0">
                  <c:v>Wholesale cost</c:v>
                </c:pt>
              </c:strCache>
            </c:strRef>
          </c:tx>
          <c:spPr>
            <a:solidFill>
              <a:schemeClr val="accent2">
                <a:lumMod val="60000"/>
                <a:lumOff val="40000"/>
              </a:schemeClr>
            </a:solidFill>
            <a:ln>
              <a:noFill/>
            </a:ln>
            <a:effectLst/>
          </c:spPr>
          <c:invertIfNegative val="0"/>
          <c:dLbls>
            <c:dLbl>
              <c:idx val="2"/>
              <c:tx>
                <c:strRef>
                  <c:f>'Res wo CL'!$J$47</c:f>
                  <c:strCache>
                    <c:ptCount val="1"/>
                    <c:pt idx="0">
                      <c:v>+9.1</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{5A9B5DC7-B9A6-4761-A69F-040E7317EE5D}</c15:txfldGUID>
                      <c15:f>'Res wo CL'!$J$47</c15:f>
                      <c15:dlblFieldTableCache>
                        <c:ptCount val="1"/>
                        <c:pt idx="0">
                          <c:v>+9.1</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CL'!$D$47:$I$47</c:f>
              <c:numCache>
                <c:formatCode>#,##0.0</c:formatCode>
                <c:ptCount val="6"/>
                <c:pt idx="0" formatCode="#,##0">
                  <c:v>477.73439999999999</c:v>
                </c:pt>
                <c:pt idx="2">
                  <c:v>9.0948000000000206</c:v>
                </c:pt>
                <c:pt idx="5" formatCode="#,##0">
                  <c:v>486.82920000000001</c:v>
                </c:pt>
              </c:numCache>
            </c:numRef>
          </c:val>
          <c:extLst>
            <c:ext xmlns:c16="http://schemas.microsoft.com/office/drawing/2014/chart" uri="{C3380CC4-5D6E-409C-BE32-E72D297353CC}">
              <c16:uniqueId val="{00000002-10F9-4E69-A6C0-4875FB7503E8}"/>
            </c:ext>
          </c:extLst>
        </c:ser>
        <c:ser>
          <c:idx val="3"/>
          <c:order val="3"/>
          <c:tx>
            <c:strRef>
              <c:f>'Res wo CL'!$C$48</c:f>
              <c:strCache>
                <c:ptCount val="1"/>
                <c:pt idx="0">
                  <c:v>Environmental cost</c:v>
                </c:pt>
              </c:strCache>
            </c:strRef>
          </c:tx>
          <c:spPr>
            <a:solidFill>
              <a:srgbClr val="92D050"/>
            </a:solidFill>
            <a:ln>
              <a:noFill/>
            </a:ln>
            <a:effectLst/>
          </c:spPr>
          <c:invertIfNegative val="0"/>
          <c:dLbls>
            <c:dLbl>
              <c:idx val="3"/>
              <c:tx>
                <c:strRef>
                  <c:f>'Res wo CL'!$J$48</c:f>
                  <c:strCache>
                    <c:ptCount val="1"/>
                    <c:pt idx="0">
                      <c:v>-9.3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{90F035C4-F0F2-4AAD-AF4B-4E59612C07AD}</c15:txfldGUID>
                      <c15:f>'Res wo CL'!$J$48</c15:f>
                      <c15:dlblFieldTableCache>
                        <c:ptCount val="1"/>
                        <c:pt idx="0">
                          <c:v>-9.3</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CL'!$D$48:$I$48</c:f>
              <c:numCache>
                <c:formatCode>#,##0.0</c:formatCode>
                <c:ptCount val="6"/>
                <c:pt idx="0" formatCode="#,##0">
                  <c:v>82.968600000000009</c:v>
                </c:pt>
                <c:pt idx="3">
                  <c:v>9.3093000000000217</c:v>
                </c:pt>
                <c:pt idx="5" formatCode="#,##0">
                  <c:v>73.659299999999988</c:v>
                </c:pt>
              </c:numCache>
            </c:numRef>
          </c:val>
          <c:extLst>
            <c:ext xmlns:c16="http://schemas.microsoft.com/office/drawing/2014/chart" uri="{C3380CC4-5D6E-409C-BE32-E72D297353CC}">
              <c16:uniqueId val="{00000003-10F9-4E69-A6C0-4875FB7503E8}"/>
            </c:ext>
          </c:extLst>
        </c:ser>
        <c:ser>
          <c:idx val="4"/>
          <c:order val="4"/>
          <c:tx>
            <c:strRef>
              <c:f>'Res wo CL'!$C$49</c:f>
              <c:strCache>
                <c:ptCount val="1"/>
                <c:pt idx="0">
                  <c:v>Residual cost</c:v>
                </c:pt>
              </c:strCache>
            </c:strRef>
          </c:tx>
          <c:spPr>
            <a:solidFill>
              <a:schemeClr val="accent6">
                <a:lumMod val="20000"/>
                <a:lumOff val="80000"/>
              </a:schemeClr>
            </a:solidFill>
            <a:ln>
              <a:noFill/>
            </a:ln>
            <a:effectLst/>
          </c:spPr>
          <c:invertIfNegative val="0"/>
          <c:dLbls>
            <c:dLbl>
              <c:idx val="4"/>
              <c:tx>
                <c:strRef>
                  <c:f>'Res wo CL'!$J$49</c:f>
                  <c:strCache>
                    <c:ptCount val="1"/>
                    <c:pt idx="0">
                      <c:v>+6.9</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{13672C65-8FD8-45A8-9218-AF527775C48E}</c15:txfldGUID>
                      <c15:f>'Res wo CL'!$J$49</c15:f>
                      <c15:dlblFieldTableCache>
                        <c:ptCount val="1"/>
                        <c:pt idx="0">
                          <c:v>+6.9</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CL'!$D$49:$I$49</c:f>
              <c:numCache>
                <c:formatCode>#,##0.0</c:formatCode>
                <c:ptCount val="6"/>
                <c:pt idx="0" formatCode="#,##0">
                  <c:v>375.63053400000013</c:v>
                </c:pt>
                <c:pt idx="4">
                  <c:v>6.949164878999909</c:v>
                </c:pt>
                <c:pt idx="5" formatCode="#,##0">
                  <c:v>382.57969887900003</c:v>
                </c:pt>
              </c:numCache>
            </c:numRef>
          </c:val>
          <c:extLst>
            <c:ext xmlns:c16="http://schemas.microsoft.com/office/drawing/2014/chart" uri="{C3380CC4-5D6E-409C-BE32-E72D297353CC}">
              <c16:uniqueId val="{00000004-10F9-4E69-A6C0-4875FB7503E8}"/>
            </c:ext>
          </c:extLst>
        </c:ser>
        <c:ser>
          <c:idx val="6"/>
          <c:order val="5"/>
          <c:tx>
            <c:strRef>
              <c:f>'Res wo CL'!$C$50</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CL'!$D$50:$I$50</c:f>
              <c:numCache>
                <c:formatCode>#,##0</c:formatCode>
                <c:ptCount val="6"/>
                <c:pt idx="0">
                  <c:v>1467</c:v>
                </c:pt>
                <c:pt idx="5">
                  <c:v>1483.185650379</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6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CL'!$A$51</c:f>
          <c:strCache>
            <c:ptCount val="1"/>
            <c:pt idx="0">
              <c:v>Endeavour Residential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CL'!$C$51</c:f>
              <c:strCache>
                <c:ptCount val="1"/>
                <c:pt idx="0">
                  <c:v>Base</c:v>
                </c:pt>
              </c:strCache>
            </c:strRef>
          </c:tx>
          <c:spPr>
            <a:noFill/>
            <a:ln>
              <a:noFill/>
            </a:ln>
            <a:effectLst/>
          </c:spPr>
          <c:invertIfNegative val="0"/>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CL'!$D$51:$I$51</c:f>
              <c:numCache>
                <c:formatCode>#,##0</c:formatCode>
                <c:ptCount val="6"/>
                <c:pt idx="0">
                  <c:v>0</c:v>
                </c:pt>
                <c:pt idx="1">
                  <c:v>1707.96468</c:v>
                </c:pt>
                <c:pt idx="2">
                  <c:v>1707.96468</c:v>
                </c:pt>
                <c:pt idx="3">
                  <c:v>1721.1701800000001</c:v>
                </c:pt>
                <c:pt idx="4">
                  <c:v>1721.1701800000001</c:v>
                </c:pt>
                <c:pt idx="5">
                  <c:v>0</c:v>
                </c:pt>
              </c:numCache>
            </c:numRef>
          </c:val>
          <c:extLst>
            <c:ext xmlns:c16="http://schemas.microsoft.com/office/drawing/2014/chart" uri="{C3380CC4-5D6E-409C-BE32-E72D297353CC}">
              <c16:uniqueId val="{00000000-10F9-4E69-A6C0-4875FB7503E8}"/>
            </c:ext>
          </c:extLst>
        </c:ser>
        <c:ser>
          <c:idx val="1"/>
          <c:order val="1"/>
          <c:tx>
            <c:strRef>
              <c:f>'Res wo CL'!$C$52</c:f>
              <c:strCache>
                <c:ptCount val="1"/>
                <c:pt idx="0">
                  <c:v>Network cost</c:v>
                </c:pt>
              </c:strCache>
            </c:strRef>
          </c:tx>
          <c:spPr>
            <a:solidFill>
              <a:schemeClr val="tx2">
                <a:lumMod val="40000"/>
                <a:lumOff val="60000"/>
              </a:schemeClr>
            </a:solidFill>
            <a:ln>
              <a:noFill/>
            </a:ln>
            <a:effectLst/>
          </c:spPr>
          <c:invertIfNegative val="0"/>
          <c:dLbls>
            <c:dLbl>
              <c:idx val="1"/>
              <c:tx>
                <c:strRef>
                  <c:f>'Res wo CL'!$J$52</c:f>
                  <c:strCache>
                    <c:ptCount val="1"/>
                    <c:pt idx="0">
                      <c:v>-12.0</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{BCD52668-4490-4383-9BEA-51BA83327622}</c15:txfldGUID>
                      <c15:f>'Res wo CL'!$J$52</c15:f>
                      <c15:dlblFieldTableCache>
                        <c:ptCount val="1"/>
                        <c:pt idx="0">
                          <c:v>-12.0</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CL'!$D$52:$I$52</c:f>
              <c:numCache>
                <c:formatCode>#,##0.0</c:formatCode>
                <c:ptCount val="6"/>
                <c:pt idx="0" formatCode="#,##0">
                  <c:v>623.53731000000005</c:v>
                </c:pt>
                <c:pt idx="1">
                  <c:v>12.035319999999956</c:v>
                </c:pt>
                <c:pt idx="5" formatCode="#,##0">
                  <c:v>611.50199000000009</c:v>
                </c:pt>
              </c:numCache>
            </c:numRef>
          </c:val>
          <c:extLst>
            <c:ext xmlns:c16="http://schemas.microsoft.com/office/drawing/2014/chart" uri="{C3380CC4-5D6E-409C-BE32-E72D297353CC}">
              <c16:uniqueId val="{00000001-10F9-4E69-A6C0-4875FB7503E8}"/>
            </c:ext>
          </c:extLst>
        </c:ser>
        <c:ser>
          <c:idx val="2"/>
          <c:order val="2"/>
          <c:tx>
            <c:strRef>
              <c:f>'Res wo CL'!$C$53</c:f>
              <c:strCache>
                <c:ptCount val="1"/>
                <c:pt idx="0">
                  <c:v>Wholesale cost</c:v>
                </c:pt>
              </c:strCache>
            </c:strRef>
          </c:tx>
          <c:spPr>
            <a:solidFill>
              <a:schemeClr val="accent2">
                <a:lumMod val="60000"/>
                <a:lumOff val="40000"/>
              </a:schemeClr>
            </a:solidFill>
            <a:ln>
              <a:noFill/>
            </a:ln>
            <a:effectLst/>
          </c:spPr>
          <c:invertIfNegative val="0"/>
          <c:dLbls>
            <c:dLbl>
              <c:idx val="2"/>
              <c:tx>
                <c:strRef>
                  <c:f>'Res wo CL'!$J$53</c:f>
                  <c:strCache>
                    <c:ptCount val="1"/>
                    <c:pt idx="0">
                      <c:v>+25.4</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{DD37F3C4-2447-467F-9C92-212D88FE4B1B}</c15:txfldGUID>
                      <c15:f>'Res wo CL'!$J$53</c15:f>
                      <c15:dlblFieldTableCache>
                        <c:ptCount val="1"/>
                        <c:pt idx="0">
                          <c:v>+25.4</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CL'!$D$53:$I$53</c:f>
              <c:numCache>
                <c:formatCode>#,##0.0</c:formatCode>
                <c:ptCount val="6"/>
                <c:pt idx="0" formatCode="#,##0">
                  <c:v>585.40789999999993</c:v>
                </c:pt>
                <c:pt idx="2">
                  <c:v>25.386900000000082</c:v>
                </c:pt>
                <c:pt idx="5" formatCode="#,##0">
                  <c:v>610.79480000000001</c:v>
                </c:pt>
              </c:numCache>
            </c:numRef>
          </c:val>
          <c:extLst>
            <c:ext xmlns:c16="http://schemas.microsoft.com/office/drawing/2014/chart" uri="{C3380CC4-5D6E-409C-BE32-E72D297353CC}">
              <c16:uniqueId val="{00000002-10F9-4E69-A6C0-4875FB7503E8}"/>
            </c:ext>
          </c:extLst>
        </c:ser>
        <c:ser>
          <c:idx val="3"/>
          <c:order val="3"/>
          <c:tx>
            <c:strRef>
              <c:f>'Res wo CL'!$C$54</c:f>
              <c:strCache>
                <c:ptCount val="1"/>
                <c:pt idx="0">
                  <c:v>Environmental cost</c:v>
                </c:pt>
              </c:strCache>
            </c:strRef>
          </c:tx>
          <c:spPr>
            <a:solidFill>
              <a:srgbClr val="92D050"/>
            </a:solidFill>
            <a:ln>
              <a:noFill/>
            </a:ln>
            <a:effectLst/>
          </c:spPr>
          <c:invertIfNegative val="0"/>
          <c:dLbls>
            <c:dLbl>
              <c:idx val="3"/>
              <c:tx>
                <c:strRef>
                  <c:f>'Res wo CL'!$J$54</c:f>
                  <c:strCache>
                    <c:ptCount val="1"/>
                    <c:pt idx="0">
                      <c:v>-12.2</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{56C1BB06-99AB-43EB-AE4E-1E1FE440E914}</c15:txfldGUID>
                      <c15:f>'Res wo CL'!$J$54</c15:f>
                      <c15:dlblFieldTableCache>
                        <c:ptCount val="1"/>
                        <c:pt idx="0">
                          <c:v>-12.2</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CL'!$D$54:$I$54</c:f>
              <c:numCache>
                <c:formatCode>#,##0.0</c:formatCode>
                <c:ptCount val="6"/>
                <c:pt idx="0" formatCode="#,##0">
                  <c:v>104.83550000000001</c:v>
                </c:pt>
                <c:pt idx="3">
                  <c:v>12.181400000000011</c:v>
                </c:pt>
                <c:pt idx="5" formatCode="#,##0">
                  <c:v>92.6541</c:v>
                </c:pt>
              </c:numCache>
            </c:numRef>
          </c:val>
          <c:extLst>
            <c:ext xmlns:c16="http://schemas.microsoft.com/office/drawing/2014/chart" uri="{C3380CC4-5D6E-409C-BE32-E72D297353CC}">
              <c16:uniqueId val="{00000003-10F9-4E69-A6C0-4875FB7503E8}"/>
            </c:ext>
          </c:extLst>
        </c:ser>
        <c:ser>
          <c:idx val="4"/>
          <c:order val="4"/>
          <c:tx>
            <c:strRef>
              <c:f>'Res wo CL'!$C$55</c:f>
              <c:strCache>
                <c:ptCount val="1"/>
                <c:pt idx="0">
                  <c:v>Residual cost</c:v>
                </c:pt>
              </c:strCache>
            </c:strRef>
          </c:tx>
          <c:spPr>
            <a:solidFill>
              <a:schemeClr val="accent6">
                <a:lumMod val="20000"/>
                <a:lumOff val="80000"/>
              </a:schemeClr>
            </a:solidFill>
            <a:ln>
              <a:noFill/>
            </a:ln>
            <a:effectLst/>
          </c:spPr>
          <c:invertIfNegative val="0"/>
          <c:dLbls>
            <c:dLbl>
              <c:idx val="4"/>
              <c:tx>
                <c:strRef>
                  <c:f>'Res wo CL'!$J$55</c:f>
                  <c:strCache>
                    <c:ptCount val="1"/>
                    <c:pt idx="0">
                      <c:v>+7.5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{13783A59-E57F-42AD-8B59-2C6ED1505E88}</c15:txfldGUID>
                      <c15:f>'Res wo CL'!$J$55</c15:f>
                      <c15:dlblFieldTableCache>
                        <c:ptCount val="1"/>
                        <c:pt idx="0">
                          <c:v>+7.5</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CL'!$D$55:$I$55</c:f>
              <c:numCache>
                <c:formatCode>#,##0.0</c:formatCode>
                <c:ptCount val="6"/>
                <c:pt idx="0" formatCode="#,##0">
                  <c:v>406.21929000000023</c:v>
                </c:pt>
                <c:pt idx="4">
                  <c:v>7.5150568649996785</c:v>
                </c:pt>
                <c:pt idx="5" formatCode="#,##0">
                  <c:v>413.73434686499991</c:v>
                </c:pt>
              </c:numCache>
            </c:numRef>
          </c:val>
          <c:extLst>
            <c:ext xmlns:c16="http://schemas.microsoft.com/office/drawing/2014/chart" uri="{C3380CC4-5D6E-409C-BE32-E72D297353CC}">
              <c16:uniqueId val="{00000004-10F9-4E69-A6C0-4875FB7503E8}"/>
            </c:ext>
          </c:extLst>
        </c:ser>
        <c:ser>
          <c:idx val="6"/>
          <c:order val="5"/>
          <c:tx>
            <c:strRef>
              <c:f>'Res wo CL'!$C$56</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CL'!$D$56:$I$56</c:f>
              <c:numCache>
                <c:formatCode>#,##0</c:formatCode>
                <c:ptCount val="6"/>
                <c:pt idx="0">
                  <c:v>1720</c:v>
                </c:pt>
                <c:pt idx="5">
                  <c:v>1728.685236865</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9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CL'!$A$57</c:f>
          <c:strCache>
            <c:ptCount val="1"/>
            <c:pt idx="0">
              <c:v>Essential Residential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CL'!$C$57</c:f>
              <c:strCache>
                <c:ptCount val="1"/>
                <c:pt idx="0">
                  <c:v>Base</c:v>
                </c:pt>
              </c:strCache>
            </c:strRef>
          </c:tx>
          <c:spPr>
            <a:noFill/>
            <a:ln>
              <a:noFill/>
            </a:ln>
            <a:effectLst/>
          </c:spPr>
          <c:invertIfNegative val="0"/>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CL'!$D$57:$I$57</c:f>
              <c:numCache>
                <c:formatCode>#,##0</c:formatCode>
                <c:ptCount val="6"/>
                <c:pt idx="0">
                  <c:v>0</c:v>
                </c:pt>
                <c:pt idx="1">
                  <c:v>1957</c:v>
                </c:pt>
                <c:pt idx="2">
                  <c:v>1959.4072400000002</c:v>
                </c:pt>
                <c:pt idx="3">
                  <c:v>1958.1928400000002</c:v>
                </c:pt>
                <c:pt idx="4">
                  <c:v>1958.1928400000002</c:v>
                </c:pt>
                <c:pt idx="5">
                  <c:v>0</c:v>
                </c:pt>
              </c:numCache>
            </c:numRef>
          </c:val>
          <c:extLst>
            <c:ext xmlns:c16="http://schemas.microsoft.com/office/drawing/2014/chart" uri="{C3380CC4-5D6E-409C-BE32-E72D297353CC}">
              <c16:uniqueId val="{00000000-10F9-4E69-A6C0-4875FB7503E8}"/>
            </c:ext>
          </c:extLst>
        </c:ser>
        <c:ser>
          <c:idx val="1"/>
          <c:order val="1"/>
          <c:tx>
            <c:strRef>
              <c:f>'Res wo CL'!$C$58</c:f>
              <c:strCache>
                <c:ptCount val="1"/>
                <c:pt idx="0">
                  <c:v>Network cost</c:v>
                </c:pt>
              </c:strCache>
            </c:strRef>
          </c:tx>
          <c:spPr>
            <a:solidFill>
              <a:schemeClr val="tx2">
                <a:lumMod val="40000"/>
                <a:lumOff val="60000"/>
              </a:schemeClr>
            </a:solidFill>
            <a:ln>
              <a:noFill/>
            </a:ln>
            <a:effectLst/>
          </c:spPr>
          <c:invertIfNegative val="0"/>
          <c:dLbls>
            <c:dLbl>
              <c:idx val="1"/>
              <c:tx>
                <c:strRef>
                  <c:f>'Res wo CL'!$J$58</c:f>
                  <c:strCache>
                    <c:ptCount val="1"/>
                    <c:pt idx="0">
                      <c:v>+2.4</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{909DEB28-EEF5-4A44-A415-14CA5CFB5317}</c15:txfldGUID>
                      <c15:f>'Res wo CL'!$J$58</c15:f>
                      <c15:dlblFieldTableCache>
                        <c:ptCount val="1"/>
                        <c:pt idx="0">
                          <c:v>+2.4</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CL'!$D$58:$I$58</c:f>
              <c:numCache>
                <c:formatCode>#,##0.0</c:formatCode>
                <c:ptCount val="6"/>
                <c:pt idx="0" formatCode="#,##0">
                  <c:v>885.97822499999984</c:v>
                </c:pt>
                <c:pt idx="1">
                  <c:v>2.407240000000229</c:v>
                </c:pt>
                <c:pt idx="5" formatCode="#,##0">
                  <c:v>888.38546500000007</c:v>
                </c:pt>
              </c:numCache>
            </c:numRef>
          </c:val>
          <c:extLst>
            <c:ext xmlns:c16="http://schemas.microsoft.com/office/drawing/2014/chart" uri="{C3380CC4-5D6E-409C-BE32-E72D297353CC}">
              <c16:uniqueId val="{00000001-10F9-4E69-A6C0-4875FB7503E8}"/>
            </c:ext>
          </c:extLst>
        </c:ser>
        <c:ser>
          <c:idx val="2"/>
          <c:order val="2"/>
          <c:tx>
            <c:strRef>
              <c:f>'Res wo CL'!$C$59</c:f>
              <c:strCache>
                <c:ptCount val="1"/>
                <c:pt idx="0">
                  <c:v>Wholesale cost</c:v>
                </c:pt>
              </c:strCache>
            </c:strRef>
          </c:tx>
          <c:spPr>
            <a:solidFill>
              <a:schemeClr val="accent2">
                <a:lumMod val="60000"/>
                <a:lumOff val="40000"/>
              </a:schemeClr>
            </a:solidFill>
            <a:ln>
              <a:noFill/>
            </a:ln>
            <a:effectLst/>
          </c:spPr>
          <c:invertIfNegative val="0"/>
          <c:dLbls>
            <c:dLbl>
              <c:idx val="2"/>
              <c:tx>
                <c:strRef>
                  <c:f>'Res wo CL'!$J$59</c:f>
                  <c:strCache>
                    <c:ptCount val="1"/>
                    <c:pt idx="0">
                      <c:v>+10.6</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{18EFE146-5142-4E44-8624-A6F018439FB2}</c15:txfldGUID>
                      <c15:f>'Res wo CL'!$J$59</c15:f>
                      <c15:dlblFieldTableCache>
                        <c:ptCount val="1"/>
                        <c:pt idx="0">
                          <c:v>+10.6</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CL'!$D$59:$I$59</c:f>
              <c:numCache>
                <c:formatCode>#,##0.0</c:formatCode>
                <c:ptCount val="6"/>
                <c:pt idx="0" formatCode="#,##0">
                  <c:v>522.04020000000003</c:v>
                </c:pt>
                <c:pt idx="2">
                  <c:v>10.62600000000009</c:v>
                </c:pt>
                <c:pt idx="5" formatCode="#,##0">
                  <c:v>532.66620000000012</c:v>
                </c:pt>
              </c:numCache>
            </c:numRef>
          </c:val>
          <c:extLst>
            <c:ext xmlns:c16="http://schemas.microsoft.com/office/drawing/2014/chart" uri="{C3380CC4-5D6E-409C-BE32-E72D297353CC}">
              <c16:uniqueId val="{00000002-10F9-4E69-A6C0-4875FB7503E8}"/>
            </c:ext>
          </c:extLst>
        </c:ser>
        <c:ser>
          <c:idx val="3"/>
          <c:order val="3"/>
          <c:tx>
            <c:strRef>
              <c:f>'Res wo CL'!$C$60</c:f>
              <c:strCache>
                <c:ptCount val="1"/>
                <c:pt idx="0">
                  <c:v>Environmental cost</c:v>
                </c:pt>
              </c:strCache>
            </c:strRef>
          </c:tx>
          <c:spPr>
            <a:solidFill>
              <a:srgbClr val="92D050"/>
            </a:solidFill>
            <a:ln>
              <a:noFill/>
            </a:ln>
            <a:effectLst/>
          </c:spPr>
          <c:invertIfNegative val="0"/>
          <c:dLbls>
            <c:dLbl>
              <c:idx val="3"/>
              <c:tx>
                <c:strRef>
                  <c:f>'Res wo CL'!$J$60</c:f>
                  <c:strCache>
                    <c:ptCount val="1"/>
                    <c:pt idx="0">
                      <c:v>-11.8</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{C4E34006-5D15-48C2-A8E7-E304C896D842}</c15:txfldGUID>
                      <c15:f>'Res wo CL'!$J$60</c15:f>
                      <c15:dlblFieldTableCache>
                        <c:ptCount val="1"/>
                        <c:pt idx="0">
                          <c:v>-11.8</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CL'!$D$60:$I$60</c:f>
              <c:numCache>
                <c:formatCode>#,##0.0</c:formatCode>
                <c:ptCount val="6"/>
                <c:pt idx="0" formatCode="#,##0">
                  <c:v>98.72059999999999</c:v>
                </c:pt>
                <c:pt idx="3">
                  <c:v>11.840399999999974</c:v>
                </c:pt>
                <c:pt idx="5" formatCode="#,##0">
                  <c:v>86.880200000000016</c:v>
                </c:pt>
              </c:numCache>
            </c:numRef>
          </c:val>
          <c:extLst>
            <c:ext xmlns:c16="http://schemas.microsoft.com/office/drawing/2014/chart" uri="{C3380CC4-5D6E-409C-BE32-E72D297353CC}">
              <c16:uniqueId val="{00000003-10F9-4E69-A6C0-4875FB7503E8}"/>
            </c:ext>
          </c:extLst>
        </c:ser>
        <c:ser>
          <c:idx val="4"/>
          <c:order val="4"/>
          <c:tx>
            <c:strRef>
              <c:f>'Res wo CL'!$C$61</c:f>
              <c:strCache>
                <c:ptCount val="1"/>
                <c:pt idx="0">
                  <c:v>Residual cost</c:v>
                </c:pt>
              </c:strCache>
            </c:strRef>
          </c:tx>
          <c:spPr>
            <a:solidFill>
              <a:schemeClr val="accent6">
                <a:lumMod val="20000"/>
                <a:lumOff val="80000"/>
              </a:schemeClr>
            </a:solidFill>
            <a:ln>
              <a:noFill/>
            </a:ln>
            <a:effectLst/>
          </c:spPr>
          <c:invertIfNegative val="0"/>
          <c:dLbls>
            <c:dLbl>
              <c:idx val="4"/>
              <c:tx>
                <c:strRef>
                  <c:f>'Res wo CL'!$J$61</c:f>
                  <c:strCache>
                    <c:ptCount val="1"/>
                    <c:pt idx="0">
                      <c:v>+8.3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{0F2DAD31-77E5-42D2-B398-D37D27C54F08}</c15:txfldGUID>
                      <c15:f>'Res wo CL'!$J$61</c15:f>
                      <c15:dlblFieldTableCache>
                        <c:ptCount val="1"/>
                        <c:pt idx="0">
                          <c:v>+8.3</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CL'!$D$61:$I$61</c:f>
              <c:numCache>
                <c:formatCode>#,##0.0</c:formatCode>
                <c:ptCount val="6"/>
                <c:pt idx="0" formatCode="#,##0">
                  <c:v>450.26097500000014</c:v>
                </c:pt>
                <c:pt idx="4">
                  <c:v>8.3298280374997375</c:v>
                </c:pt>
                <c:pt idx="5" formatCode="#,##0">
                  <c:v>458.59080303749988</c:v>
                </c:pt>
              </c:numCache>
            </c:numRef>
          </c:val>
          <c:extLst>
            <c:ext xmlns:c16="http://schemas.microsoft.com/office/drawing/2014/chart" uri="{C3380CC4-5D6E-409C-BE32-E72D297353CC}">
              <c16:uniqueId val="{00000004-10F9-4E69-A6C0-4875FB7503E8}"/>
            </c:ext>
          </c:extLst>
        </c:ser>
        <c:ser>
          <c:idx val="6"/>
          <c:order val="5"/>
          <c:tx>
            <c:strRef>
              <c:f>'Res wo CL'!$C$62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CL'!$D$62:$I$62</c:f>
              <c:numCache>
                <c:formatCode>#,##0</c:formatCode>
                <c:ptCount val="6"/>
                <c:pt idx="0">
                  <c:v>1957</c:v>
                </c:pt>
                <c:pt idx="5">
                  <c:v>1966.5226680375001</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CL'!$A$63</c:f>
          <c:strCache>
            <c:ptCount val="1"/>
            <c:pt idx="0">
              <c:v>Energex Residential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CL'!$C$63</c:f>
              <c:strCache>
                <c:ptCount val="1"/>
                <c:pt idx="0">
                  <c:v>Base</c:v>
                </c:pt>
              </c:strCache>
            </c:strRef>
          </c:tx>
          <c:spPr>
            <a:noFill/>
            <a:ln>
              <a:noFill/>
            </a:ln>
            <a:effectLst/>
          </c:spPr>
          <c:invertIfNegative val="0"/>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CL'!$D$63:$I$63</c:f>
              <c:numCache>
                <c:formatCode>#,##0</c:formatCode>
                <c:ptCount val="6"/>
                <c:pt idx="0">
                  <c:v>0</c:v>
                </c:pt>
                <c:pt idx="1">
                  <c:v>1512.0643749999999</c:v>
                </c:pt>
                <c:pt idx="2">
                  <c:v>1490.4581749999998</c:v>
                </c:pt>
                <c:pt idx="3">
                  <c:v>1477.7575749999996</c:v>
                </c:pt>
                <c:pt idx="4">
                  <c:v>1477.7575749999996</c:v>
                </c:pt>
                <c:pt idx="5">
                  <c:v>0</c:v>
                </c:pt>
              </c:numCache>
            </c:numRef>
          </c:val>
          <c:extLst>
            <c:ext xmlns:c16="http://schemas.microsoft.com/office/drawing/2014/chart" uri="{C3380CC4-5D6E-409C-BE32-E72D297353CC}">
              <c16:uniqueId val="{00000000-10F9-4E69-A6C0-4875FB7503E8}"/>
            </c:ext>
          </c:extLst>
        </c:ser>
        <c:ser>
          <c:idx val="1"/>
          <c:order val="1"/>
          <c:tx>
            <c:strRef>
              <c:f>'Res wo CL'!$C$64</c:f>
              <c:strCache>
                <c:ptCount val="1"/>
                <c:pt idx="0">
                  <c:v>Network cost</c:v>
                </c:pt>
              </c:strCache>
            </c:strRef>
          </c:tx>
          <c:spPr>
            <a:solidFill>
              <a:schemeClr val="tx2">
                <a:lumMod val="40000"/>
                <a:lumOff val="60000"/>
              </a:schemeClr>
            </a:solidFill>
            <a:ln>
              <a:noFill/>
            </a:ln>
            <a:effectLst/>
          </c:spPr>
          <c:invertIfNegative val="0"/>
          <c:dLbls>
            <c:dLbl>
              <c:idx val="1"/>
              <c:tx>
                <c:strRef>
                  <c:f>'Res wo CL'!$J$64</c:f>
                  <c:strCache>
                    <c:ptCount val="1"/>
                    <c:pt idx="0">
                      <c:v>-57.9</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{5BFF2246-CB53-4E7A-9085-67CD11E77FBA}</c15:txfldGUID>
                      <c15:f>'Res wo CL'!$J$64</c15:f>
                      <c15:dlblFieldTableCache>
                        <c:ptCount val="1"/>
                        <c:pt idx="0">
                          <c:v>-57.9</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CL'!$D$64:$I$64</c:f>
              <c:numCache>
                <c:formatCode>#,##0.0</c:formatCode>
                <c:ptCount val="6"/>
                <c:pt idx="0" formatCode="#,##0">
                  <c:v>661.38083000000006</c:v>
                </c:pt>
                <c:pt idx="1">
                  <c:v>57.935625000000073</c:v>
                </c:pt>
                <c:pt idx="5" formatCode="#,##0">
                  <c:v>603.44520499999999</c:v>
                </c:pt>
              </c:numCache>
            </c:numRef>
          </c:val>
          <c:extLst>
            <c:ext xmlns:c16="http://schemas.microsoft.com/office/drawing/2014/chart" uri="{C3380CC4-5D6E-409C-BE32-E72D297353CC}">
              <c16:uniqueId val="{00000001-10F9-4E69-A6C0-4875FB7503E8}"/>
            </c:ext>
          </c:extLst>
        </c:ser>
        <c:ser>
          <c:idx val="2"/>
          <c:order val="2"/>
          <c:tx>
            <c:strRef>
              <c:f>'Res wo CL'!$C$65</c:f>
              <c:strCache>
                <c:ptCount val="1"/>
                <c:pt idx="0">
                  <c:v>Wholesale cost</c:v>
                </c:pt>
              </c:strCache>
            </c:strRef>
          </c:tx>
          <c:spPr>
            <a:solidFill>
              <a:schemeClr val="accent2">
                <a:lumMod val="60000"/>
                <a:lumOff val="40000"/>
              </a:schemeClr>
            </a:solidFill>
            <a:ln>
              <a:noFill/>
            </a:ln>
            <a:effectLst/>
          </c:spPr>
          <c:invertIfNegative val="0"/>
          <c:dLbls>
            <c:dLbl>
              <c:idx val="2"/>
              <c:tx>
                <c:strRef>
                  <c:f>'Res wo CL'!$J$65</c:f>
                  <c:strCache>
                    <c:ptCount val="1"/>
                    <c:pt idx="0">
                      <c:v>-21.6</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{2AC05A05-F5C0-451C-AE7C-533B9DAC8AC1}</c15:txfldGUID>
                      <c15:f>'Res wo CL'!$J$65</c15:f>
                      <c15:dlblFieldTableCache>
                        <c:ptCount val="1"/>
                        <c:pt idx="0">
                          <c:v>-21.6</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CL'!$D$65:$I$65</c:f>
              <c:numCache>
                <c:formatCode>#,##0.0</c:formatCode>
                <c:ptCount val="6"/>
                <c:pt idx="0" formatCode="#,##0">
                  <c:v>497.60039999999998</c:v>
                </c:pt>
                <c:pt idx="2">
                  <c:v>21.606200000000058</c:v>
                </c:pt>
                <c:pt idx="5" formatCode="#,##0">
                  <c:v>475.99419999999992</c:v>
                </c:pt>
              </c:numCache>
            </c:numRef>
          </c:val>
          <c:extLst>
            <c:ext xmlns:c16="http://schemas.microsoft.com/office/drawing/2014/chart" uri="{C3380CC4-5D6E-409C-BE32-E72D297353CC}">
              <c16:uniqueId val="{00000002-10F9-4E69-A6C0-4875FB7503E8}"/>
            </c:ext>
          </c:extLst>
        </c:ser>
        <c:ser>
          <c:idx val="3"/>
          <c:order val="3"/>
          <c:tx>
            <c:strRef>
              <c:f>'Res wo CL'!$C$66</c:f>
              <c:strCache>
                <c:ptCount val="1"/>
                <c:pt idx="0">
                  <c:v>Environmental cost</c:v>
                </c:pt>
              </c:strCache>
            </c:strRef>
          </c:tx>
          <c:spPr>
            <a:solidFill>
              <a:srgbClr val="92D050"/>
            </a:solidFill>
            <a:ln>
              <a:noFill/>
            </a:ln>
            <a:effectLst/>
          </c:spPr>
          <c:invertIfNegative val="0"/>
          <c:dLbls>
            <c:dLbl>
              <c:idx val="3"/>
              <c:tx>
                <c:strRef>
                  <c:f>'Res wo CL'!$J$66</c:f>
                  <c:strCache>
                    <c:ptCount val="1"/>
                    <c:pt idx="0">
                      <c:v>-12.7</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{A0EF3B62-2652-4A6B-BEF8-62760E814D7F}</c15:txfldGUID>
                      <c15:f>'Res wo CL'!$J$66</c15:f>
                      <c15:dlblFieldTableCache>
                        <c:ptCount val="1"/>
                        <c:pt idx="0">
                          <c:v>-12.7</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CL'!$D$66:$I$66</c:f>
              <c:numCache>
                <c:formatCode>#,##0.0</c:formatCode>
                <c:ptCount val="6"/>
                <c:pt idx="0" formatCode="#,##0">
                  <c:v>89.663200000000003</c:v>
                </c:pt>
                <c:pt idx="3">
                  <c:v>12.700600000000009</c:v>
                </c:pt>
                <c:pt idx="5" formatCode="#,##0">
                  <c:v>76.962599999999995</c:v>
                </c:pt>
              </c:numCache>
            </c:numRef>
          </c:val>
          <c:extLst>
            <c:ext xmlns:c16="http://schemas.microsoft.com/office/drawing/2014/chart" uri="{C3380CC4-5D6E-409C-BE32-E72D297353CC}">
              <c16:uniqueId val="{00000003-10F9-4E69-A6C0-4875FB7503E8}"/>
            </c:ext>
          </c:extLst>
        </c:ser>
        <c:ser>
          <c:idx val="4"/>
          <c:order val="4"/>
          <c:tx>
            <c:strRef>
              <c:f>'Res wo CL'!$C$67</c:f>
              <c:strCache>
                <c:ptCount val="1"/>
                <c:pt idx="0">
                  <c:v>Residual cost</c:v>
                </c:pt>
              </c:strCache>
            </c:strRef>
          </c:tx>
          <c:spPr>
            <a:solidFill>
              <a:schemeClr val="accent6">
                <a:lumMod val="20000"/>
                <a:lumOff val="80000"/>
              </a:schemeClr>
            </a:solidFill>
            <a:ln>
              <a:noFill/>
            </a:ln>
            <a:effectLst/>
          </c:spPr>
          <c:invertIfNegative val="0"/>
          <c:dLbls>
            <c:dLbl>
              <c:idx val="4"/>
              <c:tx>
                <c:strRef>
                  <c:f>'Res wo CL'!$J$67</c:f>
                  <c:strCache>
                    <c:ptCount val="1"/>
                    <c:pt idx="0">
                      <c:v>+5.9</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{30AC975D-740D-4185-B757-07B191EF6121}</c15:txfldGUID>
                      <c15:f>'Res wo CL'!$J$67</c15:f>
                      <c15:dlblFieldTableCache>
                        <c:ptCount val="1"/>
                        <c:pt idx="0">
                          <c:v>+5.9</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CL'!$D$67:$I$67</c:f>
              <c:numCache>
                <c:formatCode>#,##0.0</c:formatCode>
                <c:ptCount val="6"/>
                <c:pt idx="0" formatCode="#,##0">
                  <c:v>321.35556999999994</c:v>
                </c:pt>
                <c:pt idx="4">
                  <c:v>5.9450780449999456</c:v>
                </c:pt>
                <c:pt idx="5" formatCode="#,##0">
                  <c:v>327.30064804499989</c:v>
                </c:pt>
              </c:numCache>
            </c:numRef>
          </c:val>
          <c:extLst>
            <c:ext xmlns:c16="http://schemas.microsoft.com/office/drawing/2014/chart" uri="{C3380CC4-5D6E-409C-BE32-E72D297353CC}">
              <c16:uniqueId val="{00000004-10F9-4E69-A6C0-4875FB7503E8}"/>
            </c:ext>
          </c:extLst>
        </c:ser>
        <c:ser>
          <c:idx val="6"/>
          <c:order val="5"/>
          <c:tx>
            <c:strRef>
              <c:f>'Res wo CL'!$C$68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CL'!$D$68:$I$68</c:f>
              <c:numCache>
                <c:formatCode>#,##0</c:formatCode>
                <c:ptCount val="6"/>
                <c:pt idx="0">
                  <c:v>1570</c:v>
                </c:pt>
                <c:pt idx="5">
                  <c:v>1483.7026530449998</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7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CL'!$A$69</c:f>
          <c:strCache>
            <c:ptCount val="1"/>
            <c:pt idx="0">
              <c:v>SAPN Residential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CL'!$C$69</c:f>
              <c:strCache>
                <c:ptCount val="1"/>
                <c:pt idx="0">
                  <c:v>Base</c:v>
                </c:pt>
              </c:strCache>
            </c:strRef>
          </c:tx>
          <c:spPr>
            <a:noFill/>
            <a:ln>
              <a:noFill/>
            </a:ln>
            <a:effectLst/>
          </c:spPr>
          <c:invertIfNegative val="0"/>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CL'!$D$69:$I$69</c:f>
              <c:numCache>
                <c:formatCode>#,##0</c:formatCode>
                <c:ptCount val="6"/>
                <c:pt idx="0">
                  <c:v>0</c:v>
                </c:pt>
                <c:pt idx="1">
                  <c:v>1893.5349999999999</c:v>
                </c:pt>
                <c:pt idx="2">
                  <c:v>1862.4269999999999</c:v>
                </c:pt>
                <c:pt idx="3">
                  <c:v>1850.8989999999999</c:v>
                </c:pt>
                <c:pt idx="4">
                  <c:v>1850.8989999999999</c:v>
                </c:pt>
                <c:pt idx="5">
                  <c:v>0</c:v>
                </c:pt>
              </c:numCache>
            </c:numRef>
          </c:val>
          <c:extLst>
            <c:ext xmlns:c16="http://schemas.microsoft.com/office/drawing/2014/chart" uri="{C3380CC4-5D6E-409C-BE32-E72D297353CC}">
              <c16:uniqueId val="{00000000-10F9-4E69-A6C0-4875FB7503E8}"/>
            </c:ext>
          </c:extLst>
        </c:ser>
        <c:ser>
          <c:idx val="1"/>
          <c:order val="1"/>
          <c:tx>
            <c:strRef>
              <c:f>'Res wo CL'!$C$70</c:f>
              <c:strCache>
                <c:ptCount val="1"/>
                <c:pt idx="0">
                  <c:v>Network cost</c:v>
                </c:pt>
              </c:strCache>
            </c:strRef>
          </c:tx>
          <c:spPr>
            <a:solidFill>
              <a:schemeClr val="tx2">
                <a:lumMod val="40000"/>
                <a:lumOff val="60000"/>
              </a:schemeClr>
            </a:solidFill>
            <a:ln>
              <a:noFill/>
            </a:ln>
            <a:effectLst/>
          </c:spPr>
          <c:invertIfNegative val="0"/>
          <c:dLbls>
            <c:dLbl>
              <c:idx val="1"/>
              <c:tx>
                <c:strRef>
                  <c:f>'Res wo CL'!$J$70</c:f>
                  <c:strCache>
                    <c:ptCount val="1"/>
                    <c:pt idx="0">
                      <c:v>-47.5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{FC2C90B0-0C3D-47D7-83A1-AFDAC368E593}</c15:txfldGUID>
                      <c15:f>'Res wo CL'!$J$70</c15:f>
                      <c15:dlblFieldTableCache>
                        <c:ptCount val="1"/>
                        <c:pt idx="0">
                          <c:v>-47.5</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CL'!$D$70:$I$70</c:f>
              <c:numCache>
                <c:formatCode>#,##0.0</c:formatCode>
                <c:ptCount val="6"/>
                <c:pt idx="0" formatCode="#,##0">
                  <c:v>841.50000000000011</c:v>
                </c:pt>
                <c:pt idx="1">
                  <c:v>47.465000000000032</c:v>
                </c:pt>
                <c:pt idx="5" formatCode="#,##0">
                  <c:v>794.03500000000008</c:v>
                </c:pt>
              </c:numCache>
            </c:numRef>
          </c:val>
          <c:extLst>
            <c:ext xmlns:c16="http://schemas.microsoft.com/office/drawing/2014/chart" uri="{C3380CC4-5D6E-409C-BE32-E72D297353CC}">
              <c16:uniqueId val="{00000001-10F9-4E69-A6C0-4875FB7503E8}"/>
            </c:ext>
          </c:extLst>
        </c:ser>
        <c:ser>
          <c:idx val="2"/>
          <c:order val="2"/>
          <c:tx>
            <c:strRef>
              <c:f>'Res wo CL'!$C$71</c:f>
              <c:strCache>
                <c:ptCount val="1"/>
                <c:pt idx="0">
                  <c:v>Wholesale cost</c:v>
                </c:pt>
              </c:strCache>
            </c:strRef>
          </c:tx>
          <c:spPr>
            <a:solidFill>
              <a:schemeClr val="accent2">
                <a:lumMod val="60000"/>
                <a:lumOff val="40000"/>
              </a:schemeClr>
            </a:solidFill>
            <a:ln>
              <a:noFill/>
            </a:ln>
            <a:effectLst/>
          </c:spPr>
          <c:invertIfNegative val="0"/>
          <c:dLbls>
            <c:dLbl>
              <c:idx val="2"/>
              <c:tx>
                <c:strRef>
                  <c:f>'Res wo CL'!$J$71</c:f>
                  <c:strCache>
                    <c:ptCount val="1"/>
                    <c:pt idx="0">
                      <c:v>-31.1</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{62B4149D-25EB-419C-9C64-8F1B29FB9295}</c15:txfldGUID>
                      <c15:f>'Res wo CL'!$J$71</c15:f>
                      <c15:dlblFieldTableCache>
                        <c:ptCount val="1"/>
                        <c:pt idx="0">
                          <c:v>-31.1</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CL'!$D$71:$I$71</c:f>
              <c:numCache>
                <c:formatCode>#,##0.0</c:formatCode>
                <c:ptCount val="6"/>
                <c:pt idx="0" formatCode="#,##0">
                  <c:v>722.52399999999989</c:v>
                </c:pt>
                <c:pt idx="2">
                  <c:v>31.107999999999947</c:v>
                </c:pt>
                <c:pt idx="5" formatCode="#,##0">
                  <c:v>691.41599999999994</c:v>
                </c:pt>
              </c:numCache>
            </c:numRef>
          </c:val>
          <c:extLst>
            <c:ext xmlns:c16="http://schemas.microsoft.com/office/drawing/2014/chart" uri="{C3380CC4-5D6E-409C-BE32-E72D297353CC}">
              <c16:uniqueId val="{00000002-10F9-4E69-A6C0-4875FB7503E8}"/>
            </c:ext>
          </c:extLst>
        </c:ser>
        <c:ser>
          <c:idx val="3"/>
          <c:order val="3"/>
          <c:tx>
            <c:strRef>
              <c:f>'Res wo CL'!$C$72</c:f>
              <c:strCache>
                <c:ptCount val="1"/>
                <c:pt idx="0">
                  <c:v>Environmental cost</c:v>
                </c:pt>
              </c:strCache>
            </c:strRef>
          </c:tx>
          <c:spPr>
            <a:solidFill>
              <a:srgbClr val="92D050"/>
            </a:solidFill>
            <a:ln>
              <a:noFill/>
            </a:ln>
            <a:effectLst/>
          </c:spPr>
          <c:invertIfNegative val="0"/>
          <c:dLbls>
            <c:dLbl>
              <c:idx val="3"/>
              <c:tx>
                <c:strRef>
                  <c:f>'Res wo CL'!$J$72</c:f>
                  <c:strCache>
                    <c:ptCount val="1"/>
                    <c:pt idx="0">
                      <c:v>-11.5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{A611CCA8-C85B-4D90-8747-D3841DB189AA}</c15:txfldGUID>
                      <c15:f>'Res wo CL'!$J$72</c15:f>
                      <c15:dlblFieldTableCache>
                        <c:ptCount val="1"/>
                        <c:pt idx="0">
                          <c:v>-11.5</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CL'!$D$72:$I$72</c:f>
              <c:numCache>
                <c:formatCode>#,##0.0</c:formatCode>
                <c:ptCount val="6"/>
                <c:pt idx="0" formatCode="#,##0">
                  <c:v>93.5</c:v>
                </c:pt>
                <c:pt idx="3">
                  <c:v>11.527999999999992</c:v>
                </c:pt>
                <c:pt idx="5" formatCode="#,##0">
                  <c:v>81.972000000000008</c:v>
                </c:pt>
              </c:numCache>
            </c:numRef>
          </c:val>
          <c:extLst>
            <c:ext xmlns:c16="http://schemas.microsoft.com/office/drawing/2014/chart" uri="{C3380CC4-5D6E-409C-BE32-E72D297353CC}">
              <c16:uniqueId val="{00000003-10F9-4E69-A6C0-4875FB7503E8}"/>
            </c:ext>
          </c:extLst>
        </c:ser>
        <c:ser>
          <c:idx val="4"/>
          <c:order val="4"/>
          <c:tx>
            <c:strRef>
              <c:f>'Res wo CL'!$C$73</c:f>
              <c:strCache>
                <c:ptCount val="1"/>
                <c:pt idx="0">
                  <c:v>Residual cost</c:v>
                </c:pt>
              </c:strCache>
            </c:strRef>
          </c:tx>
          <c:spPr>
            <a:solidFill>
              <a:schemeClr val="accent6">
                <a:lumMod val="20000"/>
                <a:lumOff val="80000"/>
              </a:schemeClr>
            </a:solidFill>
            <a:ln>
              <a:noFill/>
            </a:ln>
            <a:effectLst/>
          </c:spPr>
          <c:invertIfNegative val="0"/>
          <c:dLbls>
            <c:dLbl>
              <c:idx val="4"/>
              <c:tx>
                <c:strRef>
                  <c:f>'Res wo CL'!$J$73</c:f>
                  <c:strCache>
                    <c:ptCount val="1"/>
                    <c:pt idx="0">
                      <c:v>+5.2</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{B5E11646-6197-45DD-AD2E-4E1661559CDF}</c15:txfldGUID>
                      <c15:f>'Res wo CL'!$J$73</c15:f>
                      <c15:dlblFieldTableCache>
                        <c:ptCount val="1"/>
                        <c:pt idx="0">
                          <c:v>+5.2</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CL'!$D$73:$I$73</c:f>
              <c:numCache>
                <c:formatCode>#,##0.0</c:formatCode>
                <c:ptCount val="6"/>
                <c:pt idx="0" formatCode="#,##0">
                  <c:v>283.47600000000011</c:v>
                </c:pt>
                <c:pt idx="4">
                  <c:v>5.2443060000000514</c:v>
                </c:pt>
                <c:pt idx="5" formatCode="#,##0">
                  <c:v>288.72030600000016</c:v>
                </c:pt>
              </c:numCache>
            </c:numRef>
          </c:val>
          <c:extLst>
            <c:ext xmlns:c16="http://schemas.microsoft.com/office/drawing/2014/chart" uri="{C3380CC4-5D6E-409C-BE32-E72D297353CC}">
              <c16:uniqueId val="{00000004-10F9-4E69-A6C0-4875FB7503E8}"/>
            </c:ext>
          </c:extLst>
        </c:ser>
        <c:ser>
          <c:idx val="6"/>
          <c:order val="5"/>
          <c:tx>
            <c:strRef>
              <c:f>'Res wo CL'!$C$74</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CL'!$D$74:$I$74</c:f>
              <c:numCache>
                <c:formatCode>#,##0</c:formatCode>
                <c:ptCount val="6"/>
                <c:pt idx="0">
                  <c:v>1941</c:v>
                </c:pt>
                <c:pt idx="5">
                  <c:v>1856.1433060000002</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CL'!$A$45</c:f>
          <c:strCache>
            <c:ptCount val="1"/>
            <c:pt idx="0">
              <c:v>Ausgrid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CL'!$C$45</c:f>
              <c:strCache>
                <c:ptCount val="1"/>
                <c:pt idx="0">
                  <c:v>Base</c:v>
                </c:pt>
              </c:strCache>
            </c:strRef>
          </c:tx>
          <c:spPr>
            <a:noFill/>
            <a:ln>
              <a:noFill/>
            </a:ln>
            <a:effectLst/>
          </c:spPr>
          <c:invertIfNegative val="0"/>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CL'!$D$45:$I$45</c:f>
              <c:numCache>
                <c:formatCode>#,##0</c:formatCode>
                <c:ptCount val="6"/>
                <c:pt idx="0">
                  <c:v>0</c:v>
                </c:pt>
                <c:pt idx="1">
                  <c:v>2059</c:v>
                </c:pt>
                <c:pt idx="2">
                  <c:v>2066.9413827899998</c:v>
                </c:pt>
                <c:pt idx="3">
                  <c:v>2050.6437827899999</c:v>
                </c:pt>
                <c:pt idx="4">
                  <c:v>2050.6437827899999</c:v>
                </c:pt>
                <c:pt idx="5">
                  <c:v>0</c:v>
                </c:pt>
              </c:numCache>
            </c:numRef>
          </c:val>
          <c:extLst>
            <c:ext xmlns:c16="http://schemas.microsoft.com/office/drawing/2014/chart" uri="{C3380CC4-5D6E-409C-BE32-E72D297353CC}">
              <c16:uniqueId val="{00000000-0305-4421-BB97-1B580FC40B25}"/>
            </c:ext>
          </c:extLst>
        </c:ser>
        <c:ser>
          <c:idx val="1"/>
          <c:order val="1"/>
          <c:tx>
            <c:strRef>
              <c:f>'Res w CL'!$C$46</c:f>
              <c:strCache>
                <c:ptCount val="1"/>
                <c:pt idx="0">
                  <c:v>Network cost</c:v>
                </c:pt>
              </c:strCache>
            </c:strRef>
          </c:tx>
          <c:spPr>
            <a:solidFill>
              <a:schemeClr val="tx2">
                <a:lumMod val="40000"/>
                <a:lumOff val="60000"/>
              </a:schemeClr>
            </a:solidFill>
            <a:ln>
              <a:noFill/>
            </a:ln>
            <a:effectLst/>
          </c:spPr>
          <c:invertIfNegative val="0"/>
          <c:dLbls>
            <c:dLbl>
              <c:idx val="1"/>
              <c:tx>
                <c:strRef>
                  <c:f>'Res w CL'!$J$46</c:f>
                  <c:strCache>
                    <c:ptCount val="1"/>
                    <c:pt idx="0">
                      <c:v>+13.5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{A981377D-B0E9-498D-BF41-36EE703CE65C}</c15:txfldGUID>
                      <c15:f>'Res w CL'!$J$46</c15:f>
                      <c15:dlblFieldTableCache>
                        <c:ptCount val="1"/>
                        <c:pt idx="0">
                          <c:v>+13.5</c:v>
                        </c:pt>
                      </c15:dlblFieldTableCache>
                    </c15:dlblFTEntry>
                  </c15:dlblFieldTable>
                  <c15:showDataLabelsRange val="0"/>
                </c:ext>
                <c:ext xmlns:c16="http://schemas.microsoft.com/office/drawing/2014/chart" uri="{C3380CC4-5D6E-409C-BE32-E72D297353CC}">
                  <c16:uniqueId val="{00000001-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CL'!$D$46:$I$46</c:f>
              <c:numCache>
                <c:formatCode>#,##0.0</c:formatCode>
                <c:ptCount val="6"/>
                <c:pt idx="0" formatCode="#,##0">
                  <c:v>697.03167313999995</c:v>
                </c:pt>
                <c:pt idx="1">
                  <c:v>13.473282789999871</c:v>
                </c:pt>
                <c:pt idx="5" formatCode="#,##0">
                  <c:v>710.50495592999982</c:v>
                </c:pt>
              </c:numCache>
            </c:numRef>
          </c:val>
          <c:extLst>
            <c:ext xmlns:c16="http://schemas.microsoft.com/office/drawing/2014/chart" uri="{C3380CC4-5D6E-409C-BE32-E72D297353CC}">
              <c16:uniqueId val="{00000002-0305-4421-BB97-1B580FC40B25}"/>
            </c:ext>
          </c:extLst>
        </c:ser>
        <c:ser>
          <c:idx val="2"/>
          <c:order val="2"/>
          <c:tx>
            <c:strRef>
              <c:f>'Res w CL'!$C$47</c:f>
              <c:strCache>
                <c:ptCount val="1"/>
                <c:pt idx="0">
                  <c:v>Wholesale cost</c:v>
                </c:pt>
              </c:strCache>
            </c:strRef>
          </c:tx>
          <c:spPr>
            <a:solidFill>
              <a:schemeClr val="accent2">
                <a:lumMod val="60000"/>
                <a:lumOff val="40000"/>
              </a:schemeClr>
            </a:solidFill>
            <a:ln>
              <a:noFill/>
            </a:ln>
            <a:effectLst/>
          </c:spPr>
          <c:invertIfNegative val="0"/>
          <c:dLbls>
            <c:dLbl>
              <c:idx val="2"/>
              <c:tx>
                <c:strRef>
                  <c:f>'Res w CL'!$J$47</c:f>
                  <c:strCache>
                    <c:ptCount val="1"/>
                    <c:pt idx="0">
                      <c:v>-5.5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{0C21FD7F-2871-49D4-9219-6A01E30F2B49}</c15:txfldGUID>
                      <c15:f>'Res w CL'!$J$47</c15:f>
                      <c15:dlblFieldTableCache>
                        <c:ptCount val="1"/>
                        <c:pt idx="0">
                          <c:v>-5.5</c:v>
                        </c:pt>
                      </c15:dlblFieldTableCache>
                    </c15:dlblFTEntry>
                  </c15:dlblFieldTable>
                  <c15:showDataLabelsRange val="0"/>
                </c:ext>
                <c:ext xmlns:c16="http://schemas.microsoft.com/office/drawing/2014/chart" uri="{C3380CC4-5D6E-409C-BE32-E72D297353CC}">
                  <c16:uniqueId val="{00000003-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CL'!$D$47:$I$47</c:f>
              <c:numCache>
                <c:formatCode>#,##0.0</c:formatCode>
                <c:ptCount val="6"/>
                <c:pt idx="0" formatCode="#,##0">
                  <c:v>769.83654000000001</c:v>
                </c:pt>
                <c:pt idx="2">
                  <c:v>5.5318999999999505</c:v>
                </c:pt>
                <c:pt idx="5" formatCode="#,##0">
                  <c:v>764.30464000000006</c:v>
                </c:pt>
              </c:numCache>
            </c:numRef>
          </c:val>
          <c:extLst>
            <c:ext xmlns:c16="http://schemas.microsoft.com/office/drawing/2014/chart" uri="{C3380CC4-5D6E-409C-BE32-E72D297353CC}">
              <c16:uniqueId val="{00000004-0305-4421-BB97-1B580FC40B25}"/>
            </c:ext>
          </c:extLst>
        </c:ser>
        <c:ser>
          <c:idx val="3"/>
          <c:order val="3"/>
          <c:tx>
            <c:strRef>
              <c:f>'Res w CL'!$C$48</c:f>
              <c:strCache>
                <c:ptCount val="1"/>
                <c:pt idx="0">
                  <c:v>Environmental cost</c:v>
                </c:pt>
              </c:strCache>
            </c:strRef>
          </c:tx>
          <c:spPr>
            <a:solidFill>
              <a:srgbClr val="92D050"/>
            </a:solidFill>
            <a:ln>
              <a:noFill/>
            </a:ln>
            <a:effectLst/>
          </c:spPr>
          <c:invertIfNegative val="0"/>
          <c:dLbls>
            <c:dLbl>
              <c:idx val="3"/>
              <c:tx>
                <c:strRef>
                  <c:f>'Res w CL'!$J$48</c:f>
                  <c:strCache>
                    <c:ptCount val="1"/>
                    <c:pt idx="0">
                      <c:v>-16.3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{2F62D048-E1C3-4FD0-9F13-13887ABD0FF2}</c15:txfldGUID>
                      <c15:f>'Res w CL'!$J$48</c15:f>
                      <c15:dlblFieldTableCache>
                        <c:ptCount val="1"/>
                        <c:pt idx="0">
                          <c:v>-16.3</c:v>
                        </c:pt>
                      </c15:dlblFieldTableCache>
                    </c15:dlblFTEntry>
                  </c15:dlblFieldTable>
                  <c15:showDataLabelsRange val="0"/>
                </c:ext>
                <c:ext xmlns:c16="http://schemas.microsoft.com/office/drawing/2014/chart" uri="{C3380CC4-5D6E-409C-BE32-E72D297353CC}">
                  <c16:uniqueId val="{00000005-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CL'!$D$48:$I$48</c:f>
              <c:numCache>
                <c:formatCode>#,##0.0</c:formatCode>
                <c:ptCount val="6"/>
                <c:pt idx="0" formatCode="#,##0">
                  <c:v>144.83920000000001</c:v>
                </c:pt>
                <c:pt idx="3">
                  <c:v>16.297599999999989</c:v>
                </c:pt>
                <c:pt idx="5" formatCode="#,##0">
                  <c:v>128.54160000000002</c:v>
                </c:pt>
              </c:numCache>
            </c:numRef>
          </c:val>
          <c:extLst>
            <c:ext xmlns:c16="http://schemas.microsoft.com/office/drawing/2014/chart" uri="{C3380CC4-5D6E-409C-BE32-E72D297353CC}">
              <c16:uniqueId val="{00000006-0305-4421-BB97-1B580FC40B25}"/>
            </c:ext>
          </c:extLst>
        </c:ser>
        <c:ser>
          <c:idx val="4"/>
          <c:order val="4"/>
          <c:tx>
            <c:strRef>
              <c:f>'Res w CL'!$C$49</c:f>
              <c:strCache>
                <c:ptCount val="1"/>
                <c:pt idx="0">
                  <c:v>Residual cost</c:v>
                </c:pt>
              </c:strCache>
            </c:strRef>
          </c:tx>
          <c:spPr>
            <a:solidFill>
              <a:schemeClr val="accent6">
                <a:lumMod val="20000"/>
                <a:lumOff val="80000"/>
              </a:schemeClr>
            </a:solidFill>
            <a:ln>
              <a:noFill/>
            </a:ln>
            <a:effectLst/>
          </c:spPr>
          <c:invertIfNegative val="0"/>
          <c:dLbls>
            <c:dLbl>
              <c:idx val="4"/>
              <c:tx>
                <c:strRef>
                  <c:f>'Res w CL'!$J$49</c:f>
                  <c:strCache>
                    <c:ptCount val="1"/>
                    <c:pt idx="0">
                      <c:v>+8.3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{29E08123-FBEE-4E8A-9725-18B85D8D0365}</c15:txfldGUID>
                      <c15:f>'Res w CL'!$J$49</c15:f>
                      <c15:dlblFieldTableCache>
                        <c:ptCount val="1"/>
                        <c:pt idx="0">
                          <c:v>+8.3</c:v>
                        </c:pt>
                      </c15:dlblFieldTableCache>
                    </c15:dlblFTEntry>
                  </c15:dlblFieldTable>
                  <c15:showDataLabelsRange val="0"/>
                </c:ext>
                <c:ext xmlns:c16="http://schemas.microsoft.com/office/drawing/2014/chart" uri="{C3380CC4-5D6E-409C-BE32-E72D297353CC}">
                  <c16:uniqueId val="{00000007-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CL'!$D$49:$I$49</c:f>
              <c:numCache>
                <c:formatCode>#,##0.0</c:formatCode>
                <c:ptCount val="6"/>
                <c:pt idx="0" formatCode="#,##0">
                  <c:v>447.29258686000003</c:v>
                </c:pt>
                <c:pt idx="4">
                  <c:v>8.2749128569098502</c:v>
                </c:pt>
                <c:pt idx="5" formatCode="#,##0">
                  <c:v>455.56749971690988</c:v>
                </c:pt>
              </c:numCache>
            </c:numRef>
          </c:val>
          <c:extLst>
            <c:ext xmlns:c16="http://schemas.microsoft.com/office/drawing/2014/chart" uri="{C3380CC4-5D6E-409C-BE32-E72D297353CC}">
              <c16:uniqueId val="{00000008-0305-4421-BB97-1B580FC40B25}"/>
            </c:ext>
          </c:extLst>
        </c:ser>
        <c:ser>
          <c:idx val="6"/>
          <c:order val="5"/>
          <c:tx>
            <c:strRef>
              <c:f>'Res w CL'!$C$50</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CL'!$D$50:$I$50</c:f>
              <c:numCache>
                <c:formatCode>#,##0</c:formatCode>
                <c:ptCount val="6"/>
                <c:pt idx="0">
                  <c:v>2059</c:v>
                </c:pt>
                <c:pt idx="5">
                  <c:v>2058.9186956469098</c:v>
                </c:pt>
              </c:numCache>
            </c:numRef>
          </c:val>
          <c:extLst>
            <c:ext xmlns:c16="http://schemas.microsoft.com/office/drawing/2014/chart" uri="{C3380CC4-5D6E-409C-BE32-E72D297353CC}">
              <c16:uniqueId val="{00000009-0305-4421-BB97-1B580FC40B25}"/>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2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CL'!$A$51</c:f>
          <c:strCache>
            <c:ptCount val="1"/>
            <c:pt idx="0">
              <c:v>Endeavour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CL'!$C$51</c:f>
              <c:strCache>
                <c:ptCount val="1"/>
                <c:pt idx="0">
                  <c:v>Base</c:v>
                </c:pt>
              </c:strCache>
            </c:strRef>
          </c:tx>
          <c:spPr>
            <a:noFill/>
            <a:ln>
              <a:noFill/>
            </a:ln>
            <a:effectLst/>
          </c:spPr>
          <c:invertIfNegative val="0"/>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CL'!$D$51:$I$51</c:f>
              <c:numCache>
                <c:formatCode>#,##0</c:formatCode>
                <c:ptCount val="6"/>
                <c:pt idx="0">
                  <c:v>0</c:v>
                </c:pt>
                <c:pt idx="1">
                  <c:v>2160.1761885999999</c:v>
                </c:pt>
                <c:pt idx="2">
                  <c:v>2160.1761885999999</c:v>
                </c:pt>
                <c:pt idx="3">
                  <c:v>2185.1285886000001</c:v>
                </c:pt>
                <c:pt idx="4">
                  <c:v>2185.1285886000001</c:v>
                </c:pt>
                <c:pt idx="5">
                  <c:v>0</c:v>
                </c:pt>
              </c:numCache>
            </c:numRef>
          </c:val>
          <c:extLst>
            <c:ext xmlns:c16="http://schemas.microsoft.com/office/drawing/2014/chart" uri="{C3380CC4-5D6E-409C-BE32-E72D297353CC}">
              <c16:uniqueId val="{00000000-96EB-4F78-9E20-6C2AD717C6AE}"/>
            </c:ext>
          </c:extLst>
        </c:ser>
        <c:ser>
          <c:idx val="1"/>
          <c:order val="1"/>
          <c:tx>
            <c:strRef>
              <c:f>'Res w CL'!$C$52</c:f>
              <c:strCache>
                <c:ptCount val="1"/>
                <c:pt idx="0">
                  <c:v>Network cost</c:v>
                </c:pt>
              </c:strCache>
            </c:strRef>
          </c:tx>
          <c:spPr>
            <a:solidFill>
              <a:schemeClr val="tx2">
                <a:lumMod val="40000"/>
                <a:lumOff val="60000"/>
              </a:schemeClr>
            </a:solidFill>
            <a:ln>
              <a:noFill/>
            </a:ln>
            <a:effectLst/>
          </c:spPr>
          <c:invertIfNegative val="0"/>
          <c:dLbls>
            <c:dLbl>
              <c:idx val="1"/>
              <c:tx>
                <c:strRef>
                  <c:f>'Res w CL'!$J$52</c:f>
                  <c:strCache>
                    <c:ptCount val="1"/>
                    <c:pt idx="0">
                      <c:v>-5.8</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{DEE35AF5-8A23-44FF-AB17-3C475D7CE06C}</c15:txfldGUID>
                      <c15:f>'Res w CL'!$J$52</c15:f>
                      <c15:dlblFieldTableCache>
                        <c:ptCount val="1"/>
                        <c:pt idx="0">
                          <c:v>-5.8</c:v>
                        </c:pt>
                      </c15:dlblFieldTableCache>
                    </c15:dlblFTEntry>
                  </c15:dlblFieldTable>
                  <c15:showDataLabelsRange val="0"/>
                </c:ext>
                <c:ext xmlns:c16="http://schemas.microsoft.com/office/drawing/2014/chart" uri="{C3380CC4-5D6E-409C-BE32-E72D297353CC}">
                  <c16:uniqueId val="{00000001-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CL'!$D$52:$I$52</c:f>
              <c:numCache>
                <c:formatCode>#,##0.0</c:formatCode>
                <c:ptCount val="6"/>
                <c:pt idx="0" formatCode="#,##0">
                  <c:v>719.72343080000019</c:v>
                </c:pt>
                <c:pt idx="1">
                  <c:v>5.8238114000000678</c:v>
                </c:pt>
                <c:pt idx="5" formatCode="#,##0">
                  <c:v>713.89961940000012</c:v>
                </c:pt>
              </c:numCache>
            </c:numRef>
          </c:val>
          <c:extLst>
            <c:ext xmlns:c16="http://schemas.microsoft.com/office/drawing/2014/chart" uri="{C3380CC4-5D6E-409C-BE32-E72D297353CC}">
              <c16:uniqueId val="{00000002-96EB-4F78-9E20-6C2AD717C6AE}"/>
            </c:ext>
          </c:extLst>
        </c:ser>
        <c:ser>
          <c:idx val="2"/>
          <c:order val="2"/>
          <c:tx>
            <c:strRef>
              <c:f>'Res w CL'!$C$53</c:f>
              <c:strCache>
                <c:ptCount val="1"/>
                <c:pt idx="0">
                  <c:v>Wholesale cost</c:v>
                </c:pt>
              </c:strCache>
            </c:strRef>
          </c:tx>
          <c:spPr>
            <a:solidFill>
              <a:schemeClr val="accent2">
                <a:lumMod val="60000"/>
                <a:lumOff val="40000"/>
              </a:schemeClr>
            </a:solidFill>
            <a:ln>
              <a:noFill/>
            </a:ln>
            <a:effectLst/>
          </c:spPr>
          <c:invertIfNegative val="0"/>
          <c:dLbls>
            <c:dLbl>
              <c:idx val="2"/>
              <c:tx>
                <c:strRef>
                  <c:f>'Res w CL'!$J$53</c:f>
                  <c:strCache>
                    <c:ptCount val="1"/>
                    <c:pt idx="0">
                      <c:v>+43.3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{A5B3DD2B-B47C-4541-80B8-AD0F29AF9A07}</c15:txfldGUID>
                      <c15:f>'Res w CL'!$J$53</c15:f>
                      <c15:dlblFieldTableCache>
                        <c:ptCount val="1"/>
                        <c:pt idx="0">
                          <c:v>+43.3</c:v>
                        </c:pt>
                      </c15:dlblFieldTableCache>
                    </c15:dlblFTEntry>
                  </c15:dlblFieldTable>
                  <c15:showDataLabelsRange val="0"/>
                </c:ext>
                <c:ext xmlns:c16="http://schemas.microsoft.com/office/drawing/2014/chart" uri="{C3380CC4-5D6E-409C-BE32-E72D297353CC}">
                  <c16:uniqueId val="{00000003-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CL'!$D$53:$I$53</c:f>
              <c:numCache>
                <c:formatCode>#,##0.0</c:formatCode>
                <c:ptCount val="6"/>
                <c:pt idx="0" formatCode="#,##0">
                  <c:v>859.83699999999999</c:v>
                </c:pt>
                <c:pt idx="2">
                  <c:v>43.348799999999983</c:v>
                </c:pt>
                <c:pt idx="5" formatCode="#,##0">
                  <c:v>903.18579999999997</c:v>
                </c:pt>
              </c:numCache>
            </c:numRef>
          </c:val>
          <c:extLst>
            <c:ext xmlns:c16="http://schemas.microsoft.com/office/drawing/2014/chart" uri="{C3380CC4-5D6E-409C-BE32-E72D297353CC}">
              <c16:uniqueId val="{00000004-96EB-4F78-9E20-6C2AD717C6AE}"/>
            </c:ext>
          </c:extLst>
        </c:ser>
        <c:ser>
          <c:idx val="3"/>
          <c:order val="3"/>
          <c:tx>
            <c:strRef>
              <c:f>'Res w CL'!$C$54</c:f>
              <c:strCache>
                <c:ptCount val="1"/>
                <c:pt idx="0">
                  <c:v>Environmental cost</c:v>
                </c:pt>
              </c:strCache>
            </c:strRef>
          </c:tx>
          <c:spPr>
            <a:solidFill>
              <a:srgbClr val="92D050"/>
            </a:solidFill>
            <a:ln>
              <a:noFill/>
            </a:ln>
            <a:effectLst/>
          </c:spPr>
          <c:invertIfNegative val="0"/>
          <c:dLbls>
            <c:dLbl>
              <c:idx val="3"/>
              <c:tx>
                <c:strRef>
                  <c:f>'Res w CL'!$J$54</c:f>
                  <c:strCache>
                    <c:ptCount val="1"/>
                    <c:pt idx="0">
                      <c:v>-18.4</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{D371C5DF-D959-4412-9008-9B31ACE78719}</c15:txfldGUID>
                      <c15:f>'Res w CL'!$J$54</c15:f>
                      <c15:dlblFieldTableCache>
                        <c:ptCount val="1"/>
                        <c:pt idx="0">
                          <c:v>-18.4</c:v>
                        </c:pt>
                      </c15:dlblFieldTableCache>
                    </c15:dlblFTEntry>
                  </c15:dlblFieldTable>
                  <c15:showDataLabelsRange val="0"/>
                </c:ext>
                <c:ext xmlns:c16="http://schemas.microsoft.com/office/drawing/2014/chart" uri="{C3380CC4-5D6E-409C-BE32-E72D297353CC}">
                  <c16:uniqueId val="{00000005-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CL'!$D$54:$I$54</c:f>
              <c:numCache>
                <c:formatCode>#,##0.0</c:formatCode>
                <c:ptCount val="6"/>
                <c:pt idx="0" formatCode="#,##0">
                  <c:v>158.32300000000001</c:v>
                </c:pt>
                <c:pt idx="3">
                  <c:v>18.3964</c:v>
                </c:pt>
                <c:pt idx="5" formatCode="#,##0">
                  <c:v>139.92660000000001</c:v>
                </c:pt>
              </c:numCache>
            </c:numRef>
          </c:val>
          <c:extLst>
            <c:ext xmlns:c16="http://schemas.microsoft.com/office/drawing/2014/chart" uri="{C3380CC4-5D6E-409C-BE32-E72D297353CC}">
              <c16:uniqueId val="{00000006-96EB-4F78-9E20-6C2AD717C6AE}"/>
            </c:ext>
          </c:extLst>
        </c:ser>
        <c:ser>
          <c:idx val="4"/>
          <c:order val="4"/>
          <c:tx>
            <c:strRef>
              <c:f>'Res w CL'!$C$55</c:f>
              <c:strCache>
                <c:ptCount val="1"/>
                <c:pt idx="0">
                  <c:v>Residual cost</c:v>
                </c:pt>
              </c:strCache>
            </c:strRef>
          </c:tx>
          <c:spPr>
            <a:solidFill>
              <a:schemeClr val="accent6">
                <a:lumMod val="20000"/>
                <a:lumOff val="80000"/>
              </a:schemeClr>
            </a:solidFill>
            <a:ln>
              <a:noFill/>
            </a:ln>
            <a:effectLst/>
          </c:spPr>
          <c:invertIfNegative val="0"/>
          <c:dLbls>
            <c:dLbl>
              <c:idx val="4"/>
              <c:tx>
                <c:strRef>
                  <c:f>'Res w CL'!$J$55</c:f>
                  <c:strCache>
                    <c:ptCount val="1"/>
                    <c:pt idx="0">
                      <c:v>+7.9</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{1CA6A204-D018-4910-AB61-ADB58B2B35D9}</c15:txfldGUID>
                      <c15:f>'Res w CL'!$J$55</c15:f>
                      <c15:dlblFieldTableCache>
                        <c:ptCount val="1"/>
                        <c:pt idx="0">
                          <c:v>+7.9</c:v>
                        </c:pt>
                      </c15:dlblFieldTableCache>
                    </c15:dlblFTEntry>
                  </c15:dlblFieldTable>
                  <c15:showDataLabelsRange val="0"/>
                </c:ext>
                <c:ext xmlns:c16="http://schemas.microsoft.com/office/drawing/2014/chart" uri="{C3380CC4-5D6E-409C-BE32-E72D297353CC}">
                  <c16:uniqueId val="{00000007-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CL'!$D$55:$I$55</c:f>
              <c:numCache>
                <c:formatCode>#,##0.0</c:formatCode>
                <c:ptCount val="6"/>
                <c:pt idx="0" formatCode="#,##0">
                  <c:v>428.11656919999973</c:v>
                </c:pt>
                <c:pt idx="4">
                  <c:v>7.9201565302003019</c:v>
                </c:pt>
                <c:pt idx="5" formatCode="#,##0">
                  <c:v>436.03672573020003</c:v>
                </c:pt>
              </c:numCache>
            </c:numRef>
          </c:val>
          <c:extLst>
            <c:ext xmlns:c16="http://schemas.microsoft.com/office/drawing/2014/chart" uri="{C3380CC4-5D6E-409C-BE32-E72D297353CC}">
              <c16:uniqueId val="{00000008-96EB-4F78-9E20-6C2AD717C6AE}"/>
            </c:ext>
          </c:extLst>
        </c:ser>
        <c:ser>
          <c:idx val="6"/>
          <c:order val="5"/>
          <c:tx>
            <c:strRef>
              <c:f>'Res w CL'!$C$56</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CL'!$D$56:$I$56</c:f>
              <c:numCache>
                <c:formatCode>#,##0</c:formatCode>
                <c:ptCount val="6"/>
                <c:pt idx="0">
                  <c:v>2166</c:v>
                </c:pt>
                <c:pt idx="5">
                  <c:v>2193.0487451302001</c:v>
                </c:pt>
              </c:numCache>
            </c:numRef>
          </c:val>
          <c:extLst>
            <c:ext xmlns:c16="http://schemas.microsoft.com/office/drawing/2014/chart" uri="{C3380CC4-5D6E-409C-BE32-E72D297353CC}">
              <c16:uniqueId val="{00000009-96EB-4F78-9E20-6C2AD717C6AE}"/>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3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CL'!$A$57</c:f>
          <c:strCache>
            <c:ptCount val="1"/>
            <c:pt idx="0">
              <c:v>Essential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CL'!$C$57</c:f>
              <c:strCache>
                <c:ptCount val="1"/>
                <c:pt idx="0">
                  <c:v>Base</c:v>
                </c:pt>
              </c:strCache>
            </c:strRef>
          </c:tx>
          <c:spPr>
            <a:noFill/>
            <a:ln>
              <a:noFill/>
            </a:ln>
            <a:effectLst/>
          </c:spPr>
          <c:invertIfNegative val="0"/>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CL'!$D$57:$I$57</c:f>
              <c:numCache>
                <c:formatCode>#,##0</c:formatCode>
                <c:ptCount val="6"/>
                <c:pt idx="0">
                  <c:v>0</c:v>
                </c:pt>
                <c:pt idx="1">
                  <c:v>2375</c:v>
                </c:pt>
                <c:pt idx="2">
                  <c:v>2390.4330110000005</c:v>
                </c:pt>
                <c:pt idx="3">
                  <c:v>2373.4446110000004</c:v>
                </c:pt>
                <c:pt idx="4">
                  <c:v>2373.4446110000004</c:v>
                </c:pt>
                <c:pt idx="5">
                  <c:v>0</c:v>
                </c:pt>
              </c:numCache>
            </c:numRef>
          </c:val>
          <c:extLst>
            <c:ext xmlns:c16="http://schemas.microsoft.com/office/drawing/2014/chart" uri="{C3380CC4-5D6E-409C-BE32-E72D297353CC}">
              <c16:uniqueId val="{00000000-E169-42CF-B6F2-928A64ACB917}"/>
            </c:ext>
          </c:extLst>
        </c:ser>
        <c:ser>
          <c:idx val="1"/>
          <c:order val="1"/>
          <c:tx>
            <c:strRef>
              <c:f>'Res w CL'!$C$58</c:f>
              <c:strCache>
                <c:ptCount val="1"/>
                <c:pt idx="0">
                  <c:v>Network cost</c:v>
                </c:pt>
              </c:strCache>
            </c:strRef>
          </c:tx>
          <c:spPr>
            <a:solidFill>
              <a:schemeClr val="tx2">
                <a:lumMod val="40000"/>
                <a:lumOff val="60000"/>
              </a:schemeClr>
            </a:solidFill>
            <a:ln>
              <a:noFill/>
            </a:ln>
            <a:effectLst/>
          </c:spPr>
          <c:invertIfNegative val="0"/>
          <c:dLbls>
            <c:dLbl>
              <c:idx val="1"/>
              <c:tx>
                <c:strRef>
                  <c:f>'Res w CL'!$J$58</c:f>
                  <c:strCache>
                    <c:ptCount val="1"/>
                    <c:pt idx="0">
                      <c:v>+15.5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{712DB9C1-4CB4-4D4A-B8E0-CD2391972BC3}</c15:txfldGUID>
                      <c15:f>'Res w CL'!$J$58</c15:f>
                      <c15:dlblFieldTableCache>
                        <c:ptCount val="1"/>
                        <c:pt idx="0">
                          <c:v>+15.5</c:v>
                        </c:pt>
                      </c15:dlblFieldTableCache>
                    </c15:dlblFTEntry>
                  </c15:dlblFieldTable>
                  <c15:showDataLabelsRange val="0"/>
                </c:ext>
                <c:ext xmlns:c16="http://schemas.microsoft.com/office/drawing/2014/chart" uri="{C3380CC4-5D6E-409C-BE32-E72D297353CC}">
                  <c16:uniqueId val="{00000001-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CL'!$D$58:$I$58</c:f>
              <c:numCache>
                <c:formatCode>#,##0.0</c:formatCode>
                <c:ptCount val="6"/>
                <c:pt idx="0" formatCode="#,##0">
                  <c:v>992.84057399999983</c:v>
                </c:pt>
                <c:pt idx="1">
                  <c:v>15.521011000000271</c:v>
                </c:pt>
                <c:pt idx="5" formatCode="#,##0">
                  <c:v>1008.3615850000001</c:v>
                </c:pt>
              </c:numCache>
            </c:numRef>
          </c:val>
          <c:extLst>
            <c:ext xmlns:c16="http://schemas.microsoft.com/office/drawing/2014/chart" uri="{C3380CC4-5D6E-409C-BE32-E72D297353CC}">
              <c16:uniqueId val="{00000002-E169-42CF-B6F2-928A64ACB917}"/>
            </c:ext>
          </c:extLst>
        </c:ser>
        <c:ser>
          <c:idx val="2"/>
          <c:order val="2"/>
          <c:tx>
            <c:strRef>
              <c:f>'Res w CL'!$C$59</c:f>
              <c:strCache>
                <c:ptCount val="1"/>
                <c:pt idx="0">
                  <c:v>Wholesale cost</c:v>
                </c:pt>
              </c:strCache>
            </c:strRef>
          </c:tx>
          <c:spPr>
            <a:solidFill>
              <a:schemeClr val="accent2">
                <a:lumMod val="60000"/>
                <a:lumOff val="40000"/>
              </a:schemeClr>
            </a:solidFill>
            <a:ln>
              <a:noFill/>
            </a:ln>
            <a:effectLst/>
          </c:spPr>
          <c:invertIfNegative val="0"/>
          <c:dLbls>
            <c:dLbl>
              <c:idx val="2"/>
              <c:tx>
                <c:strRef>
                  <c:f>'Res w CL'!$J$59</c:f>
                  <c:strCache>
                    <c:ptCount val="1"/>
                    <c:pt idx="0">
                      <c:v>-0.1</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{C7641E32-17B3-429A-B5EC-C88A62086AA4}</c15:txfldGUID>
                      <c15:f>'Res w CL'!$J$59</c15:f>
                      <c15:dlblFieldTableCache>
                        <c:ptCount val="1"/>
                        <c:pt idx="0">
                          <c:v>-0.1</c:v>
                        </c:pt>
                      </c15:dlblFieldTableCache>
                    </c15:dlblFTEntry>
                  </c15:dlblFieldTable>
                  <c15:showDataLabelsRange val="0"/>
                </c:ext>
                <c:ext xmlns:c16="http://schemas.microsoft.com/office/drawing/2014/chart" uri="{C3380CC4-5D6E-409C-BE32-E72D297353CC}">
                  <c16:uniqueId val="{00000003-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CL'!$D$59:$I$59</c:f>
              <c:numCache>
                <c:formatCode>#,##0.0</c:formatCode>
                <c:ptCount val="6"/>
                <c:pt idx="0" formatCode="#,##0">
                  <c:v>731.28219999999999</c:v>
                </c:pt>
                <c:pt idx="2">
                  <c:v>8.7999999999851752E-2</c:v>
                </c:pt>
                <c:pt idx="5" formatCode="#,##0">
                  <c:v>731.19420000000014</c:v>
                </c:pt>
              </c:numCache>
            </c:numRef>
          </c:val>
          <c:extLst>
            <c:ext xmlns:c16="http://schemas.microsoft.com/office/drawing/2014/chart" uri="{C3380CC4-5D6E-409C-BE32-E72D297353CC}">
              <c16:uniqueId val="{00000004-E169-42CF-B6F2-928A64ACB917}"/>
            </c:ext>
          </c:extLst>
        </c:ser>
        <c:ser>
          <c:idx val="3"/>
          <c:order val="3"/>
          <c:tx>
            <c:strRef>
              <c:f>'Res w CL'!$C$60</c:f>
              <c:strCache>
                <c:ptCount val="1"/>
                <c:pt idx="0">
                  <c:v>Environmental cost</c:v>
                </c:pt>
              </c:strCache>
            </c:strRef>
          </c:tx>
          <c:spPr>
            <a:solidFill>
              <a:srgbClr val="92D050"/>
            </a:solidFill>
            <a:ln>
              <a:noFill/>
            </a:ln>
            <a:effectLst/>
          </c:spPr>
          <c:invertIfNegative val="0"/>
          <c:dLbls>
            <c:dLbl>
              <c:idx val="3"/>
              <c:tx>
                <c:strRef>
                  <c:f>'Res w CL'!$J$60</c:f>
                  <c:strCache>
                    <c:ptCount val="1"/>
                    <c:pt idx="0">
                      <c:v>-17.0</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{1B196E95-DDE1-4182-AF9B-AFC7F694F473}</c15:txfldGUID>
                      <c15:f>'Res w CL'!$J$60</c15:f>
                      <c15:dlblFieldTableCache>
                        <c:ptCount val="1"/>
                        <c:pt idx="0">
                          <c:v>-17.0</c:v>
                        </c:pt>
                      </c15:dlblFieldTableCache>
                    </c15:dlblFTEntry>
                  </c15:dlblFieldTable>
                  <c15:showDataLabelsRange val="0"/>
                </c:ext>
                <c:ext xmlns:c16="http://schemas.microsoft.com/office/drawing/2014/chart" uri="{C3380CC4-5D6E-409C-BE32-E72D297353CC}">
                  <c16:uniqueId val="{00000005-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CL'!$D$60:$I$60</c:f>
              <c:numCache>
                <c:formatCode>#,##0.0</c:formatCode>
                <c:ptCount val="6"/>
                <c:pt idx="0" formatCode="#,##0">
                  <c:v>141.64259999999999</c:v>
                </c:pt>
                <c:pt idx="3">
                  <c:v>16.98839999999997</c:v>
                </c:pt>
                <c:pt idx="5" formatCode="#,##0">
                  <c:v>124.65420000000002</c:v>
                </c:pt>
              </c:numCache>
            </c:numRef>
          </c:val>
          <c:extLst>
            <c:ext xmlns:c16="http://schemas.microsoft.com/office/drawing/2014/chart" uri="{C3380CC4-5D6E-409C-BE32-E72D297353CC}">
              <c16:uniqueId val="{00000006-E169-42CF-B6F2-928A64ACB917}"/>
            </c:ext>
          </c:extLst>
        </c:ser>
        <c:ser>
          <c:idx val="4"/>
          <c:order val="4"/>
          <c:tx>
            <c:strRef>
              <c:f>'Res w CL'!$C$61</c:f>
              <c:strCache>
                <c:ptCount val="1"/>
                <c:pt idx="0">
                  <c:v>Residual cost</c:v>
                </c:pt>
              </c:strCache>
            </c:strRef>
          </c:tx>
          <c:spPr>
            <a:solidFill>
              <a:schemeClr val="accent6">
                <a:lumMod val="20000"/>
                <a:lumOff val="80000"/>
              </a:schemeClr>
            </a:solidFill>
            <a:ln>
              <a:noFill/>
            </a:ln>
            <a:effectLst/>
          </c:spPr>
          <c:invertIfNegative val="0"/>
          <c:dLbls>
            <c:dLbl>
              <c:idx val="4"/>
              <c:tx>
                <c:strRef>
                  <c:f>'Res w CL'!$J$61</c:f>
                  <c:strCache>
                    <c:ptCount val="1"/>
                    <c:pt idx="0">
                      <c:v>+9.4</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{5A4F3B2B-5377-4732-848A-BFFA3C35B969}</c15:txfldGUID>
                      <c15:f>'Res w CL'!$J$61</c15:f>
                      <c15:dlblFieldTableCache>
                        <c:ptCount val="1"/>
                        <c:pt idx="0">
                          <c:v>+9.4</c:v>
                        </c:pt>
                      </c15:dlblFieldTableCache>
                    </c15:dlblFTEntry>
                  </c15:dlblFieldTable>
                  <c15:showDataLabelsRange val="0"/>
                </c:ext>
                <c:ext xmlns:c16="http://schemas.microsoft.com/office/drawing/2014/chart" uri="{C3380CC4-5D6E-409C-BE32-E72D297353CC}">
                  <c16:uniqueId val="{00000007-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CL'!$D$61:$I$61</c:f>
              <c:numCache>
                <c:formatCode>#,##0.0</c:formatCode>
                <c:ptCount val="6"/>
                <c:pt idx="0" formatCode="#,##0">
                  <c:v>509.23462600000016</c:v>
                </c:pt>
                <c:pt idx="4">
                  <c:v>9.4208405809999931</c:v>
                </c:pt>
                <c:pt idx="5" formatCode="#,##0">
                  <c:v>518.65546658100016</c:v>
                </c:pt>
              </c:numCache>
            </c:numRef>
          </c:val>
          <c:extLst>
            <c:ext xmlns:c16="http://schemas.microsoft.com/office/drawing/2014/chart" uri="{C3380CC4-5D6E-409C-BE32-E72D297353CC}">
              <c16:uniqueId val="{00000008-E169-42CF-B6F2-928A64ACB917}"/>
            </c:ext>
          </c:extLst>
        </c:ser>
        <c:ser>
          <c:idx val="6"/>
          <c:order val="5"/>
          <c:tx>
            <c:strRef>
              <c:f>'Res w CL'!$C$62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CL'!$D$62:$I$62</c:f>
              <c:numCache>
                <c:formatCode>#,##0</c:formatCode>
                <c:ptCount val="6"/>
                <c:pt idx="0">
                  <c:v>2375</c:v>
                </c:pt>
                <c:pt idx="5">
                  <c:v>2382.8654515810003</c:v>
                </c:pt>
              </c:numCache>
            </c:numRef>
          </c:val>
          <c:extLst>
            <c:ext xmlns:c16="http://schemas.microsoft.com/office/drawing/2014/chart" uri="{C3380CC4-5D6E-409C-BE32-E72D297353CC}">
              <c16:uniqueId val="{00000009-E169-42CF-B6F2-928A64ACB917}"/>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5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CL'!$A$63</c:f>
          <c:strCache>
            <c:ptCount val="1"/>
            <c:pt idx="0">
              <c:v>Energex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CL'!$C$63</c:f>
              <c:strCache>
                <c:ptCount val="1"/>
                <c:pt idx="0">
                  <c:v>Base</c:v>
                </c:pt>
              </c:strCache>
            </c:strRef>
          </c:tx>
          <c:spPr>
            <a:noFill/>
            <a:ln>
              <a:noFill/>
            </a:ln>
            <a:effectLst/>
          </c:spPr>
          <c:invertIfNegative val="0"/>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CL'!$D$63:$I$63</c:f>
              <c:numCache>
                <c:formatCode>#,##0</c:formatCode>
                <c:ptCount val="6"/>
                <c:pt idx="0">
                  <c:v>0</c:v>
                </c:pt>
                <c:pt idx="1">
                  <c:v>1818.6791940000003</c:v>
                </c:pt>
                <c:pt idx="2">
                  <c:v>1790.0388350000001</c:v>
                </c:pt>
                <c:pt idx="3">
                  <c:v>1772.6445350000001</c:v>
                </c:pt>
                <c:pt idx="4">
                  <c:v>1772.6445350000001</c:v>
                </c:pt>
                <c:pt idx="5">
                  <c:v>0</c:v>
                </c:pt>
              </c:numCache>
            </c:numRef>
          </c:val>
          <c:extLst>
            <c:ext xmlns:c16="http://schemas.microsoft.com/office/drawing/2014/chart" uri="{C3380CC4-5D6E-409C-BE32-E72D297353CC}">
              <c16:uniqueId val="{00000000-DE12-46F4-B72C-D9A9F1C1EAF7}"/>
            </c:ext>
          </c:extLst>
        </c:ser>
        <c:ser>
          <c:idx val="1"/>
          <c:order val="1"/>
          <c:tx>
            <c:strRef>
              <c:f>'Res w CL'!$C$64</c:f>
              <c:strCache>
                <c:ptCount val="1"/>
                <c:pt idx="0">
                  <c:v>Network cost</c:v>
                </c:pt>
              </c:strCache>
            </c:strRef>
          </c:tx>
          <c:spPr>
            <a:solidFill>
              <a:schemeClr val="tx2">
                <a:lumMod val="40000"/>
                <a:lumOff val="60000"/>
              </a:schemeClr>
            </a:solidFill>
            <a:ln>
              <a:noFill/>
            </a:ln>
            <a:effectLst/>
          </c:spPr>
          <c:invertIfNegative val="0"/>
          <c:dLbls>
            <c:dLbl>
              <c:idx val="1"/>
              <c:tx>
                <c:strRef>
                  <c:f>'Res w CL'!$J$64</c:f>
                  <c:strCache>
                    <c:ptCount val="1"/>
                    <c:pt idx="0">
                      <c:v>-108.3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{5676A2D5-5ADF-4142-A017-EE893D43B1A5}</c15:txfldGUID>
                      <c15:f>'Res w CL'!$J$64</c15:f>
                      <c15:dlblFieldTableCache>
                        <c:ptCount val="1"/>
                        <c:pt idx="0">
                          <c:v>-108.3</c:v>
                        </c:pt>
                      </c15:dlblFieldTableCache>
                    </c15:dlblFTEntry>
                  </c15:dlblFieldTable>
                  <c15:showDataLabelsRange val="0"/>
                </c:ext>
                <c:ext xmlns:c16="http://schemas.microsoft.com/office/drawing/2014/chart" uri="{C3380CC4-5D6E-409C-BE32-E72D297353CC}">
                  <c16:uniqueId val="{00000001-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CL'!$D$64:$I$64</c:f>
              <c:numCache>
                <c:formatCode>#,##0.0</c:formatCode>
                <c:ptCount val="6"/>
                <c:pt idx="0" formatCode="#,##0">
                  <c:v>786.48571099999992</c:v>
                </c:pt>
                <c:pt idx="1">
                  <c:v>108.32080599999983</c:v>
                </c:pt>
                <c:pt idx="5" formatCode="#,##0">
                  <c:v>678.16490500000009</c:v>
                </c:pt>
              </c:numCache>
            </c:numRef>
          </c:val>
          <c:extLst>
            <c:ext xmlns:c16="http://schemas.microsoft.com/office/drawing/2014/chart" uri="{C3380CC4-5D6E-409C-BE32-E72D297353CC}">
              <c16:uniqueId val="{00000002-DE12-46F4-B72C-D9A9F1C1EAF7}"/>
            </c:ext>
          </c:extLst>
        </c:ser>
        <c:ser>
          <c:idx val="2"/>
          <c:order val="2"/>
          <c:tx>
            <c:strRef>
              <c:f>'Res w CL'!$C$65</c:f>
              <c:strCache>
                <c:ptCount val="1"/>
                <c:pt idx="0">
                  <c:v>Wholesale cost</c:v>
                </c:pt>
              </c:strCache>
            </c:strRef>
          </c:tx>
          <c:spPr>
            <a:solidFill>
              <a:schemeClr val="accent2">
                <a:lumMod val="60000"/>
                <a:lumOff val="40000"/>
              </a:schemeClr>
            </a:solidFill>
            <a:ln>
              <a:noFill/>
            </a:ln>
            <a:effectLst/>
          </c:spPr>
          <c:invertIfNegative val="0"/>
          <c:dLbls>
            <c:dLbl>
              <c:idx val="2"/>
              <c:tx>
                <c:strRef>
                  <c:f>'Res w CL'!$J$65</c:f>
                  <c:strCache>
                    <c:ptCount val="1"/>
                    <c:pt idx="0">
                      <c:v>-28.6</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{9DFB33A2-A9E1-4E85-A36C-E7F4EF49A816}</c15:txfldGUID>
                      <c15:f>'Res w CL'!$J$65</c15:f>
                      <c15:dlblFieldTableCache>
                        <c:ptCount val="1"/>
                        <c:pt idx="0">
                          <c:v>-28.6</c:v>
                        </c:pt>
                      </c15:dlblFieldTableCache>
                    </c15:dlblFTEntry>
                  </c15:dlblFieldTable>
                  <c15:showDataLabelsRange val="0"/>
                </c:ext>
                <c:ext xmlns:c16="http://schemas.microsoft.com/office/drawing/2014/chart" uri="{C3380CC4-5D6E-409C-BE32-E72D297353CC}">
                  <c16:uniqueId val="{00000003-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CL'!$D$65:$I$65</c:f>
              <c:numCache>
                <c:formatCode>#,##0.0</c:formatCode>
                <c:ptCount val="6"/>
                <c:pt idx="0" formatCode="#,##0">
                  <c:v>640.07135500000004</c:v>
                </c:pt>
                <c:pt idx="2">
                  <c:v>28.640359000000217</c:v>
                </c:pt>
                <c:pt idx="5" formatCode="#,##0">
                  <c:v>611.43099599999982</c:v>
                </c:pt>
              </c:numCache>
            </c:numRef>
          </c:val>
          <c:extLst>
            <c:ext xmlns:c16="http://schemas.microsoft.com/office/drawing/2014/chart" uri="{C3380CC4-5D6E-409C-BE32-E72D297353CC}">
              <c16:uniqueId val="{00000004-DE12-46F4-B72C-D9A9F1C1EAF7}"/>
            </c:ext>
          </c:extLst>
        </c:ser>
        <c:ser>
          <c:idx val="3"/>
          <c:order val="3"/>
          <c:tx>
            <c:strRef>
              <c:f>'Res w CL'!$C$66</c:f>
              <c:strCache>
                <c:ptCount val="1"/>
                <c:pt idx="0">
                  <c:v>Environmental cost</c:v>
                </c:pt>
              </c:strCache>
            </c:strRef>
          </c:tx>
          <c:spPr>
            <a:solidFill>
              <a:srgbClr val="92D050"/>
            </a:solidFill>
            <a:ln>
              <a:noFill/>
            </a:ln>
            <a:effectLst/>
          </c:spPr>
          <c:invertIfNegative val="0"/>
          <c:dLbls>
            <c:dLbl>
              <c:idx val="3"/>
              <c:tx>
                <c:strRef>
                  <c:f>'Res w CL'!$J$66</c:f>
                  <c:strCache>
                    <c:ptCount val="1"/>
                    <c:pt idx="0">
                      <c:v>-17.4</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{5B620766-BA22-44A8-BCC2-548BF382FE98}</c15:txfldGUID>
                      <c15:f>'Res w CL'!$J$66</c15:f>
                      <c15:dlblFieldTableCache>
                        <c:ptCount val="1"/>
                        <c:pt idx="0">
                          <c:v>-17.4</c:v>
                        </c:pt>
                      </c15:dlblFieldTableCache>
                    </c15:dlblFTEntry>
                  </c15:dlblFieldTable>
                  <c15:showDataLabelsRange val="0"/>
                </c:ext>
                <c:ext xmlns:c16="http://schemas.microsoft.com/office/drawing/2014/chart" uri="{C3380CC4-5D6E-409C-BE32-E72D297353CC}">
                  <c16:uniqueId val="{00000005-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CL'!$D$66:$I$66</c:f>
              <c:numCache>
                <c:formatCode>#,##0.0</c:formatCode>
                <c:ptCount val="6"/>
                <c:pt idx="0" formatCode="#,##0">
                  <c:v>122.7996</c:v>
                </c:pt>
                <c:pt idx="3">
                  <c:v>17.394299999999987</c:v>
                </c:pt>
                <c:pt idx="5" formatCode="#,##0">
                  <c:v>105.40530000000001</c:v>
                </c:pt>
              </c:numCache>
            </c:numRef>
          </c:val>
          <c:extLst>
            <c:ext xmlns:c16="http://schemas.microsoft.com/office/drawing/2014/chart" uri="{C3380CC4-5D6E-409C-BE32-E72D297353CC}">
              <c16:uniqueId val="{00000006-DE12-46F4-B72C-D9A9F1C1EAF7}"/>
            </c:ext>
          </c:extLst>
        </c:ser>
        <c:ser>
          <c:idx val="4"/>
          <c:order val="4"/>
          <c:tx>
            <c:strRef>
              <c:f>'Res w CL'!$C$67</c:f>
              <c:strCache>
                <c:ptCount val="1"/>
                <c:pt idx="0">
                  <c:v>Residual cost</c:v>
                </c:pt>
              </c:strCache>
            </c:strRef>
          </c:tx>
          <c:spPr>
            <a:solidFill>
              <a:schemeClr val="accent6">
                <a:lumMod val="20000"/>
                <a:lumOff val="80000"/>
              </a:schemeClr>
            </a:solidFill>
            <a:ln>
              <a:noFill/>
            </a:ln>
            <a:effectLst/>
          </c:spPr>
          <c:invertIfNegative val="0"/>
          <c:dLbls>
            <c:dLbl>
              <c:idx val="4"/>
              <c:tx>
                <c:strRef>
                  <c:f>'Res w CL'!$J$67</c:f>
                  <c:strCache>
                    <c:ptCount val="1"/>
                    <c:pt idx="0">
                      <c:v>+7.0</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{D5C242CA-4FEE-4690-B23F-F3344471A9C7}</c15:txfldGUID>
                      <c15:f>'Res w CL'!$J$67</c15:f>
                      <c15:dlblFieldTableCache>
                        <c:ptCount val="1"/>
                        <c:pt idx="0">
                          <c:v>+7.0</c:v>
                        </c:pt>
                      </c15:dlblFieldTableCache>
                    </c15:dlblFTEntry>
                  </c15:dlblFieldTable>
                  <c15:showDataLabelsRange val="0"/>
                </c:ext>
                <c:ext xmlns:c16="http://schemas.microsoft.com/office/drawing/2014/chart" uri="{C3380CC4-5D6E-409C-BE32-E72D297353CC}">
                  <c16:uniqueId val="{00000007-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CL'!$D$67:$I$67</c:f>
              <c:numCache>
                <c:formatCode>#,##0.0</c:formatCode>
                <c:ptCount val="6"/>
                <c:pt idx="0" formatCode="#,##0">
                  <c:v>377.6433340000001</c:v>
                </c:pt>
                <c:pt idx="4">
                  <c:v>6.9864016789997549</c:v>
                </c:pt>
                <c:pt idx="5" formatCode="#,##0">
                  <c:v>384.62973567899985</c:v>
                </c:pt>
              </c:numCache>
            </c:numRef>
          </c:val>
          <c:extLst>
            <c:ext xmlns:c16="http://schemas.microsoft.com/office/drawing/2014/chart" uri="{C3380CC4-5D6E-409C-BE32-E72D297353CC}">
              <c16:uniqueId val="{00000008-DE12-46F4-B72C-D9A9F1C1EAF7}"/>
            </c:ext>
          </c:extLst>
        </c:ser>
        <c:ser>
          <c:idx val="6"/>
          <c:order val="5"/>
          <c:tx>
            <c:strRef>
              <c:f>'Res w CL'!$C$68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CL'!$D$68:$I$68</c:f>
              <c:numCache>
                <c:formatCode>#,##0</c:formatCode>
                <c:ptCount val="6"/>
                <c:pt idx="0">
                  <c:v>1927</c:v>
                </c:pt>
                <c:pt idx="5">
                  <c:v>1779.6309366789999</c:v>
                </c:pt>
              </c:numCache>
            </c:numRef>
          </c:val>
          <c:extLst>
            <c:ext xmlns:c16="http://schemas.microsoft.com/office/drawing/2014/chart" uri="{C3380CC4-5D6E-409C-BE32-E72D297353CC}">
              <c16:uniqueId val="{00000009-DE12-46F4-B72C-D9A9F1C1EAF7}"/>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CL'!$A$69</c:f>
          <c:strCache>
            <c:ptCount val="1"/>
            <c:pt idx="0">
              <c:v>SAPN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CL'!$C$69</c:f>
              <c:strCache>
                <c:ptCount val="1"/>
                <c:pt idx="0">
                  <c:v>Base</c:v>
                </c:pt>
              </c:strCache>
            </c:strRef>
          </c:tx>
          <c:spPr>
            <a:noFill/>
            <a:ln>
              <a:noFill/>
            </a:ln>
            <a:effectLst/>
          </c:spPr>
          <c:invertIfNegative val="0"/>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CL'!$D$69:$I$69</c:f>
              <c:numCache>
                <c:formatCode>#,##0</c:formatCode>
                <c:ptCount val="6"/>
                <c:pt idx="0">
                  <c:v>0</c:v>
                </c:pt>
                <c:pt idx="1">
                  <c:v>2352.7350000000001</c:v>
                </c:pt>
                <c:pt idx="2">
                  <c:v>2295.1434000000004</c:v>
                </c:pt>
                <c:pt idx="3">
                  <c:v>2277.8514000000005</c:v>
                </c:pt>
                <c:pt idx="4">
                  <c:v>2277.8514000000005</c:v>
                </c:pt>
                <c:pt idx="5">
                  <c:v>0</c:v>
                </c:pt>
              </c:numCache>
            </c:numRef>
          </c:val>
          <c:extLst>
            <c:ext xmlns:c16="http://schemas.microsoft.com/office/drawing/2014/chart" uri="{C3380CC4-5D6E-409C-BE32-E72D297353CC}">
              <c16:uniqueId val="{00000000-515C-4694-AE3F-D18AFE486833}"/>
            </c:ext>
          </c:extLst>
        </c:ser>
        <c:ser>
          <c:idx val="1"/>
          <c:order val="1"/>
          <c:tx>
            <c:strRef>
              <c:f>'Res w CL'!$C$70</c:f>
              <c:strCache>
                <c:ptCount val="1"/>
                <c:pt idx="0">
                  <c:v>Network cost</c:v>
                </c:pt>
              </c:strCache>
            </c:strRef>
          </c:tx>
          <c:spPr>
            <a:solidFill>
              <a:schemeClr val="tx2">
                <a:lumMod val="40000"/>
                <a:lumOff val="60000"/>
              </a:schemeClr>
            </a:solidFill>
            <a:ln>
              <a:noFill/>
            </a:ln>
            <a:effectLst/>
          </c:spPr>
          <c:invertIfNegative val="0"/>
          <c:dLbls>
            <c:dLbl>
              <c:idx val="1"/>
              <c:tx>
                <c:strRef>
                  <c:f>'Res w CL'!$J$70</c:f>
                  <c:strCache>
                    <c:ptCount val="1"/>
                    <c:pt idx="0">
                      <c:v>-67.3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{9F494B10-C56F-4626-82C2-24D0D8F15705}</c15:txfldGUID>
                      <c15:f>'Res w CL'!$J$70</c15:f>
                      <c15:dlblFieldTableCache>
                        <c:ptCount val="1"/>
                        <c:pt idx="0">
                          <c:v>-67.3</c:v>
                        </c:pt>
                      </c15:dlblFieldTableCache>
                    </c15:dlblFTEntry>
                  </c15:dlblFieldTable>
                  <c15:showDataLabelsRange val="0"/>
                </c:ext>
                <c:ext xmlns:c16="http://schemas.microsoft.com/office/drawing/2014/chart" uri="{C3380CC4-5D6E-409C-BE32-E72D297353CC}">
                  <c16:uniqueId val="{00000001-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CL'!$D$70:$I$70</c:f>
              <c:numCache>
                <c:formatCode>#,##0.0</c:formatCode>
                <c:ptCount val="6"/>
                <c:pt idx="0" formatCode="#,##0">
                  <c:v>1057.0889999999999</c:v>
                </c:pt>
                <c:pt idx="1">
                  <c:v>67.264999999999873</c:v>
                </c:pt>
                <c:pt idx="5" formatCode="#,##0">
                  <c:v>989.82400000000007</c:v>
                </c:pt>
              </c:numCache>
            </c:numRef>
          </c:val>
          <c:extLst>
            <c:ext xmlns:c16="http://schemas.microsoft.com/office/drawing/2014/chart" uri="{C3380CC4-5D6E-409C-BE32-E72D297353CC}">
              <c16:uniqueId val="{00000002-515C-4694-AE3F-D18AFE486833}"/>
            </c:ext>
          </c:extLst>
        </c:ser>
        <c:ser>
          <c:idx val="2"/>
          <c:order val="2"/>
          <c:tx>
            <c:strRef>
              <c:f>'Res w CL'!$C$71</c:f>
              <c:strCache>
                <c:ptCount val="1"/>
                <c:pt idx="0">
                  <c:v>Wholesale cost</c:v>
                </c:pt>
              </c:strCache>
            </c:strRef>
          </c:tx>
          <c:spPr>
            <a:solidFill>
              <a:schemeClr val="accent2">
                <a:lumMod val="60000"/>
                <a:lumOff val="40000"/>
              </a:schemeClr>
            </a:solidFill>
            <a:ln>
              <a:noFill/>
            </a:ln>
            <a:effectLst/>
          </c:spPr>
          <c:invertIfNegative val="0"/>
          <c:dLbls>
            <c:dLbl>
              <c:idx val="2"/>
              <c:tx>
                <c:strRef>
                  <c:f>'Res w CL'!$J$71</c:f>
                  <c:strCache>
                    <c:ptCount val="1"/>
                    <c:pt idx="0">
                      <c:v>-57.6</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{4FF648B3-6108-4A6E-88C1-65211AD18B78}</c15:txfldGUID>
                      <c15:f>'Res w CL'!$J$71</c15:f>
                      <c15:dlblFieldTableCache>
                        <c:ptCount val="1"/>
                        <c:pt idx="0">
                          <c:v>-57.6</c:v>
                        </c:pt>
                      </c15:dlblFieldTableCache>
                    </c15:dlblFTEntry>
                  </c15:dlblFieldTable>
                  <c15:showDataLabelsRange val="0"/>
                </c:ext>
                <c:ext xmlns:c16="http://schemas.microsoft.com/office/drawing/2014/chart" uri="{C3380CC4-5D6E-409C-BE32-E72D297353CC}">
                  <c16:uniqueId val="{00000003-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CL'!$D$71:$I$71</c:f>
              <c:numCache>
                <c:formatCode>#,##0.0</c:formatCode>
                <c:ptCount val="6"/>
                <c:pt idx="0" formatCode="#,##0">
                  <c:v>975.7571999999999</c:v>
                </c:pt>
                <c:pt idx="2">
                  <c:v>57.591599999999858</c:v>
                </c:pt>
                <c:pt idx="5" formatCode="#,##0">
                  <c:v>918.16560000000004</c:v>
                </c:pt>
              </c:numCache>
            </c:numRef>
          </c:val>
          <c:extLst>
            <c:ext xmlns:c16="http://schemas.microsoft.com/office/drawing/2014/chart" uri="{C3380CC4-5D6E-409C-BE32-E72D297353CC}">
              <c16:uniqueId val="{00000004-515C-4694-AE3F-D18AFE486833}"/>
            </c:ext>
          </c:extLst>
        </c:ser>
        <c:ser>
          <c:idx val="3"/>
          <c:order val="3"/>
          <c:tx>
            <c:strRef>
              <c:f>'Res w CL'!$C$72</c:f>
              <c:strCache>
                <c:ptCount val="1"/>
                <c:pt idx="0">
                  <c:v>Environmental cost</c:v>
                </c:pt>
              </c:strCache>
            </c:strRef>
          </c:tx>
          <c:spPr>
            <a:solidFill>
              <a:srgbClr val="92D050"/>
            </a:solidFill>
            <a:ln>
              <a:noFill/>
            </a:ln>
            <a:effectLst/>
          </c:spPr>
          <c:invertIfNegative val="0"/>
          <c:dLbls>
            <c:dLbl>
              <c:idx val="3"/>
              <c:tx>
                <c:strRef>
                  <c:f>'Res w CL'!$J$72</c:f>
                  <c:strCache>
                    <c:ptCount val="1"/>
                    <c:pt idx="0">
                      <c:v>-17.3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{530F80FA-9E1A-44C2-AE37-FDE52A041CFB}</c15:txfldGUID>
                      <c15:f>'Res w CL'!$J$72</c15:f>
                      <c15:dlblFieldTableCache>
                        <c:ptCount val="1"/>
                        <c:pt idx="0">
                          <c:v>-17.3</c:v>
                        </c:pt>
                      </c15:dlblFieldTableCache>
                    </c15:dlblFTEntry>
                  </c15:dlblFieldTable>
                  <c15:showDataLabelsRange val="0"/>
                </c:ext>
                <c:ext xmlns:c16="http://schemas.microsoft.com/office/drawing/2014/chart" uri="{C3380CC4-5D6E-409C-BE32-E72D297353CC}">
                  <c16:uniqueId val="{00000005-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CL'!$D$72:$I$72</c:f>
              <c:numCache>
                <c:formatCode>#,##0.0</c:formatCode>
                <c:ptCount val="6"/>
                <c:pt idx="0" formatCode="#,##0">
                  <c:v>140.25</c:v>
                </c:pt>
                <c:pt idx="3">
                  <c:v>17.291999999999987</c:v>
                </c:pt>
                <c:pt idx="5" formatCode="#,##0">
                  <c:v>122.95800000000001</c:v>
                </c:pt>
              </c:numCache>
            </c:numRef>
          </c:val>
          <c:extLst>
            <c:ext xmlns:c16="http://schemas.microsoft.com/office/drawing/2014/chart" uri="{C3380CC4-5D6E-409C-BE32-E72D297353CC}">
              <c16:uniqueId val="{00000006-515C-4694-AE3F-D18AFE486833}"/>
            </c:ext>
          </c:extLst>
        </c:ser>
        <c:ser>
          <c:idx val="4"/>
          <c:order val="4"/>
          <c:tx>
            <c:strRef>
              <c:f>'Res w CL'!$C$73</c:f>
              <c:strCache>
                <c:ptCount val="1"/>
                <c:pt idx="0">
                  <c:v>Residual cost</c:v>
                </c:pt>
              </c:strCache>
            </c:strRef>
          </c:tx>
          <c:spPr>
            <a:solidFill>
              <a:schemeClr val="accent6">
                <a:lumMod val="20000"/>
                <a:lumOff val="80000"/>
              </a:schemeClr>
            </a:solidFill>
            <a:ln>
              <a:noFill/>
            </a:ln>
            <a:effectLst/>
          </c:spPr>
          <c:invertIfNegative val="0"/>
          <c:dLbls>
            <c:dLbl>
              <c:idx val="4"/>
              <c:tx>
                <c:strRef>
                  <c:f>'Res w CL'!$J$73</c:f>
                  <c:strCache>
                    <c:ptCount val="1"/>
                    <c:pt idx="0">
                      <c:v>+4.6</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{565CEF35-4191-4E81-9A18-932F215D76FE}</c15:txfldGUID>
                      <c15:f>'Res w CL'!$J$73</c15:f>
                      <c15:dlblFieldTableCache>
                        <c:ptCount val="1"/>
                        <c:pt idx="0">
                          <c:v>+4.6</c:v>
                        </c:pt>
                      </c15:dlblFieldTableCache>
                    </c15:dlblFTEntry>
                  </c15:dlblFieldTable>
                  <c15:showDataLabelsRange val="0"/>
                </c:ext>
                <c:ext xmlns:c16="http://schemas.microsoft.com/office/drawing/2014/chart" uri="{C3380CC4-5D6E-409C-BE32-E72D297353CC}">
                  <c16:uniqueId val="{00000007-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CL'!$D$73:$I$73</c:f>
              <c:numCache>
                <c:formatCode>#,##0.0</c:formatCode>
                <c:ptCount val="6"/>
                <c:pt idx="0" formatCode="#,##0">
                  <c:v>246.90380000000005</c:v>
                </c:pt>
                <c:pt idx="4">
                  <c:v>4.5677203000002464</c:v>
                </c:pt>
                <c:pt idx="5" formatCode="#,##0">
                  <c:v>251.47152030000029</c:v>
                </c:pt>
              </c:numCache>
            </c:numRef>
          </c:val>
          <c:extLst>
            <c:ext xmlns:c16="http://schemas.microsoft.com/office/drawing/2014/chart" uri="{C3380CC4-5D6E-409C-BE32-E72D297353CC}">
              <c16:uniqueId val="{00000008-515C-4694-AE3F-D18AFE486833}"/>
            </c:ext>
          </c:extLst>
        </c:ser>
        <c:ser>
          <c:idx val="6"/>
          <c:order val="5"/>
          <c:tx>
            <c:strRef>
              <c:f>'Res w CL'!$C$74</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CL'!$D$74:$I$74</c:f>
              <c:numCache>
                <c:formatCode>#,##0</c:formatCode>
                <c:ptCount val="6"/>
                <c:pt idx="0">
                  <c:v>2420</c:v>
                </c:pt>
                <c:pt idx="5">
                  <c:v>2282.4191203000005</c:v>
                </c:pt>
              </c:numCache>
            </c:numRef>
          </c:val>
          <c:extLst>
            <c:ext xmlns:c16="http://schemas.microsoft.com/office/drawing/2014/chart" uri="{C3380CC4-5D6E-409C-BE32-E72D297353CC}">
              <c16:uniqueId val="{00000009-515C-4694-AE3F-D18AFE486833}"/>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6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CL'!$A$45</c:f>
          <c:strCache>
            <c:ptCount val="1"/>
            <c:pt idx="0">
              <c:v>Ausgrid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CL'!$C$45</c:f>
              <c:strCache>
                <c:ptCount val="1"/>
                <c:pt idx="0">
                  <c:v>Base</c:v>
                </c:pt>
              </c:strCache>
            </c:strRef>
          </c:tx>
          <c:spPr>
            <a:noFill/>
            <a:ln>
              <a:noFill/>
            </a:ln>
            <a:effectLst/>
          </c:spPr>
          <c:invertIfNegative val="0"/>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CL'!$D$45:$I$45</c:f>
              <c:numCache>
                <c:formatCode>#,##0</c:formatCode>
                <c:ptCount val="6"/>
                <c:pt idx="0">
                  <c:v>0</c:v>
                </c:pt>
                <c:pt idx="1">
                  <c:v>7307.9609414999995</c:v>
                </c:pt>
                <c:pt idx="2">
                  <c:v>7307.9609414999995</c:v>
                </c:pt>
                <c:pt idx="3">
                  <c:v>7306.8609415000001</c:v>
                </c:pt>
                <c:pt idx="4">
                  <c:v>7306.8609415000001</c:v>
                </c:pt>
                <c:pt idx="5">
                  <c:v>0</c:v>
                </c:pt>
              </c:numCache>
            </c:numRef>
          </c:val>
          <c:extLst>
            <c:ext xmlns:c16="http://schemas.microsoft.com/office/drawing/2014/chart" uri="{C3380CC4-5D6E-409C-BE32-E72D297353CC}">
              <c16:uniqueId val="{00000000-F948-4BBA-97B0-65B78FDDDE39}"/>
            </c:ext>
          </c:extLst>
        </c:ser>
        <c:ser>
          <c:idx val="1"/>
          <c:order val="1"/>
          <c:tx>
            <c:strRef>
              <c:f>'SB wo CL'!$C$46</c:f>
              <c:strCache>
                <c:ptCount val="1"/>
                <c:pt idx="0">
                  <c:v>Network cost</c:v>
                </c:pt>
              </c:strCache>
            </c:strRef>
          </c:tx>
          <c:spPr>
            <a:solidFill>
              <a:schemeClr val="tx2">
                <a:lumMod val="40000"/>
                <a:lumOff val="60000"/>
              </a:schemeClr>
            </a:solidFill>
            <a:ln>
              <a:noFill/>
            </a:ln>
            <a:effectLst/>
          </c:spPr>
          <c:invertIfNegative val="0"/>
          <c:dLbls>
            <c:dLbl>
              <c:idx val="1"/>
              <c:tx>
                <c:strRef>
                  <c:f>'SB wo CL'!$J$46</c:f>
                  <c:strCache>
                    <c:ptCount val="1"/>
                    <c:pt idx="0">
                      <c:v>-63.0</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{5DD6732A-44E0-406B-8D8D-AB03086AA754}</c15:txfldGUID>
                      <c15:f>'SB wo CL'!$J$46</c15:f>
                      <c15:dlblFieldTableCache>
                        <c:ptCount val="1"/>
                        <c:pt idx="0">
                          <c:v>-63.0</c:v>
                        </c:pt>
                      </c15:dlblFieldTableCache>
                    </c15:dlblFTEntry>
                  </c15:dlblFieldTable>
                  <c15:showDataLabelsRange val="0"/>
                </c:ext>
                <c:ext xmlns:c16="http://schemas.microsoft.com/office/drawing/2014/chart" uri="{C3380CC4-5D6E-409C-BE32-E72D297353CC}">
                  <c16:uniqueId val="{00000001-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CL'!$D$46:$I$46</c:f>
              <c:numCache>
                <c:formatCode>#,##0.0</c:formatCode>
                <c:ptCount val="6"/>
                <c:pt idx="0" formatCode="#,##0">
                  <c:v>2274.7341649999998</c:v>
                </c:pt>
                <c:pt idx="1">
                  <c:v>63.03905850000001</c:v>
                </c:pt>
                <c:pt idx="5" formatCode="#,##0">
                  <c:v>2211.6951064999998</c:v>
                </c:pt>
              </c:numCache>
            </c:numRef>
          </c:val>
          <c:extLst>
            <c:ext xmlns:c16="http://schemas.microsoft.com/office/drawing/2014/chart" uri="{C3380CC4-5D6E-409C-BE32-E72D297353CC}">
              <c16:uniqueId val="{00000002-F948-4BBA-97B0-65B78FDDDE39}"/>
            </c:ext>
          </c:extLst>
        </c:ser>
        <c:ser>
          <c:idx val="2"/>
          <c:order val="2"/>
          <c:tx>
            <c:strRef>
              <c:f>'SB wo CL'!$C$47</c:f>
              <c:strCache>
                <c:ptCount val="1"/>
                <c:pt idx="0">
                  <c:v>Wholesale cost</c:v>
                </c:pt>
              </c:strCache>
            </c:strRef>
          </c:tx>
          <c:spPr>
            <a:solidFill>
              <a:schemeClr val="accent2">
                <a:lumMod val="60000"/>
                <a:lumOff val="40000"/>
              </a:schemeClr>
            </a:solidFill>
            <a:ln>
              <a:noFill/>
            </a:ln>
            <a:effectLst/>
          </c:spPr>
          <c:invertIfNegative val="0"/>
          <c:dLbls>
            <c:dLbl>
              <c:idx val="2"/>
              <c:tx>
                <c:strRef>
                  <c:f>'SB wo CL'!$J$47</c:f>
                  <c:strCache>
                    <c:ptCount val="1"/>
                    <c:pt idx="0">
                      <c:v>+46.6</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{2AA90740-0F75-4591-8993-7C3A736F6986}</c15:txfldGUID>
                      <c15:f>'SB wo CL'!$J$47</c15:f>
                      <c15:dlblFieldTableCache>
                        <c:ptCount val="1"/>
                        <c:pt idx="0">
                          <c:v>+46.6</c:v>
                        </c:pt>
                      </c15:dlblFieldTableCache>
                    </c15:dlblFTEntry>
                  </c15:dlblFieldTable>
                  <c15:showDataLabelsRange val="0"/>
                </c:ext>
                <c:ext xmlns:c16="http://schemas.microsoft.com/office/drawing/2014/chart" uri="{C3380CC4-5D6E-409C-BE32-E72D297353CC}">
                  <c16:uniqueId val="{00000003-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CL'!$D$47:$I$47</c:f>
              <c:numCache>
                <c:formatCode>#,##0.0</c:formatCode>
                <c:ptCount val="6"/>
                <c:pt idx="0" formatCode="#,##0">
                  <c:v>2449.9199999999996</c:v>
                </c:pt>
                <c:pt idx="2">
                  <c:v>46.640000000000327</c:v>
                </c:pt>
                <c:pt idx="5" formatCode="#,##0">
                  <c:v>2496.56</c:v>
                </c:pt>
              </c:numCache>
            </c:numRef>
          </c:val>
          <c:extLst>
            <c:ext xmlns:c16="http://schemas.microsoft.com/office/drawing/2014/chart" uri="{C3380CC4-5D6E-409C-BE32-E72D297353CC}">
              <c16:uniqueId val="{00000004-F948-4BBA-97B0-65B78FDDDE39}"/>
            </c:ext>
          </c:extLst>
        </c:ser>
        <c:ser>
          <c:idx val="3"/>
          <c:order val="3"/>
          <c:tx>
            <c:strRef>
              <c:f>'SB wo CL'!$C$48</c:f>
              <c:strCache>
                <c:ptCount val="1"/>
                <c:pt idx="0">
                  <c:v>Environmental cost</c:v>
                </c:pt>
              </c:strCache>
            </c:strRef>
          </c:tx>
          <c:spPr>
            <a:solidFill>
              <a:srgbClr val="92D050"/>
            </a:solidFill>
            <a:ln>
              <a:noFill/>
            </a:ln>
            <a:effectLst/>
          </c:spPr>
          <c:invertIfNegative val="0"/>
          <c:dLbls>
            <c:dLbl>
              <c:idx val="3"/>
              <c:tx>
                <c:strRef>
                  <c:f>'SB wo CL'!$J$48</c:f>
                  <c:strCache>
                    <c:ptCount val="1"/>
                    <c:pt idx="0">
                      <c:v>-47.7</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{31D2F792-24F7-4D3D-B8FC-BE21A081FBDE}</c15:txfldGUID>
                      <c15:f>'SB wo CL'!$J$48</c15:f>
                      <c15:dlblFieldTableCache>
                        <c:ptCount val="1"/>
                        <c:pt idx="0">
                          <c:v>-47.7</c:v>
                        </c:pt>
                      </c15:dlblFieldTableCache>
                    </c15:dlblFTEntry>
                  </c15:dlblFieldTable>
                  <c15:showDataLabelsRange val="0"/>
                </c:ext>
                <c:ext xmlns:c16="http://schemas.microsoft.com/office/drawing/2014/chart" uri="{C3380CC4-5D6E-409C-BE32-E72D297353CC}">
                  <c16:uniqueId val="{00000005-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CL'!$D$48:$I$48</c:f>
              <c:numCache>
                <c:formatCode>#,##0.0</c:formatCode>
                <c:ptCount val="6"/>
                <c:pt idx="0" formatCode="#,##0">
                  <c:v>425.48</c:v>
                </c:pt>
                <c:pt idx="3">
                  <c:v>47.740000000000009</c:v>
                </c:pt>
                <c:pt idx="5" formatCode="#,##0">
                  <c:v>377.74</c:v>
                </c:pt>
              </c:numCache>
            </c:numRef>
          </c:val>
          <c:extLst>
            <c:ext xmlns:c16="http://schemas.microsoft.com/office/drawing/2014/chart" uri="{C3380CC4-5D6E-409C-BE32-E72D297353CC}">
              <c16:uniqueId val="{00000006-F948-4BBA-97B0-65B78FDDDE39}"/>
            </c:ext>
          </c:extLst>
        </c:ser>
        <c:ser>
          <c:idx val="4"/>
          <c:order val="4"/>
          <c:tx>
            <c:strRef>
              <c:f>'SB wo CL'!$C$49</c:f>
              <c:strCache>
                <c:ptCount val="1"/>
                <c:pt idx="0">
                  <c:v>Residual cost</c:v>
                </c:pt>
              </c:strCache>
            </c:strRef>
          </c:tx>
          <c:spPr>
            <a:solidFill>
              <a:schemeClr val="accent6">
                <a:lumMod val="20000"/>
                <a:lumOff val="80000"/>
              </a:schemeClr>
            </a:solidFill>
            <a:ln>
              <a:noFill/>
            </a:ln>
            <a:effectLst/>
          </c:spPr>
          <c:invertIfNegative val="0"/>
          <c:dLbls>
            <c:dLbl>
              <c:idx val="4"/>
              <c:tx>
                <c:strRef>
                  <c:f>'SB wo CL'!$J$49</c:f>
                  <c:strCache>
                    <c:ptCount val="1"/>
                    <c:pt idx="0">
                      <c:v>+41.1</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{88423768-B5A4-4F1B-A843-8965333B884C}</c15:txfldGUID>
                      <c15:f>'SB wo CL'!$J$49</c15:f>
                      <c15:dlblFieldTableCache>
                        <c:ptCount val="1"/>
                        <c:pt idx="0">
                          <c:v>+41.1</c:v>
                        </c:pt>
                      </c15:dlblFieldTableCache>
                    </c15:dlblFTEntry>
                  </c15:dlblFieldTable>
                  <c15:showDataLabelsRange val="0"/>
                </c:ext>
                <c:ext xmlns:c16="http://schemas.microsoft.com/office/drawing/2014/chart" uri="{C3380CC4-5D6E-409C-BE32-E72D297353CC}">
                  <c16:uniqueId val="{00000007-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CL'!$D$49:$I$49</c:f>
              <c:numCache>
                <c:formatCode>#,##0.0</c:formatCode>
                <c:ptCount val="6"/>
                <c:pt idx="0" formatCode="#,##0">
                  <c:v>2220.8658350000005</c:v>
                </c:pt>
                <c:pt idx="4">
                  <c:v>41.086017947500295</c:v>
                </c:pt>
                <c:pt idx="5" formatCode="#,##0">
                  <c:v>2261.9518529475008</c:v>
                </c:pt>
              </c:numCache>
            </c:numRef>
          </c:val>
          <c:extLst>
            <c:ext xmlns:c16="http://schemas.microsoft.com/office/drawing/2014/chart" uri="{C3380CC4-5D6E-409C-BE32-E72D297353CC}">
              <c16:uniqueId val="{00000008-F948-4BBA-97B0-65B78FDDDE39}"/>
            </c:ext>
          </c:extLst>
        </c:ser>
        <c:ser>
          <c:idx val="6"/>
          <c:order val="5"/>
          <c:tx>
            <c:strRef>
              <c:f>'SB wo CL'!$C$50</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CL'!$D$50:$I$50</c:f>
              <c:numCache>
                <c:formatCode>#,##0</c:formatCode>
                <c:ptCount val="6"/>
                <c:pt idx="0">
                  <c:v>7371</c:v>
                </c:pt>
                <c:pt idx="5">
                  <c:v>7347.9469594475004</c:v>
                </c:pt>
              </c:numCache>
            </c:numRef>
          </c:val>
          <c:extLst>
            <c:ext xmlns:c16="http://schemas.microsoft.com/office/drawing/2014/chart" uri="{C3380CC4-5D6E-409C-BE32-E72D297353CC}">
              <c16:uniqueId val="{00000009-F948-4BBA-97B0-65B78FDDDE39}"/>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8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CL'!$A$51</c:f>
          <c:strCache>
            <c:ptCount val="1"/>
            <c:pt idx="0">
              <c:v>Endeavour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CL'!$C$51</c:f>
              <c:strCache>
                <c:ptCount val="1"/>
                <c:pt idx="0">
                  <c:v>Base</c:v>
                </c:pt>
              </c:strCache>
            </c:strRef>
          </c:tx>
          <c:spPr>
            <a:noFill/>
            <a:ln>
              <a:noFill/>
            </a:ln>
            <a:effectLst/>
          </c:spPr>
          <c:invertIfNegative val="0"/>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CL'!$D$51:$I$51</c:f>
              <c:numCache>
                <c:formatCode>#,##0</c:formatCode>
                <c:ptCount val="6"/>
                <c:pt idx="0">
                  <c:v>0</c:v>
                </c:pt>
                <c:pt idx="1">
                  <c:v>6173.4277000000002</c:v>
                </c:pt>
                <c:pt idx="2">
                  <c:v>6173.4277000000002</c:v>
                </c:pt>
                <c:pt idx="3">
                  <c:v>6227.3277000000007</c:v>
                </c:pt>
                <c:pt idx="4">
                  <c:v>6227.3277000000007</c:v>
                </c:pt>
                <c:pt idx="5">
                  <c:v>0</c:v>
                </c:pt>
              </c:numCache>
            </c:numRef>
          </c:val>
          <c:extLst>
            <c:ext xmlns:c16="http://schemas.microsoft.com/office/drawing/2014/chart" uri="{C3380CC4-5D6E-409C-BE32-E72D297353CC}">
              <c16:uniqueId val="{00000000-F023-4F12-9CC7-4FBE2ABD70B3}"/>
            </c:ext>
          </c:extLst>
        </c:ser>
        <c:ser>
          <c:idx val="1"/>
          <c:order val="1"/>
          <c:tx>
            <c:strRef>
              <c:f>'SB wo CL'!$C$52</c:f>
              <c:strCache>
                <c:ptCount val="1"/>
                <c:pt idx="0">
                  <c:v>Network cost</c:v>
                </c:pt>
              </c:strCache>
            </c:strRef>
          </c:tx>
          <c:spPr>
            <a:solidFill>
              <a:schemeClr val="tx2">
                <a:lumMod val="40000"/>
                <a:lumOff val="60000"/>
              </a:schemeClr>
            </a:solidFill>
            <a:ln>
              <a:noFill/>
            </a:ln>
            <a:effectLst/>
          </c:spPr>
          <c:invertIfNegative val="0"/>
          <c:dLbls>
            <c:dLbl>
              <c:idx val="1"/>
              <c:tx>
                <c:strRef>
                  <c:f>'SB wo CL'!$J$52</c:f>
                  <c:strCache>
                    <c:ptCount val="1"/>
                    <c:pt idx="0">
                      <c:v>-30.6</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{64BACD57-47BF-4F9D-B261-32F1FF4AC5D9}</c15:txfldGUID>
                      <c15:f>'SB wo CL'!$J$52</c15:f>
                      <c15:dlblFieldTableCache>
                        <c:ptCount val="1"/>
                        <c:pt idx="0">
                          <c:v>-30.6</c:v>
                        </c:pt>
                      </c15:dlblFieldTableCache>
                    </c15:dlblFTEntry>
                  </c15:dlblFieldTable>
                  <c15:showDataLabelsRange val="0"/>
                </c:ext>
                <c:ext xmlns:c16="http://schemas.microsoft.com/office/drawing/2014/chart" uri="{C3380CC4-5D6E-409C-BE32-E72D297353CC}">
                  <c16:uniqueId val="{00000001-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CL'!$D$52:$I$52</c:f>
              <c:numCache>
                <c:formatCode>#,##0.0</c:formatCode>
                <c:ptCount val="6"/>
                <c:pt idx="0" formatCode="#,##0">
                  <c:v>2136.8842</c:v>
                </c:pt>
                <c:pt idx="1">
                  <c:v>30.572299999999814</c:v>
                </c:pt>
                <c:pt idx="5" formatCode="#,##0">
                  <c:v>2106.3119000000002</c:v>
                </c:pt>
              </c:numCache>
            </c:numRef>
          </c:val>
          <c:extLst>
            <c:ext xmlns:c16="http://schemas.microsoft.com/office/drawing/2014/chart" uri="{C3380CC4-5D6E-409C-BE32-E72D297353CC}">
              <c16:uniqueId val="{00000002-F023-4F12-9CC7-4FBE2ABD70B3}"/>
            </c:ext>
          </c:extLst>
        </c:ser>
        <c:ser>
          <c:idx val="2"/>
          <c:order val="2"/>
          <c:tx>
            <c:strRef>
              <c:f>'SB wo CL'!$C$53</c:f>
              <c:strCache>
                <c:ptCount val="1"/>
                <c:pt idx="0">
                  <c:v>Wholesale cost</c:v>
                </c:pt>
              </c:strCache>
            </c:strRef>
          </c:tx>
          <c:spPr>
            <a:solidFill>
              <a:schemeClr val="accent2">
                <a:lumMod val="60000"/>
                <a:lumOff val="40000"/>
              </a:schemeClr>
            </a:solidFill>
            <a:ln>
              <a:noFill/>
            </a:ln>
            <a:effectLst/>
          </c:spPr>
          <c:invertIfNegative val="0"/>
          <c:dLbls>
            <c:dLbl>
              <c:idx val="2"/>
              <c:tx>
                <c:strRef>
                  <c:f>'SB wo CL'!$J$53</c:f>
                  <c:strCache>
                    <c:ptCount val="1"/>
                    <c:pt idx="0">
                      <c:v>+103.6</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{D755A80D-3B5C-4C5B-8F57-67EAA0B9197F}</c15:txfldGUID>
                      <c15:f>'SB wo CL'!$J$53</c15:f>
                      <c15:dlblFieldTableCache>
                        <c:ptCount val="1"/>
                        <c:pt idx="0">
                          <c:v>+103.6</c:v>
                        </c:pt>
                      </c15:dlblFieldTableCache>
                    </c15:dlblFTEntry>
                  </c15:dlblFieldTable>
                  <c15:showDataLabelsRange val="0"/>
                </c:ext>
                <c:ext xmlns:c16="http://schemas.microsoft.com/office/drawing/2014/chart" uri="{C3380CC4-5D6E-409C-BE32-E72D297353CC}">
                  <c16:uniqueId val="{00000003-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CL'!$D$53:$I$53</c:f>
              <c:numCache>
                <c:formatCode>#,##0.0</c:formatCode>
                <c:ptCount val="6"/>
                <c:pt idx="0" formatCode="#,##0">
                  <c:v>2389.4199999999996</c:v>
                </c:pt>
                <c:pt idx="2">
                  <c:v>103.62000000000035</c:v>
                </c:pt>
                <c:pt idx="5" formatCode="#,##0">
                  <c:v>2493.04</c:v>
                </c:pt>
              </c:numCache>
            </c:numRef>
          </c:val>
          <c:extLst>
            <c:ext xmlns:c16="http://schemas.microsoft.com/office/drawing/2014/chart" uri="{C3380CC4-5D6E-409C-BE32-E72D297353CC}">
              <c16:uniqueId val="{00000004-F023-4F12-9CC7-4FBE2ABD70B3}"/>
            </c:ext>
          </c:extLst>
        </c:ser>
        <c:ser>
          <c:idx val="3"/>
          <c:order val="3"/>
          <c:tx>
            <c:strRef>
              <c:f>'SB wo CL'!$C$54</c:f>
              <c:strCache>
                <c:ptCount val="1"/>
                <c:pt idx="0">
                  <c:v>Environmental cost</c:v>
                </c:pt>
              </c:strCache>
            </c:strRef>
          </c:tx>
          <c:spPr>
            <a:solidFill>
              <a:srgbClr val="92D050"/>
            </a:solidFill>
            <a:ln>
              <a:noFill/>
            </a:ln>
            <a:effectLst/>
          </c:spPr>
          <c:invertIfNegative val="0"/>
          <c:dLbls>
            <c:dLbl>
              <c:idx val="3"/>
              <c:tx>
                <c:strRef>
                  <c:f>'SB wo CL'!$J$54</c:f>
                  <c:strCache>
                    <c:ptCount val="1"/>
                    <c:pt idx="0">
                      <c:v>-49.7</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{F5F88CEC-726F-4D6D-9EBB-354AA78A1903}</c15:txfldGUID>
                      <c15:f>'SB wo CL'!$J$54</c15:f>
                      <c15:dlblFieldTableCache>
                        <c:ptCount val="1"/>
                        <c:pt idx="0">
                          <c:v>-49.7</c:v>
                        </c:pt>
                      </c15:dlblFieldTableCache>
                    </c15:dlblFTEntry>
                  </c15:dlblFieldTable>
                  <c15:showDataLabelsRange val="0"/>
                </c:ext>
                <c:ext xmlns:c16="http://schemas.microsoft.com/office/drawing/2014/chart" uri="{C3380CC4-5D6E-409C-BE32-E72D297353CC}">
                  <c16:uniqueId val="{00000005-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CL'!$D$54:$I$54</c:f>
              <c:numCache>
                <c:formatCode>#,##0.0</c:formatCode>
                <c:ptCount val="6"/>
                <c:pt idx="0" formatCode="#,##0">
                  <c:v>427.9</c:v>
                </c:pt>
                <c:pt idx="3">
                  <c:v>49.71999999999997</c:v>
                </c:pt>
                <c:pt idx="5" formatCode="#,##0">
                  <c:v>378.18</c:v>
                </c:pt>
              </c:numCache>
            </c:numRef>
          </c:val>
          <c:extLst>
            <c:ext xmlns:c16="http://schemas.microsoft.com/office/drawing/2014/chart" uri="{C3380CC4-5D6E-409C-BE32-E72D297353CC}">
              <c16:uniqueId val="{00000006-F023-4F12-9CC7-4FBE2ABD70B3}"/>
            </c:ext>
          </c:extLst>
        </c:ser>
        <c:ser>
          <c:idx val="4"/>
          <c:order val="4"/>
          <c:tx>
            <c:strRef>
              <c:f>'SB wo CL'!$C$55</c:f>
              <c:strCache>
                <c:ptCount val="1"/>
                <c:pt idx="0">
                  <c:v>Residual cost</c:v>
                </c:pt>
              </c:strCache>
            </c:strRef>
          </c:tx>
          <c:spPr>
            <a:solidFill>
              <a:schemeClr val="accent6">
                <a:lumMod val="20000"/>
                <a:lumOff val="80000"/>
              </a:schemeClr>
            </a:solidFill>
            <a:ln>
              <a:noFill/>
            </a:ln>
            <a:effectLst/>
          </c:spPr>
          <c:invertIfNegative val="0"/>
          <c:dLbls>
            <c:dLbl>
              <c:idx val="4"/>
              <c:tx>
                <c:strRef>
                  <c:f>'SB wo CL'!$J$55</c:f>
                  <c:strCache>
                    <c:ptCount val="1"/>
                    <c:pt idx="0">
                      <c:v>+23.1</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{E866C324-2319-41FF-A324-B791F538B3A3}</c15:txfldGUID>
                      <c15:f>'SB wo CL'!$J$55</c15:f>
                      <c15:dlblFieldTableCache>
                        <c:ptCount val="1"/>
                        <c:pt idx="0">
                          <c:v>+23.1</c:v>
                        </c:pt>
                      </c15:dlblFieldTableCache>
                    </c15:dlblFTEntry>
                  </c15:dlblFieldTable>
                  <c15:showDataLabelsRange val="0"/>
                </c:ext>
                <c:ext xmlns:c16="http://schemas.microsoft.com/office/drawing/2014/chart" uri="{C3380CC4-5D6E-409C-BE32-E72D297353CC}">
                  <c16:uniqueId val="{00000007-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CL'!$D$55:$I$55</c:f>
              <c:numCache>
                <c:formatCode>#,##0.0</c:formatCode>
                <c:ptCount val="6"/>
                <c:pt idx="0" formatCode="#,##0">
                  <c:v>1249.7958000000008</c:v>
                </c:pt>
                <c:pt idx="4">
                  <c:v>23.121222300000227</c:v>
                </c:pt>
                <c:pt idx="5" formatCode="#,##0">
                  <c:v>1272.917022300001</c:v>
                </c:pt>
              </c:numCache>
            </c:numRef>
          </c:val>
          <c:extLst>
            <c:ext xmlns:c16="http://schemas.microsoft.com/office/drawing/2014/chart" uri="{C3380CC4-5D6E-409C-BE32-E72D297353CC}">
              <c16:uniqueId val="{00000008-F023-4F12-9CC7-4FBE2ABD70B3}"/>
            </c:ext>
          </c:extLst>
        </c:ser>
        <c:ser>
          <c:idx val="6"/>
          <c:order val="5"/>
          <c:tx>
            <c:strRef>
              <c:f>'SB wo CL'!$C$56</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CL'!$D$56:$I$56</c:f>
              <c:numCache>
                <c:formatCode>#,##0</c:formatCode>
                <c:ptCount val="6"/>
                <c:pt idx="0">
                  <c:v>6204</c:v>
                </c:pt>
                <c:pt idx="5">
                  <c:v>6250.448922300001</c:v>
                </c:pt>
              </c:numCache>
            </c:numRef>
          </c:val>
          <c:extLst>
            <c:ext xmlns:c16="http://schemas.microsoft.com/office/drawing/2014/chart" uri="{C3380CC4-5D6E-409C-BE32-E72D297353CC}">
              <c16:uniqueId val="{00000009-F023-4F12-9CC7-4FBE2ABD70B3}"/>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7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CL'!$A$57</c:f>
          <c:strCache>
            <c:ptCount val="1"/>
            <c:pt idx="0">
              <c:v>Essential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CL'!$C$57</c:f>
              <c:strCache>
                <c:ptCount val="1"/>
                <c:pt idx="0">
                  <c:v>Base</c:v>
                </c:pt>
              </c:strCache>
            </c:strRef>
          </c:tx>
          <c:spPr>
            <a:noFill/>
            <a:ln>
              <a:noFill/>
            </a:ln>
            <a:effectLst/>
          </c:spPr>
          <c:invertIfNegative val="0"/>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CL'!$D$57:$I$57</c:f>
              <c:numCache>
                <c:formatCode>#,##0</c:formatCode>
                <c:ptCount val="6"/>
                <c:pt idx="0">
                  <c:v>0</c:v>
                </c:pt>
                <c:pt idx="1">
                  <c:v>8045</c:v>
                </c:pt>
                <c:pt idx="2">
                  <c:v>8052.2028</c:v>
                </c:pt>
                <c:pt idx="3">
                  <c:v>8046.9228000000003</c:v>
                </c:pt>
                <c:pt idx="4">
                  <c:v>8046.9228000000003</c:v>
                </c:pt>
                <c:pt idx="5">
                  <c:v>0</c:v>
                </c:pt>
              </c:numCache>
            </c:numRef>
          </c:val>
          <c:extLst>
            <c:ext xmlns:c16="http://schemas.microsoft.com/office/drawing/2014/chart" uri="{C3380CC4-5D6E-409C-BE32-E72D297353CC}">
              <c16:uniqueId val="{00000000-7C24-445E-9F2C-7B04B13884EE}"/>
            </c:ext>
          </c:extLst>
        </c:ser>
        <c:ser>
          <c:idx val="1"/>
          <c:order val="1"/>
          <c:tx>
            <c:strRef>
              <c:f>'SB wo CL'!$C$58</c:f>
              <c:strCache>
                <c:ptCount val="1"/>
                <c:pt idx="0">
                  <c:v>Network cost</c:v>
                </c:pt>
              </c:strCache>
            </c:strRef>
          </c:tx>
          <c:spPr>
            <a:solidFill>
              <a:schemeClr val="tx2">
                <a:lumMod val="40000"/>
                <a:lumOff val="60000"/>
              </a:schemeClr>
            </a:solidFill>
            <a:ln>
              <a:noFill/>
            </a:ln>
            <a:effectLst/>
          </c:spPr>
          <c:invertIfNegative val="0"/>
          <c:dLbls>
            <c:dLbl>
              <c:idx val="1"/>
              <c:tx>
                <c:strRef>
                  <c:f>'SB wo CL'!$J$58</c:f>
                  <c:strCache>
                    <c:ptCount val="1"/>
                    <c:pt idx="0">
                      <c:v>+7.2</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{7EEEB27D-8B83-41E1-B7E9-B4AB460887C8}</c15:txfldGUID>
                      <c15:f>'SB wo CL'!$J$58</c15:f>
                      <c15:dlblFieldTableCache>
                        <c:ptCount val="1"/>
                        <c:pt idx="0">
                          <c:v>+7.2</c:v>
                        </c:pt>
                      </c15:dlblFieldTableCache>
                    </c15:dlblFTEntry>
                  </c15:dlblFieldTable>
                  <c15:showDataLabelsRange val="0"/>
                </c:ext>
                <c:ext xmlns:c16="http://schemas.microsoft.com/office/drawing/2014/chart" uri="{C3380CC4-5D6E-409C-BE32-E72D297353CC}">
                  <c16:uniqueId val="{00000001-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CL'!$D$58:$I$58</c:f>
              <c:numCache>
                <c:formatCode>#,##0.0</c:formatCode>
                <c:ptCount val="6"/>
                <c:pt idx="0" formatCode="#,##0">
                  <c:v>3504.2235250000003</c:v>
                </c:pt>
                <c:pt idx="1">
                  <c:v>7.2028000000000247</c:v>
                </c:pt>
                <c:pt idx="5" formatCode="#,##0">
                  <c:v>3511.4263250000004</c:v>
                </c:pt>
              </c:numCache>
            </c:numRef>
          </c:val>
          <c:extLst>
            <c:ext xmlns:c16="http://schemas.microsoft.com/office/drawing/2014/chart" uri="{C3380CC4-5D6E-409C-BE32-E72D297353CC}">
              <c16:uniqueId val="{00000002-7C24-445E-9F2C-7B04B13884EE}"/>
            </c:ext>
          </c:extLst>
        </c:ser>
        <c:ser>
          <c:idx val="2"/>
          <c:order val="2"/>
          <c:tx>
            <c:strRef>
              <c:f>'SB wo CL'!$C$59</c:f>
              <c:strCache>
                <c:ptCount val="1"/>
                <c:pt idx="0">
                  <c:v>Wholesale cost</c:v>
                </c:pt>
              </c:strCache>
            </c:strRef>
          </c:tx>
          <c:spPr>
            <a:solidFill>
              <a:schemeClr val="accent2">
                <a:lumMod val="60000"/>
                <a:lumOff val="40000"/>
              </a:schemeClr>
            </a:solidFill>
            <a:ln>
              <a:noFill/>
            </a:ln>
            <a:effectLst/>
          </c:spPr>
          <c:invertIfNegative val="0"/>
          <c:dLbls>
            <c:dLbl>
              <c:idx val="2"/>
              <c:tx>
                <c:strRef>
                  <c:f>'SB wo CL'!$J$59</c:f>
                  <c:strCache>
                    <c:ptCount val="1"/>
                    <c:pt idx="0">
                      <c:v>+46.2</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{7F276D86-9FBE-4CE7-9728-A97466EE04F6}</c15:txfldGUID>
                      <c15:f>'SB wo CL'!$J$59</c15:f>
                      <c15:dlblFieldTableCache>
                        <c:ptCount val="1"/>
                        <c:pt idx="0">
                          <c:v>+46.2</c:v>
                        </c:pt>
                      </c15:dlblFieldTableCache>
                    </c15:dlblFTEntry>
                  </c15:dlblFieldTable>
                  <c15:showDataLabelsRange val="0"/>
                </c:ext>
                <c:ext xmlns:c16="http://schemas.microsoft.com/office/drawing/2014/chart" uri="{C3380CC4-5D6E-409C-BE32-E72D297353CC}">
                  <c16:uniqueId val="{00000003-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CL'!$D$59:$I$59</c:f>
              <c:numCache>
                <c:formatCode>#,##0.0</c:formatCode>
                <c:ptCount val="6"/>
                <c:pt idx="0" formatCode="#,##0">
                  <c:v>2269.7400000000002</c:v>
                </c:pt>
                <c:pt idx="2">
                  <c:v>46.199999999999818</c:v>
                </c:pt>
                <c:pt idx="5" formatCode="#,##0">
                  <c:v>2315.94</c:v>
                </c:pt>
              </c:numCache>
            </c:numRef>
          </c:val>
          <c:extLst>
            <c:ext xmlns:c16="http://schemas.microsoft.com/office/drawing/2014/chart" uri="{C3380CC4-5D6E-409C-BE32-E72D297353CC}">
              <c16:uniqueId val="{00000004-7C24-445E-9F2C-7B04B13884EE}"/>
            </c:ext>
          </c:extLst>
        </c:ser>
        <c:ser>
          <c:idx val="3"/>
          <c:order val="3"/>
          <c:tx>
            <c:strRef>
              <c:f>'SB wo CL'!$C$60</c:f>
              <c:strCache>
                <c:ptCount val="1"/>
                <c:pt idx="0">
                  <c:v>Environmental cost</c:v>
                </c:pt>
              </c:strCache>
            </c:strRef>
          </c:tx>
          <c:spPr>
            <a:solidFill>
              <a:srgbClr val="92D050"/>
            </a:solidFill>
            <a:ln>
              <a:noFill/>
            </a:ln>
            <a:effectLst/>
          </c:spPr>
          <c:invertIfNegative val="0"/>
          <c:dLbls>
            <c:dLbl>
              <c:idx val="3"/>
              <c:tx>
                <c:strRef>
                  <c:f>'SB wo CL'!$J$60</c:f>
                  <c:strCache>
                    <c:ptCount val="1"/>
                    <c:pt idx="0">
                      <c:v>-51.5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{B38034FE-0E0B-4A75-9E04-DD3CC616ABCD}</c15:txfldGUID>
                      <c15:f>'SB wo CL'!$J$60</c15:f>
                      <c15:dlblFieldTableCache>
                        <c:ptCount val="1"/>
                        <c:pt idx="0">
                          <c:v>-51.5</c:v>
                        </c:pt>
                      </c15:dlblFieldTableCache>
                    </c15:dlblFTEntry>
                  </c15:dlblFieldTable>
                  <c15:showDataLabelsRange val="0"/>
                </c:ext>
                <c:ext xmlns:c16="http://schemas.microsoft.com/office/drawing/2014/chart" uri="{C3380CC4-5D6E-409C-BE32-E72D297353CC}">
                  <c16:uniqueId val="{00000005-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CL'!$D$60:$I$60</c:f>
              <c:numCache>
                <c:formatCode>#,##0.0</c:formatCode>
                <c:ptCount val="6"/>
                <c:pt idx="0" formatCode="#,##0">
                  <c:v>429.22</c:v>
                </c:pt>
                <c:pt idx="3">
                  <c:v>51.480000000000018</c:v>
                </c:pt>
                <c:pt idx="5" formatCode="#,##0">
                  <c:v>377.74</c:v>
                </c:pt>
              </c:numCache>
            </c:numRef>
          </c:val>
          <c:extLst>
            <c:ext xmlns:c16="http://schemas.microsoft.com/office/drawing/2014/chart" uri="{C3380CC4-5D6E-409C-BE32-E72D297353CC}">
              <c16:uniqueId val="{00000006-7C24-445E-9F2C-7B04B13884EE}"/>
            </c:ext>
          </c:extLst>
        </c:ser>
        <c:ser>
          <c:idx val="4"/>
          <c:order val="4"/>
          <c:tx>
            <c:strRef>
              <c:f>'SB wo CL'!$C$61</c:f>
              <c:strCache>
                <c:ptCount val="1"/>
                <c:pt idx="0">
                  <c:v>Residual cost</c:v>
                </c:pt>
              </c:strCache>
            </c:strRef>
          </c:tx>
          <c:spPr>
            <a:solidFill>
              <a:schemeClr val="accent6">
                <a:lumMod val="20000"/>
                <a:lumOff val="80000"/>
              </a:schemeClr>
            </a:solidFill>
            <a:ln>
              <a:noFill/>
            </a:ln>
            <a:effectLst/>
          </c:spPr>
          <c:invertIfNegative val="0"/>
          <c:dLbls>
            <c:dLbl>
              <c:idx val="4"/>
              <c:tx>
                <c:strRef>
                  <c:f>'SB wo CL'!$J$61</c:f>
                  <c:strCache>
                    <c:ptCount val="1"/>
                    <c:pt idx="0">
                      <c:v>+34.1</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{5D6711C2-60BC-4102-A345-A2B87C037F49}</c15:txfldGUID>
                      <c15:f>'SB wo CL'!$J$61</c15:f>
                      <c15:dlblFieldTableCache>
                        <c:ptCount val="1"/>
                        <c:pt idx="0">
                          <c:v>+34.1</c:v>
                        </c:pt>
                      </c15:dlblFieldTableCache>
                    </c15:dlblFTEntry>
                  </c15:dlblFieldTable>
                  <c15:showDataLabelsRange val="0"/>
                </c:ext>
                <c:ext xmlns:c16="http://schemas.microsoft.com/office/drawing/2014/chart" uri="{C3380CC4-5D6E-409C-BE32-E72D297353CC}">
                  <c16:uniqueId val="{00000007-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CL'!$D$61:$I$61</c:f>
              <c:numCache>
                <c:formatCode>#,##0.0</c:formatCode>
                <c:ptCount val="6"/>
                <c:pt idx="0" formatCode="#,##0">
                  <c:v>1841.8164749999987</c:v>
                </c:pt>
                <c:pt idx="4">
                  <c:v>34.073604787499789</c:v>
                </c:pt>
                <c:pt idx="5" formatCode="#,##0">
                  <c:v>1875.8900797874985</c:v>
                </c:pt>
              </c:numCache>
            </c:numRef>
          </c:val>
          <c:extLst>
            <c:ext xmlns:c16="http://schemas.microsoft.com/office/drawing/2014/chart" uri="{C3380CC4-5D6E-409C-BE32-E72D297353CC}">
              <c16:uniqueId val="{00000008-7C24-445E-9F2C-7B04B13884EE}"/>
            </c:ext>
          </c:extLst>
        </c:ser>
        <c:ser>
          <c:idx val="6"/>
          <c:order val="5"/>
          <c:tx>
            <c:strRef>
              <c:f>'SB wo CL'!$C$62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CL'!$D$62:$I$62</c:f>
              <c:numCache>
                <c:formatCode>#,##0</c:formatCode>
                <c:ptCount val="6"/>
                <c:pt idx="0">
                  <c:v>8045</c:v>
                </c:pt>
                <c:pt idx="5">
                  <c:v>8080.9964047874992</c:v>
                </c:pt>
              </c:numCache>
            </c:numRef>
          </c:val>
          <c:extLst>
            <c:ext xmlns:c16="http://schemas.microsoft.com/office/drawing/2014/chart" uri="{C3380CC4-5D6E-409C-BE32-E72D297353CC}">
              <c16:uniqueId val="{00000009-7C24-445E-9F2C-7B04B13884EE}"/>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9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CL'!$A$63</c:f>
          <c:strCache>
            <c:ptCount val="1"/>
            <c:pt idx="0">
              <c:v>Energex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CL'!$C$63</c:f>
              <c:strCache>
                <c:ptCount val="1"/>
                <c:pt idx="0">
                  <c:v>Base</c:v>
                </c:pt>
              </c:strCache>
            </c:strRef>
          </c:tx>
          <c:spPr>
            <a:noFill/>
            <a:ln>
              <a:noFill/>
            </a:ln>
            <a:effectLst/>
          </c:spPr>
          <c:invertIfNegative val="0"/>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CL'!$D$63:$I$63</c:f>
              <c:numCache>
                <c:formatCode>#,##0</c:formatCode>
                <c:ptCount val="6"/>
                <c:pt idx="0">
                  <c:v>0</c:v>
                </c:pt>
                <c:pt idx="1">
                  <c:v>5773.0375750000003</c:v>
                </c:pt>
                <c:pt idx="2">
                  <c:v>5679.0975749999998</c:v>
                </c:pt>
                <c:pt idx="3">
                  <c:v>5623.8775749999995</c:v>
                </c:pt>
                <c:pt idx="4">
                  <c:v>5623.8775749999995</c:v>
                </c:pt>
                <c:pt idx="5">
                  <c:v>0</c:v>
                </c:pt>
              </c:numCache>
            </c:numRef>
          </c:val>
          <c:extLst>
            <c:ext xmlns:c16="http://schemas.microsoft.com/office/drawing/2014/chart" uri="{C3380CC4-5D6E-409C-BE32-E72D297353CC}">
              <c16:uniqueId val="{00000000-D27F-413D-9346-3DDF9558F1FB}"/>
            </c:ext>
          </c:extLst>
        </c:ser>
        <c:ser>
          <c:idx val="1"/>
          <c:order val="1"/>
          <c:tx>
            <c:strRef>
              <c:f>'SB wo CL'!$C$64</c:f>
              <c:strCache>
                <c:ptCount val="1"/>
                <c:pt idx="0">
                  <c:v>Network cost</c:v>
                </c:pt>
              </c:strCache>
            </c:strRef>
          </c:tx>
          <c:spPr>
            <a:solidFill>
              <a:schemeClr val="tx2">
                <a:lumMod val="40000"/>
                <a:lumOff val="60000"/>
              </a:schemeClr>
            </a:solidFill>
            <a:ln>
              <a:noFill/>
            </a:ln>
            <a:effectLst/>
          </c:spPr>
          <c:invertIfNegative val="0"/>
          <c:dLbls>
            <c:dLbl>
              <c:idx val="1"/>
              <c:tx>
                <c:strRef>
                  <c:f>'SB wo CL'!$J$64</c:f>
                  <c:strCache>
                    <c:ptCount val="1"/>
                    <c:pt idx="0">
                      <c:v>-252.0</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{BEF453FE-FD4D-46EF-9C52-DD1EA5BE295F}</c15:txfldGUID>
                      <c15:f>'SB wo CL'!$J$64</c15:f>
                      <c15:dlblFieldTableCache>
                        <c:ptCount val="1"/>
                        <c:pt idx="0">
                          <c:v>-252.0</c:v>
                        </c:pt>
                      </c15:dlblFieldTableCache>
                    </c15:dlblFTEntry>
                  </c15:dlblFieldTable>
                  <c15:showDataLabelsRange val="0"/>
                </c:ext>
                <c:ext xmlns:c16="http://schemas.microsoft.com/office/drawing/2014/chart" uri="{C3380CC4-5D6E-409C-BE32-E72D297353CC}">
                  <c16:uniqueId val="{00000001-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CL'!$D$64:$I$64</c:f>
              <c:numCache>
                <c:formatCode>#,##0.0</c:formatCode>
                <c:ptCount val="6"/>
                <c:pt idx="0" formatCode="#,##0">
                  <c:v>2241.2074299999999</c:v>
                </c:pt>
                <c:pt idx="1">
                  <c:v>251.96242499999994</c:v>
                </c:pt>
                <c:pt idx="5" formatCode="#,##0">
                  <c:v>1989.245005</c:v>
                </c:pt>
              </c:numCache>
            </c:numRef>
          </c:val>
          <c:extLst>
            <c:ext xmlns:c16="http://schemas.microsoft.com/office/drawing/2014/chart" uri="{C3380CC4-5D6E-409C-BE32-E72D297353CC}">
              <c16:uniqueId val="{00000002-D27F-413D-9346-3DDF9558F1FB}"/>
            </c:ext>
          </c:extLst>
        </c:ser>
        <c:ser>
          <c:idx val="2"/>
          <c:order val="2"/>
          <c:tx>
            <c:strRef>
              <c:f>'SB wo CL'!$C$65</c:f>
              <c:strCache>
                <c:ptCount val="1"/>
                <c:pt idx="0">
                  <c:v>Wholesale cost</c:v>
                </c:pt>
              </c:strCache>
            </c:strRef>
          </c:tx>
          <c:spPr>
            <a:solidFill>
              <a:schemeClr val="accent2">
                <a:lumMod val="60000"/>
                <a:lumOff val="40000"/>
              </a:schemeClr>
            </a:solidFill>
            <a:ln>
              <a:noFill/>
            </a:ln>
            <a:effectLst/>
          </c:spPr>
          <c:invertIfNegative val="0"/>
          <c:dLbls>
            <c:dLbl>
              <c:idx val="2"/>
              <c:tx>
                <c:strRef>
                  <c:f>'SB wo CL'!$J$65</c:f>
                  <c:strCache>
                    <c:ptCount val="1"/>
                    <c:pt idx="0">
                      <c:v>-93.9</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{DEAA5303-98B0-462D-80F3-E1B6F9D156B9}</c15:txfldGUID>
                      <c15:f>'SB wo CL'!$J$65</c15:f>
                      <c15:dlblFieldTableCache>
                        <c:ptCount val="1"/>
                        <c:pt idx="0">
                          <c:v>-93.9</c:v>
                        </c:pt>
                      </c15:dlblFieldTableCache>
                    </c15:dlblFTEntry>
                  </c15:dlblFieldTable>
                  <c15:showDataLabelsRange val="0"/>
                </c:ext>
                <c:ext xmlns:c16="http://schemas.microsoft.com/office/drawing/2014/chart" uri="{C3380CC4-5D6E-409C-BE32-E72D297353CC}">
                  <c16:uniqueId val="{00000003-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CL'!$D$65:$I$65</c:f>
              <c:numCache>
                <c:formatCode>#,##0.0</c:formatCode>
                <c:ptCount val="6"/>
                <c:pt idx="0" formatCode="#,##0">
                  <c:v>2163.48</c:v>
                </c:pt>
                <c:pt idx="2">
                  <c:v>93.940000000000055</c:v>
                </c:pt>
                <c:pt idx="5" formatCode="#,##0">
                  <c:v>2069.54</c:v>
                </c:pt>
              </c:numCache>
            </c:numRef>
          </c:val>
          <c:extLst>
            <c:ext xmlns:c16="http://schemas.microsoft.com/office/drawing/2014/chart" uri="{C3380CC4-5D6E-409C-BE32-E72D297353CC}">
              <c16:uniqueId val="{00000004-D27F-413D-9346-3DDF9558F1FB}"/>
            </c:ext>
          </c:extLst>
        </c:ser>
        <c:ser>
          <c:idx val="3"/>
          <c:order val="3"/>
          <c:tx>
            <c:strRef>
              <c:f>'SB wo CL'!$C$66</c:f>
              <c:strCache>
                <c:ptCount val="1"/>
                <c:pt idx="0">
                  <c:v>Environmental cost</c:v>
                </c:pt>
              </c:strCache>
            </c:strRef>
          </c:tx>
          <c:spPr>
            <a:solidFill>
              <a:srgbClr val="92D050"/>
            </a:solidFill>
            <a:ln>
              <a:noFill/>
            </a:ln>
            <a:effectLst/>
          </c:spPr>
          <c:invertIfNegative val="0"/>
          <c:dLbls>
            <c:dLbl>
              <c:idx val="3"/>
              <c:tx>
                <c:strRef>
                  <c:f>'SB wo CL'!$J$66</c:f>
                  <c:strCache>
                    <c:ptCount val="1"/>
                    <c:pt idx="0">
                      <c:v>-55.2</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{08FE5E3C-E964-4F19-861F-208185B0A01B}</c15:txfldGUID>
                      <c15:f>'SB wo CL'!$J$66</c15:f>
                      <c15:dlblFieldTableCache>
                        <c:ptCount val="1"/>
                        <c:pt idx="0">
                          <c:v>-55.2</c:v>
                        </c:pt>
                      </c15:dlblFieldTableCache>
                    </c15:dlblFTEntry>
                  </c15:dlblFieldTable>
                  <c15:showDataLabelsRange val="0"/>
                </c:ext>
                <c:ext xmlns:c16="http://schemas.microsoft.com/office/drawing/2014/chart" uri="{C3380CC4-5D6E-409C-BE32-E72D297353CC}">
                  <c16:uniqueId val="{00000005-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CL'!$D$66:$I$66</c:f>
              <c:numCache>
                <c:formatCode>#,##0.0</c:formatCode>
                <c:ptCount val="6"/>
                <c:pt idx="0" formatCode="#,##0">
                  <c:v>389.84</c:v>
                </c:pt>
                <c:pt idx="3">
                  <c:v>55.21999999999997</c:v>
                </c:pt>
                <c:pt idx="5" formatCode="#,##0">
                  <c:v>334.62</c:v>
                </c:pt>
              </c:numCache>
            </c:numRef>
          </c:val>
          <c:extLst>
            <c:ext xmlns:c16="http://schemas.microsoft.com/office/drawing/2014/chart" uri="{C3380CC4-5D6E-409C-BE32-E72D297353CC}">
              <c16:uniqueId val="{00000006-D27F-413D-9346-3DDF9558F1FB}"/>
            </c:ext>
          </c:extLst>
        </c:ser>
        <c:ser>
          <c:idx val="4"/>
          <c:order val="4"/>
          <c:tx>
            <c:strRef>
              <c:f>'SB wo CL'!$C$67</c:f>
              <c:strCache>
                <c:ptCount val="1"/>
                <c:pt idx="0">
                  <c:v>Residual cost</c:v>
                </c:pt>
              </c:strCache>
            </c:strRef>
          </c:tx>
          <c:spPr>
            <a:solidFill>
              <a:schemeClr val="accent6">
                <a:lumMod val="20000"/>
                <a:lumOff val="80000"/>
              </a:schemeClr>
            </a:solidFill>
            <a:ln>
              <a:noFill/>
            </a:ln>
            <a:effectLst/>
          </c:spPr>
          <c:invertIfNegative val="0"/>
          <c:dLbls>
            <c:dLbl>
              <c:idx val="4"/>
              <c:tx>
                <c:strRef>
                  <c:f>'SB wo CL'!$J$67</c:f>
                  <c:strCache>
                    <c:ptCount val="1"/>
                    <c:pt idx="0">
                      <c:v>+22.8</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{D5BC26A6-1DDC-414C-8567-6D4B801386A8}</c15:txfldGUID>
                      <c15:f>'SB wo CL'!$J$67</c15:f>
                      <c15:dlblFieldTableCache>
                        <c:ptCount val="1"/>
                        <c:pt idx="0">
                          <c:v>+22.8</c:v>
                        </c:pt>
                      </c15:dlblFieldTableCache>
                    </c15:dlblFTEntry>
                  </c15:dlblFieldTable>
                  <c15:showDataLabelsRange val="0"/>
                </c:ext>
                <c:ext xmlns:c16="http://schemas.microsoft.com/office/drawing/2014/chart" uri="{C3380CC4-5D6E-409C-BE32-E72D297353CC}">
                  <c16:uniqueId val="{00000007-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CL'!$D$67:$I$67</c:f>
              <c:numCache>
                <c:formatCode>#,##0.0</c:formatCode>
                <c:ptCount val="6"/>
                <c:pt idx="0" formatCode="#,##0">
                  <c:v>1230.4725699999999</c:v>
                </c:pt>
                <c:pt idx="4">
                  <c:v>22.763742545000241</c:v>
                </c:pt>
                <c:pt idx="5" formatCode="#,##0">
                  <c:v>1253.2363125450001</c:v>
                </c:pt>
              </c:numCache>
            </c:numRef>
          </c:val>
          <c:extLst>
            <c:ext xmlns:c16="http://schemas.microsoft.com/office/drawing/2014/chart" uri="{C3380CC4-5D6E-409C-BE32-E72D297353CC}">
              <c16:uniqueId val="{00000008-D27F-413D-9346-3DDF9558F1FB}"/>
            </c:ext>
          </c:extLst>
        </c:ser>
        <c:ser>
          <c:idx val="6"/>
          <c:order val="5"/>
          <c:tx>
            <c:strRef>
              <c:f>'SB wo CL'!$C$68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CL'!$D$68:$I$68</c:f>
              <c:numCache>
                <c:formatCode>#,##0</c:formatCode>
                <c:ptCount val="6"/>
                <c:pt idx="0">
                  <c:v>6025</c:v>
                </c:pt>
                <c:pt idx="5">
                  <c:v>5646.6413175449998</c:v>
                </c:pt>
              </c:numCache>
            </c:numRef>
          </c:val>
          <c:extLst>
            <c:ext xmlns:c16="http://schemas.microsoft.com/office/drawing/2014/chart" uri="{C3380CC4-5D6E-409C-BE32-E72D297353CC}">
              <c16:uniqueId val="{00000009-D27F-413D-9346-3DDF9558F1FB}"/>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7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CL'!$A$69</c:f>
          <c:strCache>
            <c:ptCount val="1"/>
            <c:pt idx="0">
              <c:v>SAPN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CL'!$C$69</c:f>
              <c:strCache>
                <c:ptCount val="1"/>
                <c:pt idx="0">
                  <c:v>Base</c:v>
                </c:pt>
              </c:strCache>
            </c:strRef>
          </c:tx>
          <c:spPr>
            <a:noFill/>
            <a:ln>
              <a:noFill/>
            </a:ln>
            <a:effectLst/>
          </c:spPr>
          <c:invertIfNegative val="0"/>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CL'!$D$69:$I$69</c:f>
              <c:numCache>
                <c:formatCode>#,##0</c:formatCode>
                <c:ptCount val="6"/>
                <c:pt idx="0">
                  <c:v>0</c:v>
                </c:pt>
                <c:pt idx="1">
                  <c:v>8615.8078500000011</c:v>
                </c:pt>
                <c:pt idx="2">
                  <c:v>8460.267850000002</c:v>
                </c:pt>
                <c:pt idx="3">
                  <c:v>8402.6278500000026</c:v>
                </c:pt>
                <c:pt idx="4">
                  <c:v>8402.6278500000026</c:v>
                </c:pt>
                <c:pt idx="5">
                  <c:v>0</c:v>
                </c:pt>
              </c:numCache>
            </c:numRef>
          </c:val>
          <c:extLst>
            <c:ext xmlns:c16="http://schemas.microsoft.com/office/drawing/2014/chart" uri="{C3380CC4-5D6E-409C-BE32-E72D297353CC}">
              <c16:uniqueId val="{00000000-1886-4B9E-A832-48DE7CE89C31}"/>
            </c:ext>
          </c:extLst>
        </c:ser>
        <c:ser>
          <c:idx val="1"/>
          <c:order val="1"/>
          <c:tx>
            <c:strRef>
              <c:f>'SB wo CL'!$C$70</c:f>
              <c:strCache>
                <c:ptCount val="1"/>
                <c:pt idx="0">
                  <c:v>Network cost</c:v>
                </c:pt>
              </c:strCache>
            </c:strRef>
          </c:tx>
          <c:spPr>
            <a:solidFill>
              <a:schemeClr val="tx2">
                <a:lumMod val="40000"/>
                <a:lumOff val="60000"/>
              </a:schemeClr>
            </a:solidFill>
            <a:ln>
              <a:noFill/>
            </a:ln>
            <a:effectLst/>
          </c:spPr>
          <c:invertIfNegative val="0"/>
          <c:dLbls>
            <c:dLbl>
              <c:idx val="1"/>
              <c:tx>
                <c:strRef>
                  <c:f>'SB wo CL'!$J$70</c:f>
                  <c:strCache>
                    <c:ptCount val="1"/>
                    <c:pt idx="0">
                      <c:v>-504.2</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{6A774683-5B55-4BAC-A38D-A98347BA0A7B}</c15:txfldGUID>
                      <c15:f>'SB wo CL'!$J$70</c15:f>
                      <c15:dlblFieldTableCache>
                        <c:ptCount val="1"/>
                        <c:pt idx="0">
                          <c:v>-504.2</c:v>
                        </c:pt>
                      </c15:dlblFieldTableCache>
                    </c15:dlblFTEntry>
                  </c15:dlblFieldTable>
                  <c15:showDataLabelsRange val="0"/>
                </c:ext>
                <c:ext xmlns:c16="http://schemas.microsoft.com/office/drawing/2014/chart" uri="{C3380CC4-5D6E-409C-BE32-E72D297353CC}">
                  <c16:uniqueId val="{00000001-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CL'!$D$70:$I$70</c:f>
              <c:numCache>
                <c:formatCode>#,##0.0</c:formatCode>
                <c:ptCount val="6"/>
                <c:pt idx="0" formatCode="#,##0">
                  <c:v>3623.40715</c:v>
                </c:pt>
                <c:pt idx="1">
                  <c:v>504.19214999999986</c:v>
                </c:pt>
                <c:pt idx="5" formatCode="#,##0">
                  <c:v>3119.2150000000001</c:v>
                </c:pt>
              </c:numCache>
            </c:numRef>
          </c:val>
          <c:extLst>
            <c:ext xmlns:c16="http://schemas.microsoft.com/office/drawing/2014/chart" uri="{C3380CC4-5D6E-409C-BE32-E72D297353CC}">
              <c16:uniqueId val="{00000002-1886-4B9E-A832-48DE7CE89C31}"/>
            </c:ext>
          </c:extLst>
        </c:ser>
        <c:ser>
          <c:idx val="2"/>
          <c:order val="2"/>
          <c:tx>
            <c:strRef>
              <c:f>'SB wo CL'!$C$71</c:f>
              <c:strCache>
                <c:ptCount val="1"/>
                <c:pt idx="0">
                  <c:v>Wholesale cost</c:v>
                </c:pt>
              </c:strCache>
            </c:strRef>
          </c:tx>
          <c:spPr>
            <a:solidFill>
              <a:schemeClr val="accent2">
                <a:lumMod val="60000"/>
                <a:lumOff val="40000"/>
              </a:schemeClr>
            </a:solidFill>
            <a:ln>
              <a:noFill/>
            </a:ln>
            <a:effectLst/>
          </c:spPr>
          <c:invertIfNegative val="0"/>
          <c:dLbls>
            <c:dLbl>
              <c:idx val="2"/>
              <c:tx>
                <c:strRef>
                  <c:f>'SB wo CL'!$J$71</c:f>
                  <c:strCache>
                    <c:ptCount val="1"/>
                    <c:pt idx="0">
                      <c:v>-155.5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{1DF23494-350E-4C8A-808A-CAE86A2AC0B5}</c15:txfldGUID>
                      <c15:f>'SB wo CL'!$J$71</c15:f>
                      <c15:dlblFieldTableCache>
                        <c:ptCount val="1"/>
                        <c:pt idx="0">
                          <c:v>-155.5</c:v>
                        </c:pt>
                      </c15:dlblFieldTableCache>
                    </c15:dlblFTEntry>
                  </c15:dlblFieldTable>
                  <c15:showDataLabelsRange val="0"/>
                </c:ext>
                <c:ext xmlns:c16="http://schemas.microsoft.com/office/drawing/2014/chart" uri="{C3380CC4-5D6E-409C-BE32-E72D297353CC}">
                  <c16:uniqueId val="{00000003-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CL'!$D$71:$I$71</c:f>
              <c:numCache>
                <c:formatCode>#,##0.0</c:formatCode>
                <c:ptCount val="6"/>
                <c:pt idx="0" formatCode="#,##0">
                  <c:v>3612.6199999999994</c:v>
                </c:pt>
                <c:pt idx="2">
                  <c:v>155.53999999999951</c:v>
                </c:pt>
                <c:pt idx="5" formatCode="#,##0">
                  <c:v>3457.08</c:v>
                </c:pt>
              </c:numCache>
            </c:numRef>
          </c:val>
          <c:extLst>
            <c:ext xmlns:c16="http://schemas.microsoft.com/office/drawing/2014/chart" uri="{C3380CC4-5D6E-409C-BE32-E72D297353CC}">
              <c16:uniqueId val="{00000004-1886-4B9E-A832-48DE7CE89C31}"/>
            </c:ext>
          </c:extLst>
        </c:ser>
        <c:ser>
          <c:idx val="3"/>
          <c:order val="3"/>
          <c:tx>
            <c:strRef>
              <c:f>'SB wo CL'!$C$72</c:f>
              <c:strCache>
                <c:ptCount val="1"/>
                <c:pt idx="0">
                  <c:v>Environmental cost</c:v>
                </c:pt>
              </c:strCache>
            </c:strRef>
          </c:tx>
          <c:spPr>
            <a:solidFill>
              <a:srgbClr val="92D050"/>
            </a:solidFill>
            <a:ln>
              <a:noFill/>
            </a:ln>
            <a:effectLst/>
          </c:spPr>
          <c:invertIfNegative val="0"/>
          <c:dLbls>
            <c:dLbl>
              <c:idx val="3"/>
              <c:tx>
                <c:strRef>
                  <c:f>'SB wo CL'!$J$72</c:f>
                  <c:strCache>
                    <c:ptCount val="1"/>
                    <c:pt idx="0">
                      <c:v>-57.6</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{7CAF8E58-00EC-46F1-BDAC-33678F8D55AB}</c15:txfldGUID>
                      <c15:f>'SB wo CL'!$J$72</c15:f>
                      <c15:dlblFieldTableCache>
                        <c:ptCount val="1"/>
                        <c:pt idx="0">
                          <c:v>-57.6</c:v>
                        </c:pt>
                      </c15:dlblFieldTableCache>
                    </c15:dlblFTEntry>
                  </c15:dlblFieldTable>
                  <c15:showDataLabelsRange val="0"/>
                </c:ext>
                <c:ext xmlns:c16="http://schemas.microsoft.com/office/drawing/2014/chart" uri="{C3380CC4-5D6E-409C-BE32-E72D297353CC}">
                  <c16:uniqueId val="{00000005-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CL'!$D$72:$I$72</c:f>
              <c:numCache>
                <c:formatCode>#,##0.0</c:formatCode>
                <c:ptCount val="6"/>
                <c:pt idx="0" formatCode="#,##0">
                  <c:v>467.5</c:v>
                </c:pt>
                <c:pt idx="3">
                  <c:v>57.63999999999993</c:v>
                </c:pt>
                <c:pt idx="5" formatCode="#,##0">
                  <c:v>409.86000000000007</c:v>
                </c:pt>
              </c:numCache>
            </c:numRef>
          </c:val>
          <c:extLst>
            <c:ext xmlns:c16="http://schemas.microsoft.com/office/drawing/2014/chart" uri="{C3380CC4-5D6E-409C-BE32-E72D297353CC}">
              <c16:uniqueId val="{00000006-1886-4B9E-A832-48DE7CE89C31}"/>
            </c:ext>
          </c:extLst>
        </c:ser>
        <c:ser>
          <c:idx val="4"/>
          <c:order val="4"/>
          <c:tx>
            <c:strRef>
              <c:f>'SB wo CL'!$C$73</c:f>
              <c:strCache>
                <c:ptCount val="1"/>
                <c:pt idx="0">
                  <c:v>Residual cost</c:v>
                </c:pt>
              </c:strCache>
            </c:strRef>
          </c:tx>
          <c:spPr>
            <a:solidFill>
              <a:schemeClr val="accent6">
                <a:lumMod val="20000"/>
                <a:lumOff val="80000"/>
              </a:schemeClr>
            </a:solidFill>
            <a:ln>
              <a:noFill/>
            </a:ln>
            <a:effectLst/>
          </c:spPr>
          <c:invertIfNegative val="0"/>
          <c:dLbls>
            <c:dLbl>
              <c:idx val="4"/>
              <c:tx>
                <c:strRef>
                  <c:f>'SB wo CL'!$J$73</c:f>
                  <c:strCache>
                    <c:ptCount val="1"/>
                    <c:pt idx="0">
                      <c:v>+26.2</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{6E77BEEC-0229-4B07-882E-52FE89703595}</c15:txfldGUID>
                      <c15:f>'SB wo CL'!$J$73</c15:f>
                      <c15:dlblFieldTableCache>
                        <c:ptCount val="1"/>
                        <c:pt idx="0">
                          <c:v>+26.2</c:v>
                        </c:pt>
                      </c15:dlblFieldTableCache>
                    </c15:dlblFTEntry>
                  </c15:dlblFieldTable>
                  <c15:showDataLabelsRange val="0"/>
                </c:ext>
                <c:ext xmlns:c16="http://schemas.microsoft.com/office/drawing/2014/chart" uri="{C3380CC4-5D6E-409C-BE32-E72D297353CC}">
                  <c16:uniqueId val="{00000007-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CL'!$D$73:$I$73</c:f>
              <c:numCache>
                <c:formatCode>#,##0.0</c:formatCode>
                <c:ptCount val="6"/>
                <c:pt idx="0" formatCode="#,##0">
                  <c:v>1416.4728500000001</c:v>
                </c:pt>
                <c:pt idx="4">
                  <c:v>26.204747725000743</c:v>
                </c:pt>
                <c:pt idx="5" formatCode="#,##0">
                  <c:v>1442.6775977250009</c:v>
                </c:pt>
              </c:numCache>
            </c:numRef>
          </c:val>
          <c:extLst>
            <c:ext xmlns:c16="http://schemas.microsoft.com/office/drawing/2014/chart" uri="{C3380CC4-5D6E-409C-BE32-E72D297353CC}">
              <c16:uniqueId val="{00000008-1886-4B9E-A832-48DE7CE89C31}"/>
            </c:ext>
          </c:extLst>
        </c:ser>
        <c:ser>
          <c:idx val="6"/>
          <c:order val="5"/>
          <c:tx>
            <c:strRef>
              <c:f>'SB wo CL'!$C$74</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CL'!$D$74:$I$74</c:f>
              <c:numCache>
                <c:formatCode>#,##0</c:formatCode>
                <c:ptCount val="6"/>
                <c:pt idx="0">
                  <c:v>9120</c:v>
                </c:pt>
                <c:pt idx="5">
                  <c:v>8428.8325977250006</c:v>
                </c:pt>
              </c:numCache>
            </c:numRef>
          </c:val>
          <c:extLst>
            <c:ext xmlns:c16="http://schemas.microsoft.com/office/drawing/2014/chart" uri="{C3380CC4-5D6E-409C-BE32-E72D297353CC}">
              <c16:uniqueId val="{00000009-1886-4B9E-A832-48DE7CE89C31}"/>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0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Ausgrid!$D$3</c:f>
          <c:strCache>
            <c:ptCount val="1"/>
            <c:pt idx="0">
              <c:v>Ausgrid Residential with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Ausgrid!$F$34</c:f>
              <c:strCache>
                <c:ptCount val="1"/>
                <c:pt idx="0">
                  <c:v>Network cost</c:v>
                </c:pt>
              </c:strCache>
            </c:strRef>
          </c:tx>
          <c:spPr>
            <a:solidFill>
              <a:schemeClr val="accent1"/>
            </a:solidFill>
            <a:ln>
              <a:noFill/>
            </a:ln>
            <a:effectLst/>
          </c:spPr>
          <c:invertIfNegative val="0"/>
          <c:dLbls>
            <c:dLbl>
              <c:idx val="0"/>
              <c:tx>
                <c:strRef>
                  <c:f>Ausgrid!$T$34</c:f>
                  <c:strCache>
                    <c:ptCount val="1"/>
                    <c:pt idx="0">
                      <c:v>33.9%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{53A2AF37-C32B-486A-AF60-66C813EC8E20}</c15:txfldGUID>
                      <c15:f>Ausgrid!$T$34</c15:f>
                      <c15:dlblFieldTableCache>
                        <c:ptCount val="1"/>
                        <c:pt idx="0">
                          <c:v>33.9%</c:v>
                        </c:pt>
                      </c15:dlblFieldTableCache>
                    </c15:dlblFTEntry>
                  </c15:dlblFieldTable>
                  <c15:showDataLabelsRange val="0"/>
                </c:ext>
                <c:ext xmlns:c16="http://schemas.microsoft.com/office/drawing/2014/chart" uri="{C3380CC4-5D6E-409C-BE32-E72D297353CC}">
                  <c16:uniqueId val="{00000003-4C39-4B77-9319-0FA432B9F30B}"/>
                </c:ext>
              </c:extLst>
            </c:dLbl>
            <c:dLbl>
              <c:idx val="1"/>
              <c:tx>
                <c:strRef>
                  <c:f>Ausgrid!$X$34</c:f>
                  <c:strCache>
                    <c:ptCount val="1"/>
                    <c:pt idx="0">
                      <c:v>34.5%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{20822DE7-A6E5-4AAE-AC24-76121564BD74}</c15:txfldGUID>
                      <c15:f>Ausgrid!$X$34</c15:f>
                      <c15:dlblFieldTableCache>
                        <c:ptCount val="1"/>
                        <c:pt idx="0">
                          <c:v>34.5%</c:v>
                        </c:pt>
                      </c15:dlblFieldTableCache>
                    </c15:dlblFTEntry>
                  </c15:dlblFieldTable>
                  <c15:showDataLabelsRange val="0"/>
                </c:ext>
                <c:ext xmlns:c16="http://schemas.microsoft.com/office/drawing/2014/chart" uri="{C3380CC4-5D6E-409C-BE32-E72D297353CC}">
                  <c16:uniqueId val="{00000004-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(Ausgrid!$S$29,Ausgrid!$V$29)</c:f>
              <c:strCache>
                <c:ptCount val="2"/>
                <c:pt idx="0">
                  <c:v>2019-20</c:v>
                </c:pt>
                <c:pt idx="1">
                  <c:v>2020-21</c:v>
                </c:pt>
              </c:strCache>
            </c:strRef>
          </c:cat>
          <c:val>
            <c:numRef>
              <c:f>(Ausgrid!$S$34,Ausgrid!$Y$34)</c:f>
              <c:numCache>
                <c:formatCode>#,##0.00</c:formatCode>
                <c:ptCount val="2"/>
                <c:pt idx="0">
                  <c:v>697.03167313999995</c:v>
                </c:pt>
                <c:pt idx="1">
                  <c:v>710.50495592999982</c:v>
                </c:pt>
              </c:numCache>
            </c:numRef>
          </c:val>
          <c:extLst>
            <c:ext xmlns:c16="http://schemas.microsoft.com/office/drawing/2014/chart" uri="{C3380CC4-5D6E-409C-BE32-E72D297353CC}">
              <c16:uniqueId val="{00000000-1FC8-49A9-8F48-B7A67588EC3D}"/>
            </c:ext>
          </c:extLst>
        </c:ser>
        <c:ser>
          <c:idx val="1"/>
          <c:order val="1"/>
          <c:tx>
            <c:strRef>
              <c:f>Ausgrid!$F$35</c:f>
              <c:strCache>
                <c:ptCount val="1"/>
                <c:pt idx="0">
                  <c:v>Wholesale cost</c:v>
                </c:pt>
              </c:strCache>
            </c:strRef>
          </c:tx>
          <c:spPr>
            <a:solidFill>
              <a:schemeClr val="accent2"/>
            </a:solidFill>
            <a:ln>
              <a:noFill/>
            </a:ln>
            <a:effectLst/>
          </c:spPr>
          <c:invertIfNegative val="0"/>
          <c:dLbls>
            <c:dLbl>
              <c:idx val="0"/>
              <c:tx>
                <c:strRef>
                  <c:f>Ausgrid!$T$35</c:f>
                  <c:strCache>
                    <c:ptCount val="1"/>
                    <c:pt idx="0">
                      <c:v>37.4%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{75BC27BB-59F5-44FB-9E2F-E33DCC834B45}</c15:txfldGUID>
                      <c15:f>Ausgrid!$T$35</c15:f>
                      <c15:dlblFieldTableCache>
                        <c:ptCount val="1"/>
                        <c:pt idx="0">
                          <c:v>37.4%</c:v>
                        </c:pt>
                      </c15:dlblFieldTableCache>
                    </c15:dlblFTEntry>
                  </c15:dlblFieldTable>
                  <c15:showDataLabelsRange val="0"/>
                </c:ext>
                <c:ext xmlns:c16="http://schemas.microsoft.com/office/drawing/2014/chart" uri="{C3380CC4-5D6E-409C-BE32-E72D297353CC}">
                  <c16:uniqueId val="{00000002-4C39-4B77-9319-0FA432B9F30B}"/>
                </c:ext>
              </c:extLst>
            </c:dLbl>
            <c:dLbl>
              <c:idx val="1"/>
              <c:tx>
                <c:strRef>
                  <c:f>Ausgrid!$X$35</c:f>
                  <c:strCache>
                    <c:ptCount val="1"/>
                    <c:pt idx="0">
                      <c:v>37.1%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{98EB9E47-4098-4DE6-B127-75016381F0CD}</c15:txfldGUID>
                      <c15:f>Ausgrid!$X$35</c15:f>
                      <c15:dlblFieldTableCache>
                        <c:ptCount val="1"/>
                        <c:pt idx="0">
                          <c:v>37.1%</c:v>
                        </c:pt>
                      </c15:dlblFieldTableCache>
                    </c15:dlblFTEntry>
                  </c15:dlblFieldTable>
                  <c15:showDataLabelsRange val="0"/>
                </c:ext>
                <c:ext xmlns:c16="http://schemas.microsoft.com/office/drawing/2014/chart" uri="{C3380CC4-5D6E-409C-BE32-E72D297353CC}">
                  <c16:uniqueId val="{00000005-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(Ausgrid!$S$29,Ausgrid!$V$29)</c:f>
              <c:strCache>
                <c:ptCount val="2"/>
                <c:pt idx="0">
                  <c:v>2019-20</c:v>
                </c:pt>
                <c:pt idx="1">
                  <c:v>2020-21</c:v>
                </c:pt>
              </c:strCache>
            </c:strRef>
          </c:cat>
          <c:val>
            <c:numRef>
              <c:f>(Ausgrid!$S$35,Ausgrid!$Y$35)</c:f>
              <c:numCache>
                <c:formatCode>#,##0.00</c:formatCode>
                <c:ptCount val="2"/>
                <c:pt idx="0">
                  <c:v>769.83654000000001</c:v>
                </c:pt>
                <c:pt idx="1">
                  <c:v>764.30464000000006</c:v>
                </c:pt>
              </c:numCache>
            </c:numRef>
          </c:val>
          <c:extLst>
            <c:ext xmlns:c16="http://schemas.microsoft.com/office/drawing/2014/chart" uri="{C3380CC4-5D6E-409C-BE32-E72D297353CC}">
              <c16:uniqueId val="{00000001-1FC8-49A9-8F48-B7A67588EC3D}"/>
            </c:ext>
          </c:extLst>
        </c:ser>
        <c:ser>
          <c:idx val="2"/>
          <c:order val="2"/>
          <c:tx>
            <c:strRef>
              <c:f>Ausgrid!$F$36</c:f>
              <c:strCache>
                <c:ptCount val="1"/>
                <c:pt idx="0">
                  <c:v>Environmental cost</c:v>
                </c:pt>
              </c:strCache>
            </c:strRef>
          </c:tx>
          <c:spPr>
            <a:solidFill>
              <a:schemeClr val="accent3"/>
            </a:solidFill>
            <a:ln>
              <a:noFill/>
            </a:ln>
            <a:effectLst/>
          </c:spPr>
          <c:invertIfNegative val="0"/>
          <c:dLbls>
            <c:dLbl>
              <c:idx val="0"/>
              <c:tx>
                <c:strRef>
                  <c:f>Ausgrid!$T$36</c:f>
                  <c:strCache>
                    <c:ptCount val="1"/>
                    <c:pt idx="0">
                      <c:v>7.0%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{1484F2B9-9E6F-4BA2-80B8-F9356CB79A2A}</c15:txfldGUID>
                      <c15:f>Ausgrid!$T$36</c15:f>
                      <c15:dlblFieldTableCache>
                        <c:ptCount val="1"/>
                        <c:pt idx="0">
                          <c:v>7.0%</c:v>
                        </c:pt>
                      </c15:dlblFieldTableCache>
                    </c15:dlblFTEntry>
                  </c15:dlblFieldTable>
                  <c15:showDataLabelsRange val="0"/>
                </c:ext>
                <c:ext xmlns:c16="http://schemas.microsoft.com/office/drawing/2014/chart" uri="{C3380CC4-5D6E-409C-BE32-E72D297353CC}">
                  <c16:uniqueId val="{00000001-4C39-4B77-9319-0FA432B9F30B}"/>
                </c:ext>
              </c:extLst>
            </c:dLbl>
            <c:dLbl>
              <c:idx val="1"/>
              <c:tx>
                <c:strRef>
                  <c:f>Ausgrid!$X$36</c:f>
                  <c:strCache>
                    <c:ptCount val="1"/>
                    <c:pt idx="0">
                      <c:v>6.2%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{2EF0E34C-2ACE-48FB-B79C-7B0F87F359B1}</c15:txfldGUID>
                      <c15:f>Ausgrid!$X$36</c15:f>
                      <c15:dlblFieldTableCache>
                        <c:ptCount val="1"/>
                        <c:pt idx="0">
                          <c:v>6.2%</c:v>
                        </c:pt>
                      </c15:dlblFieldTableCache>
                    </c15:dlblFTEntry>
                  </c15:dlblFieldTable>
                  <c15:showDataLabelsRange val="0"/>
                </c:ext>
                <c:ext xmlns:c16="http://schemas.microsoft.com/office/drawing/2014/chart" uri="{C3380CC4-5D6E-409C-BE32-E72D297353CC}">
                  <c16:uniqueId val="{00000006-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(Ausgrid!$S$29,Ausgrid!$V$29)</c:f>
              <c:strCache>
                <c:ptCount val="2"/>
                <c:pt idx="0">
                  <c:v>2019-20</c:v>
                </c:pt>
                <c:pt idx="1">
                  <c:v>2020-21</c:v>
                </c:pt>
              </c:strCache>
            </c:strRef>
          </c:cat>
          <c:val>
            <c:numRef>
              <c:f>(Ausgrid!$S$36,Ausgrid!$Y$36)</c:f>
              <c:numCache>
                <c:formatCode>#,##0.00</c:formatCode>
                <c:ptCount val="2"/>
                <c:pt idx="0">
                  <c:v>144.83920000000001</c:v>
                </c:pt>
                <c:pt idx="1">
                  <c:v>128.54160000000002</c:v>
                </c:pt>
              </c:numCache>
            </c:numRef>
          </c:val>
          <c:extLst>
            <c:ext xmlns:c16="http://schemas.microsoft.com/office/drawing/2014/chart" uri="{C3380CC4-5D6E-409C-BE32-E72D297353CC}">
              <c16:uniqueId val="{00000002-1FC8-49A9-8F48-B7A67588EC3D}"/>
            </c:ext>
          </c:extLst>
        </c:ser>
        <c:ser>
          <c:idx val="3"/>
          <c:order val="3"/>
          <c:tx>
            <c:strRef>
              <c:f>Ausgrid!$F$37</c:f>
              <c:strCache>
                <c:ptCount val="1"/>
                <c:pt idx="0">
                  <c:v>Residual cost</c:v>
                </c:pt>
              </c:strCache>
            </c:strRef>
          </c:tx>
          <c:spPr>
            <a:solidFill>
              <a:schemeClr val="accent6">
                <a:lumMod val="40000"/>
                <a:lumOff val="60000"/>
              </a:schemeClr>
            </a:solidFill>
            <a:ln>
              <a:noFill/>
            </a:ln>
            <a:effectLst/>
          </c:spPr>
          <c:invertIfNegative val="0"/>
          <c:dLbls>
            <c:dLbl>
              <c:idx val="0"/>
              <c:tx>
                <c:strRef>
                  <c:f>Ausgrid!$T$37</c:f>
                  <c:strCache>
                    <c:ptCount val="1"/>
                    <c:pt idx="0">
                      <c:v>21.7%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{F1423B9B-642C-4805-B404-8B1C21D3F311}</c15:txfldGUID>
                      <c15:f>Ausgrid!$T$37</c15:f>
                      <c15:dlblFieldTableCache>
                        <c:ptCount val="1"/>
                        <c:pt idx="0">
                          <c:v>21.7%</c:v>
                        </c:pt>
                      </c15:dlblFieldTableCache>
                    </c15:dlblFTEntry>
                  </c15:dlblFieldTable>
                  <c15:showDataLabelsRange val="0"/>
                </c:ext>
                <c:ext xmlns:c16="http://schemas.microsoft.com/office/drawing/2014/chart" uri="{C3380CC4-5D6E-409C-BE32-E72D297353CC}">
                  <c16:uniqueId val="{00000000-4C39-4B77-9319-0FA432B9F30B}"/>
                </c:ext>
              </c:extLst>
            </c:dLbl>
            <c:dLbl>
              <c:idx val="1"/>
              <c:tx>
                <c:strRef>
                  <c:f>Ausgrid!$X$37</c:f>
                  <c:strCache>
                    <c:ptCount val="1"/>
                    <c:pt idx="0">
                      <c:v>22.1%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{F1F2C3E7-21E8-41DA-98F6-50EE616C5506}</c15:txfldGUID>
                      <c15:f>Ausgrid!$X$37</c15:f>
                      <c15:dlblFieldTableCache>
                        <c:ptCount val="1"/>
                        <c:pt idx="0">
                          <c:v>22.1%</c:v>
                        </c:pt>
                      </c15:dlblFieldTableCache>
                    </c15:dlblFTEntry>
                  </c15:dlblFieldTable>
                  <c15:showDataLabelsRange val="0"/>
                </c:ext>
                <c:ext xmlns:c16="http://schemas.microsoft.com/office/drawing/2014/chart" uri="{C3380CC4-5D6E-409C-BE32-E72D297353CC}">
                  <c16:uniqueId val="{00000007-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(Ausgrid!$S$29,Ausgrid!$V$29)</c:f>
              <c:strCache>
                <c:ptCount val="2"/>
                <c:pt idx="0">
                  <c:v>2019-20</c:v>
                </c:pt>
                <c:pt idx="1">
                  <c:v>2020-21</c:v>
                </c:pt>
              </c:strCache>
            </c:strRef>
          </c:cat>
          <c:val>
            <c:numRef>
              <c:f>(Ausgrid!$S$37,Ausgrid!$Y$37)</c:f>
              <c:numCache>
                <c:formatCode>#,##0.00</c:formatCode>
                <c:ptCount val="2"/>
                <c:pt idx="0">
                  <c:v>447.29258686000003</c:v>
                </c:pt>
                <c:pt idx="1">
                  <c:v>455.56749971690988</c:v>
                </c:pt>
              </c:numCache>
            </c:numRef>
          </c:val>
          <c:extLst>
            <c:ext xmlns:c16="http://schemas.microsoft.com/office/drawing/2014/chart" uri="{C3380CC4-5D6E-409C-BE32-E72D297353CC}">
              <c16:uniqueId val="{00000003-1FC8-49A9-8F48-B7A67588EC3D}"/>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(Ausgrid!$S$29,Ausgrid!$V$29)</c:f>
              <c:strCache>
                <c:ptCount val="2"/>
                <c:pt idx="0">
                  <c:v>2019-20</c:v>
                </c:pt>
                <c:pt idx="1">
                  <c:v>2020-21</c:v>
                </c:pt>
              </c:strCache>
            </c:strRef>
          </c:cat>
          <c:val>
            <c:numRef>
              <c:f>(Ausgrid!$R$33,Ausgrid!$R$39)</c:f>
              <c:numCache>
                <c:formatCode>#,##0.00</c:formatCode>
                <c:ptCount val="2"/>
                <c:pt idx="0">
                  <c:v>2059</c:v>
                </c:pt>
                <c:pt idx="1">
                  <c:v>2058.9186956469098</c:v>
                </c:pt>
              </c:numCache>
            </c:numRef>
          </c:val>
          <c:extLst>
            <c:ext xmlns:c16="http://schemas.microsoft.com/office/drawing/2014/chart" uri="{C3380CC4-5D6E-409C-BE32-E72D297353CC}">
              <c16:uniqueId val="{00000000-2206-4911-B884-61229F6EB530}"/>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Ausgrid!$C$3</c:f>
          <c:strCache>
            <c:ptCount val="1"/>
            <c:pt idx="0">
              <c:v>Ausgrid Residential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Ausgrid!$F$34</c:f>
              <c:strCache>
                <c:ptCount val="1"/>
                <c:pt idx="0">
                  <c:v>Network cost</c:v>
                </c:pt>
              </c:strCache>
            </c:strRef>
          </c:tx>
          <c:spPr>
            <a:solidFill>
              <a:schemeClr val="accent1"/>
            </a:solidFill>
            <a:ln>
              <a:noFill/>
            </a:ln>
            <a:effectLst/>
          </c:spPr>
          <c:invertIfNegative val="0"/>
          <c:dLbls>
            <c:dLbl>
              <c:idx val="0"/>
              <c:tx>
                <c:strRef>
                  <c:f>Ausgrid!$J$34</c:f>
                  <c:strCache>
                    <c:ptCount val="1"/>
                    <c:pt idx="0">
                      <c:v>36.2%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{1BB913C8-709F-4580-B964-E9C8571355E1}</c15:txfldGUID>
                      <c15:f>Ausgrid!$J$34</c15:f>
                      <c15:dlblFieldTableCache>
                        <c:ptCount val="1"/>
                        <c:pt idx="0">
                          <c:v>36.2%</c:v>
                        </c:pt>
                      </c15:dlblFieldTableCache>
                    </c15:dlblFTEntry>
                  </c15:dlblFieldTable>
                  <c15:showDataLabelsRange val="0"/>
                </c:ext>
                <c:ext xmlns:c16="http://schemas.microsoft.com/office/drawing/2014/chart" uri="{C3380CC4-5D6E-409C-BE32-E72D297353CC}">
                  <c16:uniqueId val="{00000000-18A7-4A35-8EB4-7839DD9E1215}"/>
                </c:ext>
              </c:extLst>
            </c:dLbl>
            <c:dLbl>
              <c:idx val="1"/>
              <c:tx>
                <c:strRef>
                  <c:f>Ausgrid!$N$34</c:f>
                  <c:strCache>
                    <c:ptCount val="1"/>
                    <c:pt idx="0">
                      <c:v>36.4%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{F8175E5D-12B5-46B2-81F0-BD1C6DA7716E}</c15:txfldGUID>
                      <c15:f>Ausgrid!$N$34</c15:f>
                      <c15:dlblFieldTableCache>
                        <c:ptCount val="1"/>
                        <c:pt idx="0">
                          <c:v>36.4%</c:v>
                        </c:pt>
                      </c15:dlblFieldTableCache>
                    </c15:dlblFTEntry>
                  </c15:dlblFieldTable>
                  <c15:showDataLabelsRange val="0"/>
                </c:ext>
                <c:ext xmlns:c16="http://schemas.microsoft.com/office/drawing/2014/chart" uri="{C3380CC4-5D6E-409C-BE32-E72D297353CC}">
                  <c16:uniqueId val="{00000001-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2019-20</c:v>
                </c:pt>
                <c:pt idx="1">
                  <c:v>2020-21</c:v>
                </c:pt>
              </c:strCache>
            </c:strRef>
          </c:cat>
          <c:val>
            <c:numRef>
              <c:f>(Ausgrid!$I$34,Ausgrid!$O$34)</c:f>
              <c:numCache>
                <c:formatCode>#,##0.00</c:formatCode>
                <c:ptCount val="2"/>
                <c:pt idx="0">
                  <c:v>530.66646600000001</c:v>
                </c:pt>
                <c:pt idx="1">
                  <c:v>540.11745150000002</c:v>
                </c:pt>
              </c:numCache>
            </c:numRef>
          </c:val>
          <c:extLst>
            <c:ext xmlns:c16="http://schemas.microsoft.com/office/drawing/2014/chart" uri="{C3380CC4-5D6E-409C-BE32-E72D297353CC}">
              <c16:uniqueId val="{00000002-18A7-4A35-8EB4-7839DD9E1215}"/>
            </c:ext>
          </c:extLst>
        </c:ser>
        <c:ser>
          <c:idx val="1"/>
          <c:order val="1"/>
          <c:tx>
            <c:strRef>
              <c:f>Ausgrid!$F$35</c:f>
              <c:strCache>
                <c:ptCount val="1"/>
                <c:pt idx="0">
                  <c:v>Wholesale cost</c:v>
                </c:pt>
              </c:strCache>
            </c:strRef>
          </c:tx>
          <c:spPr>
            <a:solidFill>
              <a:schemeClr val="accent2"/>
            </a:solidFill>
            <a:ln>
              <a:noFill/>
            </a:ln>
            <a:effectLst/>
          </c:spPr>
          <c:invertIfNegative val="0"/>
          <c:dLbls>
            <c:dLbl>
              <c:idx val="0"/>
              <c:tx>
                <c:strRef>
                  <c:f>Ausgrid!$J$35</c:f>
                  <c:strCache>
                    <c:ptCount val="1"/>
                    <c:pt idx="0">
                      <c:v>32.6%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{E7EB2CC9-A1A1-495C-8245-90DA2042850C}</c15:txfldGUID>
                      <c15:f>Ausgrid!$J$35</c15:f>
                      <c15:dlblFieldTableCache>
                        <c:ptCount val="1"/>
                        <c:pt idx="0">
                          <c:v>32.6%</c:v>
                        </c:pt>
                      </c15:dlblFieldTableCache>
                    </c15:dlblFTEntry>
                  </c15:dlblFieldTable>
                  <c15:showDataLabelsRange val="0"/>
                </c:ext>
                <c:ext xmlns:c16="http://schemas.microsoft.com/office/drawing/2014/chart" uri="{C3380CC4-5D6E-409C-BE32-E72D297353CC}">
                  <c16:uniqueId val="{00000003-18A7-4A35-8EB4-7839DD9E1215}"/>
                </c:ext>
              </c:extLst>
            </c:dLbl>
            <c:dLbl>
              <c:idx val="1"/>
              <c:tx>
                <c:strRef>
                  <c:f>Ausgrid!$N$35</c:f>
                  <c:strCache>
                    <c:ptCount val="1"/>
                    <c:pt idx="0">
                      <c:v>32.8%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{2BEE7946-2790-4D90-85EB-E4075A18EC9E}</c15:txfldGUID>
                      <c15:f>Ausgrid!$N$35</c15:f>
                      <c15:dlblFieldTableCache>
                        <c:ptCount val="1"/>
                        <c:pt idx="0">
                          <c:v>32.8%</c:v>
                        </c:pt>
                      </c15:dlblFieldTableCache>
                    </c15:dlblFTEntry>
                  </c15:dlblFieldTable>
                  <c15:showDataLabelsRange val="0"/>
                </c:ext>
                <c:ext xmlns:c16="http://schemas.microsoft.com/office/drawing/2014/chart" uri="{C3380CC4-5D6E-409C-BE32-E72D297353CC}">
                  <c16:uniqueId val="{00000004-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2019-20</c:v>
                </c:pt>
                <c:pt idx="1">
                  <c:v>2020-21</c:v>
                </c:pt>
              </c:strCache>
            </c:strRef>
          </c:cat>
          <c:val>
            <c:numRef>
              <c:f>(Ausgrid!$I$35,Ausgrid!$O$35)</c:f>
              <c:numCache>
                <c:formatCode>#,##0.00</c:formatCode>
                <c:ptCount val="2"/>
                <c:pt idx="0">
                  <c:v>477.73439999999999</c:v>
                </c:pt>
                <c:pt idx="1">
                  <c:v>486.82920000000001</c:v>
                </c:pt>
              </c:numCache>
            </c:numRef>
          </c:val>
          <c:extLst>
            <c:ext xmlns:c16="http://schemas.microsoft.com/office/drawing/2014/chart" uri="{C3380CC4-5D6E-409C-BE32-E72D297353CC}">
              <c16:uniqueId val="{00000005-18A7-4A35-8EB4-7839DD9E1215}"/>
            </c:ext>
          </c:extLst>
        </c:ser>
        <c:ser>
          <c:idx val="2"/>
          <c:order val="2"/>
          <c:tx>
            <c:strRef>
              <c:f>Ausgrid!$F$36</c:f>
              <c:strCache>
                <c:ptCount val="1"/>
                <c:pt idx="0">
                  <c:v>Environmental cost</c:v>
                </c:pt>
              </c:strCache>
            </c:strRef>
          </c:tx>
          <c:spPr>
            <a:solidFill>
              <a:schemeClr val="accent3"/>
            </a:solidFill>
            <a:ln>
              <a:noFill/>
            </a:ln>
            <a:effectLst/>
          </c:spPr>
          <c:invertIfNegative val="0"/>
          <c:dLbls>
            <c:dLbl>
              <c:idx val="0"/>
              <c:tx>
                <c:strRef>
                  <c:f>Ausgrid!$J$36</c:f>
                  <c:strCache>
                    <c:ptCount val="1"/>
                    <c:pt idx="0">
                      <c:v>5.7%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{FA66BD69-4989-40C8-B85E-48554F825DDF}</c15:txfldGUID>
                      <c15:f>Ausgrid!$J$36</c15:f>
                      <c15:dlblFieldTableCache>
                        <c:ptCount val="1"/>
                        <c:pt idx="0">
                          <c:v>5.7%</c:v>
                        </c:pt>
                      </c15:dlblFieldTableCache>
                    </c15:dlblFTEntry>
                  </c15:dlblFieldTable>
                  <c15:showDataLabelsRange val="0"/>
                </c:ext>
                <c:ext xmlns:c16="http://schemas.microsoft.com/office/drawing/2014/chart" uri="{C3380CC4-5D6E-409C-BE32-E72D297353CC}">
                  <c16:uniqueId val="{00000006-18A7-4A35-8EB4-7839DD9E1215}"/>
                </c:ext>
              </c:extLst>
            </c:dLbl>
            <c:dLbl>
              <c:idx val="1"/>
              <c:tx>
                <c:strRef>
                  <c:f>Ausgrid!$N$36</c:f>
                  <c:strCache>
                    <c:ptCount val="1"/>
                    <c:pt idx="0">
                      <c:v>5.0%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{1F35E077-FFED-4F09-8D6E-5C4C8970D79B}</c15:txfldGUID>
                      <c15:f>Ausgrid!$N$36</c15:f>
                      <c15:dlblFieldTableCache>
                        <c:ptCount val="1"/>
                        <c:pt idx="0">
                          <c:v>5.0%</c:v>
                        </c:pt>
                      </c15:dlblFieldTableCache>
                    </c15:dlblFTEntry>
                  </c15:dlblFieldTable>
                  <c15:showDataLabelsRange val="0"/>
                </c:ext>
                <c:ext xmlns:c16="http://schemas.microsoft.com/office/drawing/2014/chart" uri="{C3380CC4-5D6E-409C-BE32-E72D297353CC}">
                  <c16:uniqueId val="{00000007-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2019-20</c:v>
                </c:pt>
                <c:pt idx="1">
                  <c:v>2020-21</c:v>
                </c:pt>
              </c:strCache>
            </c:strRef>
          </c:cat>
          <c:val>
            <c:numRef>
              <c:f>(Ausgrid!$I$36,Ausgrid!$O$36)</c:f>
              <c:numCache>
                <c:formatCode>#,##0.00</c:formatCode>
                <c:ptCount val="2"/>
                <c:pt idx="0">
                  <c:v>82.968600000000009</c:v>
                </c:pt>
                <c:pt idx="1">
                  <c:v>73.659299999999988</c:v>
                </c:pt>
              </c:numCache>
            </c:numRef>
          </c:val>
          <c:extLst>
            <c:ext xmlns:c16="http://schemas.microsoft.com/office/drawing/2014/chart" uri="{C3380CC4-5D6E-409C-BE32-E72D297353CC}">
              <c16:uniqueId val="{00000008-18A7-4A35-8EB4-7839DD9E1215}"/>
            </c:ext>
          </c:extLst>
        </c:ser>
        <c:ser>
          <c:idx val="3"/>
          <c:order val="3"/>
          <c:tx>
            <c:strRef>
              <c:f>Ausgrid!$F$37</c:f>
              <c:strCache>
                <c:ptCount val="1"/>
                <c:pt idx="0">
                  <c:v>Residual cost</c:v>
                </c:pt>
              </c:strCache>
            </c:strRef>
          </c:tx>
          <c:spPr>
            <a:solidFill>
              <a:schemeClr val="accent6">
                <a:lumMod val="40000"/>
                <a:lumOff val="60000"/>
              </a:schemeClr>
            </a:solidFill>
            <a:ln>
              <a:noFill/>
            </a:ln>
            <a:effectLst/>
          </c:spPr>
          <c:invertIfNegative val="0"/>
          <c:dLbls>
            <c:dLbl>
              <c:idx val="0"/>
              <c:tx>
                <c:strRef>
                  <c:f>Ausgrid!$J$37</c:f>
                  <c:strCache>
                    <c:ptCount val="1"/>
                    <c:pt idx="0">
                      <c:v>25.6%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{98A165B5-F47C-452C-A375-68AD4C2497D0}</c15:txfldGUID>
                      <c15:f>Ausgrid!$J$37</c15:f>
                      <c15:dlblFieldTableCache>
                        <c:ptCount val="1"/>
                        <c:pt idx="0">
                          <c:v>25.6%</c:v>
                        </c:pt>
                      </c15:dlblFieldTableCache>
                    </c15:dlblFTEntry>
                  </c15:dlblFieldTable>
                  <c15:showDataLabelsRange val="0"/>
                </c:ext>
                <c:ext xmlns:c16="http://schemas.microsoft.com/office/drawing/2014/chart" uri="{C3380CC4-5D6E-409C-BE32-E72D297353CC}">
                  <c16:uniqueId val="{00000009-18A7-4A35-8EB4-7839DD9E1215}"/>
                </c:ext>
              </c:extLst>
            </c:dLbl>
            <c:dLbl>
              <c:idx val="1"/>
              <c:tx>
                <c:strRef>
                  <c:f>Ausgrid!$N$37</c:f>
                  <c:strCache>
                    <c:ptCount val="1"/>
                    <c:pt idx="0">
                      <c:v>25.8%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{36BDA00A-7E6A-45AF-B6E6-431C2A7A9B7D}</c15:txfldGUID>
                      <c15:f>Ausgrid!$N$37</c15:f>
                      <c15:dlblFieldTableCache>
                        <c:ptCount val="1"/>
                        <c:pt idx="0">
                          <c:v>25.8%</c:v>
                        </c:pt>
                      </c15:dlblFieldTableCache>
                    </c15:dlblFTEntry>
                  </c15:dlblFieldTable>
                  <c15:showDataLabelsRange val="0"/>
                </c:ext>
                <c:ext xmlns:c16="http://schemas.microsoft.com/office/drawing/2014/chart" uri="{C3380CC4-5D6E-409C-BE32-E72D297353CC}">
                  <c16:uniqueId val="{0000000A-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2019-20</c:v>
                </c:pt>
                <c:pt idx="1">
                  <c:v>2020-21</c:v>
                </c:pt>
              </c:strCache>
            </c:strRef>
          </c:cat>
          <c:val>
            <c:numRef>
              <c:f>(Ausgrid!$I$37,Ausgrid!$O$37)</c:f>
              <c:numCache>
                <c:formatCode>#,##0.00</c:formatCode>
                <c:ptCount val="2"/>
                <c:pt idx="0">
                  <c:v>375.63053400000013</c:v>
                </c:pt>
                <c:pt idx="1">
                  <c:v>382.57969887900003</c:v>
                </c:pt>
              </c:numCache>
            </c:numRef>
          </c:val>
          <c:extLst>
            <c:ext xmlns:c16="http://schemas.microsoft.com/office/drawing/2014/chart" uri="{C3380CC4-5D6E-409C-BE32-E72D297353CC}">
              <c16:uniqueId val="{0000000B-18A7-4A35-8EB4-7839DD9E1215}"/>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2019-20</c:v>
                </c:pt>
                <c:pt idx="1">
                  <c:v>2020-21</c:v>
                </c:pt>
              </c:strCache>
            </c:strRef>
          </c:cat>
          <c:val>
            <c:numRef>
              <c:f>(Ausgrid!$H$33,Ausgrid!$H$39)</c:f>
              <c:numCache>
                <c:formatCode>#,##0.00</c:formatCode>
                <c:ptCount val="2"/>
                <c:pt idx="0">
                  <c:v>1467</c:v>
                </c:pt>
                <c:pt idx="1">
                  <c:v>1483.185650379</c:v>
                </c:pt>
              </c:numCache>
            </c:numRef>
          </c:val>
          <c:extLst>
            <c:ext xmlns:c16="http://schemas.microsoft.com/office/drawing/2014/chart" uri="{C3380CC4-5D6E-409C-BE32-E72D297353CC}">
              <c16:uniqueId val="{00000000-2749-4F62-9886-C482991FB35B}"/>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8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Ausgrid!$E$3</c:f>
          <c:strCache>
            <c:ptCount val="1"/>
            <c:pt idx="0">
              <c:v>Ausgrid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Ausgrid!$F$34</c:f>
              <c:strCache>
                <c:ptCount val="1"/>
                <c:pt idx="0">
                  <c:v>Network cost</c:v>
                </c:pt>
              </c:strCache>
            </c:strRef>
          </c:tx>
          <c:spPr>
            <a:solidFill>
              <a:schemeClr val="accent1"/>
            </a:solidFill>
            <a:ln>
              <a:noFill/>
            </a:ln>
            <a:effectLst/>
          </c:spPr>
          <c:invertIfNegative val="0"/>
          <c:dLbls>
            <c:dLbl>
              <c:idx val="0"/>
              <c:tx>
                <c:strRef>
                  <c:f>Ausgrid!$AD$34</c:f>
                  <c:strCache>
                    <c:ptCount val="1"/>
                    <c:pt idx="0">
                      <c:v>30.9%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{2E38B5F0-840F-495E-A8A2-E9E4C6F1156C}</c15:txfldGUID>
                      <c15:f>Ausgrid!$AD$34</c15:f>
                      <c15:dlblFieldTableCache>
                        <c:ptCount val="1"/>
                        <c:pt idx="0">
                          <c:v>30.9%</c:v>
                        </c:pt>
                      </c15:dlblFieldTableCache>
                    </c15:dlblFTEntry>
                  </c15:dlblFieldTable>
                  <c15:showDataLabelsRange val="0"/>
                </c:ext>
                <c:ext xmlns:c16="http://schemas.microsoft.com/office/drawing/2014/chart" uri="{C3380CC4-5D6E-409C-BE32-E72D297353CC}">
                  <c16:uniqueId val="{00000003-4C39-4B77-9319-0FA432B9F30B}"/>
                </c:ext>
              </c:extLst>
            </c:dLbl>
            <c:dLbl>
              <c:idx val="1"/>
              <c:tx>
                <c:strRef>
                  <c:f>Ausgrid!$AH$34</c:f>
                  <c:strCache>
                    <c:ptCount val="1"/>
                    <c:pt idx="0">
                      <c:v>30.1%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{E3FFA5B2-96D7-4424-A46E-37C8A1635689}</c15:txfldGUID>
                      <c15:f>Ausgrid!$AH$34</c15:f>
                      <c15:dlblFieldTableCache>
                        <c:ptCount val="1"/>
                        <c:pt idx="0">
                          <c:v>30.1%</c:v>
                        </c:pt>
                      </c15:dlblFieldTableCache>
                    </c15:dlblFTEntry>
                  </c15:dlblFieldTable>
                  <c15:showDataLabelsRange val="0"/>
                </c:ext>
                <c:ext xmlns:c16="http://schemas.microsoft.com/office/drawing/2014/chart" uri="{C3380CC4-5D6E-409C-BE32-E72D297353CC}">
                  <c16:uniqueId val="{00000004-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(Ausgrid!$AC$29,Ausgrid!$AF$29)</c:f>
              <c:strCache>
                <c:ptCount val="2"/>
                <c:pt idx="0">
                  <c:v>2019-20</c:v>
                </c:pt>
                <c:pt idx="1">
                  <c:v>2020-21</c:v>
                </c:pt>
              </c:strCache>
            </c:strRef>
          </c:cat>
          <c:val>
            <c:numRef>
              <c:f>(Ausgrid!$AC$34,Ausgrid!$AI$34)</c:f>
              <c:numCache>
                <c:formatCode>#,##0.00</c:formatCode>
                <c:ptCount val="2"/>
                <c:pt idx="0">
                  <c:v>2274.7341649999998</c:v>
                </c:pt>
                <c:pt idx="1">
                  <c:v>2211.6951064999998</c:v>
                </c:pt>
              </c:numCache>
            </c:numRef>
          </c:val>
          <c:extLst>
            <c:ext xmlns:c16="http://schemas.microsoft.com/office/drawing/2014/chart" uri="{C3380CC4-5D6E-409C-BE32-E72D297353CC}">
              <c16:uniqueId val="{00000000-1FC8-49A9-8F48-B7A67588EC3D}"/>
            </c:ext>
          </c:extLst>
        </c:ser>
        <c:ser>
          <c:idx val="1"/>
          <c:order val="1"/>
          <c:tx>
            <c:strRef>
              <c:f>Ausgrid!$F$35</c:f>
              <c:strCache>
                <c:ptCount val="1"/>
                <c:pt idx="0">
                  <c:v>Wholesale cost</c:v>
                </c:pt>
              </c:strCache>
            </c:strRef>
          </c:tx>
          <c:spPr>
            <a:solidFill>
              <a:schemeClr val="accent2"/>
            </a:solidFill>
            <a:ln>
              <a:noFill/>
            </a:ln>
            <a:effectLst/>
          </c:spPr>
          <c:invertIfNegative val="0"/>
          <c:dLbls>
            <c:dLbl>
              <c:idx val="0"/>
              <c:tx>
                <c:strRef>
                  <c:f>Ausgrid!$AD$35</c:f>
                  <c:strCache>
                    <c:ptCount val="1"/>
                    <c:pt idx="0">
                      <c:v>33.2%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{1BB5AE28-369B-42D3-BB41-86ECD2A492A9}</c15:txfldGUID>
                      <c15:f>Ausgrid!$AD$35</c15:f>
                      <c15:dlblFieldTableCache>
                        <c:ptCount val="1"/>
                        <c:pt idx="0">
                          <c:v>33.2%</c:v>
                        </c:pt>
                      </c15:dlblFieldTableCache>
                    </c15:dlblFTEntry>
                  </c15:dlblFieldTable>
                  <c15:showDataLabelsRange val="0"/>
                </c:ext>
                <c:ext xmlns:c16="http://schemas.microsoft.com/office/drawing/2014/chart" uri="{C3380CC4-5D6E-409C-BE32-E72D297353CC}">
                  <c16:uniqueId val="{00000002-4C39-4B77-9319-0FA432B9F30B}"/>
                </c:ext>
              </c:extLst>
            </c:dLbl>
            <c:dLbl>
              <c:idx val="1"/>
              <c:tx>
                <c:strRef>
                  <c:f>Ausgrid!$AH$35</c:f>
                  <c:strCache>
                    <c:ptCount val="1"/>
                    <c:pt idx="0">
                      <c:v>34.0%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{75586AFE-06CC-4FA4-A5DA-533F30E15471}</c15:txfldGUID>
                      <c15:f>Ausgrid!$AH$35</c15:f>
                      <c15:dlblFieldTableCache>
                        <c:ptCount val="1"/>
                        <c:pt idx="0">
                          <c:v>34.0%</c:v>
                        </c:pt>
                      </c15:dlblFieldTableCache>
                    </c15:dlblFTEntry>
                  </c15:dlblFieldTable>
                  <c15:showDataLabelsRange val="0"/>
                </c:ext>
                <c:ext xmlns:c16="http://schemas.microsoft.com/office/drawing/2014/chart" uri="{C3380CC4-5D6E-409C-BE32-E72D297353CC}">
                  <c16:uniqueId val="{00000005-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(Ausgrid!$AC$29,Ausgrid!$AF$29)</c:f>
              <c:strCache>
                <c:ptCount val="2"/>
                <c:pt idx="0">
                  <c:v>2019-20</c:v>
                </c:pt>
                <c:pt idx="1">
                  <c:v>2020-21</c:v>
                </c:pt>
              </c:strCache>
            </c:strRef>
          </c:cat>
          <c:val>
            <c:numRef>
              <c:f>(Ausgrid!$AC$35,Ausgrid!$AI$35)</c:f>
              <c:numCache>
                <c:formatCode>#,##0.00</c:formatCode>
                <c:ptCount val="2"/>
                <c:pt idx="0">
                  <c:v>2449.9199999999996</c:v>
                </c:pt>
                <c:pt idx="1">
                  <c:v>2496.56</c:v>
                </c:pt>
              </c:numCache>
            </c:numRef>
          </c:val>
          <c:extLst>
            <c:ext xmlns:c16="http://schemas.microsoft.com/office/drawing/2014/chart" uri="{C3380CC4-5D6E-409C-BE32-E72D297353CC}">
              <c16:uniqueId val="{00000001-1FC8-49A9-8F48-B7A67588EC3D}"/>
            </c:ext>
          </c:extLst>
        </c:ser>
        <c:ser>
          <c:idx val="2"/>
          <c:order val="2"/>
          <c:tx>
            <c:strRef>
              <c:f>Ausgrid!$F$36</c:f>
              <c:strCache>
                <c:ptCount val="1"/>
                <c:pt idx="0">
                  <c:v>Environmental cost</c:v>
                </c:pt>
              </c:strCache>
            </c:strRef>
          </c:tx>
          <c:spPr>
            <a:solidFill>
              <a:schemeClr val="accent3"/>
            </a:solidFill>
            <a:ln>
              <a:noFill/>
            </a:ln>
            <a:effectLst/>
          </c:spPr>
          <c:invertIfNegative val="0"/>
          <c:dLbls>
            <c:dLbl>
              <c:idx val="0"/>
              <c:tx>
                <c:strRef>
                  <c:f>Ausgrid!$AD$36</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{5EF03F86-5283-4F6D-AF49-34D8479B7172}</c15:txfldGUID>
                      <c15:f>Ausgrid!$AD$36</c15:f>
                      <c15:dlblFieldTableCache>
                        <c:ptCount val="1"/>
                        <c:pt idx="0">
                          <c:v>5.8%</c:v>
                        </c:pt>
                      </c15:dlblFieldTableCache>
                    </c15:dlblFTEntry>
                  </c15:dlblFieldTable>
                  <c15:showDataLabelsRange val="0"/>
                </c:ext>
                <c:ext xmlns:c16="http://schemas.microsoft.com/office/drawing/2014/chart" uri="{C3380CC4-5D6E-409C-BE32-E72D297353CC}">
                  <c16:uniqueId val="{00000001-4C39-4B77-9319-0FA432B9F30B}"/>
                </c:ext>
              </c:extLst>
            </c:dLbl>
            <c:dLbl>
              <c:idx val="1"/>
              <c:tx>
                <c:strRef>
                  <c:f>Ausgrid!$AH$36</c:f>
                  <c:strCache>
                    <c:ptCount val="1"/>
                    <c:pt idx="0">
                      <c:v>5.1%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{5FB3EF73-AE81-4F43-83B7-09E609F5C853}</c15:txfldGUID>
                      <c15:f>Ausgrid!$AH$36</c15:f>
                      <c15:dlblFieldTableCache>
                        <c:ptCount val="1"/>
                        <c:pt idx="0">
                          <c:v>5.1%</c:v>
                        </c:pt>
                      </c15:dlblFieldTableCache>
                    </c15:dlblFTEntry>
                  </c15:dlblFieldTable>
                  <c15:showDataLabelsRange val="0"/>
                </c:ext>
                <c:ext xmlns:c16="http://schemas.microsoft.com/office/drawing/2014/chart" uri="{C3380CC4-5D6E-409C-BE32-E72D297353CC}">
                  <c16:uniqueId val="{00000006-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(Ausgrid!$AC$29,Ausgrid!$AF$29)</c:f>
              <c:strCache>
                <c:ptCount val="2"/>
                <c:pt idx="0">
                  <c:v>2019-20</c:v>
                </c:pt>
                <c:pt idx="1">
                  <c:v>2020-21</c:v>
                </c:pt>
              </c:strCache>
            </c:strRef>
          </c:cat>
          <c:val>
            <c:numRef>
              <c:f>(Ausgrid!$AC$36,Ausgrid!$AI$36)</c:f>
              <c:numCache>
                <c:formatCode>#,##0.00</c:formatCode>
                <c:ptCount val="2"/>
                <c:pt idx="0">
                  <c:v>425.48</c:v>
                </c:pt>
                <c:pt idx="1">
                  <c:v>377.74</c:v>
                </c:pt>
              </c:numCache>
            </c:numRef>
          </c:val>
          <c:extLst>
            <c:ext xmlns:c16="http://schemas.microsoft.com/office/drawing/2014/chart" uri="{C3380CC4-5D6E-409C-BE32-E72D297353CC}">
              <c16:uniqueId val="{00000002-1FC8-49A9-8F48-B7A67588EC3D}"/>
            </c:ext>
          </c:extLst>
        </c:ser>
        <c:ser>
          <c:idx val="3"/>
          <c:order val="3"/>
          <c:tx>
            <c:strRef>
              <c:f>Ausgrid!$F$37</c:f>
              <c:strCache>
                <c:ptCount val="1"/>
                <c:pt idx="0">
                  <c:v>Residual cost</c:v>
                </c:pt>
              </c:strCache>
            </c:strRef>
          </c:tx>
          <c:spPr>
            <a:solidFill>
              <a:schemeClr val="accent6">
                <a:lumMod val="40000"/>
                <a:lumOff val="60000"/>
              </a:schemeClr>
            </a:solidFill>
            <a:ln>
              <a:noFill/>
            </a:ln>
            <a:effectLst/>
          </c:spPr>
          <c:invertIfNegative val="0"/>
          <c:dLbls>
            <c:dLbl>
              <c:idx val="0"/>
              <c:tx>
                <c:strRef>
                  <c:f>Ausgrid!$AD$37</c:f>
                  <c:strCache>
                    <c:ptCount val="1"/>
                    <c:pt idx="0">
                      <c:v>30.1%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{A5323045-73AA-4EEB-B8DD-AF429F74FC50}</c15:txfldGUID>
                      <c15:f>Ausgrid!$AD$37</c15:f>
                      <c15:dlblFieldTableCache>
                        <c:ptCount val="1"/>
                        <c:pt idx="0">
                          <c:v>30.1%</c:v>
                        </c:pt>
                      </c15:dlblFieldTableCache>
                    </c15:dlblFTEntry>
                  </c15:dlblFieldTable>
                  <c15:showDataLabelsRange val="0"/>
                </c:ext>
                <c:ext xmlns:c16="http://schemas.microsoft.com/office/drawing/2014/chart" uri="{C3380CC4-5D6E-409C-BE32-E72D297353CC}">
                  <c16:uniqueId val="{00000000-4C39-4B77-9319-0FA432B9F30B}"/>
                </c:ext>
              </c:extLst>
            </c:dLbl>
            <c:dLbl>
              <c:idx val="1"/>
              <c:tx>
                <c:strRef>
                  <c:f>Ausgrid!$AH$37</c:f>
                  <c:strCache>
                    <c:ptCount val="1"/>
                    <c:pt idx="0">
                      <c:v>30.8%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{4FE1DE8C-23D7-483A-A36D-1167A1441F30}</c15:txfldGUID>
                      <c15:f>Ausgrid!$AH$37</c15:f>
                      <c15:dlblFieldTableCache>
                        <c:ptCount val="1"/>
                        <c:pt idx="0">
                          <c:v>30.8%</c:v>
                        </c:pt>
                      </c15:dlblFieldTableCache>
                    </c15:dlblFTEntry>
                  </c15:dlblFieldTable>
                  <c15:showDataLabelsRange val="0"/>
                </c:ext>
                <c:ext xmlns:c16="http://schemas.microsoft.com/office/drawing/2014/chart" uri="{C3380CC4-5D6E-409C-BE32-E72D297353CC}">
                  <c16:uniqueId val="{00000007-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(Ausgrid!$AC$29,Ausgrid!$AF$29)</c:f>
              <c:strCache>
                <c:ptCount val="2"/>
                <c:pt idx="0">
                  <c:v>2019-20</c:v>
                </c:pt>
                <c:pt idx="1">
                  <c:v>2020-21</c:v>
                </c:pt>
              </c:strCache>
            </c:strRef>
          </c:cat>
          <c:val>
            <c:numRef>
              <c:f>(Ausgrid!$AC$37,Ausgrid!$AI$37)</c:f>
              <c:numCache>
                <c:formatCode>#,##0.00</c:formatCode>
                <c:ptCount val="2"/>
                <c:pt idx="0">
                  <c:v>2220.8658350000005</c:v>
                </c:pt>
                <c:pt idx="1">
                  <c:v>2261.9518529475008</c:v>
                </c:pt>
              </c:numCache>
            </c:numRef>
          </c:val>
          <c:extLst>
            <c:ext xmlns:c16="http://schemas.microsoft.com/office/drawing/2014/chart" uri="{C3380CC4-5D6E-409C-BE32-E72D297353CC}">
              <c16:uniqueId val="{00000003-1FC8-49A9-8F48-B7A67588EC3D}"/>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(Ausgrid!$AC$29,Ausgrid!$AF$29)</c:f>
              <c:strCache>
                <c:ptCount val="2"/>
                <c:pt idx="0">
                  <c:v>2019-20</c:v>
                </c:pt>
                <c:pt idx="1">
                  <c:v>2020-21</c:v>
                </c:pt>
              </c:strCache>
            </c:strRef>
          </c:cat>
          <c:val>
            <c:numRef>
              <c:f>(Ausgrid!$AB$33,Ausgrid!$AB$39)</c:f>
              <c:numCache>
                <c:formatCode>#,##0.00</c:formatCode>
                <c:ptCount val="2"/>
                <c:pt idx="0">
                  <c:v>7371</c:v>
                </c:pt>
                <c:pt idx="1">
                  <c:v>7347.9469594475004</c:v>
                </c:pt>
              </c:numCache>
            </c:numRef>
          </c:val>
          <c:extLst>
            <c:ext xmlns:c16="http://schemas.microsoft.com/office/drawing/2014/chart" uri="{C3380CC4-5D6E-409C-BE32-E72D297353CC}">
              <c16:uniqueId val="{00000000-BD94-42AD-92F5-CF2464829DD0}"/>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8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Endeavour!$D$3</c:f>
          <c:strCache>
            <c:ptCount val="1"/>
            <c:pt idx="0">
              <c:v>Endeavour Residential with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Endeavour!$F$34</c:f>
              <c:strCache>
                <c:ptCount val="1"/>
                <c:pt idx="0">
                  <c:v>Network cost</c:v>
                </c:pt>
              </c:strCache>
            </c:strRef>
          </c:tx>
          <c:spPr>
            <a:solidFill>
              <a:schemeClr val="accent1"/>
            </a:solidFill>
            <a:ln>
              <a:noFill/>
            </a:ln>
            <a:effectLst/>
          </c:spPr>
          <c:invertIfNegative val="0"/>
          <c:dLbls>
            <c:dLbl>
              <c:idx val="0"/>
              <c:tx>
                <c:strRef>
                  <c:f>Endeavour!$T$34</c:f>
                  <c:strCache>
                    <c:ptCount val="1"/>
                    <c:pt idx="0">
                      <c:v>33.2%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{A2D4BBA2-3C69-42A5-9E9F-35CA1327C086}</c15:txfldGUID>
                      <c15:f>Endeavour!$T$34</c15:f>
                      <c15:dlblFieldTableCache>
                        <c:ptCount val="1"/>
                        <c:pt idx="0">
                          <c:v>33.2%</c:v>
                        </c:pt>
                      </c15:dlblFieldTableCache>
                    </c15:dlblFTEntry>
                  </c15:dlblFieldTable>
                  <c15:showDataLabelsRange val="0"/>
                </c:ext>
                <c:ext xmlns:c16="http://schemas.microsoft.com/office/drawing/2014/chart" uri="{C3380CC4-5D6E-409C-BE32-E72D297353CC}">
                  <c16:uniqueId val="{00000000-07A0-4A33-B3E4-93E6F72E1EDF}"/>
                </c:ext>
              </c:extLst>
            </c:dLbl>
            <c:dLbl>
              <c:idx val="1"/>
              <c:tx>
                <c:strRef>
                  <c:f>Endeavour!$X$34</c:f>
                  <c:strCache>
                    <c:ptCount val="1"/>
                    <c:pt idx="0">
                      <c:v>32.6%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{497112B3-EBC1-4E87-A950-7F3B39D16B92}</c15:txfldGUID>
                      <c15:f>Endeavour!$X$34</c15:f>
                      <c15:dlblFieldTableCache>
                        <c:ptCount val="1"/>
                        <c:pt idx="0">
                          <c:v>32.6%</c:v>
                        </c:pt>
                      </c15:dlblFieldTableCache>
                    </c15:dlblFTEntry>
                  </c15:dlblFieldTable>
                  <c15:showDataLabelsRange val="0"/>
                </c:ext>
                <c:ext xmlns:c16="http://schemas.microsoft.com/office/drawing/2014/chart" uri="{C3380CC4-5D6E-409C-BE32-E72D297353CC}">
                  <c16:uniqueId val="{00000001-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(Endeavour!$S$29,Endeavour!$V$29)</c:f>
              <c:strCache>
                <c:ptCount val="2"/>
                <c:pt idx="0">
                  <c:v>2019-20</c:v>
                </c:pt>
                <c:pt idx="1">
                  <c:v>2020-21</c:v>
                </c:pt>
              </c:strCache>
            </c:strRef>
          </c:cat>
          <c:val>
            <c:numRef>
              <c:f>(Endeavour!$S$34,Endeavour!$Y$34)</c:f>
              <c:numCache>
                <c:formatCode>#,##0.00</c:formatCode>
                <c:ptCount val="2"/>
                <c:pt idx="0">
                  <c:v>719.72343080000019</c:v>
                </c:pt>
                <c:pt idx="1">
                  <c:v>713.89961940000012</c:v>
                </c:pt>
              </c:numCache>
            </c:numRef>
          </c:val>
          <c:extLst>
            <c:ext xmlns:c16="http://schemas.microsoft.com/office/drawing/2014/chart" uri="{C3380CC4-5D6E-409C-BE32-E72D297353CC}">
              <c16:uniqueId val="{00000002-07A0-4A33-B3E4-93E6F72E1EDF}"/>
            </c:ext>
          </c:extLst>
        </c:ser>
        <c:ser>
          <c:idx val="1"/>
          <c:order val="1"/>
          <c:tx>
            <c:strRef>
              <c:f>Endeavour!$F$35</c:f>
              <c:strCache>
                <c:ptCount val="1"/>
                <c:pt idx="0">
                  <c:v>Wholesale cost</c:v>
                </c:pt>
              </c:strCache>
            </c:strRef>
          </c:tx>
          <c:spPr>
            <a:solidFill>
              <a:schemeClr val="accent2"/>
            </a:solidFill>
            <a:ln>
              <a:noFill/>
            </a:ln>
            <a:effectLst/>
          </c:spPr>
          <c:invertIfNegative val="0"/>
          <c:dLbls>
            <c:dLbl>
              <c:idx val="0"/>
              <c:tx>
                <c:strRef>
                  <c:f>Endeavour!$T$35</c:f>
                  <c:strCache>
                    <c:ptCount val="1"/>
                    <c:pt idx="0">
                      <c:v>39.7%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{EFCED7FC-E875-434D-99E2-18A88600BE25}</c15:txfldGUID>
                      <c15:f>Endeavour!$T$35</c15:f>
                      <c15:dlblFieldTableCache>
                        <c:ptCount val="1"/>
                        <c:pt idx="0">
                          <c:v>39.7%</c:v>
                        </c:pt>
                      </c15:dlblFieldTableCache>
                    </c15:dlblFTEntry>
                  </c15:dlblFieldTable>
                  <c15:showDataLabelsRange val="0"/>
                </c:ext>
                <c:ext xmlns:c16="http://schemas.microsoft.com/office/drawing/2014/chart" uri="{C3380CC4-5D6E-409C-BE32-E72D297353CC}">
                  <c16:uniqueId val="{00000003-07A0-4A33-B3E4-93E6F72E1EDF}"/>
                </c:ext>
              </c:extLst>
            </c:dLbl>
            <c:dLbl>
              <c:idx val="1"/>
              <c:tx>
                <c:strRef>
                  <c:f>Endeavour!$X$35</c:f>
                  <c:strCache>
                    <c:ptCount val="1"/>
                    <c:pt idx="0">
                      <c:v>41.2%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{8B76304D-89AC-48F5-B59F-167F28AD7F4B}</c15:txfldGUID>
                      <c15:f>Endeavour!$X$35</c15:f>
                      <c15:dlblFieldTableCache>
                        <c:ptCount val="1"/>
                        <c:pt idx="0">
                          <c:v>41.2%</c:v>
                        </c:pt>
                      </c15:dlblFieldTableCache>
                    </c15:dlblFTEntry>
                  </c15:dlblFieldTable>
                  <c15:showDataLabelsRange val="0"/>
                </c:ext>
                <c:ext xmlns:c16="http://schemas.microsoft.com/office/drawing/2014/chart" uri="{C3380CC4-5D6E-409C-BE32-E72D297353CC}">
                  <c16:uniqueId val="{00000004-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(Endeavour!$S$29,Endeavour!$V$29)</c:f>
              <c:strCache>
                <c:ptCount val="2"/>
                <c:pt idx="0">
                  <c:v>2019-20</c:v>
                </c:pt>
                <c:pt idx="1">
                  <c:v>2020-21</c:v>
                </c:pt>
              </c:strCache>
            </c:strRef>
          </c:cat>
          <c:val>
            <c:numRef>
              <c:f>(Endeavour!$S$35,Endeavour!$Y$35)</c:f>
              <c:numCache>
                <c:formatCode>#,##0.00</c:formatCode>
                <c:ptCount val="2"/>
                <c:pt idx="0">
                  <c:v>859.83699999999999</c:v>
                </c:pt>
                <c:pt idx="1">
                  <c:v>903.18579999999997</c:v>
                </c:pt>
              </c:numCache>
            </c:numRef>
          </c:val>
          <c:extLst>
            <c:ext xmlns:c16="http://schemas.microsoft.com/office/drawing/2014/chart" uri="{C3380CC4-5D6E-409C-BE32-E72D297353CC}">
              <c16:uniqueId val="{00000005-07A0-4A33-B3E4-93E6F72E1EDF}"/>
            </c:ext>
          </c:extLst>
        </c:ser>
        <c:ser>
          <c:idx val="2"/>
          <c:order val="2"/>
          <c:tx>
            <c:strRef>
              <c:f>Endeavour!$F$36</c:f>
              <c:strCache>
                <c:ptCount val="1"/>
                <c:pt idx="0">
                  <c:v>Environmental cost</c:v>
                </c:pt>
              </c:strCache>
            </c:strRef>
          </c:tx>
          <c:spPr>
            <a:solidFill>
              <a:schemeClr val="accent3"/>
            </a:solidFill>
            <a:ln>
              <a:noFill/>
            </a:ln>
            <a:effectLst/>
          </c:spPr>
          <c:invertIfNegative val="0"/>
          <c:dLbls>
            <c:dLbl>
              <c:idx val="0"/>
              <c:tx>
                <c:strRef>
                  <c:f>Endeavour!$T$36</c:f>
                  <c:strCache>
                    <c:ptCount val="1"/>
                    <c:pt idx="0">
                      <c:v>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{46D30F1D-F362-43D4-8044-AF5FC0CCCBEB}</c15:txfldGUID>
                      <c15:f>Endeavour!$T$36</c15:f>
                      <c15:dlblFieldTableCache>
                        <c:ptCount val="1"/>
                        <c:pt idx="0">
                          <c:v>7.3%</c:v>
                        </c:pt>
                      </c15:dlblFieldTableCache>
                    </c15:dlblFTEntry>
                  </c15:dlblFieldTable>
                  <c15:showDataLabelsRange val="0"/>
                </c:ext>
                <c:ext xmlns:c16="http://schemas.microsoft.com/office/drawing/2014/chart" uri="{C3380CC4-5D6E-409C-BE32-E72D297353CC}">
                  <c16:uniqueId val="{00000006-07A0-4A33-B3E4-93E6F72E1EDF}"/>
                </c:ext>
              </c:extLst>
            </c:dLbl>
            <c:dLbl>
              <c:idx val="1"/>
              <c:tx>
                <c:strRef>
                  <c:f>Endeavour!$X$36</c:f>
                  <c:strCache>
                    <c:ptCount val="1"/>
                    <c:pt idx="0">
                      <c:v>6.4%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{1C10F22D-C6FE-464B-9F37-6BD8E20B49CE}</c15:txfldGUID>
                      <c15:f>Endeavour!$X$36</c15:f>
                      <c15:dlblFieldTableCache>
                        <c:ptCount val="1"/>
                        <c:pt idx="0">
                          <c:v>6.4%</c:v>
                        </c:pt>
                      </c15:dlblFieldTableCache>
                    </c15:dlblFTEntry>
                  </c15:dlblFieldTable>
                  <c15:showDataLabelsRange val="0"/>
                </c:ext>
                <c:ext xmlns:c16="http://schemas.microsoft.com/office/drawing/2014/chart" uri="{C3380CC4-5D6E-409C-BE32-E72D297353CC}">
                  <c16:uniqueId val="{00000007-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(Endeavour!$S$29,Endeavour!$V$29)</c:f>
              <c:strCache>
                <c:ptCount val="2"/>
                <c:pt idx="0">
                  <c:v>2019-20</c:v>
                </c:pt>
                <c:pt idx="1">
                  <c:v>2020-21</c:v>
                </c:pt>
              </c:strCache>
            </c:strRef>
          </c:cat>
          <c:val>
            <c:numRef>
              <c:f>(Endeavour!$S$36,Endeavour!$Y$36)</c:f>
              <c:numCache>
                <c:formatCode>#,##0.00</c:formatCode>
                <c:ptCount val="2"/>
                <c:pt idx="0">
                  <c:v>158.32300000000001</c:v>
                </c:pt>
                <c:pt idx="1">
                  <c:v>139.92660000000001</c:v>
                </c:pt>
              </c:numCache>
            </c:numRef>
          </c:val>
          <c:extLst>
            <c:ext xmlns:c16="http://schemas.microsoft.com/office/drawing/2014/chart" uri="{C3380CC4-5D6E-409C-BE32-E72D297353CC}">
              <c16:uniqueId val="{00000008-07A0-4A33-B3E4-93E6F72E1EDF}"/>
            </c:ext>
          </c:extLst>
        </c:ser>
        <c:ser>
          <c:idx val="3"/>
          <c:order val="3"/>
          <c:tx>
            <c:strRef>
              <c:f>Endeavour!$F$37</c:f>
              <c:strCache>
                <c:ptCount val="1"/>
                <c:pt idx="0">
                  <c:v>Residual cost</c:v>
                </c:pt>
              </c:strCache>
            </c:strRef>
          </c:tx>
          <c:spPr>
            <a:solidFill>
              <a:schemeClr val="accent6">
                <a:lumMod val="40000"/>
                <a:lumOff val="60000"/>
              </a:schemeClr>
            </a:solidFill>
            <a:ln>
              <a:noFill/>
            </a:ln>
            <a:effectLst/>
          </c:spPr>
          <c:invertIfNegative val="0"/>
          <c:dLbls>
            <c:dLbl>
              <c:idx val="0"/>
              <c:tx>
                <c:strRef>
                  <c:f>Endeavour!$T$37</c:f>
                  <c:strCache>
                    <c:ptCount val="1"/>
                    <c:pt idx="0">
                      <c:v>19.8%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{58CBB371-4BD5-4881-85BA-AFB8590D0A5C}</c15:txfldGUID>
                      <c15:f>Endeavour!$T$37</c15:f>
                      <c15:dlblFieldTableCache>
                        <c:ptCount val="1"/>
                        <c:pt idx="0">
                          <c:v>19.8%</c:v>
                        </c:pt>
                      </c15:dlblFieldTableCache>
                    </c15:dlblFTEntry>
                  </c15:dlblFieldTable>
                  <c15:showDataLabelsRange val="0"/>
                </c:ext>
                <c:ext xmlns:c16="http://schemas.microsoft.com/office/drawing/2014/chart" uri="{C3380CC4-5D6E-409C-BE32-E72D297353CC}">
                  <c16:uniqueId val="{00000009-07A0-4A33-B3E4-93E6F72E1EDF}"/>
                </c:ext>
              </c:extLst>
            </c:dLbl>
            <c:dLbl>
              <c:idx val="1"/>
              <c:tx>
                <c:strRef>
                  <c:f>Endeavour!$X$37</c:f>
                  <c:strCache>
                    <c:ptCount val="1"/>
                    <c:pt idx="0">
                      <c:v>19.9%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{4C7BBD10-7542-4416-AF13-0315BF2B63BE}</c15:txfldGUID>
                      <c15:f>Endeavour!$X$37</c15:f>
                      <c15:dlblFieldTableCache>
                        <c:ptCount val="1"/>
                        <c:pt idx="0">
                          <c:v>19.9%</c:v>
                        </c:pt>
                      </c15:dlblFieldTableCache>
                    </c15:dlblFTEntry>
                  </c15:dlblFieldTable>
                  <c15:showDataLabelsRange val="0"/>
                </c:ext>
                <c:ext xmlns:c16="http://schemas.microsoft.com/office/drawing/2014/chart" uri="{C3380CC4-5D6E-409C-BE32-E72D297353CC}">
                  <c16:uniqueId val="{0000000A-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(Endeavour!$S$29,Endeavour!$V$29)</c:f>
              <c:strCache>
                <c:ptCount val="2"/>
                <c:pt idx="0">
                  <c:v>2019-20</c:v>
                </c:pt>
                <c:pt idx="1">
                  <c:v>2020-21</c:v>
                </c:pt>
              </c:strCache>
            </c:strRef>
          </c:cat>
          <c:val>
            <c:numRef>
              <c:f>(Endeavour!$S$37,Endeavour!$Y$37)</c:f>
              <c:numCache>
                <c:formatCode>#,##0.00</c:formatCode>
                <c:ptCount val="2"/>
                <c:pt idx="0">
                  <c:v>428.11656919999973</c:v>
                </c:pt>
                <c:pt idx="1">
                  <c:v>436.03672573020003</c:v>
                </c:pt>
              </c:numCache>
            </c:numRef>
          </c:val>
          <c:extLst>
            <c:ext xmlns:c16="http://schemas.microsoft.com/office/drawing/2014/chart" uri="{C3380CC4-5D6E-409C-BE32-E72D297353CC}">
              <c16:uniqueId val="{0000000B-07A0-4A33-B3E4-93E6F72E1EDF}"/>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(Endeavour!$S$29,Endeavour!$V$29)</c:f>
              <c:strCache>
                <c:ptCount val="2"/>
                <c:pt idx="0">
                  <c:v>2019-20</c:v>
                </c:pt>
                <c:pt idx="1">
                  <c:v>2020-21</c:v>
                </c:pt>
              </c:strCache>
            </c:strRef>
          </c:cat>
          <c:val>
            <c:numRef>
              <c:f>(Endeavour!$R$33,Endeavour!$R$39)</c:f>
              <c:numCache>
                <c:formatCode>#,##0.00</c:formatCode>
                <c:ptCount val="2"/>
                <c:pt idx="0">
                  <c:v>2166</c:v>
                </c:pt>
                <c:pt idx="1">
                  <c:v>2193.0487451302001</c:v>
                </c:pt>
              </c:numCache>
            </c:numRef>
          </c:val>
          <c:extLst>
            <c:ext xmlns:c16="http://schemas.microsoft.com/office/drawing/2014/chart" uri="{C3380CC4-5D6E-409C-BE32-E72D297353CC}">
              <c16:uniqueId val="{0000000C-07A0-4A33-B3E4-93E6F72E1EDF}"/>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5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Endeavour!$C$3</c:f>
          <c:strCache>
            <c:ptCount val="1"/>
            <c:pt idx="0">
              <c:v>Endeavour Residential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Endeavour!$F$34</c:f>
              <c:strCache>
                <c:ptCount val="1"/>
                <c:pt idx="0">
                  <c:v>Network cost</c:v>
                </c:pt>
              </c:strCache>
            </c:strRef>
          </c:tx>
          <c:spPr>
            <a:solidFill>
              <a:schemeClr val="accent1"/>
            </a:solidFill>
            <a:ln>
              <a:noFill/>
            </a:ln>
            <a:effectLst/>
          </c:spPr>
          <c:invertIfNegative val="0"/>
          <c:dLbls>
            <c:dLbl>
              <c:idx val="0"/>
              <c:tx>
                <c:strRef>
                  <c:f>Endeavour!$J$34</c:f>
                  <c:strCache>
                    <c:ptCount val="1"/>
                    <c:pt idx="0">
                      <c:v>36.3%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{DC30387F-FA6D-46E9-9A73-EF424CD682CF}</c15:txfldGUID>
                      <c15:f>Endeavour!$J$34</c15:f>
                      <c15:dlblFieldTableCache>
                        <c:ptCount val="1"/>
                        <c:pt idx="0">
                          <c:v>36.3%</c:v>
                        </c:pt>
                      </c15:dlblFieldTableCache>
                    </c15:dlblFTEntry>
                  </c15:dlblFieldTable>
                  <c15:showDataLabelsRange val="0"/>
                </c:ext>
                <c:ext xmlns:c16="http://schemas.microsoft.com/office/drawing/2014/chart" uri="{C3380CC4-5D6E-409C-BE32-E72D297353CC}">
                  <c16:uniqueId val="{00000000-2E3C-4F9B-9462-81CDED5DADEA}"/>
                </c:ext>
              </c:extLst>
            </c:dLbl>
            <c:dLbl>
              <c:idx val="1"/>
              <c:tx>
                <c:strRef>
                  <c:f>Endeavour!$N$34</c:f>
                  <c:strCache>
                    <c:ptCount val="1"/>
                    <c:pt idx="0">
                      <c:v>35.4%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{87732474-5429-47D1-92A1-9E3E8CAA3EFC}</c15:txfldGUID>
                      <c15:f>Endeavour!$N$34</c15:f>
                      <c15:dlblFieldTableCache>
                        <c:ptCount val="1"/>
                        <c:pt idx="0">
                          <c:v>35.4%</c:v>
                        </c:pt>
                      </c15:dlblFieldTableCache>
                    </c15:dlblFTEntry>
                  </c15:dlblFieldTable>
                  <c15:showDataLabelsRange val="0"/>
                </c:ext>
                <c:ext xmlns:c16="http://schemas.microsoft.com/office/drawing/2014/chart" uri="{C3380CC4-5D6E-409C-BE32-E72D297353CC}">
                  <c16:uniqueId val="{00000001-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2019-20</c:v>
                </c:pt>
                <c:pt idx="1">
                  <c:v>2020-21</c:v>
                </c:pt>
              </c:strCache>
            </c:strRef>
          </c:cat>
          <c:val>
            <c:numRef>
              <c:f>(Endeavour!$I$34,Endeavour!$O$34)</c:f>
              <c:numCache>
                <c:formatCode>#,##0.00</c:formatCode>
                <c:ptCount val="2"/>
                <c:pt idx="0">
                  <c:v>623.53731000000005</c:v>
                </c:pt>
                <c:pt idx="1">
                  <c:v>611.50199000000009</c:v>
                </c:pt>
              </c:numCache>
            </c:numRef>
          </c:val>
          <c:extLst>
            <c:ext xmlns:c16="http://schemas.microsoft.com/office/drawing/2014/chart" uri="{C3380CC4-5D6E-409C-BE32-E72D297353CC}">
              <c16:uniqueId val="{00000002-2E3C-4F9B-9462-81CDED5DADEA}"/>
            </c:ext>
          </c:extLst>
        </c:ser>
        <c:ser>
          <c:idx val="1"/>
          <c:order val="1"/>
          <c:tx>
            <c:strRef>
              <c:f>Endeavour!$F$35</c:f>
              <c:strCache>
                <c:ptCount val="1"/>
                <c:pt idx="0">
                  <c:v>Wholesale cost</c:v>
                </c:pt>
              </c:strCache>
            </c:strRef>
          </c:tx>
          <c:spPr>
            <a:solidFill>
              <a:schemeClr val="accent2"/>
            </a:solidFill>
            <a:ln>
              <a:noFill/>
            </a:ln>
            <a:effectLst/>
          </c:spPr>
          <c:invertIfNegative val="0"/>
          <c:dLbls>
            <c:dLbl>
              <c:idx val="0"/>
              <c:tx>
                <c:strRef>
                  <c:f>Endeavour!$J$35</c:f>
                  <c:strCache>
                    <c:ptCount val="1"/>
                    <c:pt idx="0">
                      <c:v>34.0%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{ACD70091-CBF4-4504-8041-8D2FFA257102}</c15:txfldGUID>
                      <c15:f>Endeavour!$J$35</c15:f>
                      <c15:dlblFieldTableCache>
                        <c:ptCount val="1"/>
                        <c:pt idx="0">
                          <c:v>34.0%</c:v>
                        </c:pt>
                      </c15:dlblFieldTableCache>
                    </c15:dlblFTEntry>
                  </c15:dlblFieldTable>
                  <c15:showDataLabelsRange val="0"/>
                </c:ext>
                <c:ext xmlns:c16="http://schemas.microsoft.com/office/drawing/2014/chart" uri="{C3380CC4-5D6E-409C-BE32-E72D297353CC}">
                  <c16:uniqueId val="{00000003-2E3C-4F9B-9462-81CDED5DADEA}"/>
                </c:ext>
              </c:extLst>
            </c:dLbl>
            <c:dLbl>
              <c:idx val="1"/>
              <c:tx>
                <c:strRef>
                  <c:f>Endeavour!$N$35</c:f>
                  <c:strCache>
                    <c:ptCount val="1"/>
                    <c:pt idx="0">
                      <c:v>35.3%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{BAC8CBB2-7A6F-48D4-BB05-0A8B8027DBE6}</c15:txfldGUID>
                      <c15:f>Endeavour!$N$35</c15:f>
                      <c15:dlblFieldTableCache>
                        <c:ptCount val="1"/>
                        <c:pt idx="0">
                          <c:v>35.3%</c:v>
                        </c:pt>
                      </c15:dlblFieldTableCache>
                    </c15:dlblFTEntry>
                  </c15:dlblFieldTable>
                  <c15:showDataLabelsRange val="0"/>
                </c:ext>
                <c:ext xmlns:c16="http://schemas.microsoft.com/office/drawing/2014/chart" uri="{C3380CC4-5D6E-409C-BE32-E72D297353CC}">
                  <c16:uniqueId val="{00000004-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2019-20</c:v>
                </c:pt>
                <c:pt idx="1">
                  <c:v>2020-21</c:v>
                </c:pt>
              </c:strCache>
            </c:strRef>
          </c:cat>
          <c:val>
            <c:numRef>
              <c:f>(Endeavour!$I$35,Endeavour!$O$35)</c:f>
              <c:numCache>
                <c:formatCode>#,##0.00</c:formatCode>
                <c:ptCount val="2"/>
                <c:pt idx="0">
                  <c:v>585.40789999999993</c:v>
                </c:pt>
                <c:pt idx="1">
                  <c:v>610.79480000000001</c:v>
                </c:pt>
              </c:numCache>
            </c:numRef>
          </c:val>
          <c:extLst>
            <c:ext xmlns:c16="http://schemas.microsoft.com/office/drawing/2014/chart" uri="{C3380CC4-5D6E-409C-BE32-E72D297353CC}">
              <c16:uniqueId val="{00000005-2E3C-4F9B-9462-81CDED5DADEA}"/>
            </c:ext>
          </c:extLst>
        </c:ser>
        <c:ser>
          <c:idx val="2"/>
          <c:order val="2"/>
          <c:tx>
            <c:strRef>
              <c:f>Endeavour!$F$36</c:f>
              <c:strCache>
                <c:ptCount val="1"/>
                <c:pt idx="0">
                  <c:v>Environmental cost</c:v>
                </c:pt>
              </c:strCache>
            </c:strRef>
          </c:tx>
          <c:spPr>
            <a:solidFill>
              <a:schemeClr val="accent3"/>
            </a:solidFill>
            <a:ln>
              <a:noFill/>
            </a:ln>
            <a:effectLst/>
          </c:spPr>
          <c:invertIfNegative val="0"/>
          <c:dLbls>
            <c:dLbl>
              <c:idx val="0"/>
              <c:tx>
                <c:strRef>
                  <c:f>Endeavour!$J$36</c:f>
                  <c:strCache>
                    <c:ptCount val="1"/>
                    <c:pt idx="0">
                      <c:v>6.1%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{82458842-6689-4C5C-8C3B-7545949CB6C0}</c15:txfldGUID>
                      <c15:f>Endeavour!$J$36</c15:f>
                      <c15:dlblFieldTableCache>
                        <c:ptCount val="1"/>
                        <c:pt idx="0">
                          <c:v>6.1%</c:v>
                        </c:pt>
                      </c15:dlblFieldTableCache>
                    </c15:dlblFTEntry>
                  </c15:dlblFieldTable>
                  <c15:showDataLabelsRange val="0"/>
                </c:ext>
                <c:ext xmlns:c16="http://schemas.microsoft.com/office/drawing/2014/chart" uri="{C3380CC4-5D6E-409C-BE32-E72D297353CC}">
                  <c16:uniqueId val="{00000006-2E3C-4F9B-9462-81CDED5DADEA}"/>
                </c:ext>
              </c:extLst>
            </c:dLbl>
            <c:dLbl>
              <c:idx val="1"/>
              <c:tx>
                <c:strRef>
                  <c:f>Endeavour!$N$36</c:f>
                  <c:strCache>
                    <c:ptCount val="1"/>
                    <c:pt idx="0">
                      <c:v>5.4%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{B3C8D333-1CF3-4FE6-A432-5FE93C168324}</c15:txfldGUID>
                      <c15:f>Endeavour!$N$36</c15:f>
                      <c15:dlblFieldTableCache>
                        <c:ptCount val="1"/>
                        <c:pt idx="0">
                          <c:v>5.4%</c:v>
                        </c:pt>
                      </c15:dlblFieldTableCache>
                    </c15:dlblFTEntry>
                  </c15:dlblFieldTable>
                  <c15:showDataLabelsRange val="0"/>
                </c:ext>
                <c:ext xmlns:c16="http://schemas.microsoft.com/office/drawing/2014/chart" uri="{C3380CC4-5D6E-409C-BE32-E72D297353CC}">
                  <c16:uniqueId val="{00000007-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2019-20</c:v>
                </c:pt>
                <c:pt idx="1">
                  <c:v>2020-21</c:v>
                </c:pt>
              </c:strCache>
            </c:strRef>
          </c:cat>
          <c:val>
            <c:numRef>
              <c:f>(Endeavour!$I$36,Endeavour!$O$36)</c:f>
              <c:numCache>
                <c:formatCode>#,##0.00</c:formatCode>
                <c:ptCount val="2"/>
                <c:pt idx="0">
                  <c:v>104.83550000000001</c:v>
                </c:pt>
                <c:pt idx="1">
                  <c:v>92.6541</c:v>
                </c:pt>
              </c:numCache>
            </c:numRef>
          </c:val>
          <c:extLst>
            <c:ext xmlns:c16="http://schemas.microsoft.com/office/drawing/2014/chart" uri="{C3380CC4-5D6E-409C-BE32-E72D297353CC}">
              <c16:uniqueId val="{00000008-2E3C-4F9B-9462-81CDED5DADEA}"/>
            </c:ext>
          </c:extLst>
        </c:ser>
        <c:ser>
          <c:idx val="3"/>
          <c:order val="3"/>
          <c:tx>
            <c:strRef>
              <c:f>Endeavour!$F$37</c:f>
              <c:strCache>
                <c:ptCount val="1"/>
                <c:pt idx="0">
                  <c:v>Residual cost</c:v>
                </c:pt>
              </c:strCache>
            </c:strRef>
          </c:tx>
          <c:spPr>
            <a:solidFill>
              <a:schemeClr val="accent6">
                <a:lumMod val="40000"/>
                <a:lumOff val="60000"/>
              </a:schemeClr>
            </a:solidFill>
            <a:ln>
              <a:noFill/>
            </a:ln>
            <a:effectLst/>
          </c:spPr>
          <c:invertIfNegative val="0"/>
          <c:dLbls>
            <c:dLbl>
              <c:idx val="0"/>
              <c:tx>
                <c:strRef>
                  <c:f>Endeavour!$J$37</c:f>
                  <c:strCache>
                    <c:ptCount val="1"/>
                    <c:pt idx="0">
                      <c:v>23.6%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{767152F2-ACDC-4A5E-B8FE-E1D57A374F47}</c15:txfldGUID>
                      <c15:f>Endeavour!$J$37</c15:f>
                      <c15:dlblFieldTableCache>
                        <c:ptCount val="1"/>
                        <c:pt idx="0">
                          <c:v>23.6%</c:v>
                        </c:pt>
                      </c15:dlblFieldTableCache>
                    </c15:dlblFTEntry>
                  </c15:dlblFieldTable>
                  <c15:showDataLabelsRange val="0"/>
                </c:ext>
                <c:ext xmlns:c16="http://schemas.microsoft.com/office/drawing/2014/chart" uri="{C3380CC4-5D6E-409C-BE32-E72D297353CC}">
                  <c16:uniqueId val="{00000009-2E3C-4F9B-9462-81CDED5DADEA}"/>
                </c:ext>
              </c:extLst>
            </c:dLbl>
            <c:dLbl>
              <c:idx val="1"/>
              <c:tx>
                <c:strRef>
                  <c:f>Endeavour!$N$37</c:f>
                  <c:strCache>
                    <c:ptCount val="1"/>
                    <c:pt idx="0">
                      <c:v>23.9%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{3762A4B6-3650-4EE2-8EAF-C806217D6ED5}</c15:txfldGUID>
                      <c15:f>Endeavour!$N$37</c15:f>
                      <c15:dlblFieldTableCache>
                        <c:ptCount val="1"/>
                        <c:pt idx="0">
                          <c:v>23.9%</c:v>
                        </c:pt>
                      </c15:dlblFieldTableCache>
                    </c15:dlblFTEntry>
                  </c15:dlblFieldTable>
                  <c15:showDataLabelsRange val="0"/>
                </c:ext>
                <c:ext xmlns:c16="http://schemas.microsoft.com/office/drawing/2014/chart" uri="{C3380CC4-5D6E-409C-BE32-E72D297353CC}">
                  <c16:uniqueId val="{0000000A-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2019-20</c:v>
                </c:pt>
                <c:pt idx="1">
                  <c:v>2020-21</c:v>
                </c:pt>
              </c:strCache>
            </c:strRef>
          </c:cat>
          <c:val>
            <c:numRef>
              <c:f>(Endeavour!$I$37,Endeavour!$O$37)</c:f>
              <c:numCache>
                <c:formatCode>#,##0.00</c:formatCode>
                <c:ptCount val="2"/>
                <c:pt idx="0">
                  <c:v>406.21929000000023</c:v>
                </c:pt>
                <c:pt idx="1">
                  <c:v>413.73434686499991</c:v>
                </c:pt>
              </c:numCache>
            </c:numRef>
          </c:val>
          <c:extLst>
            <c:ext xmlns:c16="http://schemas.microsoft.com/office/drawing/2014/chart" uri="{C3380CC4-5D6E-409C-BE32-E72D297353CC}">
              <c16:uniqueId val="{0000000B-2E3C-4F9B-9462-81CDED5DADEA}"/>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2019-20</c:v>
                </c:pt>
                <c:pt idx="1">
                  <c:v>2020-21</c:v>
                </c:pt>
              </c:strCache>
            </c:strRef>
          </c:cat>
          <c:val>
            <c:numRef>
              <c:f>(Endeavour!$H$33,Endeavour!$H$39)</c:f>
              <c:numCache>
                <c:formatCode>#,##0.00</c:formatCode>
                <c:ptCount val="2"/>
                <c:pt idx="0">
                  <c:v>1720</c:v>
                </c:pt>
                <c:pt idx="1">
                  <c:v>1728.685236865</c:v>
                </c:pt>
              </c:numCache>
            </c:numRef>
          </c:val>
          <c:extLst>
            <c:ext xmlns:c16="http://schemas.microsoft.com/office/drawing/2014/chart" uri="{C3380CC4-5D6E-409C-BE32-E72D297353CC}">
              <c16:uniqueId val="{0000000C-2E3C-4F9B-9462-81CDED5DADEA}"/>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Endeavour!$E$3</c:f>
          <c:strCache>
            <c:ptCount val="1"/>
            <c:pt idx="0">
              <c:v>Endeavour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Endeavour!$F$34</c:f>
              <c:strCache>
                <c:ptCount val="1"/>
                <c:pt idx="0">
                  <c:v>Network cost</c:v>
                </c:pt>
              </c:strCache>
            </c:strRef>
          </c:tx>
          <c:spPr>
            <a:solidFill>
              <a:schemeClr val="accent1"/>
            </a:solidFill>
            <a:ln>
              <a:noFill/>
            </a:ln>
            <a:effectLst/>
          </c:spPr>
          <c:invertIfNegative val="0"/>
          <c:dLbls>
            <c:dLbl>
              <c:idx val="0"/>
              <c:tx>
                <c:strRef>
                  <c:f>Endeavour!$AD$34</c:f>
                  <c:strCache>
                    <c:ptCount val="1"/>
                    <c:pt idx="0">
                      <c:v>34.4%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{65AA8A54-CBF1-41FD-9B9C-BCB7E495B847}</c15:txfldGUID>
                      <c15:f>Endeavour!$AD$34</c15:f>
                      <c15:dlblFieldTableCache>
                        <c:ptCount val="1"/>
                        <c:pt idx="0">
                          <c:v>34.4%</c:v>
                        </c:pt>
                      </c15:dlblFieldTableCache>
                    </c15:dlblFTEntry>
                  </c15:dlblFieldTable>
                  <c15:showDataLabelsRange val="0"/>
                </c:ext>
                <c:ext xmlns:c16="http://schemas.microsoft.com/office/drawing/2014/chart" uri="{C3380CC4-5D6E-409C-BE32-E72D297353CC}">
                  <c16:uniqueId val="{00000000-0CF3-4D94-A294-B84F62DA3E09}"/>
                </c:ext>
              </c:extLst>
            </c:dLbl>
            <c:dLbl>
              <c:idx val="1"/>
              <c:tx>
                <c:strRef>
                  <c:f>Endeavour!$AH$34</c:f>
                  <c:strCache>
                    <c:ptCount val="1"/>
                    <c:pt idx="0">
                      <c:v>33.7%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{320708C0-9576-4226-8CB0-37CD680D2D5F}</c15:txfldGUID>
                      <c15:f>Endeavour!$AH$34</c15:f>
                      <c15:dlblFieldTableCache>
                        <c:ptCount val="1"/>
                        <c:pt idx="0">
                          <c:v>33.7%</c:v>
                        </c:pt>
                      </c15:dlblFieldTableCache>
                    </c15:dlblFTEntry>
                  </c15:dlblFieldTable>
                  <c15:showDataLabelsRange val="0"/>
                </c:ext>
                <c:ext xmlns:c16="http://schemas.microsoft.com/office/drawing/2014/chart" uri="{C3380CC4-5D6E-409C-BE32-E72D297353CC}">
                  <c16:uniqueId val="{00000001-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(Endeavour!$AC$29,Endeavour!$AF$29)</c:f>
              <c:strCache>
                <c:ptCount val="2"/>
                <c:pt idx="0">
                  <c:v>2019-20</c:v>
                </c:pt>
                <c:pt idx="1">
                  <c:v>2020-21</c:v>
                </c:pt>
              </c:strCache>
            </c:strRef>
          </c:cat>
          <c:val>
            <c:numRef>
              <c:f>(Endeavour!$AC$34,Endeavour!$AI$34)</c:f>
              <c:numCache>
                <c:formatCode>#,##0.00</c:formatCode>
                <c:ptCount val="2"/>
                <c:pt idx="0">
                  <c:v>2136.8842</c:v>
                </c:pt>
                <c:pt idx="1">
                  <c:v>2106.3119000000002</c:v>
                </c:pt>
              </c:numCache>
            </c:numRef>
          </c:val>
          <c:extLst>
            <c:ext xmlns:c16="http://schemas.microsoft.com/office/drawing/2014/chart" uri="{C3380CC4-5D6E-409C-BE32-E72D297353CC}">
              <c16:uniqueId val="{00000002-0CF3-4D94-A294-B84F62DA3E09}"/>
            </c:ext>
          </c:extLst>
        </c:ser>
        <c:ser>
          <c:idx val="1"/>
          <c:order val="1"/>
          <c:tx>
            <c:strRef>
              <c:f>Endeavour!$F$35</c:f>
              <c:strCache>
                <c:ptCount val="1"/>
                <c:pt idx="0">
                  <c:v>Wholesale cost</c:v>
                </c:pt>
              </c:strCache>
            </c:strRef>
          </c:tx>
          <c:spPr>
            <a:solidFill>
              <a:schemeClr val="accent2"/>
            </a:solidFill>
            <a:ln>
              <a:noFill/>
            </a:ln>
            <a:effectLst/>
          </c:spPr>
          <c:invertIfNegative val="0"/>
          <c:dLbls>
            <c:dLbl>
              <c:idx val="0"/>
              <c:tx>
                <c:strRef>
                  <c:f>Endeavour!$AD$35</c:f>
                  <c:strCache>
                    <c:ptCount val="1"/>
                    <c:pt idx="0">
                      <c:v>38.5%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{6B91605D-0115-4B21-8F65-B7A62D345E1F}</c15:txfldGUID>
                      <c15:f>Endeavour!$AD$35</c15:f>
                      <c15:dlblFieldTableCache>
                        <c:ptCount val="1"/>
                        <c:pt idx="0">
                          <c:v>38.5%</c:v>
                        </c:pt>
                      </c15:dlblFieldTableCache>
                    </c15:dlblFTEntry>
                  </c15:dlblFieldTable>
                  <c15:showDataLabelsRange val="0"/>
                </c:ext>
                <c:ext xmlns:c16="http://schemas.microsoft.com/office/drawing/2014/chart" uri="{C3380CC4-5D6E-409C-BE32-E72D297353CC}">
                  <c16:uniqueId val="{00000003-0CF3-4D94-A294-B84F62DA3E09}"/>
                </c:ext>
              </c:extLst>
            </c:dLbl>
            <c:dLbl>
              <c:idx val="1"/>
              <c:tx>
                <c:strRef>
                  <c:f>Endeavour!$AH$35</c:f>
                  <c:strCache>
                    <c:ptCount val="1"/>
                    <c:pt idx="0">
                      <c:v>39.9%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{DD301F51-7334-478B-90C9-4CD682B62FC4}</c15:txfldGUID>
                      <c15:f>Endeavour!$AH$35</c15:f>
                      <c15:dlblFieldTableCache>
                        <c:ptCount val="1"/>
                        <c:pt idx="0">
                          <c:v>39.9%</c:v>
                        </c:pt>
                      </c15:dlblFieldTableCache>
                    </c15:dlblFTEntry>
                  </c15:dlblFieldTable>
                  <c15:showDataLabelsRange val="0"/>
                </c:ext>
                <c:ext xmlns:c16="http://schemas.microsoft.com/office/drawing/2014/chart" uri="{C3380CC4-5D6E-409C-BE32-E72D297353CC}">
                  <c16:uniqueId val="{00000004-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(Endeavour!$AC$29,Endeavour!$AF$29)</c:f>
              <c:strCache>
                <c:ptCount val="2"/>
                <c:pt idx="0">
                  <c:v>2019-20</c:v>
                </c:pt>
                <c:pt idx="1">
                  <c:v>2020-21</c:v>
                </c:pt>
              </c:strCache>
            </c:strRef>
          </c:cat>
          <c:val>
            <c:numRef>
              <c:f>(Endeavour!$AC$35,Endeavour!$AI$35)</c:f>
              <c:numCache>
                <c:formatCode>#,##0.00</c:formatCode>
                <c:ptCount val="2"/>
                <c:pt idx="0">
                  <c:v>2389.4199999999996</c:v>
                </c:pt>
                <c:pt idx="1">
                  <c:v>2493.04</c:v>
                </c:pt>
              </c:numCache>
            </c:numRef>
          </c:val>
          <c:extLst>
            <c:ext xmlns:c16="http://schemas.microsoft.com/office/drawing/2014/chart" uri="{C3380CC4-5D6E-409C-BE32-E72D297353CC}">
              <c16:uniqueId val="{00000005-0CF3-4D94-A294-B84F62DA3E09}"/>
            </c:ext>
          </c:extLst>
        </c:ser>
        <c:ser>
          <c:idx val="2"/>
          <c:order val="2"/>
          <c:tx>
            <c:strRef>
              <c:f>Endeavour!$F$36</c:f>
              <c:strCache>
                <c:ptCount val="1"/>
                <c:pt idx="0">
                  <c:v>Environmental cost</c:v>
                </c:pt>
              </c:strCache>
            </c:strRef>
          </c:tx>
          <c:spPr>
            <a:solidFill>
              <a:schemeClr val="accent3"/>
            </a:solidFill>
            <a:ln>
              <a:noFill/>
            </a:ln>
            <a:effectLst/>
          </c:spPr>
          <c:invertIfNegative val="0"/>
          <c:dLbls>
            <c:dLbl>
              <c:idx val="0"/>
              <c:tx>
                <c:strRef>
                  <c:f>Endeavour!$AD$36</c:f>
                  <c:strCache>
                    <c:ptCount val="1"/>
                    <c:pt idx="0">
                      <c:v>6.9%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{32256D62-1758-409C-90CE-A5CFDAC18827}</c15:txfldGUID>
                      <c15:f>Endeavour!$AD$36</c15:f>
                      <c15:dlblFieldTableCache>
                        <c:ptCount val="1"/>
                        <c:pt idx="0">
                          <c:v>6.9%</c:v>
                        </c:pt>
                      </c15:dlblFieldTableCache>
                    </c15:dlblFTEntry>
                  </c15:dlblFieldTable>
                  <c15:showDataLabelsRange val="0"/>
                </c:ext>
                <c:ext xmlns:c16="http://schemas.microsoft.com/office/drawing/2014/chart" uri="{C3380CC4-5D6E-409C-BE32-E72D297353CC}">
                  <c16:uniqueId val="{00000006-0CF3-4D94-A294-B84F62DA3E09}"/>
                </c:ext>
              </c:extLst>
            </c:dLbl>
            <c:dLbl>
              <c:idx val="1"/>
              <c:tx>
                <c:strRef>
                  <c:f>Endeavour!$AH$36</c:f>
                  <c:strCache>
                    <c:ptCount val="1"/>
                    <c:pt idx="0">
                      <c:v>6.1%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{4AEA15FD-CE45-4D9F-97C7-6F79387F4900}</c15:txfldGUID>
                      <c15:f>Endeavour!$AH$36</c15:f>
                      <c15:dlblFieldTableCache>
                        <c:ptCount val="1"/>
                        <c:pt idx="0">
                          <c:v>6.1%</c:v>
                        </c:pt>
                      </c15:dlblFieldTableCache>
                    </c15:dlblFTEntry>
                  </c15:dlblFieldTable>
                  <c15:showDataLabelsRange val="0"/>
                </c:ext>
                <c:ext xmlns:c16="http://schemas.microsoft.com/office/drawing/2014/chart" uri="{C3380CC4-5D6E-409C-BE32-E72D297353CC}">
                  <c16:uniqueId val="{00000007-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(Endeavour!$AC$29,Endeavour!$AF$29)</c:f>
              <c:strCache>
                <c:ptCount val="2"/>
                <c:pt idx="0">
                  <c:v>2019-20</c:v>
                </c:pt>
                <c:pt idx="1">
                  <c:v>2020-21</c:v>
                </c:pt>
              </c:strCache>
            </c:strRef>
          </c:cat>
          <c:val>
            <c:numRef>
              <c:f>(Endeavour!$AC$36,Endeavour!$AI$36)</c:f>
              <c:numCache>
                <c:formatCode>#,##0.00</c:formatCode>
                <c:ptCount val="2"/>
                <c:pt idx="0">
                  <c:v>427.9</c:v>
                </c:pt>
                <c:pt idx="1">
                  <c:v>378.18</c:v>
                </c:pt>
              </c:numCache>
            </c:numRef>
          </c:val>
          <c:extLst>
            <c:ext xmlns:c16="http://schemas.microsoft.com/office/drawing/2014/chart" uri="{C3380CC4-5D6E-409C-BE32-E72D297353CC}">
              <c16:uniqueId val="{00000008-0CF3-4D94-A294-B84F62DA3E09}"/>
            </c:ext>
          </c:extLst>
        </c:ser>
        <c:ser>
          <c:idx val="3"/>
          <c:order val="3"/>
          <c:tx>
            <c:strRef>
              <c:f>Endeavour!$F$37</c:f>
              <c:strCache>
                <c:ptCount val="1"/>
                <c:pt idx="0">
                  <c:v>Residual cost</c:v>
                </c:pt>
              </c:strCache>
            </c:strRef>
          </c:tx>
          <c:spPr>
            <a:solidFill>
              <a:schemeClr val="accent6">
                <a:lumMod val="40000"/>
                <a:lumOff val="60000"/>
              </a:schemeClr>
            </a:solidFill>
            <a:ln>
              <a:noFill/>
            </a:ln>
            <a:effectLst/>
          </c:spPr>
          <c:invertIfNegative val="0"/>
          <c:dLbls>
            <c:dLbl>
              <c:idx val="0"/>
              <c:tx>
                <c:strRef>
                  <c:f>Endeavour!$AD$37</c:f>
                  <c:strCache>
                    <c:ptCount val="1"/>
                    <c:pt idx="0">
                      <c:v>20.1%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{2E4203B3-B3C6-428C-86BF-6EF996146FA0}</c15:txfldGUID>
                      <c15:f>Endeavour!$AD$37</c15:f>
                      <c15:dlblFieldTableCache>
                        <c:ptCount val="1"/>
                        <c:pt idx="0">
                          <c:v>20.1%</c:v>
                        </c:pt>
                      </c15:dlblFieldTableCache>
                    </c15:dlblFTEntry>
                  </c15:dlblFieldTable>
                  <c15:showDataLabelsRange val="0"/>
                </c:ext>
                <c:ext xmlns:c16="http://schemas.microsoft.com/office/drawing/2014/chart" uri="{C3380CC4-5D6E-409C-BE32-E72D297353CC}">
                  <c16:uniqueId val="{00000009-0CF3-4D94-A294-B84F62DA3E09}"/>
                </c:ext>
              </c:extLst>
            </c:dLbl>
            <c:dLbl>
              <c:idx val="1"/>
              <c:tx>
                <c:strRef>
                  <c:f>Endeavour!$AH$37</c:f>
                  <c:strCache>
                    <c:ptCount val="1"/>
                    <c:pt idx="0">
                      <c:v>20.4%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{92AF149B-9689-40A6-A234-BD76AD1E6842}</c15:txfldGUID>
                      <c15:f>Endeavour!$AH$37</c15:f>
                      <c15:dlblFieldTableCache>
                        <c:ptCount val="1"/>
                        <c:pt idx="0">
                          <c:v>20.4%</c:v>
                        </c:pt>
                      </c15:dlblFieldTableCache>
                    </c15:dlblFTEntry>
                  </c15:dlblFieldTable>
                  <c15:showDataLabelsRange val="0"/>
                </c:ext>
                <c:ext xmlns:c16="http://schemas.microsoft.com/office/drawing/2014/chart" uri="{C3380CC4-5D6E-409C-BE32-E72D297353CC}">
                  <c16:uniqueId val="{0000000A-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(Endeavour!$AC$29,Endeavour!$AF$29)</c:f>
              <c:strCache>
                <c:ptCount val="2"/>
                <c:pt idx="0">
                  <c:v>2019-20</c:v>
                </c:pt>
                <c:pt idx="1">
                  <c:v>2020-21</c:v>
                </c:pt>
              </c:strCache>
            </c:strRef>
          </c:cat>
          <c:val>
            <c:numRef>
              <c:f>(Endeavour!$AC$37,Endeavour!$AI$37)</c:f>
              <c:numCache>
                <c:formatCode>#,##0.00</c:formatCode>
                <c:ptCount val="2"/>
                <c:pt idx="0">
                  <c:v>1249.7958000000008</c:v>
                </c:pt>
                <c:pt idx="1">
                  <c:v>1272.917022300001</c:v>
                </c:pt>
              </c:numCache>
            </c:numRef>
          </c:val>
          <c:extLst>
            <c:ext xmlns:c16="http://schemas.microsoft.com/office/drawing/2014/chart" uri="{C3380CC4-5D6E-409C-BE32-E72D297353CC}">
              <c16:uniqueId val="{0000000B-0CF3-4D94-A294-B84F62DA3E09}"/>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(Endeavour!$AC$29,Endeavour!$AF$29)</c:f>
              <c:strCache>
                <c:ptCount val="2"/>
                <c:pt idx="0">
                  <c:v>2019-20</c:v>
                </c:pt>
                <c:pt idx="1">
                  <c:v>2020-21</c:v>
                </c:pt>
              </c:strCache>
            </c:strRef>
          </c:cat>
          <c:val>
            <c:numRef>
              <c:f>(Endeavour!$AB$33,Endeavour!$AB$39)</c:f>
              <c:numCache>
                <c:formatCode>#,##0.00</c:formatCode>
                <c:ptCount val="2"/>
                <c:pt idx="0">
                  <c:v>6204</c:v>
                </c:pt>
                <c:pt idx="1">
                  <c:v>6250.448922300001</c:v>
                </c:pt>
              </c:numCache>
            </c:numRef>
          </c:val>
          <c:extLst>
            <c:ext xmlns:c16="http://schemas.microsoft.com/office/drawing/2014/chart" uri="{C3380CC4-5D6E-409C-BE32-E72D297353CC}">
              <c16:uniqueId val="{0000000C-0CF3-4D94-A294-B84F62DA3E09}"/>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70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Essential!$D$3</c:f>
          <c:strCache>
            <c:ptCount val="1"/>
            <c:pt idx="0">
              <c:v>Essential Residential with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Essential!$F$34</c:f>
              <c:strCache>
                <c:ptCount val="1"/>
                <c:pt idx="0">
                  <c:v>Network cost</c:v>
                </c:pt>
              </c:strCache>
            </c:strRef>
          </c:tx>
          <c:spPr>
            <a:solidFill>
              <a:schemeClr val="accent1"/>
            </a:solidFill>
            <a:ln>
              <a:noFill/>
            </a:ln>
            <a:effectLst/>
          </c:spPr>
          <c:invertIfNegative val="0"/>
          <c:dLbls>
            <c:dLbl>
              <c:idx val="0"/>
              <c:tx>
                <c:strRef>
                  <c:f>Essential!$T$34</c:f>
                  <c:strCache>
                    <c:ptCount val="1"/>
                    <c:pt idx="0">
                      <c:v>41.8%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{6A652928-46DA-4C4C-A8D6-E908F1801D73}</c15:txfldGUID>
                      <c15:f>Essential!$T$34</c15:f>
                      <c15:dlblFieldTableCache>
                        <c:ptCount val="1"/>
                        <c:pt idx="0">
                          <c:v>41.8%</c:v>
                        </c:pt>
                      </c15:dlblFieldTableCache>
                    </c15:dlblFTEntry>
                  </c15:dlblFieldTable>
                  <c15:showDataLabelsRange val="0"/>
                </c:ext>
                <c:ext xmlns:c16="http://schemas.microsoft.com/office/drawing/2014/chart" uri="{C3380CC4-5D6E-409C-BE32-E72D297353CC}">
                  <c16:uniqueId val="{00000000-F13B-4BD1-AEC2-D71A9AAADD26}"/>
                </c:ext>
              </c:extLst>
            </c:dLbl>
            <c:dLbl>
              <c:idx val="1"/>
              <c:tx>
                <c:strRef>
                  <c:f>Essential!$X$34</c:f>
                  <c:strCache>
                    <c:ptCount val="1"/>
                    <c:pt idx="0">
                      <c:v>42.3%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{6A72B85E-0449-4315-B28B-EBBED3615036}</c15:txfldGUID>
                      <c15:f>Essential!$X$34</c15:f>
                      <c15:dlblFieldTableCache>
                        <c:ptCount val="1"/>
                        <c:pt idx="0">
                          <c:v>42.3%</c:v>
                        </c:pt>
                      </c15:dlblFieldTableCache>
                    </c15:dlblFTEntry>
                  </c15:dlblFieldTable>
                  <c15:showDataLabelsRange val="0"/>
                </c:ext>
                <c:ext xmlns:c16="http://schemas.microsoft.com/office/drawing/2014/chart" uri="{C3380CC4-5D6E-409C-BE32-E72D297353CC}">
                  <c16:uniqueId val="{00000001-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(Essential!$S$29,Essential!$V$29)</c:f>
              <c:strCache>
                <c:ptCount val="2"/>
                <c:pt idx="0">
                  <c:v>2019-20</c:v>
                </c:pt>
                <c:pt idx="1">
                  <c:v>2020-21</c:v>
                </c:pt>
              </c:strCache>
            </c:strRef>
          </c:cat>
          <c:val>
            <c:numRef>
              <c:f>(Essential!$S$34,Essential!$Y$34)</c:f>
              <c:numCache>
                <c:formatCode>#,##0.00</c:formatCode>
                <c:ptCount val="2"/>
                <c:pt idx="0">
                  <c:v>992.84057399999983</c:v>
                </c:pt>
                <c:pt idx="1">
                  <c:v>1008.3615850000001</c:v>
                </c:pt>
              </c:numCache>
            </c:numRef>
          </c:val>
          <c:extLst>
            <c:ext xmlns:c16="http://schemas.microsoft.com/office/drawing/2014/chart" uri="{C3380CC4-5D6E-409C-BE32-E72D297353CC}">
              <c16:uniqueId val="{00000002-F13B-4BD1-AEC2-D71A9AAADD26}"/>
            </c:ext>
          </c:extLst>
        </c:ser>
        <c:ser>
          <c:idx val="1"/>
          <c:order val="1"/>
          <c:tx>
            <c:strRef>
              <c:f>Essential!$F$35</c:f>
              <c:strCache>
                <c:ptCount val="1"/>
                <c:pt idx="0">
                  <c:v>Wholesale cost</c:v>
                </c:pt>
              </c:strCache>
            </c:strRef>
          </c:tx>
          <c:spPr>
            <a:solidFill>
              <a:schemeClr val="accent2"/>
            </a:solidFill>
            <a:ln>
              <a:noFill/>
            </a:ln>
            <a:effectLst/>
          </c:spPr>
          <c:invertIfNegative val="0"/>
          <c:dLbls>
            <c:dLbl>
              <c:idx val="0"/>
              <c:tx>
                <c:strRef>
                  <c:f>Essential!$T$35</c:f>
                  <c:strCache>
                    <c:ptCount val="1"/>
                    <c:pt idx="0">
                      <c:v>30.8%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{34573C19-DC85-42AC-A830-B05CEA00C6A9}</c15:txfldGUID>
                      <c15:f>Essential!$T$35</c15:f>
                      <c15:dlblFieldTableCache>
                        <c:ptCount val="1"/>
                        <c:pt idx="0">
                          <c:v>30.8%</c:v>
                        </c:pt>
                      </c15:dlblFieldTableCache>
                    </c15:dlblFTEntry>
                  </c15:dlblFieldTable>
                  <c15:showDataLabelsRange val="0"/>
                </c:ext>
                <c:ext xmlns:c16="http://schemas.microsoft.com/office/drawing/2014/chart" uri="{C3380CC4-5D6E-409C-BE32-E72D297353CC}">
                  <c16:uniqueId val="{00000003-F13B-4BD1-AEC2-D71A9AAADD26}"/>
                </c:ext>
              </c:extLst>
            </c:dLbl>
            <c:dLbl>
              <c:idx val="1"/>
              <c:tx>
                <c:strRef>
                  <c:f>Essential!$X$35</c:f>
                  <c:strCache>
                    <c:ptCount val="1"/>
                    <c:pt idx="0">
                      <c:v>30.7%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{965054A1-A335-4756-8A64-6E4F3C1A8DC8}</c15:txfldGUID>
                      <c15:f>Essential!$X$35</c15:f>
                      <c15:dlblFieldTableCache>
                        <c:ptCount val="1"/>
                        <c:pt idx="0">
                          <c:v>30.7%</c:v>
                        </c:pt>
                      </c15:dlblFieldTableCache>
                    </c15:dlblFTEntry>
                  </c15:dlblFieldTable>
                  <c15:showDataLabelsRange val="0"/>
                </c:ext>
                <c:ext xmlns:c16="http://schemas.microsoft.com/office/drawing/2014/chart" uri="{C3380CC4-5D6E-409C-BE32-E72D297353CC}">
                  <c16:uniqueId val="{00000004-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(Essential!$S$29,Essential!$V$29)</c:f>
              <c:strCache>
                <c:ptCount val="2"/>
                <c:pt idx="0">
                  <c:v>2019-20</c:v>
                </c:pt>
                <c:pt idx="1">
                  <c:v>2020-21</c:v>
                </c:pt>
              </c:strCache>
            </c:strRef>
          </c:cat>
          <c:val>
            <c:numRef>
              <c:f>(Essential!$S$35,Essential!$Y$35)</c:f>
              <c:numCache>
                <c:formatCode>#,##0.00</c:formatCode>
                <c:ptCount val="2"/>
                <c:pt idx="0">
                  <c:v>731.28219999999999</c:v>
                </c:pt>
                <c:pt idx="1">
                  <c:v>731.19420000000014</c:v>
                </c:pt>
              </c:numCache>
            </c:numRef>
          </c:val>
          <c:extLst>
            <c:ext xmlns:c16="http://schemas.microsoft.com/office/drawing/2014/chart" uri="{C3380CC4-5D6E-409C-BE32-E72D297353CC}">
              <c16:uniqueId val="{00000005-F13B-4BD1-AEC2-D71A9AAADD26}"/>
            </c:ext>
          </c:extLst>
        </c:ser>
        <c:ser>
          <c:idx val="2"/>
          <c:order val="2"/>
          <c:tx>
            <c:strRef>
              <c:f>Essential!$F$36</c:f>
              <c:strCache>
                <c:ptCount val="1"/>
                <c:pt idx="0">
                  <c:v>Environmental cost</c:v>
                </c:pt>
              </c:strCache>
            </c:strRef>
          </c:tx>
          <c:spPr>
            <a:solidFill>
              <a:schemeClr val="accent3"/>
            </a:solidFill>
            <a:ln>
              <a:noFill/>
            </a:ln>
            <a:effectLst/>
          </c:spPr>
          <c:invertIfNegative val="0"/>
          <c:dLbls>
            <c:dLbl>
              <c:idx val="0"/>
              <c:tx>
                <c:strRef>
                  <c:f>Essential!$T$36</c:f>
                  <c:strCache>
                    <c:ptCount val="1"/>
                    <c:pt idx="0">
                      <c:v>6.0%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{C2FA0C01-2326-4290-A6E8-E7C2A909202E}</c15:txfldGUID>
                      <c15:f>Essential!$T$36</c15:f>
                      <c15:dlblFieldTableCache>
                        <c:ptCount val="1"/>
                        <c:pt idx="0">
                          <c:v>6.0%</c:v>
                        </c:pt>
                      </c15:dlblFieldTableCache>
                    </c15:dlblFTEntry>
                  </c15:dlblFieldTable>
                  <c15:showDataLabelsRange val="0"/>
                </c:ext>
                <c:ext xmlns:c16="http://schemas.microsoft.com/office/drawing/2014/chart" uri="{C3380CC4-5D6E-409C-BE32-E72D297353CC}">
                  <c16:uniqueId val="{00000006-F13B-4BD1-AEC2-D71A9AAADD26}"/>
                </c:ext>
              </c:extLst>
            </c:dLbl>
            <c:dLbl>
              <c:idx val="1"/>
              <c:tx>
                <c:strRef>
                  <c:f>Essential!$X$36</c:f>
                  <c:strCache>
                    <c:ptCount val="1"/>
                    <c:pt idx="0">
                      <c:v>5.2%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{0F07B558-8169-4F59-8BB9-0C40297C988F}</c15:txfldGUID>
                      <c15:f>Essential!$X$36</c15:f>
                      <c15:dlblFieldTableCache>
                        <c:ptCount val="1"/>
                        <c:pt idx="0">
                          <c:v>5.2%</c:v>
                        </c:pt>
                      </c15:dlblFieldTableCache>
                    </c15:dlblFTEntry>
                  </c15:dlblFieldTable>
                  <c15:showDataLabelsRange val="0"/>
                </c:ext>
                <c:ext xmlns:c16="http://schemas.microsoft.com/office/drawing/2014/chart" uri="{C3380CC4-5D6E-409C-BE32-E72D297353CC}">
                  <c16:uniqueId val="{00000007-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(Essential!$S$29,Essential!$V$29)</c:f>
              <c:strCache>
                <c:ptCount val="2"/>
                <c:pt idx="0">
                  <c:v>2019-20</c:v>
                </c:pt>
                <c:pt idx="1">
                  <c:v>2020-21</c:v>
                </c:pt>
              </c:strCache>
            </c:strRef>
          </c:cat>
          <c:val>
            <c:numRef>
              <c:f>(Essential!$S$36,Essential!$Y$36)</c:f>
              <c:numCache>
                <c:formatCode>#,##0.00</c:formatCode>
                <c:ptCount val="2"/>
                <c:pt idx="0">
                  <c:v>141.64259999999999</c:v>
                </c:pt>
                <c:pt idx="1">
                  <c:v>124.65420000000002</c:v>
                </c:pt>
              </c:numCache>
            </c:numRef>
          </c:val>
          <c:extLst>
            <c:ext xmlns:c16="http://schemas.microsoft.com/office/drawing/2014/chart" uri="{C3380CC4-5D6E-409C-BE32-E72D297353CC}">
              <c16:uniqueId val="{00000008-F13B-4BD1-AEC2-D71A9AAADD26}"/>
            </c:ext>
          </c:extLst>
        </c:ser>
        <c:ser>
          <c:idx val="3"/>
          <c:order val="3"/>
          <c:tx>
            <c:strRef>
              <c:f>Essential!$F$37</c:f>
              <c:strCache>
                <c:ptCount val="1"/>
                <c:pt idx="0">
                  <c:v>Residual cost</c:v>
                </c:pt>
              </c:strCache>
            </c:strRef>
          </c:tx>
          <c:spPr>
            <a:solidFill>
              <a:schemeClr val="accent6">
                <a:lumMod val="40000"/>
                <a:lumOff val="60000"/>
              </a:schemeClr>
            </a:solidFill>
            <a:ln>
              <a:noFill/>
            </a:ln>
            <a:effectLst/>
          </c:spPr>
          <c:invertIfNegative val="0"/>
          <c:dLbls>
            <c:dLbl>
              <c:idx val="0"/>
              <c:tx>
                <c:strRef>
                  <c:f>Essential!$T$37</c:f>
                  <c:strCache>
                    <c:ptCount val="1"/>
                    <c:pt idx="0">
                      <c:v>21.4%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{AB195846-7D4F-4300-894A-418D96807555}</c15:txfldGUID>
                      <c15:f>Essential!$T$37</c15:f>
                      <c15:dlblFieldTableCache>
                        <c:ptCount val="1"/>
                        <c:pt idx="0">
                          <c:v>21.4%</c:v>
                        </c:pt>
                      </c15:dlblFieldTableCache>
                    </c15:dlblFTEntry>
                  </c15:dlblFieldTable>
                  <c15:showDataLabelsRange val="0"/>
                </c:ext>
                <c:ext xmlns:c16="http://schemas.microsoft.com/office/drawing/2014/chart" uri="{C3380CC4-5D6E-409C-BE32-E72D297353CC}">
                  <c16:uniqueId val="{00000009-F13B-4BD1-AEC2-D71A9AAADD26}"/>
                </c:ext>
              </c:extLst>
            </c:dLbl>
            <c:dLbl>
              <c:idx val="1"/>
              <c:tx>
                <c:strRef>
                  <c:f>Essential!$X$37</c:f>
                  <c:strCache>
                    <c:ptCount val="1"/>
                    <c:pt idx="0">
                      <c:v>21.8%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{CAD56C34-03D9-4B29-8BCE-D4DDA8BD14EF}</c15:txfldGUID>
                      <c15:f>Essential!$X$37</c15:f>
                      <c15:dlblFieldTableCache>
                        <c:ptCount val="1"/>
                        <c:pt idx="0">
                          <c:v>21.8%</c:v>
                        </c:pt>
                      </c15:dlblFieldTableCache>
                    </c15:dlblFTEntry>
                  </c15:dlblFieldTable>
                  <c15:showDataLabelsRange val="0"/>
                </c:ext>
                <c:ext xmlns:c16="http://schemas.microsoft.com/office/drawing/2014/chart" uri="{C3380CC4-5D6E-409C-BE32-E72D297353CC}">
                  <c16:uniqueId val="{0000000A-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(Essential!$S$29,Essential!$V$29)</c:f>
              <c:strCache>
                <c:ptCount val="2"/>
                <c:pt idx="0">
                  <c:v>2019-20</c:v>
                </c:pt>
                <c:pt idx="1">
                  <c:v>2020-21</c:v>
                </c:pt>
              </c:strCache>
            </c:strRef>
          </c:cat>
          <c:val>
            <c:numRef>
              <c:f>(Essential!$S$37,Essential!$Y$37)</c:f>
              <c:numCache>
                <c:formatCode>#,##0.00</c:formatCode>
                <c:ptCount val="2"/>
                <c:pt idx="0">
                  <c:v>509.23462600000016</c:v>
                </c:pt>
                <c:pt idx="1">
                  <c:v>518.65546658100016</c:v>
                </c:pt>
              </c:numCache>
            </c:numRef>
          </c:val>
          <c:extLst>
            <c:ext xmlns:c16="http://schemas.microsoft.com/office/drawing/2014/chart" uri="{C3380CC4-5D6E-409C-BE32-E72D297353CC}">
              <c16:uniqueId val="{0000000B-F13B-4BD1-AEC2-D71A9AAADD26}"/>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(Essential!$S$29,Essential!$V$29)</c:f>
              <c:strCache>
                <c:ptCount val="2"/>
                <c:pt idx="0">
                  <c:v>2019-20</c:v>
                </c:pt>
                <c:pt idx="1">
                  <c:v>2020-21</c:v>
                </c:pt>
              </c:strCache>
            </c:strRef>
          </c:cat>
          <c:val>
            <c:numRef>
              <c:f>(Essential!$R$33,Essential!$R$39)</c:f>
              <c:numCache>
                <c:formatCode>#,##0.00</c:formatCode>
                <c:ptCount val="2"/>
                <c:pt idx="0">
                  <c:v>2375</c:v>
                </c:pt>
                <c:pt idx="1">
                  <c:v>2382.8654515810003</c:v>
                </c:pt>
              </c:numCache>
            </c:numRef>
          </c:val>
          <c:extLst>
            <c:ext xmlns:c16="http://schemas.microsoft.com/office/drawing/2014/chart" uri="{C3380CC4-5D6E-409C-BE32-E72D297353CC}">
              <c16:uniqueId val="{0000000C-F13B-4BD1-AEC2-D71A9AAADD26}"/>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7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Essential!$C$3</c:f>
          <c:strCache>
            <c:ptCount val="1"/>
            <c:pt idx="0">
              <c:v>Essential Residential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Essential!$F$34</c:f>
              <c:strCache>
                <c:ptCount val="1"/>
                <c:pt idx="0">
                  <c:v>Network cost</c:v>
                </c:pt>
              </c:strCache>
            </c:strRef>
          </c:tx>
          <c:spPr>
            <a:solidFill>
              <a:schemeClr val="accent1"/>
            </a:solidFill>
            <a:ln>
              <a:noFill/>
            </a:ln>
            <a:effectLst/>
          </c:spPr>
          <c:invertIfNegative val="0"/>
          <c:dLbls>
            <c:dLbl>
              <c:idx val="0"/>
              <c:tx>
                <c:strRef>
                  <c:f>Essential!$J$34</c:f>
                  <c:strCache>
                    <c:ptCount val="1"/>
                    <c:pt idx="0">
                      <c:v>45.3%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{50D2648A-5B84-4A3D-87C2-2A43E4E4730C}</c15:txfldGUID>
                      <c15:f>Essential!$J$34</c15:f>
                      <c15:dlblFieldTableCache>
                        <c:ptCount val="1"/>
                        <c:pt idx="0">
                          <c:v>45.3%</c:v>
                        </c:pt>
                      </c15:dlblFieldTableCache>
                    </c15:dlblFTEntry>
                  </c15:dlblFieldTable>
                  <c15:showDataLabelsRange val="0"/>
                </c:ext>
                <c:ext xmlns:c16="http://schemas.microsoft.com/office/drawing/2014/chart" uri="{C3380CC4-5D6E-409C-BE32-E72D297353CC}">
                  <c16:uniqueId val="{00000000-EDB3-4A25-A3E6-7FBA8C393743}"/>
                </c:ext>
              </c:extLst>
            </c:dLbl>
            <c:dLbl>
              <c:idx val="1"/>
              <c:tx>
                <c:strRef>
                  <c:f>Essential!$N$34</c:f>
                  <c:strCache>
                    <c:ptCount val="1"/>
                    <c:pt idx="0">
                      <c:v>45.2%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{06D73971-B5CB-4332-B1DB-EACB87A320CA}</c15:txfldGUID>
                      <c15:f>Essential!$N$34</c15:f>
                      <c15:dlblFieldTableCache>
                        <c:ptCount val="1"/>
                        <c:pt idx="0">
                          <c:v>45.2%</c:v>
                        </c:pt>
                      </c15:dlblFieldTableCache>
                    </c15:dlblFTEntry>
                  </c15:dlblFieldTable>
                  <c15:showDataLabelsRange val="0"/>
                </c:ext>
                <c:ext xmlns:c16="http://schemas.microsoft.com/office/drawing/2014/chart" uri="{C3380CC4-5D6E-409C-BE32-E72D297353CC}">
                  <c16:uniqueId val="{00000001-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2019-20</c:v>
                </c:pt>
                <c:pt idx="1">
                  <c:v>2020-21</c:v>
                </c:pt>
              </c:strCache>
            </c:strRef>
          </c:cat>
          <c:val>
            <c:numRef>
              <c:f>(Essential!$I$34,Essential!$O$34)</c:f>
              <c:numCache>
                <c:formatCode>#,##0.00</c:formatCode>
                <c:ptCount val="2"/>
                <c:pt idx="0">
                  <c:v>885.97822499999984</c:v>
                </c:pt>
                <c:pt idx="1">
                  <c:v>888.38546500000007</c:v>
                </c:pt>
              </c:numCache>
            </c:numRef>
          </c:val>
          <c:extLst>
            <c:ext xmlns:c16="http://schemas.microsoft.com/office/drawing/2014/chart" uri="{C3380CC4-5D6E-409C-BE32-E72D297353CC}">
              <c16:uniqueId val="{00000002-EDB3-4A25-A3E6-7FBA8C393743}"/>
            </c:ext>
          </c:extLst>
        </c:ser>
        <c:ser>
          <c:idx val="1"/>
          <c:order val="1"/>
          <c:tx>
            <c:strRef>
              <c:f>Essential!$F$35</c:f>
              <c:strCache>
                <c:ptCount val="1"/>
                <c:pt idx="0">
                  <c:v>Wholesale cost</c:v>
                </c:pt>
              </c:strCache>
            </c:strRef>
          </c:tx>
          <c:spPr>
            <a:solidFill>
              <a:schemeClr val="accent2"/>
            </a:solidFill>
            <a:ln>
              <a:noFill/>
            </a:ln>
            <a:effectLst/>
          </c:spPr>
          <c:invertIfNegative val="0"/>
          <c:dLbls>
            <c:dLbl>
              <c:idx val="0"/>
              <c:tx>
                <c:strRef>
                  <c:f>Essential!$J$35</c:f>
                  <c:strCache>
                    <c:ptCount val="1"/>
                    <c:pt idx="0">
                      <c:v>26.7%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{A3AAC071-7486-4E5E-A079-1BA0364AC348}</c15:txfldGUID>
                      <c15:f>Essential!$J$35</c15:f>
                      <c15:dlblFieldTableCache>
                        <c:ptCount val="1"/>
                        <c:pt idx="0">
                          <c:v>26.7%</c:v>
                        </c:pt>
                      </c15:dlblFieldTableCache>
                    </c15:dlblFTEntry>
                  </c15:dlblFieldTable>
                  <c15:showDataLabelsRange val="0"/>
                </c:ext>
                <c:ext xmlns:c16="http://schemas.microsoft.com/office/drawing/2014/chart" uri="{C3380CC4-5D6E-409C-BE32-E72D297353CC}">
                  <c16:uniqueId val="{00000003-EDB3-4A25-A3E6-7FBA8C393743}"/>
                </c:ext>
              </c:extLst>
            </c:dLbl>
            <c:dLbl>
              <c:idx val="1"/>
              <c:tx>
                <c:strRef>
                  <c:f>Essential!$N$35</c:f>
                  <c:strCache>
                    <c:ptCount val="1"/>
                    <c:pt idx="0">
                      <c:v>27.1%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{1959B6AF-7006-4CEE-B298-1E362C2A5B81}</c15:txfldGUID>
                      <c15:f>Essential!$N$35</c15:f>
                      <c15:dlblFieldTableCache>
                        <c:ptCount val="1"/>
                        <c:pt idx="0">
                          <c:v>27.1%</c:v>
                        </c:pt>
                      </c15:dlblFieldTableCache>
                    </c15:dlblFTEntry>
                  </c15:dlblFieldTable>
                  <c15:showDataLabelsRange val="0"/>
                </c:ext>
                <c:ext xmlns:c16="http://schemas.microsoft.com/office/drawing/2014/chart" uri="{C3380CC4-5D6E-409C-BE32-E72D297353CC}">
                  <c16:uniqueId val="{00000004-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2019-20</c:v>
                </c:pt>
                <c:pt idx="1">
                  <c:v>2020-21</c:v>
                </c:pt>
              </c:strCache>
            </c:strRef>
          </c:cat>
          <c:val>
            <c:numRef>
              <c:f>(Essential!$I$35,Essential!$O$35)</c:f>
              <c:numCache>
                <c:formatCode>#,##0.00</c:formatCode>
                <c:ptCount val="2"/>
                <c:pt idx="0">
                  <c:v>522.04020000000003</c:v>
                </c:pt>
                <c:pt idx="1">
                  <c:v>532.66620000000012</c:v>
                </c:pt>
              </c:numCache>
            </c:numRef>
          </c:val>
          <c:extLst>
            <c:ext xmlns:c16="http://schemas.microsoft.com/office/drawing/2014/chart" uri="{C3380CC4-5D6E-409C-BE32-E72D297353CC}">
              <c16:uniqueId val="{00000005-EDB3-4A25-A3E6-7FBA8C393743}"/>
            </c:ext>
          </c:extLst>
        </c:ser>
        <c:ser>
          <c:idx val="2"/>
          <c:order val="2"/>
          <c:tx>
            <c:strRef>
              <c:f>Essential!$F$36</c:f>
              <c:strCache>
                <c:ptCount val="1"/>
                <c:pt idx="0">
                  <c:v>Environmental cost</c:v>
                </c:pt>
              </c:strCache>
            </c:strRef>
          </c:tx>
          <c:spPr>
            <a:solidFill>
              <a:schemeClr val="accent3"/>
            </a:solidFill>
            <a:ln>
              <a:noFill/>
            </a:ln>
            <a:effectLst/>
          </c:spPr>
          <c:invertIfNegative val="0"/>
          <c:dLbls>
            <c:dLbl>
              <c:idx val="0"/>
              <c:tx>
                <c:strRef>
                  <c:f>Essential!$J$36</c:f>
                  <c:strCache>
                    <c:ptCount val="1"/>
                    <c:pt idx="0">
                      <c:v>5.0%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{E02E7B03-1B4A-41B0-A29B-C03F1F353C9A}</c15:txfldGUID>
                      <c15:f>Essential!$J$36</c15:f>
                      <c15:dlblFieldTableCache>
                        <c:ptCount val="1"/>
                        <c:pt idx="0">
                          <c:v>5.0%</c:v>
                        </c:pt>
                      </c15:dlblFieldTableCache>
                    </c15:dlblFTEntry>
                  </c15:dlblFieldTable>
                  <c15:showDataLabelsRange val="0"/>
                </c:ext>
                <c:ext xmlns:c16="http://schemas.microsoft.com/office/drawing/2014/chart" uri="{C3380CC4-5D6E-409C-BE32-E72D297353CC}">
                  <c16:uniqueId val="{00000006-EDB3-4A25-A3E6-7FBA8C393743}"/>
                </c:ext>
              </c:extLst>
            </c:dLbl>
            <c:dLbl>
              <c:idx val="1"/>
              <c:tx>
                <c:strRef>
                  <c:f>Essential!$N$36</c:f>
                  <c:strCache>
                    <c:ptCount val="1"/>
                    <c:pt idx="0">
                      <c:v>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{303E854B-1A8E-4FCA-96BC-D1547AAF71AC}</c15:txfldGUID>
                      <c15:f>Essential!$N$36</c15:f>
                      <c15:dlblFieldTableCache>
                        <c:ptCount val="1"/>
                        <c:pt idx="0">
                          <c:v>4.4%</c:v>
                        </c:pt>
                      </c15:dlblFieldTableCache>
                    </c15:dlblFTEntry>
                  </c15:dlblFieldTable>
                  <c15:showDataLabelsRange val="0"/>
                </c:ext>
                <c:ext xmlns:c16="http://schemas.microsoft.com/office/drawing/2014/chart" uri="{C3380CC4-5D6E-409C-BE32-E72D297353CC}">
                  <c16:uniqueId val="{00000007-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2019-20</c:v>
                </c:pt>
                <c:pt idx="1">
                  <c:v>2020-21</c:v>
                </c:pt>
              </c:strCache>
            </c:strRef>
          </c:cat>
          <c:val>
            <c:numRef>
              <c:f>(Essential!$I$36,Essential!$O$36)</c:f>
              <c:numCache>
                <c:formatCode>#,##0.00</c:formatCode>
                <c:ptCount val="2"/>
                <c:pt idx="0">
                  <c:v>98.72059999999999</c:v>
                </c:pt>
                <c:pt idx="1">
                  <c:v>86.880200000000016</c:v>
                </c:pt>
              </c:numCache>
            </c:numRef>
          </c:val>
          <c:extLst>
            <c:ext xmlns:c16="http://schemas.microsoft.com/office/drawing/2014/chart" uri="{C3380CC4-5D6E-409C-BE32-E72D297353CC}">
              <c16:uniqueId val="{00000008-EDB3-4A25-A3E6-7FBA8C393743}"/>
            </c:ext>
          </c:extLst>
        </c:ser>
        <c:ser>
          <c:idx val="3"/>
          <c:order val="3"/>
          <c:tx>
            <c:strRef>
              <c:f>Essential!$F$37</c:f>
              <c:strCache>
                <c:ptCount val="1"/>
                <c:pt idx="0">
                  <c:v>Residual cost</c:v>
                </c:pt>
              </c:strCache>
            </c:strRef>
          </c:tx>
          <c:spPr>
            <a:solidFill>
              <a:schemeClr val="accent6">
                <a:lumMod val="40000"/>
                <a:lumOff val="60000"/>
              </a:schemeClr>
            </a:solidFill>
            <a:ln>
              <a:noFill/>
            </a:ln>
            <a:effectLst/>
          </c:spPr>
          <c:invertIfNegative val="0"/>
          <c:dLbls>
            <c:dLbl>
              <c:idx val="0"/>
              <c:tx>
                <c:strRef>
                  <c:f>Essential!$J$37</c:f>
                  <c:strCache>
                    <c:ptCount val="1"/>
                    <c:pt idx="0">
                      <c:v>23.0%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{6B3A349A-9F0E-4F39-B9C5-988B4372476D}</c15:txfldGUID>
                      <c15:f>Essential!$J$37</c15:f>
                      <c15:dlblFieldTableCache>
                        <c:ptCount val="1"/>
                        <c:pt idx="0">
                          <c:v>23.0%</c:v>
                        </c:pt>
                      </c15:dlblFieldTableCache>
                    </c15:dlblFTEntry>
                  </c15:dlblFieldTable>
                  <c15:showDataLabelsRange val="0"/>
                </c:ext>
                <c:ext xmlns:c16="http://schemas.microsoft.com/office/drawing/2014/chart" uri="{C3380CC4-5D6E-409C-BE32-E72D297353CC}">
                  <c16:uniqueId val="{00000009-EDB3-4A25-A3E6-7FBA8C393743}"/>
                </c:ext>
              </c:extLst>
            </c:dLbl>
            <c:dLbl>
              <c:idx val="1"/>
              <c:tx>
                <c:strRef>
                  <c:f>Essential!$N$37</c:f>
                  <c:strCache>
                    <c:ptCount val="1"/>
                    <c:pt idx="0">
                      <c:v>23.3%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{9157E691-3F99-4B61-9D72-7EA49695681D}</c15:txfldGUID>
                      <c15:f>Essential!$N$37</c15:f>
                      <c15:dlblFieldTableCache>
                        <c:ptCount val="1"/>
                        <c:pt idx="0">
                          <c:v>23.3%</c:v>
                        </c:pt>
                      </c15:dlblFieldTableCache>
                    </c15:dlblFTEntry>
                  </c15:dlblFieldTable>
                  <c15:showDataLabelsRange val="0"/>
                </c:ext>
                <c:ext xmlns:c16="http://schemas.microsoft.com/office/drawing/2014/chart" uri="{C3380CC4-5D6E-409C-BE32-E72D297353CC}">
                  <c16:uniqueId val="{0000000A-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2019-20</c:v>
                </c:pt>
                <c:pt idx="1">
                  <c:v>2020-21</c:v>
                </c:pt>
              </c:strCache>
            </c:strRef>
          </c:cat>
          <c:val>
            <c:numRef>
              <c:f>(Essential!$I$37,Essential!$O$37)</c:f>
              <c:numCache>
                <c:formatCode>#,##0.00</c:formatCode>
                <c:ptCount val="2"/>
                <c:pt idx="0">
                  <c:v>450.26097500000014</c:v>
                </c:pt>
                <c:pt idx="1">
                  <c:v>458.59080303749988</c:v>
                </c:pt>
              </c:numCache>
            </c:numRef>
          </c:val>
          <c:extLst>
            <c:ext xmlns:c16="http://schemas.microsoft.com/office/drawing/2014/chart" uri="{C3380CC4-5D6E-409C-BE32-E72D297353CC}">
              <c16:uniqueId val="{0000000B-EDB3-4A25-A3E6-7FBA8C393743}"/>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2019-20</c:v>
                </c:pt>
                <c:pt idx="1">
                  <c:v>2020-21</c:v>
                </c:pt>
              </c:strCache>
            </c:strRef>
          </c:cat>
          <c:val>
            <c:numRef>
              <c:f>(Essential!$H$33,Essential!$H$39)</c:f>
              <c:numCache>
                <c:formatCode>#,##0.00</c:formatCode>
                <c:ptCount val="2"/>
                <c:pt idx="0">
                  <c:v>1957</c:v>
                </c:pt>
                <c:pt idx="1">
                  <c:v>1966.5226680375001</c:v>
                </c:pt>
              </c:numCache>
            </c:numRef>
          </c:val>
          <c:extLst>
            <c:ext xmlns:c16="http://schemas.microsoft.com/office/drawing/2014/chart" uri="{C3380CC4-5D6E-409C-BE32-E72D297353CC}">
              <c16:uniqueId val="{0000000C-EDB3-4A25-A3E6-7FBA8C393743}"/>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Essential!$E$3</c:f>
          <c:strCache>
            <c:ptCount val="1"/>
            <c:pt idx="0">
              <c:v>Essential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Essential!$F$34</c:f>
              <c:strCache>
                <c:ptCount val="1"/>
                <c:pt idx="0">
                  <c:v>Network cost</c:v>
                </c:pt>
              </c:strCache>
            </c:strRef>
          </c:tx>
          <c:spPr>
            <a:solidFill>
              <a:schemeClr val="accent1"/>
            </a:solidFill>
            <a:ln>
              <a:noFill/>
            </a:ln>
            <a:effectLst/>
          </c:spPr>
          <c:invertIfNegative val="0"/>
          <c:dLbls>
            <c:dLbl>
              <c:idx val="0"/>
              <c:tx>
                <c:strRef>
                  <c:f>Essential!$AD$34</c:f>
                  <c:strCache>
                    <c:ptCount val="1"/>
                    <c:pt idx="0">
                      <c:v>43.6%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{2B079B0A-590B-4BDD-B346-FD96D3CBA32E}</c15:txfldGUID>
                      <c15:f>Essential!$AD$34</c15:f>
                      <c15:dlblFieldTableCache>
                        <c:ptCount val="1"/>
                        <c:pt idx="0">
                          <c:v>43.6%</c:v>
                        </c:pt>
                      </c15:dlblFieldTableCache>
                    </c15:dlblFTEntry>
                  </c15:dlblFieldTable>
                  <c15:showDataLabelsRange val="0"/>
                </c:ext>
                <c:ext xmlns:c16="http://schemas.microsoft.com/office/drawing/2014/chart" uri="{C3380CC4-5D6E-409C-BE32-E72D297353CC}">
                  <c16:uniqueId val="{00000000-8A5B-4E6A-AC05-6E2838D6C57E}"/>
                </c:ext>
              </c:extLst>
            </c:dLbl>
            <c:dLbl>
              <c:idx val="1"/>
              <c:tx>
                <c:strRef>
                  <c:f>Essential!$AH$34</c:f>
                  <c:strCache>
                    <c:ptCount val="1"/>
                    <c:pt idx="0">
                      <c:v>43.5%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{9FEFF41A-0A32-4191-BD0E-F6FE445E0968}</c15:txfldGUID>
                      <c15:f>Essential!$AH$34</c15:f>
                      <c15:dlblFieldTableCache>
                        <c:ptCount val="1"/>
                        <c:pt idx="0">
                          <c:v>43.5%</c:v>
                        </c:pt>
                      </c15:dlblFieldTableCache>
                    </c15:dlblFTEntry>
                  </c15:dlblFieldTable>
                  <c15:showDataLabelsRange val="0"/>
                </c:ext>
                <c:ext xmlns:c16="http://schemas.microsoft.com/office/drawing/2014/chart" uri="{C3380CC4-5D6E-409C-BE32-E72D297353CC}">
                  <c16:uniqueId val="{00000001-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(Essential!$AC$29,Essential!$AF$29)</c:f>
              <c:strCache>
                <c:ptCount val="2"/>
                <c:pt idx="0">
                  <c:v>2019-20</c:v>
                </c:pt>
                <c:pt idx="1">
                  <c:v>2020-21</c:v>
                </c:pt>
              </c:strCache>
            </c:strRef>
          </c:cat>
          <c:val>
            <c:numRef>
              <c:f>(Essential!$AC$34,Essential!$AI$34)</c:f>
              <c:numCache>
                <c:formatCode>#,##0.00</c:formatCode>
                <c:ptCount val="2"/>
                <c:pt idx="0">
                  <c:v>3504.2235250000003</c:v>
                </c:pt>
                <c:pt idx="1">
                  <c:v>3511.4263250000004</c:v>
                </c:pt>
              </c:numCache>
            </c:numRef>
          </c:val>
          <c:extLst>
            <c:ext xmlns:c16="http://schemas.microsoft.com/office/drawing/2014/chart" uri="{C3380CC4-5D6E-409C-BE32-E72D297353CC}">
              <c16:uniqueId val="{00000002-8A5B-4E6A-AC05-6E2838D6C57E}"/>
            </c:ext>
          </c:extLst>
        </c:ser>
        <c:ser>
          <c:idx val="1"/>
          <c:order val="1"/>
          <c:tx>
            <c:strRef>
              <c:f>Essential!$F$35</c:f>
              <c:strCache>
                <c:ptCount val="1"/>
                <c:pt idx="0">
                  <c:v>Wholesale cost</c:v>
                </c:pt>
              </c:strCache>
            </c:strRef>
          </c:tx>
          <c:spPr>
            <a:solidFill>
              <a:schemeClr val="accent2"/>
            </a:solidFill>
            <a:ln>
              <a:noFill/>
            </a:ln>
            <a:effectLst/>
          </c:spPr>
          <c:invertIfNegative val="0"/>
          <c:dLbls>
            <c:dLbl>
              <c:idx val="0"/>
              <c:tx>
                <c:strRef>
                  <c:f>Essential!$AD$35</c:f>
                  <c:strCache>
                    <c:ptCount val="1"/>
                    <c:pt idx="0">
                      <c:v>28.2%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{A833EE5E-4E64-4A2E-BAB3-910671DEF3D6}</c15:txfldGUID>
                      <c15:f>Essential!$AD$35</c15:f>
                      <c15:dlblFieldTableCache>
                        <c:ptCount val="1"/>
                        <c:pt idx="0">
                          <c:v>28.2%</c:v>
                        </c:pt>
                      </c15:dlblFieldTableCache>
                    </c15:dlblFTEntry>
                  </c15:dlblFieldTable>
                  <c15:showDataLabelsRange val="0"/>
                </c:ext>
                <c:ext xmlns:c16="http://schemas.microsoft.com/office/drawing/2014/chart" uri="{C3380CC4-5D6E-409C-BE32-E72D297353CC}">
                  <c16:uniqueId val="{00000003-8A5B-4E6A-AC05-6E2838D6C57E}"/>
                </c:ext>
              </c:extLst>
            </c:dLbl>
            <c:dLbl>
              <c:idx val="1"/>
              <c:tx>
                <c:strRef>
                  <c:f>Essential!$AH$35</c:f>
                  <c:strCache>
                    <c:ptCount val="1"/>
                    <c:pt idx="0">
                      <c:v>28.7%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{F11F5A8B-03A1-4950-A22F-81A96FA088B0}</c15:txfldGUID>
                      <c15:f>Essential!$AH$35</c15:f>
                      <c15:dlblFieldTableCache>
                        <c:ptCount val="1"/>
                        <c:pt idx="0">
                          <c:v>28.7%</c:v>
                        </c:pt>
                      </c15:dlblFieldTableCache>
                    </c15:dlblFTEntry>
                  </c15:dlblFieldTable>
                  <c15:showDataLabelsRange val="0"/>
                </c:ext>
                <c:ext xmlns:c16="http://schemas.microsoft.com/office/drawing/2014/chart" uri="{C3380CC4-5D6E-409C-BE32-E72D297353CC}">
                  <c16:uniqueId val="{00000004-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(Essential!$AC$29,Essential!$AF$29)</c:f>
              <c:strCache>
                <c:ptCount val="2"/>
                <c:pt idx="0">
                  <c:v>2019-20</c:v>
                </c:pt>
                <c:pt idx="1">
                  <c:v>2020-21</c:v>
                </c:pt>
              </c:strCache>
            </c:strRef>
          </c:cat>
          <c:val>
            <c:numRef>
              <c:f>(Essential!$AC$35,Essential!$AI$35)</c:f>
              <c:numCache>
                <c:formatCode>#,##0.00</c:formatCode>
                <c:ptCount val="2"/>
                <c:pt idx="0">
                  <c:v>2269.7400000000002</c:v>
                </c:pt>
                <c:pt idx="1">
                  <c:v>2315.94</c:v>
                </c:pt>
              </c:numCache>
            </c:numRef>
          </c:val>
          <c:extLst>
            <c:ext xmlns:c16="http://schemas.microsoft.com/office/drawing/2014/chart" uri="{C3380CC4-5D6E-409C-BE32-E72D297353CC}">
              <c16:uniqueId val="{00000005-8A5B-4E6A-AC05-6E2838D6C57E}"/>
            </c:ext>
          </c:extLst>
        </c:ser>
        <c:ser>
          <c:idx val="2"/>
          <c:order val="2"/>
          <c:tx>
            <c:strRef>
              <c:f>Essential!$F$36</c:f>
              <c:strCache>
                <c:ptCount val="1"/>
                <c:pt idx="0">
                  <c:v>Environmental cost</c:v>
                </c:pt>
              </c:strCache>
            </c:strRef>
          </c:tx>
          <c:spPr>
            <a:solidFill>
              <a:schemeClr val="accent3"/>
            </a:solidFill>
            <a:ln>
              <a:noFill/>
            </a:ln>
            <a:effectLst/>
          </c:spPr>
          <c:invertIfNegative val="0"/>
          <c:dLbls>
            <c:dLbl>
              <c:idx val="0"/>
              <c:tx>
                <c:strRef>
                  <c:f>Essential!$AD$36</c:f>
                  <c:strCache>
                    <c:ptCount val="1"/>
                    <c:pt idx="0">
                      <c:v>5.3%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{E0BF3C28-13B5-4E1A-9EC6-68A6724CE723}</c15:txfldGUID>
                      <c15:f>Essential!$AD$36</c15:f>
                      <c15:dlblFieldTableCache>
                        <c:ptCount val="1"/>
                        <c:pt idx="0">
                          <c:v>5.3%</c:v>
                        </c:pt>
                      </c15:dlblFieldTableCache>
                    </c15:dlblFTEntry>
                  </c15:dlblFieldTable>
                  <c15:showDataLabelsRange val="0"/>
                </c:ext>
                <c:ext xmlns:c16="http://schemas.microsoft.com/office/drawing/2014/chart" uri="{C3380CC4-5D6E-409C-BE32-E72D297353CC}">
                  <c16:uniqueId val="{00000006-8A5B-4E6A-AC05-6E2838D6C57E}"/>
                </c:ext>
              </c:extLst>
            </c:dLbl>
            <c:dLbl>
              <c:idx val="1"/>
              <c:tx>
                <c:strRef>
                  <c:f>Essential!$AH$36</c:f>
                  <c:strCache>
                    <c:ptCount val="1"/>
                    <c:pt idx="0">
                      <c:v>4.7%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{70686CBE-22BB-435A-A8FB-EC79604D4852}</c15:txfldGUID>
                      <c15:f>Essential!$AH$36</c15:f>
                      <c15:dlblFieldTableCache>
                        <c:ptCount val="1"/>
                        <c:pt idx="0">
                          <c:v>4.7%</c:v>
                        </c:pt>
                      </c15:dlblFieldTableCache>
                    </c15:dlblFTEntry>
                  </c15:dlblFieldTable>
                  <c15:showDataLabelsRange val="0"/>
                </c:ext>
                <c:ext xmlns:c16="http://schemas.microsoft.com/office/drawing/2014/chart" uri="{C3380CC4-5D6E-409C-BE32-E72D297353CC}">
                  <c16:uniqueId val="{00000007-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(Essential!$AC$29,Essential!$AF$29)</c:f>
              <c:strCache>
                <c:ptCount val="2"/>
                <c:pt idx="0">
                  <c:v>2019-20</c:v>
                </c:pt>
                <c:pt idx="1">
                  <c:v>2020-21</c:v>
                </c:pt>
              </c:strCache>
            </c:strRef>
          </c:cat>
          <c:val>
            <c:numRef>
              <c:f>(Essential!$AC$36,Essential!$AI$36)</c:f>
              <c:numCache>
                <c:formatCode>#,##0.00</c:formatCode>
                <c:ptCount val="2"/>
                <c:pt idx="0">
                  <c:v>429.22</c:v>
                </c:pt>
                <c:pt idx="1">
                  <c:v>377.74</c:v>
                </c:pt>
              </c:numCache>
            </c:numRef>
          </c:val>
          <c:extLst>
            <c:ext xmlns:c16="http://schemas.microsoft.com/office/drawing/2014/chart" uri="{C3380CC4-5D6E-409C-BE32-E72D297353CC}">
              <c16:uniqueId val="{00000008-8A5B-4E6A-AC05-6E2838D6C57E}"/>
            </c:ext>
          </c:extLst>
        </c:ser>
        <c:ser>
          <c:idx val="3"/>
          <c:order val="3"/>
          <c:tx>
            <c:strRef>
              <c:f>Essential!$F$37</c:f>
              <c:strCache>
                <c:ptCount val="1"/>
                <c:pt idx="0">
                  <c:v>Residual cost</c:v>
                </c:pt>
              </c:strCache>
            </c:strRef>
          </c:tx>
          <c:spPr>
            <a:solidFill>
              <a:schemeClr val="accent6">
                <a:lumMod val="40000"/>
                <a:lumOff val="60000"/>
              </a:schemeClr>
            </a:solidFill>
            <a:ln>
              <a:noFill/>
            </a:ln>
            <a:effectLst/>
          </c:spPr>
          <c:invertIfNegative val="0"/>
          <c:dLbls>
            <c:dLbl>
              <c:idx val="0"/>
              <c:tx>
                <c:strRef>
                  <c:f>Essential!$AD$37</c:f>
                  <c:strCache>
                    <c:ptCount val="1"/>
                    <c:pt idx="0">
                      <c:v>22.9%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{3302E258-71C7-4790-9FF7-3AA17AFF5ECC}</c15:txfldGUID>
                      <c15:f>Essential!$AD$37</c15:f>
                      <c15:dlblFieldTableCache>
                        <c:ptCount val="1"/>
                        <c:pt idx="0">
                          <c:v>22.9%</c:v>
                        </c:pt>
                      </c15:dlblFieldTableCache>
                    </c15:dlblFTEntry>
                  </c15:dlblFieldTable>
                  <c15:showDataLabelsRange val="0"/>
                </c:ext>
                <c:ext xmlns:c16="http://schemas.microsoft.com/office/drawing/2014/chart" uri="{C3380CC4-5D6E-409C-BE32-E72D297353CC}">
                  <c16:uniqueId val="{00000009-8A5B-4E6A-AC05-6E2838D6C57E}"/>
                </c:ext>
              </c:extLst>
            </c:dLbl>
            <c:dLbl>
              <c:idx val="1"/>
              <c:tx>
                <c:strRef>
                  <c:f>Essential!$AH$37</c:f>
                  <c:strCache>
                    <c:ptCount val="1"/>
                    <c:pt idx="0">
                      <c:v>23.2%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{D286DA12-BE4B-47E2-A918-80F96F5B85A9}</c15:txfldGUID>
                      <c15:f>Essential!$AH$37</c15:f>
                      <c15:dlblFieldTableCache>
                        <c:ptCount val="1"/>
                        <c:pt idx="0">
                          <c:v>23.2%</c:v>
                        </c:pt>
                      </c15:dlblFieldTableCache>
                    </c15:dlblFTEntry>
                  </c15:dlblFieldTable>
                  <c15:showDataLabelsRange val="0"/>
                </c:ext>
                <c:ext xmlns:c16="http://schemas.microsoft.com/office/drawing/2014/chart" uri="{C3380CC4-5D6E-409C-BE32-E72D297353CC}">
                  <c16:uniqueId val="{0000000A-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(Essential!$AC$29,Essential!$AF$29)</c:f>
              <c:strCache>
                <c:ptCount val="2"/>
                <c:pt idx="0">
                  <c:v>2019-20</c:v>
                </c:pt>
                <c:pt idx="1">
                  <c:v>2020-21</c:v>
                </c:pt>
              </c:strCache>
            </c:strRef>
          </c:cat>
          <c:val>
            <c:numRef>
              <c:f>(Essential!$AC$37,Essential!$AI$37)</c:f>
              <c:numCache>
                <c:formatCode>#,##0.00</c:formatCode>
                <c:ptCount val="2"/>
                <c:pt idx="0">
                  <c:v>1841.8164749999987</c:v>
                </c:pt>
                <c:pt idx="1">
                  <c:v>1875.8900797874985</c:v>
                </c:pt>
              </c:numCache>
            </c:numRef>
          </c:val>
          <c:extLst>
            <c:ext xmlns:c16="http://schemas.microsoft.com/office/drawing/2014/chart" uri="{C3380CC4-5D6E-409C-BE32-E72D297353CC}">
              <c16:uniqueId val="{0000000B-8A5B-4E6A-AC05-6E2838D6C57E}"/>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(Essential!$AC$29,Essential!$AF$29)</c:f>
              <c:strCache>
                <c:ptCount val="2"/>
                <c:pt idx="0">
                  <c:v>2019-20</c:v>
                </c:pt>
                <c:pt idx="1">
                  <c:v>2020-21</c:v>
                </c:pt>
              </c:strCache>
            </c:strRef>
          </c:cat>
          <c:val>
            <c:numRef>
              <c:f>(Essential!$AB$33,Essential!$AB$39)</c:f>
              <c:numCache>
                <c:formatCode>#,##0.00</c:formatCode>
                <c:ptCount val="2"/>
                <c:pt idx="0">
                  <c:v>8045</c:v>
                </c:pt>
                <c:pt idx="1">
                  <c:v>8080.9964047874992</c:v>
                </c:pt>
              </c:numCache>
            </c:numRef>
          </c:val>
          <c:extLst>
            <c:ext xmlns:c16="http://schemas.microsoft.com/office/drawing/2014/chart" uri="{C3380CC4-5D6E-409C-BE32-E72D297353CC}">
              <c16:uniqueId val="{0000000C-8A5B-4E6A-AC05-6E2838D6C57E}"/>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9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Energex!$D$3</c:f>
          <c:strCache>
            <c:ptCount val="1"/>
            <c:pt idx="0">
              <c:v>Energex Residential with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Energex!$F$34</c:f>
              <c:strCache>
                <c:ptCount val="1"/>
                <c:pt idx="0">
                  <c:v>Network cost</c:v>
                </c:pt>
              </c:strCache>
            </c:strRef>
          </c:tx>
          <c:spPr>
            <a:solidFill>
              <a:schemeClr val="accent1"/>
            </a:solidFill>
            <a:ln>
              <a:noFill/>
            </a:ln>
            <a:effectLst/>
          </c:spPr>
          <c:invertIfNegative val="0"/>
          <c:dLbls>
            <c:dLbl>
              <c:idx val="0"/>
              <c:tx>
                <c:strRef>
                  <c:f>Energex!$T$34</c:f>
                  <c:strCache>
                    <c:ptCount val="1"/>
                    <c:pt idx="0">
                      <c:v>40.8%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{E701D9C3-EA79-40EE-9D86-63E4DBCD6098}</c15:txfldGUID>
                      <c15:f>Energex!$T$34</c15:f>
                      <c15:dlblFieldTableCache>
                        <c:ptCount val="1"/>
                        <c:pt idx="0">
                          <c:v>40.8%</c:v>
                        </c:pt>
                      </c15:dlblFieldTableCache>
                    </c15:dlblFTEntry>
                  </c15:dlblFieldTable>
                  <c15:showDataLabelsRange val="0"/>
                </c:ext>
                <c:ext xmlns:c16="http://schemas.microsoft.com/office/drawing/2014/chart" uri="{C3380CC4-5D6E-409C-BE32-E72D297353CC}">
                  <c16:uniqueId val="{00000000-CB8C-4349-BEC3-F08E28B7A799}"/>
                </c:ext>
              </c:extLst>
            </c:dLbl>
            <c:dLbl>
              <c:idx val="1"/>
              <c:tx>
                <c:strRef>
                  <c:f>Energex!$X$34</c:f>
                  <c:strCache>
                    <c:ptCount val="1"/>
                    <c:pt idx="0">
                      <c:v>38.1%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{C52321DB-B5E2-4E93-AC62-FE22D653C8A9}</c15:txfldGUID>
                      <c15:f>Energex!$X$34</c15:f>
                      <c15:dlblFieldTableCache>
                        <c:ptCount val="1"/>
                        <c:pt idx="0">
                          <c:v>38.1%</c:v>
                        </c:pt>
                      </c15:dlblFieldTableCache>
                    </c15:dlblFTEntry>
                  </c15:dlblFieldTable>
                  <c15:showDataLabelsRange val="0"/>
                </c:ext>
                <c:ext xmlns:c16="http://schemas.microsoft.com/office/drawing/2014/chart" uri="{C3380CC4-5D6E-409C-BE32-E72D297353CC}">
                  <c16:uniqueId val="{00000001-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(Energex!$S$29,Energex!$V$29)</c:f>
              <c:strCache>
                <c:ptCount val="2"/>
                <c:pt idx="0">
                  <c:v>2019-20</c:v>
                </c:pt>
                <c:pt idx="1">
                  <c:v>2020-21</c:v>
                </c:pt>
              </c:strCache>
            </c:strRef>
          </c:cat>
          <c:val>
            <c:numRef>
              <c:f>(Energex!$S$34,Energex!$Y$34)</c:f>
              <c:numCache>
                <c:formatCode>#,##0.00</c:formatCode>
                <c:ptCount val="2"/>
                <c:pt idx="0">
                  <c:v>786.48571099999992</c:v>
                </c:pt>
                <c:pt idx="1">
                  <c:v>678.16490500000009</c:v>
                </c:pt>
              </c:numCache>
            </c:numRef>
          </c:val>
          <c:extLst>
            <c:ext xmlns:c16="http://schemas.microsoft.com/office/drawing/2014/chart" uri="{C3380CC4-5D6E-409C-BE32-E72D297353CC}">
              <c16:uniqueId val="{00000002-CB8C-4349-BEC3-F08E28B7A799}"/>
            </c:ext>
          </c:extLst>
        </c:ser>
        <c:ser>
          <c:idx val="1"/>
          <c:order val="1"/>
          <c:tx>
            <c:strRef>
              <c:f>Energex!$F$35</c:f>
              <c:strCache>
                <c:ptCount val="1"/>
                <c:pt idx="0">
                  <c:v>Wholesale cost</c:v>
                </c:pt>
              </c:strCache>
            </c:strRef>
          </c:tx>
          <c:spPr>
            <a:solidFill>
              <a:schemeClr val="accent2"/>
            </a:solidFill>
            <a:ln>
              <a:noFill/>
            </a:ln>
            <a:effectLst/>
          </c:spPr>
          <c:invertIfNegative val="0"/>
          <c:dLbls>
            <c:dLbl>
              <c:idx val="0"/>
              <c:tx>
                <c:strRef>
                  <c:f>Energex!$T$35</c:f>
                  <c:strCache>
                    <c:ptCount val="1"/>
                    <c:pt idx="0">
                      <c:v>33.2%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{86D3D865-4333-4006-9214-CE2722A022E5}</c15:txfldGUID>
                      <c15:f>Energex!$T$35</c15:f>
                      <c15:dlblFieldTableCache>
                        <c:ptCount val="1"/>
                        <c:pt idx="0">
                          <c:v>33.2%</c:v>
                        </c:pt>
                      </c15:dlblFieldTableCache>
                    </c15:dlblFTEntry>
                  </c15:dlblFieldTable>
                  <c15:showDataLabelsRange val="0"/>
                </c:ext>
                <c:ext xmlns:c16="http://schemas.microsoft.com/office/drawing/2014/chart" uri="{C3380CC4-5D6E-409C-BE32-E72D297353CC}">
                  <c16:uniqueId val="{00000003-CB8C-4349-BEC3-F08E28B7A799}"/>
                </c:ext>
              </c:extLst>
            </c:dLbl>
            <c:dLbl>
              <c:idx val="1"/>
              <c:tx>
                <c:strRef>
                  <c:f>Energex!$X$35</c:f>
                  <c:strCache>
                    <c:ptCount val="1"/>
                    <c:pt idx="0">
                      <c:v>34.4%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{3ADE4B1A-35A1-4839-9210-DD00DAC34E27}</c15:txfldGUID>
                      <c15:f>Energex!$X$35</c15:f>
                      <c15:dlblFieldTableCache>
                        <c:ptCount val="1"/>
                        <c:pt idx="0">
                          <c:v>34.4%</c:v>
                        </c:pt>
                      </c15:dlblFieldTableCache>
                    </c15:dlblFTEntry>
                  </c15:dlblFieldTable>
                  <c15:showDataLabelsRange val="0"/>
                </c:ext>
                <c:ext xmlns:c16="http://schemas.microsoft.com/office/drawing/2014/chart" uri="{C3380CC4-5D6E-409C-BE32-E72D297353CC}">
                  <c16:uniqueId val="{00000004-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(Energex!$S$29,Energex!$V$29)</c:f>
              <c:strCache>
                <c:ptCount val="2"/>
                <c:pt idx="0">
                  <c:v>2019-20</c:v>
                </c:pt>
                <c:pt idx="1">
                  <c:v>2020-21</c:v>
                </c:pt>
              </c:strCache>
            </c:strRef>
          </c:cat>
          <c:val>
            <c:numRef>
              <c:f>(Energex!$S$35,Energex!$Y$35)</c:f>
              <c:numCache>
                <c:formatCode>#,##0.00</c:formatCode>
                <c:ptCount val="2"/>
                <c:pt idx="0">
                  <c:v>640.07135500000004</c:v>
                </c:pt>
                <c:pt idx="1">
                  <c:v>611.43099599999982</c:v>
                </c:pt>
              </c:numCache>
            </c:numRef>
          </c:val>
          <c:extLst>
            <c:ext xmlns:c16="http://schemas.microsoft.com/office/drawing/2014/chart" uri="{C3380CC4-5D6E-409C-BE32-E72D297353CC}">
              <c16:uniqueId val="{00000005-CB8C-4349-BEC3-F08E28B7A799}"/>
            </c:ext>
          </c:extLst>
        </c:ser>
        <c:ser>
          <c:idx val="2"/>
          <c:order val="2"/>
          <c:tx>
            <c:strRef>
              <c:f>Energex!$F$36</c:f>
              <c:strCache>
                <c:ptCount val="1"/>
                <c:pt idx="0">
                  <c:v>Environmental cost</c:v>
                </c:pt>
              </c:strCache>
            </c:strRef>
          </c:tx>
          <c:spPr>
            <a:solidFill>
              <a:schemeClr val="accent3"/>
            </a:solidFill>
            <a:ln>
              <a:noFill/>
            </a:ln>
            <a:effectLst/>
          </c:spPr>
          <c:invertIfNegative val="0"/>
          <c:dLbls>
            <c:dLbl>
              <c:idx val="0"/>
              <c:tx>
                <c:strRef>
                  <c:f>Energex!$T$36</c:f>
                  <c:strCache>
                    <c:ptCount val="1"/>
                    <c:pt idx="0">
                      <c:v>6.4%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{A147CC19-673D-4CA1-A7D0-C8F6260DDC82}</c15:txfldGUID>
                      <c15:f>Energex!$T$36</c15:f>
                      <c15:dlblFieldTableCache>
                        <c:ptCount val="1"/>
                        <c:pt idx="0">
                          <c:v>6.4%</c:v>
                        </c:pt>
                      </c15:dlblFieldTableCache>
                    </c15:dlblFTEntry>
                  </c15:dlblFieldTable>
                  <c15:showDataLabelsRange val="0"/>
                </c:ext>
                <c:ext xmlns:c16="http://schemas.microsoft.com/office/drawing/2014/chart" uri="{C3380CC4-5D6E-409C-BE32-E72D297353CC}">
                  <c16:uniqueId val="{00000006-CB8C-4349-BEC3-F08E28B7A799}"/>
                </c:ext>
              </c:extLst>
            </c:dLbl>
            <c:dLbl>
              <c:idx val="1"/>
              <c:tx>
                <c:strRef>
                  <c:f>Energex!$X$36</c:f>
                  <c:strCache>
                    <c:ptCount val="1"/>
                    <c:pt idx="0">
                      <c:v>5.9%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{802B1BE4-07EF-4303-950F-4CB82D342BDF}</c15:txfldGUID>
                      <c15:f>Energex!$X$36</c15:f>
                      <c15:dlblFieldTableCache>
                        <c:ptCount val="1"/>
                        <c:pt idx="0">
                          <c:v>5.9%</c:v>
                        </c:pt>
                      </c15:dlblFieldTableCache>
                    </c15:dlblFTEntry>
                  </c15:dlblFieldTable>
                  <c15:showDataLabelsRange val="0"/>
                </c:ext>
                <c:ext xmlns:c16="http://schemas.microsoft.com/office/drawing/2014/chart" uri="{C3380CC4-5D6E-409C-BE32-E72D297353CC}">
                  <c16:uniqueId val="{00000007-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(Energex!$S$29,Energex!$V$29)</c:f>
              <c:strCache>
                <c:ptCount val="2"/>
                <c:pt idx="0">
                  <c:v>2019-20</c:v>
                </c:pt>
                <c:pt idx="1">
                  <c:v>2020-21</c:v>
                </c:pt>
              </c:strCache>
            </c:strRef>
          </c:cat>
          <c:val>
            <c:numRef>
              <c:f>(Energex!$S$36,Energex!$Y$36)</c:f>
              <c:numCache>
                <c:formatCode>#,##0.00</c:formatCode>
                <c:ptCount val="2"/>
                <c:pt idx="0">
                  <c:v>122.7996</c:v>
                </c:pt>
                <c:pt idx="1">
                  <c:v>105.40530000000001</c:v>
                </c:pt>
              </c:numCache>
            </c:numRef>
          </c:val>
          <c:extLst>
            <c:ext xmlns:c16="http://schemas.microsoft.com/office/drawing/2014/chart" uri="{C3380CC4-5D6E-409C-BE32-E72D297353CC}">
              <c16:uniqueId val="{00000008-CB8C-4349-BEC3-F08E28B7A799}"/>
            </c:ext>
          </c:extLst>
        </c:ser>
        <c:ser>
          <c:idx val="3"/>
          <c:order val="3"/>
          <c:tx>
            <c:strRef>
              <c:f>Energex!$F$37</c:f>
              <c:strCache>
                <c:ptCount val="1"/>
                <c:pt idx="0">
                  <c:v>Residual cost</c:v>
                </c:pt>
              </c:strCache>
            </c:strRef>
          </c:tx>
          <c:spPr>
            <a:solidFill>
              <a:schemeClr val="accent6">
                <a:lumMod val="40000"/>
                <a:lumOff val="60000"/>
              </a:schemeClr>
            </a:solidFill>
            <a:ln>
              <a:noFill/>
            </a:ln>
            <a:effectLst/>
          </c:spPr>
          <c:invertIfNegative val="0"/>
          <c:dLbls>
            <c:dLbl>
              <c:idx val="0"/>
              <c:tx>
                <c:strRef>
                  <c:f>Energex!$T$37</c:f>
                  <c:strCache>
                    <c:ptCount val="1"/>
                    <c:pt idx="0">
                      <c:v>19.6%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{215D9491-F95D-4CD1-B32F-2CEBF89E16C8}</c15:txfldGUID>
                      <c15:f>Energex!$T$37</c15:f>
                      <c15:dlblFieldTableCache>
                        <c:ptCount val="1"/>
                        <c:pt idx="0">
                          <c:v>19.6%</c:v>
                        </c:pt>
                      </c15:dlblFieldTableCache>
                    </c15:dlblFTEntry>
                  </c15:dlblFieldTable>
                  <c15:showDataLabelsRange val="0"/>
                </c:ext>
                <c:ext xmlns:c16="http://schemas.microsoft.com/office/drawing/2014/chart" uri="{C3380CC4-5D6E-409C-BE32-E72D297353CC}">
                  <c16:uniqueId val="{00000009-CB8C-4349-BEC3-F08E28B7A799}"/>
                </c:ext>
              </c:extLst>
            </c:dLbl>
            <c:dLbl>
              <c:idx val="1"/>
              <c:tx>
                <c:strRef>
                  <c:f>Energex!$X$37</c:f>
                  <c:strCache>
                    <c:ptCount val="1"/>
                    <c:pt idx="0">
                      <c:v>21.6%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{2CE8A55F-3ACD-4E29-AF83-5FF991856A36}</c15:txfldGUID>
                      <c15:f>Energex!$X$37</c15:f>
                      <c15:dlblFieldTableCache>
                        <c:ptCount val="1"/>
                        <c:pt idx="0">
                          <c:v>21.6%</c:v>
                        </c:pt>
                      </c15:dlblFieldTableCache>
                    </c15:dlblFTEntry>
                  </c15:dlblFieldTable>
                  <c15:showDataLabelsRange val="0"/>
                </c:ext>
                <c:ext xmlns:c16="http://schemas.microsoft.com/office/drawing/2014/chart" uri="{C3380CC4-5D6E-409C-BE32-E72D297353CC}">
                  <c16:uniqueId val="{0000000A-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(Energex!$S$29,Energex!$V$29)</c:f>
              <c:strCache>
                <c:ptCount val="2"/>
                <c:pt idx="0">
                  <c:v>2019-20</c:v>
                </c:pt>
                <c:pt idx="1">
                  <c:v>2020-21</c:v>
                </c:pt>
              </c:strCache>
            </c:strRef>
          </c:cat>
          <c:val>
            <c:numRef>
              <c:f>(Energex!$S$37,Energex!$Y$37)</c:f>
              <c:numCache>
                <c:formatCode>#,##0.00</c:formatCode>
                <c:ptCount val="2"/>
                <c:pt idx="0">
                  <c:v>377.6433340000001</c:v>
                </c:pt>
                <c:pt idx="1">
                  <c:v>384.62973567899985</c:v>
                </c:pt>
              </c:numCache>
            </c:numRef>
          </c:val>
          <c:extLst>
            <c:ext xmlns:c16="http://schemas.microsoft.com/office/drawing/2014/chart" uri="{C3380CC4-5D6E-409C-BE32-E72D297353CC}">
              <c16:uniqueId val="{0000000B-CB8C-4349-BEC3-F08E28B7A799}"/>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(Energex!$S$29,Energex!$V$29)</c:f>
              <c:strCache>
                <c:ptCount val="2"/>
                <c:pt idx="0">
                  <c:v>2019-20</c:v>
                </c:pt>
                <c:pt idx="1">
                  <c:v>2020-21</c:v>
                </c:pt>
              </c:strCache>
            </c:strRef>
          </c:cat>
          <c:val>
            <c:numRef>
              <c:f>(Energex!$R$33,Energex!$R$39)</c:f>
              <c:numCache>
                <c:formatCode>#,##0.00</c:formatCode>
                <c:ptCount val="2"/>
                <c:pt idx="0">
                  <c:v>1927</c:v>
                </c:pt>
                <c:pt idx="1">
                  <c:v>1779.6309366789999</c:v>
                </c:pt>
              </c:numCache>
            </c:numRef>
          </c:val>
          <c:extLst>
            <c:ext xmlns:c16="http://schemas.microsoft.com/office/drawing/2014/chart" uri="{C3380CC4-5D6E-409C-BE32-E72D297353CC}">
              <c16:uniqueId val="{0000000C-CB8C-4349-BEC3-F08E28B7A799}"/>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Energex!$C$3</c:f>
          <c:strCache>
            <c:ptCount val="1"/>
            <c:pt idx="0">
              <c:v>Energex Residential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Energex!$F$34</c:f>
              <c:strCache>
                <c:ptCount val="1"/>
                <c:pt idx="0">
                  <c:v>Network cost</c:v>
                </c:pt>
              </c:strCache>
            </c:strRef>
          </c:tx>
          <c:spPr>
            <a:solidFill>
              <a:schemeClr val="accent1"/>
            </a:solidFill>
            <a:ln>
              <a:noFill/>
            </a:ln>
            <a:effectLst/>
          </c:spPr>
          <c:invertIfNegative val="0"/>
          <c:dLbls>
            <c:dLbl>
              <c:idx val="0"/>
              <c:tx>
                <c:strRef>
                  <c:f>Energex!$J$34</c:f>
                  <c:strCache>
                    <c:ptCount val="1"/>
                    <c:pt idx="0">
                      <c:v>42.1%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{3AB05EC8-955D-4265-82D2-C7851FE9E9EF}</c15:txfldGUID>
                      <c15:f>Energex!$J$34</c15:f>
                      <c15:dlblFieldTableCache>
                        <c:ptCount val="1"/>
                        <c:pt idx="0">
                          <c:v>42.1%</c:v>
                        </c:pt>
                      </c15:dlblFieldTableCache>
                    </c15:dlblFTEntry>
                  </c15:dlblFieldTable>
                  <c15:showDataLabelsRange val="0"/>
                </c:ext>
                <c:ext xmlns:c16="http://schemas.microsoft.com/office/drawing/2014/chart" uri="{C3380CC4-5D6E-409C-BE32-E72D297353CC}">
                  <c16:uniqueId val="{00000000-066B-4605-8BB7-09A29826FA95}"/>
                </c:ext>
              </c:extLst>
            </c:dLbl>
            <c:dLbl>
              <c:idx val="1"/>
              <c:tx>
                <c:strRef>
                  <c:f>Energex!$N$34</c:f>
                  <c:strCache>
                    <c:ptCount val="1"/>
                    <c:pt idx="0">
                      <c:v>40.7%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{FD324540-DD50-4A43-B99B-5D8A2A46C8AC}</c15:txfldGUID>
                      <c15:f>Energex!$N$34</c15:f>
                      <c15:dlblFieldTableCache>
                        <c:ptCount val="1"/>
                        <c:pt idx="0">
                          <c:v>40.7%</c:v>
                        </c:pt>
                      </c15:dlblFieldTableCache>
                    </c15:dlblFTEntry>
                  </c15:dlblFieldTable>
                  <c15:showDataLabelsRange val="0"/>
                </c:ext>
                <c:ext xmlns:c16="http://schemas.microsoft.com/office/drawing/2014/chart" uri="{C3380CC4-5D6E-409C-BE32-E72D297353CC}">
                  <c16:uniqueId val="{00000001-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2019-20</c:v>
                </c:pt>
                <c:pt idx="1">
                  <c:v>2020-21</c:v>
                </c:pt>
              </c:strCache>
            </c:strRef>
          </c:cat>
          <c:val>
            <c:numRef>
              <c:f>(Energex!$I$34,Energex!$O$34)</c:f>
              <c:numCache>
                <c:formatCode>#,##0.00</c:formatCode>
                <c:ptCount val="2"/>
                <c:pt idx="0">
                  <c:v>661.38083000000006</c:v>
                </c:pt>
                <c:pt idx="1">
                  <c:v>603.44520499999999</c:v>
                </c:pt>
              </c:numCache>
            </c:numRef>
          </c:val>
          <c:extLst>
            <c:ext xmlns:c16="http://schemas.microsoft.com/office/drawing/2014/chart" uri="{C3380CC4-5D6E-409C-BE32-E72D297353CC}">
              <c16:uniqueId val="{00000002-066B-4605-8BB7-09A29826FA95}"/>
            </c:ext>
          </c:extLst>
        </c:ser>
        <c:ser>
          <c:idx val="1"/>
          <c:order val="1"/>
          <c:tx>
            <c:strRef>
              <c:f>Energex!$F$35</c:f>
              <c:strCache>
                <c:ptCount val="1"/>
                <c:pt idx="0">
                  <c:v>Wholesale cost</c:v>
                </c:pt>
              </c:strCache>
            </c:strRef>
          </c:tx>
          <c:spPr>
            <a:solidFill>
              <a:schemeClr val="accent2"/>
            </a:solidFill>
            <a:ln>
              <a:noFill/>
            </a:ln>
            <a:effectLst/>
          </c:spPr>
          <c:invertIfNegative val="0"/>
          <c:dLbls>
            <c:dLbl>
              <c:idx val="0"/>
              <c:tx>
                <c:strRef>
                  <c:f>Energex!$J$35</c:f>
                  <c:strCache>
                    <c:ptCount val="1"/>
                    <c:pt idx="0">
                      <c:v>31.7%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{E2DCA47A-030D-4CD2-96A6-EE40C546E41D}</c15:txfldGUID>
                      <c15:f>Energex!$J$35</c15:f>
                      <c15:dlblFieldTableCache>
                        <c:ptCount val="1"/>
                        <c:pt idx="0">
                          <c:v>31.7%</c:v>
                        </c:pt>
                      </c15:dlblFieldTableCache>
                    </c15:dlblFTEntry>
                  </c15:dlblFieldTable>
                  <c15:showDataLabelsRange val="0"/>
                </c:ext>
                <c:ext xmlns:c16="http://schemas.microsoft.com/office/drawing/2014/chart" uri="{C3380CC4-5D6E-409C-BE32-E72D297353CC}">
                  <c16:uniqueId val="{00000003-066B-4605-8BB7-09A29826FA95}"/>
                </c:ext>
              </c:extLst>
            </c:dLbl>
            <c:dLbl>
              <c:idx val="1"/>
              <c:tx>
                <c:strRef>
                  <c:f>Energex!$N$35</c:f>
                  <c:strCache>
                    <c:ptCount val="1"/>
                    <c:pt idx="0">
                      <c:v>32.1%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{319D7AA7-FE9B-4ADF-B293-40A8863E1F7A}</c15:txfldGUID>
                      <c15:f>Energex!$N$35</c15:f>
                      <c15:dlblFieldTableCache>
                        <c:ptCount val="1"/>
                        <c:pt idx="0">
                          <c:v>32.1%</c:v>
                        </c:pt>
                      </c15:dlblFieldTableCache>
                    </c15:dlblFTEntry>
                  </c15:dlblFieldTable>
                  <c15:showDataLabelsRange val="0"/>
                </c:ext>
                <c:ext xmlns:c16="http://schemas.microsoft.com/office/drawing/2014/chart" uri="{C3380CC4-5D6E-409C-BE32-E72D297353CC}">
                  <c16:uniqueId val="{00000004-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2019-20</c:v>
                </c:pt>
                <c:pt idx="1">
                  <c:v>2020-21</c:v>
                </c:pt>
              </c:strCache>
            </c:strRef>
          </c:cat>
          <c:val>
            <c:numRef>
              <c:f>(Energex!$I$35,Energex!$O$35)</c:f>
              <c:numCache>
                <c:formatCode>#,##0.00</c:formatCode>
                <c:ptCount val="2"/>
                <c:pt idx="0">
                  <c:v>497.60039999999998</c:v>
                </c:pt>
                <c:pt idx="1">
                  <c:v>475.99419999999992</c:v>
                </c:pt>
              </c:numCache>
            </c:numRef>
          </c:val>
          <c:extLst>
            <c:ext xmlns:c16="http://schemas.microsoft.com/office/drawing/2014/chart" uri="{C3380CC4-5D6E-409C-BE32-E72D297353CC}">
              <c16:uniqueId val="{00000005-066B-4605-8BB7-09A29826FA95}"/>
            </c:ext>
          </c:extLst>
        </c:ser>
        <c:ser>
          <c:idx val="2"/>
          <c:order val="2"/>
          <c:tx>
            <c:strRef>
              <c:f>Energex!$F$36</c:f>
              <c:strCache>
                <c:ptCount val="1"/>
                <c:pt idx="0">
                  <c:v>Environmental cost</c:v>
                </c:pt>
              </c:strCache>
            </c:strRef>
          </c:tx>
          <c:spPr>
            <a:solidFill>
              <a:schemeClr val="accent3"/>
            </a:solidFill>
            <a:ln>
              <a:noFill/>
            </a:ln>
            <a:effectLst/>
          </c:spPr>
          <c:invertIfNegative val="0"/>
          <c:dLbls>
            <c:dLbl>
              <c:idx val="0"/>
              <c:tx>
                <c:strRef>
                  <c:f>Energex!$J$36</c:f>
                  <c:strCache>
                    <c:ptCount val="1"/>
                    <c:pt idx="0">
                      <c:v>5.7%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{1B23FD6E-B35B-4490-93D0-71D24EE419C7}</c15:txfldGUID>
                      <c15:f>Energex!$J$36</c15:f>
                      <c15:dlblFieldTableCache>
                        <c:ptCount val="1"/>
                        <c:pt idx="0">
                          <c:v>5.7%</c:v>
                        </c:pt>
                      </c15:dlblFieldTableCache>
                    </c15:dlblFTEntry>
                  </c15:dlblFieldTable>
                  <c15:showDataLabelsRange val="0"/>
                </c:ext>
                <c:ext xmlns:c16="http://schemas.microsoft.com/office/drawing/2014/chart" uri="{C3380CC4-5D6E-409C-BE32-E72D297353CC}">
                  <c16:uniqueId val="{00000006-066B-4605-8BB7-09A29826FA95}"/>
                </c:ext>
              </c:extLst>
            </c:dLbl>
            <c:dLbl>
              <c:idx val="1"/>
              <c:tx>
                <c:strRef>
                  <c:f>Energex!$N$36</c:f>
                  <c:strCache>
                    <c:ptCount val="1"/>
                    <c:pt idx="0">
                      <c:v>5.2%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{71D8DFEC-97F2-483B-A2F2-1B7784B76619}</c15:txfldGUID>
                      <c15:f>Energex!$N$36</c15:f>
                      <c15:dlblFieldTableCache>
                        <c:ptCount val="1"/>
                        <c:pt idx="0">
                          <c:v>5.2%</c:v>
                        </c:pt>
                      </c15:dlblFieldTableCache>
                    </c15:dlblFTEntry>
                  </c15:dlblFieldTable>
                  <c15:showDataLabelsRange val="0"/>
                </c:ext>
                <c:ext xmlns:c16="http://schemas.microsoft.com/office/drawing/2014/chart" uri="{C3380CC4-5D6E-409C-BE32-E72D297353CC}">
                  <c16:uniqueId val="{00000007-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2019-20</c:v>
                </c:pt>
                <c:pt idx="1">
                  <c:v>2020-21</c:v>
                </c:pt>
              </c:strCache>
            </c:strRef>
          </c:cat>
          <c:val>
            <c:numRef>
              <c:f>(Energex!$I$36,Energex!$O$36)</c:f>
              <c:numCache>
                <c:formatCode>#,##0.00</c:formatCode>
                <c:ptCount val="2"/>
                <c:pt idx="0">
                  <c:v>89.663200000000003</c:v>
                </c:pt>
                <c:pt idx="1">
                  <c:v>76.962599999999995</c:v>
                </c:pt>
              </c:numCache>
            </c:numRef>
          </c:val>
          <c:extLst>
            <c:ext xmlns:c16="http://schemas.microsoft.com/office/drawing/2014/chart" uri="{C3380CC4-5D6E-409C-BE32-E72D297353CC}">
              <c16:uniqueId val="{00000008-066B-4605-8BB7-09A29826FA95}"/>
            </c:ext>
          </c:extLst>
        </c:ser>
        <c:ser>
          <c:idx val="3"/>
          <c:order val="3"/>
          <c:tx>
            <c:strRef>
              <c:f>Energex!$F$37</c:f>
              <c:strCache>
                <c:ptCount val="1"/>
                <c:pt idx="0">
                  <c:v>Residual cost</c:v>
                </c:pt>
              </c:strCache>
            </c:strRef>
          </c:tx>
          <c:spPr>
            <a:solidFill>
              <a:schemeClr val="accent6">
                <a:lumMod val="40000"/>
                <a:lumOff val="60000"/>
              </a:schemeClr>
            </a:solidFill>
            <a:ln>
              <a:noFill/>
            </a:ln>
            <a:effectLst/>
          </c:spPr>
          <c:invertIfNegative val="0"/>
          <c:dLbls>
            <c:dLbl>
              <c:idx val="0"/>
              <c:tx>
                <c:strRef>
                  <c:f>Energex!$J$37</c:f>
                  <c:strCache>
                    <c:ptCount val="1"/>
                    <c:pt idx="0">
                      <c:v>20.5%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{DB85980A-FBFB-4466-B35C-B5E66218874E}</c15:txfldGUID>
                      <c15:f>Energex!$J$37</c15:f>
                      <c15:dlblFieldTableCache>
                        <c:ptCount val="1"/>
                        <c:pt idx="0">
                          <c:v>20.5%</c:v>
                        </c:pt>
                      </c15:dlblFieldTableCache>
                    </c15:dlblFTEntry>
                  </c15:dlblFieldTable>
                  <c15:showDataLabelsRange val="0"/>
                </c:ext>
                <c:ext xmlns:c16="http://schemas.microsoft.com/office/drawing/2014/chart" uri="{C3380CC4-5D6E-409C-BE32-E72D297353CC}">
                  <c16:uniqueId val="{00000009-066B-4605-8BB7-09A29826FA95}"/>
                </c:ext>
              </c:extLst>
            </c:dLbl>
            <c:dLbl>
              <c:idx val="1"/>
              <c:tx>
                <c:strRef>
                  <c:f>Energex!$N$37</c:f>
                  <c:strCache>
                    <c:ptCount val="1"/>
                    <c:pt idx="0">
                      <c:v>22.1%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{23026ABB-C0F6-4877-9AA4-754D0554667E}</c15:txfldGUID>
                      <c15:f>Energex!$N$37</c15:f>
                      <c15:dlblFieldTableCache>
                        <c:ptCount val="1"/>
                        <c:pt idx="0">
                          <c:v>22.1%</c:v>
                        </c:pt>
                      </c15:dlblFieldTableCache>
                    </c15:dlblFTEntry>
                  </c15:dlblFieldTable>
                  <c15:showDataLabelsRange val="0"/>
                </c:ext>
                <c:ext xmlns:c16="http://schemas.microsoft.com/office/drawing/2014/chart" uri="{C3380CC4-5D6E-409C-BE32-E72D297353CC}">
                  <c16:uniqueId val="{0000000A-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2019-20</c:v>
                </c:pt>
                <c:pt idx="1">
                  <c:v>2020-21</c:v>
                </c:pt>
              </c:strCache>
            </c:strRef>
          </c:cat>
          <c:val>
            <c:numRef>
              <c:f>(Energex!$I$37,Energex!$O$37)</c:f>
              <c:numCache>
                <c:formatCode>#,##0.00</c:formatCode>
                <c:ptCount val="2"/>
                <c:pt idx="0">
                  <c:v>321.35556999999994</c:v>
                </c:pt>
                <c:pt idx="1">
                  <c:v>327.30064804499989</c:v>
                </c:pt>
              </c:numCache>
            </c:numRef>
          </c:val>
          <c:extLst>
            <c:ext xmlns:c16="http://schemas.microsoft.com/office/drawing/2014/chart" uri="{C3380CC4-5D6E-409C-BE32-E72D297353CC}">
              <c16:uniqueId val="{0000000B-066B-4605-8BB7-09A29826FA95}"/>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2019-20</c:v>
                </c:pt>
                <c:pt idx="1">
                  <c:v>2020-21</c:v>
                </c:pt>
              </c:strCache>
            </c:strRef>
          </c:cat>
          <c:val>
            <c:numRef>
              <c:f>(Energex!$H$33,Energex!$H$39)</c:f>
              <c:numCache>
                <c:formatCode>#,##0.00</c:formatCode>
                <c:ptCount val="2"/>
                <c:pt idx="0">
                  <c:v>1570</c:v>
                </c:pt>
                <c:pt idx="1">
                  <c:v>1483.7026530449998</c:v>
                </c:pt>
              </c:numCache>
            </c:numRef>
          </c:val>
          <c:extLst>
            <c:ext xmlns:c16="http://schemas.microsoft.com/office/drawing/2014/chart" uri="{C3380CC4-5D6E-409C-BE32-E72D297353CC}">
              <c16:uniqueId val="{0000000C-066B-4605-8BB7-09A29826FA95}"/>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8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Energex!$E$3</c:f>
          <c:strCache>
            <c:ptCount val="1"/>
            <c:pt idx="0">
              <c:v>Energex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Energex!$F$34</c:f>
              <c:strCache>
                <c:ptCount val="1"/>
                <c:pt idx="0">
                  <c:v>Network cost</c:v>
                </c:pt>
              </c:strCache>
            </c:strRef>
          </c:tx>
          <c:spPr>
            <a:solidFill>
              <a:schemeClr val="accent1"/>
            </a:solidFill>
            <a:ln>
              <a:noFill/>
            </a:ln>
            <a:effectLst/>
          </c:spPr>
          <c:invertIfNegative val="0"/>
          <c:dLbls>
            <c:dLbl>
              <c:idx val="0"/>
              <c:tx>
                <c:strRef>
                  <c:f>Energex!$AD$34</c:f>
                  <c:strCache>
                    <c:ptCount val="1"/>
                    <c:pt idx="0">
                      <c:v>37.2%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{1E631DD3-F772-4E9E-ACD2-DDDA17A4A206}</c15:txfldGUID>
                      <c15:f>Energex!$AD$34</c15:f>
                      <c15:dlblFieldTableCache>
                        <c:ptCount val="1"/>
                        <c:pt idx="0">
                          <c:v>37.2%</c:v>
                        </c:pt>
                      </c15:dlblFieldTableCache>
                    </c15:dlblFTEntry>
                  </c15:dlblFieldTable>
                  <c15:showDataLabelsRange val="0"/>
                </c:ext>
                <c:ext xmlns:c16="http://schemas.microsoft.com/office/drawing/2014/chart" uri="{C3380CC4-5D6E-409C-BE32-E72D297353CC}">
                  <c16:uniqueId val="{00000000-7CCD-47B7-AE2B-00C1A509C67F}"/>
                </c:ext>
              </c:extLst>
            </c:dLbl>
            <c:dLbl>
              <c:idx val="1"/>
              <c:tx>
                <c:strRef>
                  <c:f>Energex!$AH$34</c:f>
                  <c:strCache>
                    <c:ptCount val="1"/>
                    <c:pt idx="0">
                      <c:v>35.2%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{DF2F6CFD-94B7-45CE-9CC9-260A6148E5D9}</c15:txfldGUID>
                      <c15:f>Energex!$AH$34</c15:f>
                      <c15:dlblFieldTableCache>
                        <c:ptCount val="1"/>
                        <c:pt idx="0">
                          <c:v>35.2%</c:v>
                        </c:pt>
                      </c15:dlblFieldTableCache>
                    </c15:dlblFTEntry>
                  </c15:dlblFieldTable>
                  <c15:showDataLabelsRange val="0"/>
                </c:ext>
                <c:ext xmlns:c16="http://schemas.microsoft.com/office/drawing/2014/chart" uri="{C3380CC4-5D6E-409C-BE32-E72D297353CC}">
                  <c16:uniqueId val="{00000001-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(Energex!$AC$29,Energex!$AF$29)</c:f>
              <c:strCache>
                <c:ptCount val="2"/>
                <c:pt idx="0">
                  <c:v>2019-20</c:v>
                </c:pt>
                <c:pt idx="1">
                  <c:v>2020-21</c:v>
                </c:pt>
              </c:strCache>
            </c:strRef>
          </c:cat>
          <c:val>
            <c:numRef>
              <c:f>(Energex!$AC$34,Energex!$AI$34)</c:f>
              <c:numCache>
                <c:formatCode>#,##0.00</c:formatCode>
                <c:ptCount val="2"/>
                <c:pt idx="0">
                  <c:v>2241.2074299999999</c:v>
                </c:pt>
                <c:pt idx="1">
                  <c:v>1989.245005</c:v>
                </c:pt>
              </c:numCache>
            </c:numRef>
          </c:val>
          <c:extLst>
            <c:ext xmlns:c16="http://schemas.microsoft.com/office/drawing/2014/chart" uri="{C3380CC4-5D6E-409C-BE32-E72D297353CC}">
              <c16:uniqueId val="{00000002-7CCD-47B7-AE2B-00C1A509C67F}"/>
            </c:ext>
          </c:extLst>
        </c:ser>
        <c:ser>
          <c:idx val="1"/>
          <c:order val="1"/>
          <c:tx>
            <c:strRef>
              <c:f>Energex!$F$35</c:f>
              <c:strCache>
                <c:ptCount val="1"/>
                <c:pt idx="0">
                  <c:v>Wholesale cost</c:v>
                </c:pt>
              </c:strCache>
            </c:strRef>
          </c:tx>
          <c:spPr>
            <a:solidFill>
              <a:schemeClr val="accent2"/>
            </a:solidFill>
            <a:ln>
              <a:noFill/>
            </a:ln>
            <a:effectLst/>
          </c:spPr>
          <c:invertIfNegative val="0"/>
          <c:dLbls>
            <c:dLbl>
              <c:idx val="0"/>
              <c:tx>
                <c:strRef>
                  <c:f>Energex!$AD$35</c:f>
                  <c:strCache>
                    <c:ptCount val="1"/>
                    <c:pt idx="0">
                      <c:v>35.9%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{310DA6C3-3451-4C42-853B-ADC81107051C}</c15:txfldGUID>
                      <c15:f>Energex!$AD$35</c15:f>
                      <c15:dlblFieldTableCache>
                        <c:ptCount val="1"/>
                        <c:pt idx="0">
                          <c:v>35.9%</c:v>
                        </c:pt>
                      </c15:dlblFieldTableCache>
                    </c15:dlblFTEntry>
                  </c15:dlblFieldTable>
                  <c15:showDataLabelsRange val="0"/>
                </c:ext>
                <c:ext xmlns:c16="http://schemas.microsoft.com/office/drawing/2014/chart" uri="{C3380CC4-5D6E-409C-BE32-E72D297353CC}">
                  <c16:uniqueId val="{00000003-7CCD-47B7-AE2B-00C1A509C67F}"/>
                </c:ext>
              </c:extLst>
            </c:dLbl>
            <c:dLbl>
              <c:idx val="1"/>
              <c:tx>
                <c:strRef>
                  <c:f>Energex!$AH$35</c:f>
                  <c:strCache>
                    <c:ptCount val="1"/>
                    <c:pt idx="0">
                      <c:v>36.7%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{B3D6B64C-92EB-4F09-A347-CFB249CB229E}</c15:txfldGUID>
                      <c15:f>Energex!$AH$35</c15:f>
                      <c15:dlblFieldTableCache>
                        <c:ptCount val="1"/>
                        <c:pt idx="0">
                          <c:v>36.7%</c:v>
                        </c:pt>
                      </c15:dlblFieldTableCache>
                    </c15:dlblFTEntry>
                  </c15:dlblFieldTable>
                  <c15:showDataLabelsRange val="0"/>
                </c:ext>
                <c:ext xmlns:c16="http://schemas.microsoft.com/office/drawing/2014/chart" uri="{C3380CC4-5D6E-409C-BE32-E72D297353CC}">
                  <c16:uniqueId val="{00000004-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(Energex!$AC$29,Energex!$AF$29)</c:f>
              <c:strCache>
                <c:ptCount val="2"/>
                <c:pt idx="0">
                  <c:v>2019-20</c:v>
                </c:pt>
                <c:pt idx="1">
                  <c:v>2020-21</c:v>
                </c:pt>
              </c:strCache>
            </c:strRef>
          </c:cat>
          <c:val>
            <c:numRef>
              <c:f>(Energex!$AC$35,Energex!$AI$35)</c:f>
              <c:numCache>
                <c:formatCode>#,##0.00</c:formatCode>
                <c:ptCount val="2"/>
                <c:pt idx="0">
                  <c:v>2163.48</c:v>
                </c:pt>
                <c:pt idx="1">
                  <c:v>2069.54</c:v>
                </c:pt>
              </c:numCache>
            </c:numRef>
          </c:val>
          <c:extLst>
            <c:ext xmlns:c16="http://schemas.microsoft.com/office/drawing/2014/chart" uri="{C3380CC4-5D6E-409C-BE32-E72D297353CC}">
              <c16:uniqueId val="{00000005-7CCD-47B7-AE2B-00C1A509C67F}"/>
            </c:ext>
          </c:extLst>
        </c:ser>
        <c:ser>
          <c:idx val="2"/>
          <c:order val="2"/>
          <c:tx>
            <c:strRef>
              <c:f>Energex!$F$36</c:f>
              <c:strCache>
                <c:ptCount val="1"/>
                <c:pt idx="0">
                  <c:v>Environmental cost</c:v>
                </c:pt>
              </c:strCache>
            </c:strRef>
          </c:tx>
          <c:spPr>
            <a:solidFill>
              <a:schemeClr val="accent3"/>
            </a:solidFill>
            <a:ln>
              <a:noFill/>
            </a:ln>
            <a:effectLst/>
          </c:spPr>
          <c:invertIfNegative val="0"/>
          <c:dLbls>
            <c:dLbl>
              <c:idx val="0"/>
              <c:tx>
                <c:strRef>
                  <c:f>Energex!$AD$36</c:f>
                  <c:strCache>
                    <c:ptCount val="1"/>
                    <c:pt idx="0">
                      <c:v>6.5%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{461A3BCD-0C16-44E0-8A20-DA639C859039}</c15:txfldGUID>
                      <c15:f>Energex!$AD$36</c15:f>
                      <c15:dlblFieldTableCache>
                        <c:ptCount val="1"/>
                        <c:pt idx="0">
                          <c:v>6.5%</c:v>
                        </c:pt>
                      </c15:dlblFieldTableCache>
                    </c15:dlblFTEntry>
                  </c15:dlblFieldTable>
                  <c15:showDataLabelsRange val="0"/>
                </c:ext>
                <c:ext xmlns:c16="http://schemas.microsoft.com/office/drawing/2014/chart" uri="{C3380CC4-5D6E-409C-BE32-E72D297353CC}">
                  <c16:uniqueId val="{00000006-7CCD-47B7-AE2B-00C1A509C67F}"/>
                </c:ext>
              </c:extLst>
            </c:dLbl>
            <c:dLbl>
              <c:idx val="1"/>
              <c:tx>
                <c:strRef>
                  <c:f>Energex!$AH$36</c:f>
                  <c:strCache>
                    <c:ptCount val="1"/>
                    <c:pt idx="0">
                      <c:v>5.9%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{48A8AD88-0832-40FE-8C6A-571816E57529}</c15:txfldGUID>
                      <c15:f>Energex!$AH$36</c15:f>
                      <c15:dlblFieldTableCache>
                        <c:ptCount val="1"/>
                        <c:pt idx="0">
                          <c:v>5.9%</c:v>
                        </c:pt>
                      </c15:dlblFieldTableCache>
                    </c15:dlblFTEntry>
                  </c15:dlblFieldTable>
                  <c15:showDataLabelsRange val="0"/>
                </c:ext>
                <c:ext xmlns:c16="http://schemas.microsoft.com/office/drawing/2014/chart" uri="{C3380CC4-5D6E-409C-BE32-E72D297353CC}">
                  <c16:uniqueId val="{00000007-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(Energex!$AC$29,Energex!$AF$29)</c:f>
              <c:strCache>
                <c:ptCount val="2"/>
                <c:pt idx="0">
                  <c:v>2019-20</c:v>
                </c:pt>
                <c:pt idx="1">
                  <c:v>2020-21</c:v>
                </c:pt>
              </c:strCache>
            </c:strRef>
          </c:cat>
          <c:val>
            <c:numRef>
              <c:f>(Energex!$AC$36,Energex!$AI$36)</c:f>
              <c:numCache>
                <c:formatCode>#,##0.00</c:formatCode>
                <c:ptCount val="2"/>
                <c:pt idx="0">
                  <c:v>389.84</c:v>
                </c:pt>
                <c:pt idx="1">
                  <c:v>334.62</c:v>
                </c:pt>
              </c:numCache>
            </c:numRef>
          </c:val>
          <c:extLst>
            <c:ext xmlns:c16="http://schemas.microsoft.com/office/drawing/2014/chart" uri="{C3380CC4-5D6E-409C-BE32-E72D297353CC}">
              <c16:uniqueId val="{00000008-7CCD-47B7-AE2B-00C1A509C67F}"/>
            </c:ext>
          </c:extLst>
        </c:ser>
        <c:ser>
          <c:idx val="3"/>
          <c:order val="3"/>
          <c:tx>
            <c:strRef>
              <c:f>Energex!$F$37</c:f>
              <c:strCache>
                <c:ptCount val="1"/>
                <c:pt idx="0">
                  <c:v>Residual cost</c:v>
                </c:pt>
              </c:strCache>
            </c:strRef>
          </c:tx>
          <c:spPr>
            <a:solidFill>
              <a:schemeClr val="accent6">
                <a:lumMod val="40000"/>
                <a:lumOff val="60000"/>
              </a:schemeClr>
            </a:solidFill>
            <a:ln>
              <a:noFill/>
            </a:ln>
            <a:effectLst/>
          </c:spPr>
          <c:invertIfNegative val="0"/>
          <c:dLbls>
            <c:dLbl>
              <c:idx val="0"/>
              <c:tx>
                <c:strRef>
                  <c:f>Energex!$AD$37</c:f>
                  <c:strCache>
                    <c:ptCount val="1"/>
                    <c:pt idx="0">
                      <c:v>20.4%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{C677D0B4-4B01-40AB-AA1A-AC3275750432}</c15:txfldGUID>
                      <c15:f>Energex!$AD$37</c15:f>
                      <c15:dlblFieldTableCache>
                        <c:ptCount val="1"/>
                        <c:pt idx="0">
                          <c:v>20.4%</c:v>
                        </c:pt>
                      </c15:dlblFieldTableCache>
                    </c15:dlblFTEntry>
                  </c15:dlblFieldTable>
                  <c15:showDataLabelsRange val="0"/>
                </c:ext>
                <c:ext xmlns:c16="http://schemas.microsoft.com/office/drawing/2014/chart" uri="{C3380CC4-5D6E-409C-BE32-E72D297353CC}">
                  <c16:uniqueId val="{00000009-7CCD-47B7-AE2B-00C1A509C67F}"/>
                </c:ext>
              </c:extLst>
            </c:dLbl>
            <c:dLbl>
              <c:idx val="1"/>
              <c:tx>
                <c:strRef>
                  <c:f>Energex!$AH$37</c:f>
                  <c:strCache>
                    <c:ptCount val="1"/>
                    <c:pt idx="0">
                      <c:v>22.2%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{1C194BCC-41FD-4475-B299-671F5098F67B}</c15:txfldGUID>
                      <c15:f>Energex!$AH$37</c15:f>
                      <c15:dlblFieldTableCache>
                        <c:ptCount val="1"/>
                        <c:pt idx="0">
                          <c:v>22.2%</c:v>
                        </c:pt>
                      </c15:dlblFieldTableCache>
                    </c15:dlblFTEntry>
                  </c15:dlblFieldTable>
                  <c15:showDataLabelsRange val="0"/>
                </c:ext>
                <c:ext xmlns:c16="http://schemas.microsoft.com/office/drawing/2014/chart" uri="{C3380CC4-5D6E-409C-BE32-E72D297353CC}">
                  <c16:uniqueId val="{0000000A-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(Energex!$AC$29,Energex!$AF$29)</c:f>
              <c:strCache>
                <c:ptCount val="2"/>
                <c:pt idx="0">
                  <c:v>2019-20</c:v>
                </c:pt>
                <c:pt idx="1">
                  <c:v>2020-21</c:v>
                </c:pt>
              </c:strCache>
            </c:strRef>
          </c:cat>
          <c:val>
            <c:numRef>
              <c:f>(Energex!$AC$37,Energex!$AI$37)</c:f>
              <c:numCache>
                <c:formatCode>#,##0.00</c:formatCode>
                <c:ptCount val="2"/>
                <c:pt idx="0">
                  <c:v>1230.4725699999999</c:v>
                </c:pt>
                <c:pt idx="1">
                  <c:v>1253.2363125450001</c:v>
                </c:pt>
              </c:numCache>
            </c:numRef>
          </c:val>
          <c:extLst>
            <c:ext xmlns:c16="http://schemas.microsoft.com/office/drawing/2014/chart" uri="{C3380CC4-5D6E-409C-BE32-E72D297353CC}">
              <c16:uniqueId val="{0000000B-7CCD-47B7-AE2B-00C1A509C67F}"/>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(Energex!$AC$29,Energex!$AF$29)</c:f>
              <c:strCache>
                <c:ptCount val="2"/>
                <c:pt idx="0">
                  <c:v>2019-20</c:v>
                </c:pt>
                <c:pt idx="1">
                  <c:v>2020-21</c:v>
                </c:pt>
              </c:strCache>
            </c:strRef>
          </c:cat>
          <c:val>
            <c:numRef>
              <c:f>(Energex!$AB$33,Energex!$AB$39)</c:f>
              <c:numCache>
                <c:formatCode>#,##0.00</c:formatCode>
                <c:ptCount val="2"/>
                <c:pt idx="0">
                  <c:v>6025</c:v>
                </c:pt>
                <c:pt idx="1">
                  <c:v>5646.6413175449998</c:v>
                </c:pt>
              </c:numCache>
            </c:numRef>
          </c:val>
          <c:extLst>
            <c:ext xmlns:c16="http://schemas.microsoft.com/office/drawing/2014/chart" uri="{C3380CC4-5D6E-409C-BE32-E72D297353CC}">
              <c16:uniqueId val="{0000000C-7CCD-47B7-AE2B-00C1A509C67F}"/>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7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SAPN!$D$3</c:f>
          <c:strCache>
            <c:ptCount val="1"/>
            <c:pt idx="0">
              <c:v>SAPN Residential with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SAPN!$F$34</c:f>
              <c:strCache>
                <c:ptCount val="1"/>
                <c:pt idx="0">
                  <c:v>Network cost</c:v>
                </c:pt>
              </c:strCache>
            </c:strRef>
          </c:tx>
          <c:spPr>
            <a:solidFill>
              <a:schemeClr val="accent1"/>
            </a:solidFill>
            <a:ln>
              <a:noFill/>
            </a:ln>
            <a:effectLst/>
          </c:spPr>
          <c:invertIfNegative val="0"/>
          <c:dLbls>
            <c:dLbl>
              <c:idx val="0"/>
              <c:tx>
                <c:strRef>
                  <c:f>SAPN!$T$34</c:f>
                  <c:strCache>
                    <c:ptCount val="1"/>
                    <c:pt idx="0">
                      <c:v>43.7%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{5A697FD2-0FAD-43C1-8A9D-182BC2C22966}</c15:txfldGUID>
                      <c15:f>SAPN!$T$34</c15:f>
                      <c15:dlblFieldTableCache>
                        <c:ptCount val="1"/>
                        <c:pt idx="0">
                          <c:v>43.7%</c:v>
                        </c:pt>
                      </c15:dlblFieldTableCache>
                    </c15:dlblFTEntry>
                  </c15:dlblFieldTable>
                  <c15:showDataLabelsRange val="0"/>
                </c:ext>
                <c:ext xmlns:c16="http://schemas.microsoft.com/office/drawing/2014/chart" uri="{C3380CC4-5D6E-409C-BE32-E72D297353CC}">
                  <c16:uniqueId val="{00000000-9475-4999-A85F-048E3A44FAC3}"/>
                </c:ext>
              </c:extLst>
            </c:dLbl>
            <c:dLbl>
              <c:idx val="1"/>
              <c:tx>
                <c:strRef>
                  <c:f>SAPN!$X$34</c:f>
                  <c:strCache>
                    <c:ptCount val="1"/>
                    <c:pt idx="0">
                      <c:v>43.4%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{F3CEFCF6-E76F-44BB-92F4-F7898552B55D}</c15:txfldGUID>
                      <c15:f>SAPN!$X$34</c15:f>
                      <c15:dlblFieldTableCache>
                        <c:ptCount val="1"/>
                        <c:pt idx="0">
                          <c:v>43.4%</c:v>
                        </c:pt>
                      </c15:dlblFieldTableCache>
                    </c15:dlblFTEntry>
                  </c15:dlblFieldTable>
                  <c15:showDataLabelsRange val="0"/>
                </c:ext>
                <c:ext xmlns:c16="http://schemas.microsoft.com/office/drawing/2014/chart" uri="{C3380CC4-5D6E-409C-BE32-E72D297353CC}">
                  <c16:uniqueId val="{00000001-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(SAPN!$S$29,SAPN!$V$29)</c:f>
              <c:strCache>
                <c:ptCount val="2"/>
                <c:pt idx="0">
                  <c:v>2019-20</c:v>
                </c:pt>
                <c:pt idx="1">
                  <c:v>2020-21</c:v>
                </c:pt>
              </c:strCache>
            </c:strRef>
          </c:cat>
          <c:val>
            <c:numRef>
              <c:f>(SAPN!$S$34,SAPN!$Y$34)</c:f>
              <c:numCache>
                <c:formatCode>#,##0.00</c:formatCode>
                <c:ptCount val="2"/>
                <c:pt idx="0">
                  <c:v>1057.0889999999999</c:v>
                </c:pt>
                <c:pt idx="1">
                  <c:v>989.82400000000007</c:v>
                </c:pt>
              </c:numCache>
            </c:numRef>
          </c:val>
          <c:extLst>
            <c:ext xmlns:c16="http://schemas.microsoft.com/office/drawing/2014/chart" uri="{C3380CC4-5D6E-409C-BE32-E72D297353CC}">
              <c16:uniqueId val="{00000002-9475-4999-A85F-048E3A44FAC3}"/>
            </c:ext>
          </c:extLst>
        </c:ser>
        <c:ser>
          <c:idx val="1"/>
          <c:order val="1"/>
          <c:tx>
            <c:strRef>
              <c:f>SAPN!$F$35</c:f>
              <c:strCache>
                <c:ptCount val="1"/>
                <c:pt idx="0">
                  <c:v>Wholesale cost</c:v>
                </c:pt>
              </c:strCache>
            </c:strRef>
          </c:tx>
          <c:spPr>
            <a:solidFill>
              <a:schemeClr val="accent2"/>
            </a:solidFill>
            <a:ln>
              <a:noFill/>
            </a:ln>
            <a:effectLst/>
          </c:spPr>
          <c:invertIfNegative val="0"/>
          <c:dLbls>
            <c:dLbl>
              <c:idx val="0"/>
              <c:tx>
                <c:strRef>
                  <c:f>SAPN!$T$35</c:f>
                  <c:strCache>
                    <c:ptCount val="1"/>
                    <c:pt idx="0">
                      <c:v>40.3%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{86E34F23-15EA-4AF4-814B-58A9B934E92F}</c15:txfldGUID>
                      <c15:f>SAPN!$T$35</c15:f>
                      <c15:dlblFieldTableCache>
                        <c:ptCount val="1"/>
                        <c:pt idx="0">
                          <c:v>40.3%</c:v>
                        </c:pt>
                      </c15:dlblFieldTableCache>
                    </c15:dlblFTEntry>
                  </c15:dlblFieldTable>
                  <c15:showDataLabelsRange val="0"/>
                </c:ext>
                <c:ext xmlns:c16="http://schemas.microsoft.com/office/drawing/2014/chart" uri="{C3380CC4-5D6E-409C-BE32-E72D297353CC}">
                  <c16:uniqueId val="{00000003-9475-4999-A85F-048E3A44FAC3}"/>
                </c:ext>
              </c:extLst>
            </c:dLbl>
            <c:dLbl>
              <c:idx val="1"/>
              <c:tx>
                <c:strRef>
                  <c:f>SAPN!$X$35</c:f>
                  <c:strCache>
                    <c:ptCount val="1"/>
                    <c:pt idx="0">
                      <c:v>40.2%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{1C1EEF6E-0F6F-4847-8542-0872CE0445BF}</c15:txfldGUID>
                      <c15:f>SAPN!$X$35</c15:f>
                      <c15:dlblFieldTableCache>
                        <c:ptCount val="1"/>
                        <c:pt idx="0">
                          <c:v>40.2%</c:v>
                        </c:pt>
                      </c15:dlblFieldTableCache>
                    </c15:dlblFTEntry>
                  </c15:dlblFieldTable>
                  <c15:showDataLabelsRange val="0"/>
                </c:ext>
                <c:ext xmlns:c16="http://schemas.microsoft.com/office/drawing/2014/chart" uri="{C3380CC4-5D6E-409C-BE32-E72D297353CC}">
                  <c16:uniqueId val="{00000004-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(SAPN!$S$29,SAPN!$V$29)</c:f>
              <c:strCache>
                <c:ptCount val="2"/>
                <c:pt idx="0">
                  <c:v>2019-20</c:v>
                </c:pt>
                <c:pt idx="1">
                  <c:v>2020-21</c:v>
                </c:pt>
              </c:strCache>
            </c:strRef>
          </c:cat>
          <c:val>
            <c:numRef>
              <c:f>(SAPN!$S$35,SAPN!$Y$35)</c:f>
              <c:numCache>
                <c:formatCode>#,##0.00</c:formatCode>
                <c:ptCount val="2"/>
                <c:pt idx="0">
                  <c:v>975.7571999999999</c:v>
                </c:pt>
                <c:pt idx="1">
                  <c:v>918.16560000000004</c:v>
                </c:pt>
              </c:numCache>
            </c:numRef>
          </c:val>
          <c:extLst>
            <c:ext xmlns:c16="http://schemas.microsoft.com/office/drawing/2014/chart" uri="{C3380CC4-5D6E-409C-BE32-E72D297353CC}">
              <c16:uniqueId val="{00000005-9475-4999-A85F-048E3A44FAC3}"/>
            </c:ext>
          </c:extLst>
        </c:ser>
        <c:ser>
          <c:idx val="2"/>
          <c:order val="2"/>
          <c:tx>
            <c:strRef>
              <c:f>SAPN!$F$36</c:f>
              <c:strCache>
                <c:ptCount val="1"/>
                <c:pt idx="0">
                  <c:v>Environmental cost</c:v>
                </c:pt>
              </c:strCache>
            </c:strRef>
          </c:tx>
          <c:spPr>
            <a:solidFill>
              <a:schemeClr val="accent3"/>
            </a:solidFill>
            <a:ln>
              <a:noFill/>
            </a:ln>
            <a:effectLst/>
          </c:spPr>
          <c:invertIfNegative val="0"/>
          <c:dLbls>
            <c:dLbl>
              <c:idx val="0"/>
              <c:tx>
                <c:strRef>
                  <c:f>SAPN!$T$36</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{98EB993D-796A-4B63-90D5-3D511794AE93}</c15:txfldGUID>
                      <c15:f>SAPN!$T$36</c15:f>
                      <c15:dlblFieldTableCache>
                        <c:ptCount val="1"/>
                        <c:pt idx="0">
                          <c:v>5.8%</c:v>
                        </c:pt>
                      </c15:dlblFieldTableCache>
                    </c15:dlblFTEntry>
                  </c15:dlblFieldTable>
                  <c15:showDataLabelsRange val="0"/>
                </c:ext>
                <c:ext xmlns:c16="http://schemas.microsoft.com/office/drawing/2014/chart" uri="{C3380CC4-5D6E-409C-BE32-E72D297353CC}">
                  <c16:uniqueId val="{00000006-9475-4999-A85F-048E3A44FAC3}"/>
                </c:ext>
              </c:extLst>
            </c:dLbl>
            <c:dLbl>
              <c:idx val="1"/>
              <c:tx>
                <c:strRef>
                  <c:f>SAPN!$X$36</c:f>
                  <c:strCache>
                    <c:ptCount val="1"/>
                    <c:pt idx="0">
                      <c:v>5.4%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{6004EA0C-A40A-4257-B06A-19B8813770EB}</c15:txfldGUID>
                      <c15:f>SAPN!$X$36</c15:f>
                      <c15:dlblFieldTableCache>
                        <c:ptCount val="1"/>
                        <c:pt idx="0">
                          <c:v>5.4%</c:v>
                        </c:pt>
                      </c15:dlblFieldTableCache>
                    </c15:dlblFTEntry>
                  </c15:dlblFieldTable>
                  <c15:showDataLabelsRange val="0"/>
                </c:ext>
                <c:ext xmlns:c16="http://schemas.microsoft.com/office/drawing/2014/chart" uri="{C3380CC4-5D6E-409C-BE32-E72D297353CC}">
                  <c16:uniqueId val="{00000007-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(SAPN!$S$29,SAPN!$V$29)</c:f>
              <c:strCache>
                <c:ptCount val="2"/>
                <c:pt idx="0">
                  <c:v>2019-20</c:v>
                </c:pt>
                <c:pt idx="1">
                  <c:v>2020-21</c:v>
                </c:pt>
              </c:strCache>
            </c:strRef>
          </c:cat>
          <c:val>
            <c:numRef>
              <c:f>(SAPN!$S$36,SAPN!$Y$36)</c:f>
              <c:numCache>
                <c:formatCode>#,##0.00</c:formatCode>
                <c:ptCount val="2"/>
                <c:pt idx="0">
                  <c:v>140.25</c:v>
                </c:pt>
                <c:pt idx="1">
                  <c:v>122.95800000000001</c:v>
                </c:pt>
              </c:numCache>
            </c:numRef>
          </c:val>
          <c:extLst>
            <c:ext xmlns:c16="http://schemas.microsoft.com/office/drawing/2014/chart" uri="{C3380CC4-5D6E-409C-BE32-E72D297353CC}">
              <c16:uniqueId val="{00000008-9475-4999-A85F-048E3A44FAC3}"/>
            </c:ext>
          </c:extLst>
        </c:ser>
        <c:ser>
          <c:idx val="3"/>
          <c:order val="3"/>
          <c:tx>
            <c:strRef>
              <c:f>SAPN!$F$37</c:f>
              <c:strCache>
                <c:ptCount val="1"/>
                <c:pt idx="0">
                  <c:v>Residual cost</c:v>
                </c:pt>
              </c:strCache>
            </c:strRef>
          </c:tx>
          <c:spPr>
            <a:solidFill>
              <a:schemeClr val="accent6">
                <a:lumMod val="40000"/>
                <a:lumOff val="60000"/>
              </a:schemeClr>
            </a:solidFill>
            <a:ln>
              <a:noFill/>
            </a:ln>
            <a:effectLst/>
          </c:spPr>
          <c:invertIfNegative val="0"/>
          <c:dLbls>
            <c:dLbl>
              <c:idx val="0"/>
              <c:tx>
                <c:strRef>
                  <c:f>SAPN!$T$37</c:f>
                  <c:strCache>
                    <c:ptCount val="1"/>
                    <c:pt idx="0">
                      <c:v>10.2%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{6442E6F6-8DF2-4090-B0AF-01019481C13F}</c15:txfldGUID>
                      <c15:f>SAPN!$T$37</c15:f>
                      <c15:dlblFieldTableCache>
                        <c:ptCount val="1"/>
                        <c:pt idx="0">
                          <c:v>10.2%</c:v>
                        </c:pt>
                      </c15:dlblFieldTableCache>
                    </c15:dlblFTEntry>
                  </c15:dlblFieldTable>
                  <c15:showDataLabelsRange val="0"/>
                </c:ext>
                <c:ext xmlns:c16="http://schemas.microsoft.com/office/drawing/2014/chart" uri="{C3380CC4-5D6E-409C-BE32-E72D297353CC}">
                  <c16:uniqueId val="{00000009-9475-4999-A85F-048E3A44FAC3}"/>
                </c:ext>
              </c:extLst>
            </c:dLbl>
            <c:dLbl>
              <c:idx val="1"/>
              <c:tx>
                <c:strRef>
                  <c:f>SAPN!$X$37</c:f>
                  <c:strCache>
                    <c:ptCount val="1"/>
                    <c:pt idx="0">
                      <c:v>11.0%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{1ABDC427-A2EC-461B-AABC-B0F06508DF81}</c15:txfldGUID>
                      <c15:f>SAPN!$X$37</c15:f>
                      <c15:dlblFieldTableCache>
                        <c:ptCount val="1"/>
                        <c:pt idx="0">
                          <c:v>11.0%</c:v>
                        </c:pt>
                      </c15:dlblFieldTableCache>
                    </c15:dlblFTEntry>
                  </c15:dlblFieldTable>
                  <c15:showDataLabelsRange val="0"/>
                </c:ext>
                <c:ext xmlns:c16="http://schemas.microsoft.com/office/drawing/2014/chart" uri="{C3380CC4-5D6E-409C-BE32-E72D297353CC}">
                  <c16:uniqueId val="{0000000A-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(SAPN!$S$29,SAPN!$V$29)</c:f>
              <c:strCache>
                <c:ptCount val="2"/>
                <c:pt idx="0">
                  <c:v>2019-20</c:v>
                </c:pt>
                <c:pt idx="1">
                  <c:v>2020-21</c:v>
                </c:pt>
              </c:strCache>
            </c:strRef>
          </c:cat>
          <c:val>
            <c:numRef>
              <c:f>(SAPN!$S$37,SAPN!$Y$37)</c:f>
              <c:numCache>
                <c:formatCode>#,##0.00</c:formatCode>
                <c:ptCount val="2"/>
                <c:pt idx="0">
                  <c:v>246.90380000000005</c:v>
                </c:pt>
                <c:pt idx="1">
                  <c:v>251.47152030000029</c:v>
                </c:pt>
              </c:numCache>
            </c:numRef>
          </c:val>
          <c:extLst>
            <c:ext xmlns:c16="http://schemas.microsoft.com/office/drawing/2014/chart" uri="{C3380CC4-5D6E-409C-BE32-E72D297353CC}">
              <c16:uniqueId val="{0000000B-9475-4999-A85F-048E3A44FAC3}"/>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(SAPN!$S$29,SAPN!$V$29)</c:f>
              <c:strCache>
                <c:ptCount val="2"/>
                <c:pt idx="0">
                  <c:v>2019-20</c:v>
                </c:pt>
                <c:pt idx="1">
                  <c:v>2020-21</c:v>
                </c:pt>
              </c:strCache>
            </c:strRef>
          </c:cat>
          <c:val>
            <c:numRef>
              <c:f>(SAPN!$R$33,SAPN!$R$39)</c:f>
              <c:numCache>
                <c:formatCode>#,##0.00</c:formatCode>
                <c:ptCount val="2"/>
                <c:pt idx="0">
                  <c:v>2420</c:v>
                </c:pt>
                <c:pt idx="1">
                  <c:v>2282.4191203000005</c:v>
                </c:pt>
              </c:numCache>
            </c:numRef>
          </c:val>
          <c:extLst>
            <c:ext xmlns:c16="http://schemas.microsoft.com/office/drawing/2014/chart" uri="{C3380CC4-5D6E-409C-BE32-E72D297353CC}">
              <c16:uniqueId val="{0000000C-9475-4999-A85F-048E3A44FAC3}"/>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7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SAPN!$C$3</c:f>
          <c:strCache>
            <c:ptCount val="1"/>
            <c:pt idx="0">
              <c:v>SAPN Residential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SAPN!$F$34</c:f>
              <c:strCache>
                <c:ptCount val="1"/>
                <c:pt idx="0">
                  <c:v>Network cost</c:v>
                </c:pt>
              </c:strCache>
            </c:strRef>
          </c:tx>
          <c:spPr>
            <a:solidFill>
              <a:schemeClr val="accent1"/>
            </a:solidFill>
            <a:ln>
              <a:noFill/>
            </a:ln>
            <a:effectLst/>
          </c:spPr>
          <c:invertIfNegative val="0"/>
          <c:dLbls>
            <c:dLbl>
              <c:idx val="0"/>
              <c:tx>
                <c:strRef>
                  <c:f>SAPN!$J$34</c:f>
                  <c:strCache>
                    <c:ptCount val="1"/>
                    <c:pt idx="0">
                      <c:v>43.4%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{6EB4895E-7BDE-489E-8E4D-E3AD36763C28}</c15:txfldGUID>
                      <c15:f>SAPN!$J$34</c15:f>
                      <c15:dlblFieldTableCache>
                        <c:ptCount val="1"/>
                        <c:pt idx="0">
                          <c:v>43.4%</c:v>
                        </c:pt>
                      </c15:dlblFieldTableCache>
                    </c15:dlblFTEntry>
                  </c15:dlblFieldTable>
                  <c15:showDataLabelsRange val="0"/>
                </c:ext>
                <c:ext xmlns:c16="http://schemas.microsoft.com/office/drawing/2014/chart" uri="{C3380CC4-5D6E-409C-BE32-E72D297353CC}">
                  <c16:uniqueId val="{00000000-2D66-4B5A-AD2E-DB0DB39A2338}"/>
                </c:ext>
              </c:extLst>
            </c:dLbl>
            <c:dLbl>
              <c:idx val="1"/>
              <c:tx>
                <c:strRef>
                  <c:f>SAPN!$N$34</c:f>
                  <c:strCache>
                    <c:ptCount val="1"/>
                    <c:pt idx="0">
                      <c:v>42.8%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{7B4442AC-4E4F-470D-ACE9-CBE7C0C3273A}</c15:txfldGUID>
                      <c15:f>SAPN!$N$34</c15:f>
                      <c15:dlblFieldTableCache>
                        <c:ptCount val="1"/>
                        <c:pt idx="0">
                          <c:v>42.8%</c:v>
                        </c:pt>
                      </c15:dlblFieldTableCache>
                    </c15:dlblFTEntry>
                  </c15:dlblFieldTable>
                  <c15:showDataLabelsRange val="0"/>
                </c:ext>
                <c:ext xmlns:c16="http://schemas.microsoft.com/office/drawing/2014/chart" uri="{C3380CC4-5D6E-409C-BE32-E72D297353CC}">
                  <c16:uniqueId val="{00000001-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2019-20</c:v>
                </c:pt>
                <c:pt idx="1">
                  <c:v>2020-21</c:v>
                </c:pt>
              </c:strCache>
            </c:strRef>
          </c:cat>
          <c:val>
            <c:numRef>
              <c:f>(SAPN!$I$34,SAPN!$O$34)</c:f>
              <c:numCache>
                <c:formatCode>#,##0.00</c:formatCode>
                <c:ptCount val="2"/>
                <c:pt idx="0">
                  <c:v>841.50000000000011</c:v>
                </c:pt>
                <c:pt idx="1">
                  <c:v>794.03500000000008</c:v>
                </c:pt>
              </c:numCache>
            </c:numRef>
          </c:val>
          <c:extLst>
            <c:ext xmlns:c16="http://schemas.microsoft.com/office/drawing/2014/chart" uri="{C3380CC4-5D6E-409C-BE32-E72D297353CC}">
              <c16:uniqueId val="{00000002-2D66-4B5A-AD2E-DB0DB39A2338}"/>
            </c:ext>
          </c:extLst>
        </c:ser>
        <c:ser>
          <c:idx val="1"/>
          <c:order val="1"/>
          <c:tx>
            <c:strRef>
              <c:f>SAPN!$F$35</c:f>
              <c:strCache>
                <c:ptCount val="1"/>
                <c:pt idx="0">
                  <c:v>Wholesale cost</c:v>
                </c:pt>
              </c:strCache>
            </c:strRef>
          </c:tx>
          <c:spPr>
            <a:solidFill>
              <a:schemeClr val="accent2"/>
            </a:solidFill>
            <a:ln>
              <a:noFill/>
            </a:ln>
            <a:effectLst/>
          </c:spPr>
          <c:invertIfNegative val="0"/>
          <c:dLbls>
            <c:dLbl>
              <c:idx val="0"/>
              <c:tx>
                <c:strRef>
                  <c:f>SAPN!$J$35</c:f>
                  <c:strCache>
                    <c:ptCount val="1"/>
                    <c:pt idx="0">
                      <c:v>37.2%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{587092A2-99DB-490A-B13B-2608D1FC1018}</c15:txfldGUID>
                      <c15:f>SAPN!$J$35</c15:f>
                      <c15:dlblFieldTableCache>
                        <c:ptCount val="1"/>
                        <c:pt idx="0">
                          <c:v>37.2%</c:v>
                        </c:pt>
                      </c15:dlblFieldTableCache>
                    </c15:dlblFTEntry>
                  </c15:dlblFieldTable>
                  <c15:showDataLabelsRange val="0"/>
                </c:ext>
                <c:ext xmlns:c16="http://schemas.microsoft.com/office/drawing/2014/chart" uri="{C3380CC4-5D6E-409C-BE32-E72D297353CC}">
                  <c16:uniqueId val="{00000003-2D66-4B5A-AD2E-DB0DB39A2338}"/>
                </c:ext>
              </c:extLst>
            </c:dLbl>
            <c:dLbl>
              <c:idx val="1"/>
              <c:tx>
                <c:strRef>
                  <c:f>SAPN!$N$35</c:f>
                  <c:strCache>
                    <c:ptCount val="1"/>
                    <c:pt idx="0">
                      <c:v>37.3%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{80E3410E-1A2A-4262-A47A-4594E6549D80}</c15:txfldGUID>
                      <c15:f>SAPN!$N$35</c15:f>
                      <c15:dlblFieldTableCache>
                        <c:ptCount val="1"/>
                        <c:pt idx="0">
                          <c:v>37.3%</c:v>
                        </c:pt>
                      </c15:dlblFieldTableCache>
                    </c15:dlblFTEntry>
                  </c15:dlblFieldTable>
                  <c15:showDataLabelsRange val="0"/>
                </c:ext>
                <c:ext xmlns:c16="http://schemas.microsoft.com/office/drawing/2014/chart" uri="{C3380CC4-5D6E-409C-BE32-E72D297353CC}">
                  <c16:uniqueId val="{00000004-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2019-20</c:v>
                </c:pt>
                <c:pt idx="1">
                  <c:v>2020-21</c:v>
                </c:pt>
              </c:strCache>
            </c:strRef>
          </c:cat>
          <c:val>
            <c:numRef>
              <c:f>(SAPN!$I$35,SAPN!$O$35)</c:f>
              <c:numCache>
                <c:formatCode>#,##0.00</c:formatCode>
                <c:ptCount val="2"/>
                <c:pt idx="0">
                  <c:v>722.52399999999989</c:v>
                </c:pt>
                <c:pt idx="1">
                  <c:v>691.41599999999994</c:v>
                </c:pt>
              </c:numCache>
            </c:numRef>
          </c:val>
          <c:extLst>
            <c:ext xmlns:c16="http://schemas.microsoft.com/office/drawing/2014/chart" uri="{C3380CC4-5D6E-409C-BE32-E72D297353CC}">
              <c16:uniqueId val="{00000005-2D66-4B5A-AD2E-DB0DB39A2338}"/>
            </c:ext>
          </c:extLst>
        </c:ser>
        <c:ser>
          <c:idx val="2"/>
          <c:order val="2"/>
          <c:tx>
            <c:strRef>
              <c:f>SAPN!$F$36</c:f>
              <c:strCache>
                <c:ptCount val="1"/>
                <c:pt idx="0">
                  <c:v>Environmental cost</c:v>
                </c:pt>
              </c:strCache>
            </c:strRef>
          </c:tx>
          <c:spPr>
            <a:solidFill>
              <a:schemeClr val="accent3"/>
            </a:solidFill>
            <a:ln>
              <a:noFill/>
            </a:ln>
            <a:effectLst/>
          </c:spPr>
          <c:invertIfNegative val="0"/>
          <c:dLbls>
            <c:dLbl>
              <c:idx val="0"/>
              <c:tx>
                <c:strRef>
                  <c:f>SAPN!$J$36</c:f>
                  <c:strCache>
                    <c:ptCount val="1"/>
                    <c:pt idx="0">
                      <c:v>4.8%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{EC59EA47-30CF-472B-81C5-1049D51F3CB7}</c15:txfldGUID>
                      <c15:f>SAPN!$J$36</c15:f>
                      <c15:dlblFieldTableCache>
                        <c:ptCount val="1"/>
                        <c:pt idx="0">
                          <c:v>4.8%</c:v>
                        </c:pt>
                      </c15:dlblFieldTableCache>
                    </c15:dlblFTEntry>
                  </c15:dlblFieldTable>
                  <c15:showDataLabelsRange val="0"/>
                </c:ext>
                <c:ext xmlns:c16="http://schemas.microsoft.com/office/drawing/2014/chart" uri="{C3380CC4-5D6E-409C-BE32-E72D297353CC}">
                  <c16:uniqueId val="{00000006-2D66-4B5A-AD2E-DB0DB39A2338}"/>
                </c:ext>
              </c:extLst>
            </c:dLbl>
            <c:dLbl>
              <c:idx val="1"/>
              <c:tx>
                <c:strRef>
                  <c:f>SAPN!$N$36</c:f>
                  <c:strCache>
                    <c:ptCount val="1"/>
                    <c:pt idx="0">
                      <c:v>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{0BFC8C9E-5E83-446D-9461-F456128DB72F}</c15:txfldGUID>
                      <c15:f>SAPN!$N$36</c15:f>
                      <c15:dlblFieldTableCache>
                        <c:ptCount val="1"/>
                        <c:pt idx="0">
                          <c:v>4.4%</c:v>
                        </c:pt>
                      </c15:dlblFieldTableCache>
                    </c15:dlblFTEntry>
                  </c15:dlblFieldTable>
                  <c15:showDataLabelsRange val="0"/>
                </c:ext>
                <c:ext xmlns:c16="http://schemas.microsoft.com/office/drawing/2014/chart" uri="{C3380CC4-5D6E-409C-BE32-E72D297353CC}">
                  <c16:uniqueId val="{00000007-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2019-20</c:v>
                </c:pt>
                <c:pt idx="1">
                  <c:v>2020-21</c:v>
                </c:pt>
              </c:strCache>
            </c:strRef>
          </c:cat>
          <c:val>
            <c:numRef>
              <c:f>(SAPN!$I$36,SAPN!$O$36)</c:f>
              <c:numCache>
                <c:formatCode>#,##0.00</c:formatCode>
                <c:ptCount val="2"/>
                <c:pt idx="0">
                  <c:v>93.5</c:v>
                </c:pt>
                <c:pt idx="1">
                  <c:v>81.972000000000008</c:v>
                </c:pt>
              </c:numCache>
            </c:numRef>
          </c:val>
          <c:extLst>
            <c:ext xmlns:c16="http://schemas.microsoft.com/office/drawing/2014/chart" uri="{C3380CC4-5D6E-409C-BE32-E72D297353CC}">
              <c16:uniqueId val="{00000008-2D66-4B5A-AD2E-DB0DB39A2338}"/>
            </c:ext>
          </c:extLst>
        </c:ser>
        <c:ser>
          <c:idx val="3"/>
          <c:order val="3"/>
          <c:tx>
            <c:strRef>
              <c:f>SAPN!$F$37</c:f>
              <c:strCache>
                <c:ptCount val="1"/>
                <c:pt idx="0">
                  <c:v>Residual cost</c:v>
                </c:pt>
              </c:strCache>
            </c:strRef>
          </c:tx>
          <c:spPr>
            <a:solidFill>
              <a:schemeClr val="accent6">
                <a:lumMod val="40000"/>
                <a:lumOff val="60000"/>
              </a:schemeClr>
            </a:solidFill>
            <a:ln>
              <a:noFill/>
            </a:ln>
            <a:effectLst/>
          </c:spPr>
          <c:invertIfNegative val="0"/>
          <c:dLbls>
            <c:dLbl>
              <c:idx val="0"/>
              <c:tx>
                <c:strRef>
                  <c:f>SAPN!$J$37</c:f>
                  <c:strCache>
                    <c:ptCount val="1"/>
                    <c:pt idx="0">
                      <c:v>14.6%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{34F33D6B-2943-4AFA-A770-DB2783A6873E}</c15:txfldGUID>
                      <c15:f>SAPN!$J$37</c15:f>
                      <c15:dlblFieldTableCache>
                        <c:ptCount val="1"/>
                        <c:pt idx="0">
                          <c:v>14.6%</c:v>
                        </c:pt>
                      </c15:dlblFieldTableCache>
                    </c15:dlblFTEntry>
                  </c15:dlblFieldTable>
                  <c15:showDataLabelsRange val="0"/>
                </c:ext>
                <c:ext xmlns:c16="http://schemas.microsoft.com/office/drawing/2014/chart" uri="{C3380CC4-5D6E-409C-BE32-E72D297353CC}">
                  <c16:uniqueId val="{00000009-2D66-4B5A-AD2E-DB0DB39A2338}"/>
                </c:ext>
              </c:extLst>
            </c:dLbl>
            <c:dLbl>
              <c:idx val="1"/>
              <c:tx>
                <c:strRef>
                  <c:f>SAPN!$N$37</c:f>
                  <c:strCache>
                    <c:ptCount val="1"/>
                    <c:pt idx="0">
                      <c:v>15.6%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{956E79B4-D45E-475E-8AFA-FFC3A3116477}</c15:txfldGUID>
                      <c15:f>SAPN!$N$37</c15:f>
                      <c15:dlblFieldTableCache>
                        <c:ptCount val="1"/>
                        <c:pt idx="0">
                          <c:v>15.6%</c:v>
                        </c:pt>
                      </c15:dlblFieldTableCache>
                    </c15:dlblFTEntry>
                  </c15:dlblFieldTable>
                  <c15:showDataLabelsRange val="0"/>
                </c:ext>
                <c:ext xmlns:c16="http://schemas.microsoft.com/office/drawing/2014/chart" uri="{C3380CC4-5D6E-409C-BE32-E72D297353CC}">
                  <c16:uniqueId val="{0000000A-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2019-20</c:v>
                </c:pt>
                <c:pt idx="1">
                  <c:v>2020-21</c:v>
                </c:pt>
              </c:strCache>
            </c:strRef>
          </c:cat>
          <c:val>
            <c:numRef>
              <c:f>(SAPN!$I$37,SAPN!$O$37)</c:f>
              <c:numCache>
                <c:formatCode>#,##0.00</c:formatCode>
                <c:ptCount val="2"/>
                <c:pt idx="0">
                  <c:v>283.47600000000011</c:v>
                </c:pt>
                <c:pt idx="1">
                  <c:v>288.72030600000016</c:v>
                </c:pt>
              </c:numCache>
            </c:numRef>
          </c:val>
          <c:extLst>
            <c:ext xmlns:c16="http://schemas.microsoft.com/office/drawing/2014/chart" uri="{C3380CC4-5D6E-409C-BE32-E72D297353CC}">
              <c16:uniqueId val="{0000000B-2D66-4B5A-AD2E-DB0DB39A2338}"/>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2019-20</c:v>
                </c:pt>
                <c:pt idx="1">
                  <c:v>2020-21</c:v>
                </c:pt>
              </c:strCache>
            </c:strRef>
          </c:cat>
          <c:val>
            <c:numRef>
              <c:f>(SAPN!$H$33,SAPN!$H$39)</c:f>
              <c:numCache>
                <c:formatCode>#,##0.00</c:formatCode>
                <c:ptCount val="2"/>
                <c:pt idx="0">
                  <c:v>1941</c:v>
                </c:pt>
                <c:pt idx="1">
                  <c:v>1856.1433060000002</c:v>
                </c:pt>
              </c:numCache>
            </c:numRef>
          </c:val>
          <c:extLst>
            <c:ext xmlns:c16="http://schemas.microsoft.com/office/drawing/2014/chart" uri="{C3380CC4-5D6E-409C-BE32-E72D297353CC}">
              <c16:uniqueId val="{0000000C-2D66-4B5A-AD2E-DB0DB39A2338}"/>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SAPN!$E$3</c:f>
          <c:strCache>
            <c:ptCount val="1"/>
            <c:pt idx="0">
              <c:v>SAPN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SAPN!$F$34</c:f>
              <c:strCache>
                <c:ptCount val="1"/>
                <c:pt idx="0">
                  <c:v>Network cost</c:v>
                </c:pt>
              </c:strCache>
            </c:strRef>
          </c:tx>
          <c:spPr>
            <a:solidFill>
              <a:schemeClr val="accent1"/>
            </a:solidFill>
            <a:ln>
              <a:noFill/>
            </a:ln>
            <a:effectLst/>
          </c:spPr>
          <c:invertIfNegative val="0"/>
          <c:dLbls>
            <c:dLbl>
              <c:idx val="0"/>
              <c:tx>
                <c:strRef>
                  <c:f>SAPN!$AD$34</c:f>
                  <c:strCache>
                    <c:ptCount val="1"/>
                    <c:pt idx="0">
                      <c:v>39.7%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{25DAE1D9-9ECE-4A99-A3EA-4D33AC874657}</c15:txfldGUID>
                      <c15:f>SAPN!$AD$34</c15:f>
                      <c15:dlblFieldTableCache>
                        <c:ptCount val="1"/>
                        <c:pt idx="0">
                          <c:v>39.7%</c:v>
                        </c:pt>
                      </c15:dlblFieldTableCache>
                    </c15:dlblFTEntry>
                  </c15:dlblFieldTable>
                  <c15:showDataLabelsRange val="0"/>
                </c:ext>
                <c:ext xmlns:c16="http://schemas.microsoft.com/office/drawing/2014/chart" uri="{C3380CC4-5D6E-409C-BE32-E72D297353CC}">
                  <c16:uniqueId val="{00000000-C306-40A2-90EE-B4C1C22D761E}"/>
                </c:ext>
              </c:extLst>
            </c:dLbl>
            <c:dLbl>
              <c:idx val="1"/>
              <c:tx>
                <c:strRef>
                  <c:f>SAPN!$AH$34</c:f>
                  <c:strCache>
                    <c:ptCount val="1"/>
                    <c:pt idx="0">
                      <c:v>37.0%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{3D43B56B-94A7-480D-9D28-7605A2735A97}</c15:txfldGUID>
                      <c15:f>SAPN!$AH$34</c15:f>
                      <c15:dlblFieldTableCache>
                        <c:ptCount val="1"/>
                        <c:pt idx="0">
                          <c:v>37.0%</c:v>
                        </c:pt>
                      </c15:dlblFieldTableCache>
                    </c15:dlblFTEntry>
                  </c15:dlblFieldTable>
                  <c15:showDataLabelsRange val="0"/>
                </c:ext>
                <c:ext xmlns:c16="http://schemas.microsoft.com/office/drawing/2014/chart" uri="{C3380CC4-5D6E-409C-BE32-E72D297353CC}">
                  <c16:uniqueId val="{00000001-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(SAPN!$AC$29,SAPN!$AF$29)</c:f>
              <c:strCache>
                <c:ptCount val="2"/>
                <c:pt idx="0">
                  <c:v>2019-20</c:v>
                </c:pt>
                <c:pt idx="1">
                  <c:v>2020-21</c:v>
                </c:pt>
              </c:strCache>
            </c:strRef>
          </c:cat>
          <c:val>
            <c:numRef>
              <c:f>(SAPN!$AC$34,SAPN!$AI$34)</c:f>
              <c:numCache>
                <c:formatCode>#,##0.00</c:formatCode>
                <c:ptCount val="2"/>
                <c:pt idx="0">
                  <c:v>3623.40715</c:v>
                </c:pt>
                <c:pt idx="1">
                  <c:v>3119.2150000000001</c:v>
                </c:pt>
              </c:numCache>
            </c:numRef>
          </c:val>
          <c:extLst>
            <c:ext xmlns:c16="http://schemas.microsoft.com/office/drawing/2014/chart" uri="{C3380CC4-5D6E-409C-BE32-E72D297353CC}">
              <c16:uniqueId val="{00000002-C306-40A2-90EE-B4C1C22D761E}"/>
            </c:ext>
          </c:extLst>
        </c:ser>
        <c:ser>
          <c:idx val="1"/>
          <c:order val="1"/>
          <c:tx>
            <c:strRef>
              <c:f>SAPN!$F$35</c:f>
              <c:strCache>
                <c:ptCount val="1"/>
                <c:pt idx="0">
                  <c:v>Wholesale cost</c:v>
                </c:pt>
              </c:strCache>
            </c:strRef>
          </c:tx>
          <c:spPr>
            <a:solidFill>
              <a:schemeClr val="accent2"/>
            </a:solidFill>
            <a:ln>
              <a:noFill/>
            </a:ln>
            <a:effectLst/>
          </c:spPr>
          <c:invertIfNegative val="0"/>
          <c:dLbls>
            <c:dLbl>
              <c:idx val="0"/>
              <c:tx>
                <c:strRef>
                  <c:f>SAPN!$AD$35</c:f>
                  <c:strCache>
                    <c:ptCount val="1"/>
                    <c:pt idx="0">
                      <c:v>39.6%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{071E97CE-A075-4014-99C1-A1C440206A1B}</c15:txfldGUID>
                      <c15:f>SAPN!$AD$35</c15:f>
                      <c15:dlblFieldTableCache>
                        <c:ptCount val="1"/>
                        <c:pt idx="0">
                          <c:v>39.6%</c:v>
                        </c:pt>
                      </c15:dlblFieldTableCache>
                    </c15:dlblFTEntry>
                  </c15:dlblFieldTable>
                  <c15:showDataLabelsRange val="0"/>
                </c:ext>
                <c:ext xmlns:c16="http://schemas.microsoft.com/office/drawing/2014/chart" uri="{C3380CC4-5D6E-409C-BE32-E72D297353CC}">
                  <c16:uniqueId val="{00000003-C306-40A2-90EE-B4C1C22D761E}"/>
                </c:ext>
              </c:extLst>
            </c:dLbl>
            <c:dLbl>
              <c:idx val="1"/>
              <c:tx>
                <c:strRef>
                  <c:f>SAPN!$AH$35</c:f>
                  <c:strCache>
                    <c:ptCount val="1"/>
                    <c:pt idx="0">
                      <c:v>41.0%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{A0C2406E-6A39-4474-B948-565395BEB0DD}</c15:txfldGUID>
                      <c15:f>SAPN!$AH$35</c15:f>
                      <c15:dlblFieldTableCache>
                        <c:ptCount val="1"/>
                        <c:pt idx="0">
                          <c:v>41.0%</c:v>
                        </c:pt>
                      </c15:dlblFieldTableCache>
                    </c15:dlblFTEntry>
                  </c15:dlblFieldTable>
                  <c15:showDataLabelsRange val="0"/>
                </c:ext>
                <c:ext xmlns:c16="http://schemas.microsoft.com/office/drawing/2014/chart" uri="{C3380CC4-5D6E-409C-BE32-E72D297353CC}">
                  <c16:uniqueId val="{00000004-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(SAPN!$AC$29,SAPN!$AF$29)</c:f>
              <c:strCache>
                <c:ptCount val="2"/>
                <c:pt idx="0">
                  <c:v>2019-20</c:v>
                </c:pt>
                <c:pt idx="1">
                  <c:v>2020-21</c:v>
                </c:pt>
              </c:strCache>
            </c:strRef>
          </c:cat>
          <c:val>
            <c:numRef>
              <c:f>(SAPN!$AC$35,SAPN!$AI$35)</c:f>
              <c:numCache>
                <c:formatCode>#,##0.00</c:formatCode>
                <c:ptCount val="2"/>
                <c:pt idx="0">
                  <c:v>3612.6199999999994</c:v>
                </c:pt>
                <c:pt idx="1">
                  <c:v>3457.08</c:v>
                </c:pt>
              </c:numCache>
            </c:numRef>
          </c:val>
          <c:extLst>
            <c:ext xmlns:c16="http://schemas.microsoft.com/office/drawing/2014/chart" uri="{C3380CC4-5D6E-409C-BE32-E72D297353CC}">
              <c16:uniqueId val="{00000005-C306-40A2-90EE-B4C1C22D761E}"/>
            </c:ext>
          </c:extLst>
        </c:ser>
        <c:ser>
          <c:idx val="2"/>
          <c:order val="2"/>
          <c:tx>
            <c:strRef>
              <c:f>SAPN!$F$36</c:f>
              <c:strCache>
                <c:ptCount val="1"/>
                <c:pt idx="0">
                  <c:v>Environmental cost</c:v>
                </c:pt>
              </c:strCache>
            </c:strRef>
          </c:tx>
          <c:spPr>
            <a:solidFill>
              <a:schemeClr val="accent3"/>
            </a:solidFill>
            <a:ln>
              <a:noFill/>
            </a:ln>
            <a:effectLst/>
          </c:spPr>
          <c:invertIfNegative val="0"/>
          <c:dLbls>
            <c:dLbl>
              <c:idx val="0"/>
              <c:tx>
                <c:strRef>
                  <c:f>SAPN!$AD$36</c:f>
                  <c:strCache>
                    <c:ptCount val="1"/>
                    <c:pt idx="0">
                      <c:v>5.1%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{E13AACB1-0F09-4356-98FC-5C86275CA5EA}</c15:txfldGUID>
                      <c15:f>SAPN!$AD$36</c15:f>
                      <c15:dlblFieldTableCache>
                        <c:ptCount val="1"/>
                        <c:pt idx="0">
                          <c:v>5.1%</c:v>
                        </c:pt>
                      </c15:dlblFieldTableCache>
                    </c15:dlblFTEntry>
                  </c15:dlblFieldTable>
                  <c15:showDataLabelsRange val="0"/>
                </c:ext>
                <c:ext xmlns:c16="http://schemas.microsoft.com/office/drawing/2014/chart" uri="{C3380CC4-5D6E-409C-BE32-E72D297353CC}">
                  <c16:uniqueId val="{00000006-C306-40A2-90EE-B4C1C22D761E}"/>
                </c:ext>
              </c:extLst>
            </c:dLbl>
            <c:dLbl>
              <c:idx val="1"/>
              <c:tx>
                <c:strRef>
                  <c:f>SAPN!$AH$36</c:f>
                  <c:strCache>
                    <c:ptCount val="1"/>
                    <c:pt idx="0">
                      <c:v>4.9%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{5DE9639E-E3A6-4BCC-AE36-9646E80D1BB8}</c15:txfldGUID>
                      <c15:f>SAPN!$AH$36</c15:f>
                      <c15:dlblFieldTableCache>
                        <c:ptCount val="1"/>
                        <c:pt idx="0">
                          <c:v>4.9%</c:v>
                        </c:pt>
                      </c15:dlblFieldTableCache>
                    </c15:dlblFTEntry>
                  </c15:dlblFieldTable>
                  <c15:showDataLabelsRange val="0"/>
                </c:ext>
                <c:ext xmlns:c16="http://schemas.microsoft.com/office/drawing/2014/chart" uri="{C3380CC4-5D6E-409C-BE32-E72D297353CC}">
                  <c16:uniqueId val="{00000007-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(SAPN!$AC$29,SAPN!$AF$29)</c:f>
              <c:strCache>
                <c:ptCount val="2"/>
                <c:pt idx="0">
                  <c:v>2019-20</c:v>
                </c:pt>
                <c:pt idx="1">
                  <c:v>2020-21</c:v>
                </c:pt>
              </c:strCache>
            </c:strRef>
          </c:cat>
          <c:val>
            <c:numRef>
              <c:f>(SAPN!$AC$36,SAPN!$AI$36)</c:f>
              <c:numCache>
                <c:formatCode>#,##0.00</c:formatCode>
                <c:ptCount val="2"/>
                <c:pt idx="0">
                  <c:v>467.5</c:v>
                </c:pt>
                <c:pt idx="1">
                  <c:v>409.86000000000007</c:v>
                </c:pt>
              </c:numCache>
            </c:numRef>
          </c:val>
          <c:extLst>
            <c:ext xmlns:c16="http://schemas.microsoft.com/office/drawing/2014/chart" uri="{C3380CC4-5D6E-409C-BE32-E72D297353CC}">
              <c16:uniqueId val="{00000008-C306-40A2-90EE-B4C1C22D761E}"/>
            </c:ext>
          </c:extLst>
        </c:ser>
        <c:ser>
          <c:idx val="3"/>
          <c:order val="3"/>
          <c:tx>
            <c:strRef>
              <c:f>SAPN!$F$37</c:f>
              <c:strCache>
                <c:ptCount val="1"/>
                <c:pt idx="0">
                  <c:v>Residual cost</c:v>
                </c:pt>
              </c:strCache>
            </c:strRef>
          </c:tx>
          <c:spPr>
            <a:solidFill>
              <a:schemeClr val="accent6">
                <a:lumMod val="40000"/>
                <a:lumOff val="60000"/>
              </a:schemeClr>
            </a:solidFill>
            <a:ln>
              <a:noFill/>
            </a:ln>
            <a:effectLst/>
          </c:spPr>
          <c:invertIfNegative val="0"/>
          <c:dLbls>
            <c:dLbl>
              <c:idx val="0"/>
              <c:tx>
                <c:strRef>
                  <c:f>SAPN!$AD$37</c:f>
                  <c:strCache>
                    <c:ptCount val="1"/>
                    <c:pt idx="0">
                      <c:v>15.5%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{1B0F0742-480F-4CF0-93EB-A0EB266AF72E}</c15:txfldGUID>
                      <c15:f>SAPN!$AD$37</c15:f>
                      <c15:dlblFieldTableCache>
                        <c:ptCount val="1"/>
                        <c:pt idx="0">
                          <c:v>15.5%</c:v>
                        </c:pt>
                      </c15:dlblFieldTableCache>
                    </c15:dlblFTEntry>
                  </c15:dlblFieldTable>
                  <c15:showDataLabelsRange val="0"/>
                </c:ext>
                <c:ext xmlns:c16="http://schemas.microsoft.com/office/drawing/2014/chart" uri="{C3380CC4-5D6E-409C-BE32-E72D297353CC}">
                  <c16:uniqueId val="{00000009-C306-40A2-90EE-B4C1C22D761E}"/>
                </c:ext>
              </c:extLst>
            </c:dLbl>
            <c:dLbl>
              <c:idx val="1"/>
              <c:tx>
                <c:strRef>
                  <c:f>SAPN!$AH$37</c:f>
                  <c:strCache>
                    <c:ptCount val="1"/>
                    <c:pt idx="0">
                      <c:v>17.1%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{6B27A842-08C1-4C5E-BCCE-FCEF051BE2C2}</c15:txfldGUID>
                      <c15:f>SAPN!$AH$37</c15:f>
                      <c15:dlblFieldTableCache>
                        <c:ptCount val="1"/>
                        <c:pt idx="0">
                          <c:v>17.1%</c:v>
                        </c:pt>
                      </c15:dlblFieldTableCache>
                    </c15:dlblFTEntry>
                  </c15:dlblFieldTable>
                  <c15:showDataLabelsRange val="0"/>
                </c:ext>
                <c:ext xmlns:c16="http://schemas.microsoft.com/office/drawing/2014/chart" uri="{C3380CC4-5D6E-409C-BE32-E72D297353CC}">
                  <c16:uniqueId val="{0000000A-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(SAPN!$AC$29,SAPN!$AF$29)</c:f>
              <c:strCache>
                <c:ptCount val="2"/>
                <c:pt idx="0">
                  <c:v>2019-20</c:v>
                </c:pt>
                <c:pt idx="1">
                  <c:v>2020-21</c:v>
                </c:pt>
              </c:strCache>
            </c:strRef>
          </c:cat>
          <c:val>
            <c:numRef>
              <c:f>(SAPN!$AC$37,SAPN!$AI$37)</c:f>
              <c:numCache>
                <c:formatCode>#,##0.00</c:formatCode>
                <c:ptCount val="2"/>
                <c:pt idx="0">
                  <c:v>1416.4728500000001</c:v>
                </c:pt>
                <c:pt idx="1">
                  <c:v>1442.6775977250009</c:v>
                </c:pt>
              </c:numCache>
            </c:numRef>
          </c:val>
          <c:extLst>
            <c:ext xmlns:c16="http://schemas.microsoft.com/office/drawing/2014/chart" uri="{C3380CC4-5D6E-409C-BE32-E72D297353CC}">
              <c16:uniqueId val="{0000000B-C306-40A2-90EE-B4C1C22D761E}"/>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(SAPN!$AC$29,SAPN!$AF$29)</c:f>
              <c:strCache>
                <c:ptCount val="2"/>
                <c:pt idx="0">
                  <c:v>2019-20</c:v>
                </c:pt>
                <c:pt idx="1">
                  <c:v>2020-21</c:v>
                </c:pt>
              </c:strCache>
            </c:strRef>
          </c:cat>
          <c:val>
            <c:numRef>
              <c:f>(SAPN!$AB$33,SAPN!$AB$39)</c:f>
              <c:numCache>
                <c:formatCode>#,##0.00</c:formatCode>
                <c:ptCount val="2"/>
                <c:pt idx="0">
                  <c:v>9120</c:v>
                </c:pt>
                <c:pt idx="1">
                  <c:v>8428.8325977250006</c:v>
                </c:pt>
              </c:numCache>
            </c:numRef>
          </c:val>
          <c:extLst>
            <c:ext xmlns:c16="http://schemas.microsoft.com/office/drawing/2014/chart" uri="{C3380CC4-5D6E-409C-BE32-E72D297353CC}">
              <c16:uniqueId val="{0000000C-C306-40A2-90EE-B4C1C22D761E}"/>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00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Energex!A1"/><Relationship Id="rId13" Type="http://schemas.openxmlformats.org/officeDocument/2006/relationships/hyperlink" Target="#'Res w CL'!A1"/><Relationship Id="rId3" Type="http://schemas.openxmlformats.org/officeDocument/2006/relationships/hyperlink" Target="#'Wholesale cost'!A1"/><Relationship Id="rId7" Type="http://schemas.openxmlformats.org/officeDocument/2006/relationships/hyperlink" Target="#Essential!A1"/><Relationship Id="rId12" Type="http://schemas.openxmlformats.org/officeDocument/2006/relationships/hyperlink" Target="#'Res wo CL'!A1"/><Relationship Id="rId2" Type="http://schemas.openxmlformats.org/officeDocument/2006/relationships/hyperlink" Target="#'Network cost'!A1"/><Relationship Id="rId1" Type="http://schemas.openxmlformats.org/officeDocument/2006/relationships/hyperlink" Target="#'Detail inputs'!A1"/><Relationship Id="rId6" Type="http://schemas.openxmlformats.org/officeDocument/2006/relationships/hyperlink" Target="#Endeavour!A1"/><Relationship Id="rId11" Type="http://schemas.openxmlformats.org/officeDocument/2006/relationships/hyperlink" Target="#Summary!A1"/><Relationship Id="rId5" Type="http://schemas.openxmlformats.org/officeDocument/2006/relationships/hyperlink" Target="#Ausgrid!A1"/><Relationship Id="rId15" Type="http://schemas.openxmlformats.org/officeDocument/2006/relationships/hyperlink" Target="#'Key inputs'!A1"/><Relationship Id="rId10" Type="http://schemas.openxmlformats.org/officeDocument/2006/relationships/hyperlink" Target="#Usage!A1"/><Relationship Id="rId4" Type="http://schemas.openxmlformats.org/officeDocument/2006/relationships/hyperlink" Target="#'Environmental cost'!A1"/><Relationship Id="rId9" Type="http://schemas.openxmlformats.org/officeDocument/2006/relationships/hyperlink" Target="#SAPN!A1"/><Relationship Id="rId14" Type="http://schemas.openxmlformats.org/officeDocument/2006/relationships/hyperlink" Target="#'SB wo CL'!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230937</xdr:rowOff>
    </xdr:from>
    <xdr:to>
      <xdr:col>3</xdr:col>
      <xdr:colOff>179802</xdr:colOff>
      <xdr:row>13</xdr:row>
      <xdr:rowOff>172248</xdr:rowOff>
    </xdr:to>
    <xdr:sp macro="" textlink="">
      <xdr:nvSpPr>
        <xdr:cNvPr id="53" name="Rectangle 52">
          <a:hlinkClick xmlns:r="http://schemas.openxmlformats.org/officeDocument/2006/relationships" r:id="rId1"/>
        </xdr:cNvPr>
        <xdr:cNvSpPr/>
      </xdr:nvSpPr>
      <xdr:spPr>
        <a:xfrm>
          <a:off x="1196340" y="3484677"/>
          <a:ext cx="114754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Detail inputs</a:t>
          </a:r>
        </a:p>
      </xdr:txBody>
    </xdr:sp>
    <xdr:clientData/>
  </xdr:twoCellAnchor>
  <xdr:twoCellAnchor>
    <xdr:from>
      <xdr:col>3</xdr:col>
      <xdr:colOff>1199839</xdr:colOff>
      <xdr:row>9</xdr:row>
      <xdr:rowOff>164275</xdr:rowOff>
    </xdr:from>
    <xdr:to>
      <xdr:col>4</xdr:col>
      <xdr:colOff>922441</xdr:colOff>
      <xdr:row>11</xdr:row>
      <xdr:rowOff>105586</xdr:rowOff>
    </xdr:to>
    <xdr:sp macro="" textlink="">
      <xdr:nvSpPr>
        <xdr:cNvPr id="55" name="Rectangle 54">
          <a:hlinkClick xmlns:r="http://schemas.openxmlformats.org/officeDocument/2006/relationships" r:id="rId2"/>
        </xdr:cNvPr>
        <xdr:cNvSpPr/>
      </xdr:nvSpPr>
      <xdr:spPr>
        <a:xfrm>
          <a:off x="3363919" y="2785555"/>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Network cost</a:t>
          </a:r>
        </a:p>
      </xdr:txBody>
    </xdr:sp>
    <xdr:clientData/>
  </xdr:twoCellAnchor>
  <xdr:twoCellAnchor>
    <xdr:from>
      <xdr:col>3</xdr:col>
      <xdr:colOff>1199839</xdr:colOff>
      <xdr:row>11</xdr:row>
      <xdr:rowOff>203267</xdr:rowOff>
    </xdr:from>
    <xdr:to>
      <xdr:col>4</xdr:col>
      <xdr:colOff>922441</xdr:colOff>
      <xdr:row>13</xdr:row>
      <xdr:rowOff>144578</xdr:rowOff>
    </xdr:to>
    <xdr:sp macro="" textlink="">
      <xdr:nvSpPr>
        <xdr:cNvPr id="56" name="Rectangle 55">
          <a:hlinkClick xmlns:r="http://schemas.openxmlformats.org/officeDocument/2006/relationships" r:id="rId3"/>
        </xdr:cNvPr>
        <xdr:cNvSpPr/>
      </xdr:nvSpPr>
      <xdr:spPr>
        <a:xfrm>
          <a:off x="3363919" y="3457007"/>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200" b="1" kern="0">
              <a:solidFill>
                <a:schemeClr val="bg1"/>
              </a:solidFill>
              <a:latin typeface="Calibri" panose="020F0502020204030204"/>
            </a:rPr>
            <a:t>Wholesale cost</a:t>
          </a:r>
          <a:endParaRPr kumimoji="0" lang="en-AU" sz="1200" b="1" i="0" u="none" strike="noStrike" kern="0" cap="none" spc="0" normalizeH="0" baseline="0">
            <a:ln>
              <a:noFill/>
            </a:ln>
            <a:solidFill>
              <a:schemeClr val="bg1"/>
            </a:solidFill>
            <a:effectLst/>
            <a:uLnTx/>
            <a:uFillTx/>
            <a:latin typeface="Calibri" panose="020F0502020204030204"/>
          </a:endParaRPr>
        </a:p>
      </xdr:txBody>
    </xdr:sp>
    <xdr:clientData/>
  </xdr:twoCellAnchor>
  <xdr:twoCellAnchor>
    <xdr:from>
      <xdr:col>3</xdr:col>
      <xdr:colOff>1199839</xdr:colOff>
      <xdr:row>13</xdr:row>
      <xdr:rowOff>246346</xdr:rowOff>
    </xdr:from>
    <xdr:to>
      <xdr:col>4</xdr:col>
      <xdr:colOff>922441</xdr:colOff>
      <xdr:row>17</xdr:row>
      <xdr:rowOff>20017</xdr:rowOff>
    </xdr:to>
    <xdr:sp macro="" textlink="">
      <xdr:nvSpPr>
        <xdr:cNvPr id="57" name="Rectangle 56">
          <a:hlinkClick xmlns:r="http://schemas.openxmlformats.org/officeDocument/2006/relationships" r:id="rId4"/>
        </xdr:cNvPr>
        <xdr:cNvSpPr/>
      </xdr:nvSpPr>
      <xdr:spPr>
        <a:xfrm>
          <a:off x="3363919" y="4132546"/>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Environmental cost</a:t>
          </a:r>
        </a:p>
      </xdr:txBody>
    </xdr:sp>
    <xdr:clientData/>
  </xdr:twoCellAnchor>
  <xdr:twoCellAnchor>
    <xdr:from>
      <xdr:col>5</xdr:col>
      <xdr:colOff>581290</xdr:colOff>
      <xdr:row>7</xdr:row>
      <xdr:rowOff>99059</xdr:rowOff>
    </xdr:from>
    <xdr:to>
      <xdr:col>6</xdr:col>
      <xdr:colOff>303892</xdr:colOff>
      <xdr:row>9</xdr:row>
      <xdr:rowOff>55610</xdr:rowOff>
    </xdr:to>
    <xdr:sp macro="" textlink="">
      <xdr:nvSpPr>
        <xdr:cNvPr id="58" name="Rectangle 57">
          <a:hlinkClick xmlns:r="http://schemas.openxmlformats.org/officeDocument/2006/relationships" r:id="rId5"/>
        </xdr:cNvPr>
        <xdr:cNvSpPr/>
      </xdr:nvSpPr>
      <xdr:spPr>
        <a:xfrm>
          <a:off x="5580010" y="2087879"/>
          <a:ext cx="1139922" cy="58901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Ausgrid</a:t>
          </a:r>
        </a:p>
      </xdr:txBody>
    </xdr:sp>
    <xdr:clientData/>
  </xdr:twoCellAnchor>
  <xdr:twoCellAnchor>
    <xdr:from>
      <xdr:col>5</xdr:col>
      <xdr:colOff>581290</xdr:colOff>
      <xdr:row>9</xdr:row>
      <xdr:rowOff>157378</xdr:rowOff>
    </xdr:from>
    <xdr:to>
      <xdr:col>6</xdr:col>
      <xdr:colOff>303892</xdr:colOff>
      <xdr:row>11</xdr:row>
      <xdr:rowOff>98689</xdr:rowOff>
    </xdr:to>
    <xdr:sp macro="" textlink="">
      <xdr:nvSpPr>
        <xdr:cNvPr id="59" name="Rectangle 58">
          <a:hlinkClick xmlns:r="http://schemas.openxmlformats.org/officeDocument/2006/relationships" r:id="rId6"/>
        </xdr:cNvPr>
        <xdr:cNvSpPr/>
      </xdr:nvSpPr>
      <xdr:spPr>
        <a:xfrm>
          <a:off x="5580010" y="2778658"/>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Endeavour</a:t>
          </a:r>
        </a:p>
      </xdr:txBody>
    </xdr:sp>
    <xdr:clientData/>
  </xdr:twoCellAnchor>
  <xdr:twoCellAnchor>
    <xdr:from>
      <xdr:col>5</xdr:col>
      <xdr:colOff>581290</xdr:colOff>
      <xdr:row>11</xdr:row>
      <xdr:rowOff>200457</xdr:rowOff>
    </xdr:from>
    <xdr:to>
      <xdr:col>6</xdr:col>
      <xdr:colOff>303892</xdr:colOff>
      <xdr:row>13</xdr:row>
      <xdr:rowOff>141768</xdr:rowOff>
    </xdr:to>
    <xdr:sp macro="" textlink="">
      <xdr:nvSpPr>
        <xdr:cNvPr id="60" name="Rectangle 59">
          <a:hlinkClick xmlns:r="http://schemas.openxmlformats.org/officeDocument/2006/relationships" r:id="rId7"/>
        </xdr:cNvPr>
        <xdr:cNvSpPr/>
      </xdr:nvSpPr>
      <xdr:spPr>
        <a:xfrm>
          <a:off x="5580010" y="3454197"/>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Essential</a:t>
          </a:r>
        </a:p>
      </xdr:txBody>
    </xdr:sp>
    <xdr:clientData/>
  </xdr:twoCellAnchor>
  <xdr:twoCellAnchor>
    <xdr:from>
      <xdr:col>5</xdr:col>
      <xdr:colOff>581290</xdr:colOff>
      <xdr:row>13</xdr:row>
      <xdr:rowOff>242259</xdr:rowOff>
    </xdr:from>
    <xdr:to>
      <xdr:col>6</xdr:col>
      <xdr:colOff>303892</xdr:colOff>
      <xdr:row>17</xdr:row>
      <xdr:rowOff>15930</xdr:rowOff>
    </xdr:to>
    <xdr:sp macro="" textlink="">
      <xdr:nvSpPr>
        <xdr:cNvPr id="61" name="Rectangle 60">
          <a:hlinkClick xmlns:r="http://schemas.openxmlformats.org/officeDocument/2006/relationships" r:id="rId8"/>
        </xdr:cNvPr>
        <xdr:cNvSpPr/>
      </xdr:nvSpPr>
      <xdr:spPr>
        <a:xfrm>
          <a:off x="5580010" y="4128459"/>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Energex</a:t>
          </a:r>
        </a:p>
      </xdr:txBody>
    </xdr:sp>
    <xdr:clientData/>
  </xdr:twoCellAnchor>
  <xdr:twoCellAnchor>
    <xdr:from>
      <xdr:col>5</xdr:col>
      <xdr:colOff>581290</xdr:colOff>
      <xdr:row>17</xdr:row>
      <xdr:rowOff>113611</xdr:rowOff>
    </xdr:from>
    <xdr:to>
      <xdr:col>6</xdr:col>
      <xdr:colOff>303892</xdr:colOff>
      <xdr:row>20</xdr:row>
      <xdr:rowOff>138742</xdr:rowOff>
    </xdr:to>
    <xdr:sp macro="" textlink="">
      <xdr:nvSpPr>
        <xdr:cNvPr id="62" name="Rectangle 61">
          <a:hlinkClick xmlns:r="http://schemas.openxmlformats.org/officeDocument/2006/relationships" r:id="rId9"/>
        </xdr:cNvPr>
        <xdr:cNvSpPr/>
      </xdr:nvSpPr>
      <xdr:spPr>
        <a:xfrm>
          <a:off x="5580010" y="4799911"/>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SAPN</a:t>
          </a:r>
        </a:p>
      </xdr:txBody>
    </xdr:sp>
    <xdr:clientData/>
  </xdr:twoCellAnchor>
  <xdr:twoCellAnchor>
    <xdr:from>
      <xdr:col>3</xdr:col>
      <xdr:colOff>179802</xdr:colOff>
      <xdr:row>10</xdr:row>
      <xdr:rowOff>199701</xdr:rowOff>
    </xdr:from>
    <xdr:to>
      <xdr:col>3</xdr:col>
      <xdr:colOff>1199839</xdr:colOff>
      <xdr:row>12</xdr:row>
      <xdr:rowOff>266363</xdr:rowOff>
    </xdr:to>
    <xdr:cxnSp macro="">
      <xdr:nvCxnSpPr>
        <xdr:cNvPr id="67" name="Elbow Connector 66"/>
        <xdr:cNvCxnSpPr>
          <a:stCxn id="53" idx="3"/>
          <a:endCxn id="55" idx="1"/>
        </xdr:cNvCxnSpPr>
      </xdr:nvCxnSpPr>
      <xdr:spPr>
        <a:xfrm flipV="1">
          <a:off x="2343882" y="3072441"/>
          <a:ext cx="1020037" cy="69912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179802</xdr:colOff>
      <xdr:row>12</xdr:row>
      <xdr:rowOff>266363</xdr:rowOff>
    </xdr:from>
    <xdr:to>
      <xdr:col>3</xdr:col>
      <xdr:colOff>1199839</xdr:colOff>
      <xdr:row>15</xdr:row>
      <xdr:rowOff>98892</xdr:rowOff>
    </xdr:to>
    <xdr:cxnSp macro="">
      <xdr:nvCxnSpPr>
        <xdr:cNvPr id="68" name="Elbow Connector 67"/>
        <xdr:cNvCxnSpPr>
          <a:stCxn id="53" idx="3"/>
          <a:endCxn id="57" idx="1"/>
        </xdr:cNvCxnSpPr>
      </xdr:nvCxnSpPr>
      <xdr:spPr>
        <a:xfrm>
          <a:off x="2343882" y="3771563"/>
          <a:ext cx="1020037" cy="64786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179802</xdr:colOff>
      <xdr:row>12</xdr:row>
      <xdr:rowOff>238693</xdr:rowOff>
    </xdr:from>
    <xdr:to>
      <xdr:col>3</xdr:col>
      <xdr:colOff>1199839</xdr:colOff>
      <xdr:row>12</xdr:row>
      <xdr:rowOff>266363</xdr:rowOff>
    </xdr:to>
    <xdr:cxnSp macro="">
      <xdr:nvCxnSpPr>
        <xdr:cNvPr id="69" name="Elbow Connector 68"/>
        <xdr:cNvCxnSpPr>
          <a:stCxn id="53" idx="3"/>
          <a:endCxn id="56" idx="1"/>
        </xdr:cNvCxnSpPr>
      </xdr:nvCxnSpPr>
      <xdr:spPr>
        <a:xfrm flipV="1">
          <a:off x="2343882" y="3743893"/>
          <a:ext cx="1020037" cy="27670"/>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238693</xdr:rowOff>
    </xdr:from>
    <xdr:to>
      <xdr:col>5</xdr:col>
      <xdr:colOff>581290</xdr:colOff>
      <xdr:row>19</xdr:row>
      <xdr:rowOff>34737</xdr:rowOff>
    </xdr:to>
    <xdr:cxnSp macro="">
      <xdr:nvCxnSpPr>
        <xdr:cNvPr id="70" name="Elbow Connector 69"/>
        <xdr:cNvCxnSpPr>
          <a:stCxn id="56" idx="3"/>
        </xdr:cNvCxnSpPr>
      </xdr:nvCxnSpPr>
      <xdr:spPr>
        <a:xfrm>
          <a:off x="4503841" y="3743893"/>
          <a:ext cx="1076169" cy="1342904"/>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238693</xdr:rowOff>
    </xdr:from>
    <xdr:to>
      <xdr:col>5</xdr:col>
      <xdr:colOff>581290</xdr:colOff>
      <xdr:row>15</xdr:row>
      <xdr:rowOff>94805</xdr:rowOff>
    </xdr:to>
    <xdr:cxnSp macro="">
      <xdr:nvCxnSpPr>
        <xdr:cNvPr id="71" name="Elbow Connector 70"/>
        <xdr:cNvCxnSpPr>
          <a:stCxn id="56" idx="3"/>
        </xdr:cNvCxnSpPr>
      </xdr:nvCxnSpPr>
      <xdr:spPr>
        <a:xfrm>
          <a:off x="4503841" y="3743893"/>
          <a:ext cx="1076169" cy="67145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8</xdr:row>
      <xdr:rowOff>142105</xdr:rowOff>
    </xdr:from>
    <xdr:to>
      <xdr:col>5</xdr:col>
      <xdr:colOff>581290</xdr:colOff>
      <xdr:row>12</xdr:row>
      <xdr:rowOff>238693</xdr:rowOff>
    </xdr:to>
    <xdr:cxnSp macro="">
      <xdr:nvCxnSpPr>
        <xdr:cNvPr id="72" name="Elbow Connector 71"/>
        <xdr:cNvCxnSpPr>
          <a:stCxn id="56" idx="3"/>
          <a:endCxn id="58" idx="1"/>
        </xdr:cNvCxnSpPr>
      </xdr:nvCxnSpPr>
      <xdr:spPr>
        <a:xfrm flipV="1">
          <a:off x="4503841" y="2382385"/>
          <a:ext cx="1076169" cy="1361508"/>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10</xdr:row>
      <xdr:rowOff>192804</xdr:rowOff>
    </xdr:from>
    <xdr:to>
      <xdr:col>5</xdr:col>
      <xdr:colOff>581290</xdr:colOff>
      <xdr:row>12</xdr:row>
      <xdr:rowOff>238693</xdr:rowOff>
    </xdr:to>
    <xdr:cxnSp macro="">
      <xdr:nvCxnSpPr>
        <xdr:cNvPr id="73" name="Elbow Connector 72"/>
        <xdr:cNvCxnSpPr>
          <a:stCxn id="56" idx="3"/>
          <a:endCxn id="59" idx="1"/>
        </xdr:cNvCxnSpPr>
      </xdr:nvCxnSpPr>
      <xdr:spPr>
        <a:xfrm flipV="1">
          <a:off x="4503841" y="3065544"/>
          <a:ext cx="1076169" cy="67834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235883</xdr:rowOff>
    </xdr:from>
    <xdr:to>
      <xdr:col>5</xdr:col>
      <xdr:colOff>581290</xdr:colOff>
      <xdr:row>15</xdr:row>
      <xdr:rowOff>98892</xdr:rowOff>
    </xdr:to>
    <xdr:cxnSp macro="">
      <xdr:nvCxnSpPr>
        <xdr:cNvPr id="74" name="Elbow Connector 73"/>
        <xdr:cNvCxnSpPr>
          <a:stCxn id="57" idx="3"/>
        </xdr:cNvCxnSpPr>
      </xdr:nvCxnSpPr>
      <xdr:spPr>
        <a:xfrm flipV="1">
          <a:off x="4503841" y="3741083"/>
          <a:ext cx="1076169" cy="67834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10</xdr:row>
      <xdr:rowOff>199701</xdr:rowOff>
    </xdr:from>
    <xdr:to>
      <xdr:col>5</xdr:col>
      <xdr:colOff>581290</xdr:colOff>
      <xdr:row>12</xdr:row>
      <xdr:rowOff>235883</xdr:rowOff>
    </xdr:to>
    <xdr:cxnSp macro="">
      <xdr:nvCxnSpPr>
        <xdr:cNvPr id="75" name="Elbow Connector 74"/>
        <xdr:cNvCxnSpPr>
          <a:stCxn id="55" idx="3"/>
        </xdr:cNvCxnSpPr>
      </xdr:nvCxnSpPr>
      <xdr:spPr>
        <a:xfrm>
          <a:off x="4503841" y="3072441"/>
          <a:ext cx="1076169" cy="66864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12</xdr:row>
      <xdr:rowOff>234438</xdr:rowOff>
    </xdr:from>
    <xdr:to>
      <xdr:col>7</xdr:col>
      <xdr:colOff>579121</xdr:colOff>
      <xdr:row>19</xdr:row>
      <xdr:rowOff>34737</xdr:rowOff>
    </xdr:to>
    <xdr:cxnSp macro="">
      <xdr:nvCxnSpPr>
        <xdr:cNvPr id="76" name="Elbow Connector 75"/>
        <xdr:cNvCxnSpPr>
          <a:stCxn id="62" idx="3"/>
          <a:endCxn id="49" idx="1"/>
        </xdr:cNvCxnSpPr>
      </xdr:nvCxnSpPr>
      <xdr:spPr>
        <a:xfrm flipV="1">
          <a:off x="6719932" y="3358638"/>
          <a:ext cx="1098189" cy="134715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8</xdr:row>
      <xdr:rowOff>142105</xdr:rowOff>
    </xdr:from>
    <xdr:to>
      <xdr:col>7</xdr:col>
      <xdr:colOff>579121</xdr:colOff>
      <xdr:row>15</xdr:row>
      <xdr:rowOff>93480</xdr:rowOff>
    </xdr:to>
    <xdr:cxnSp macro="">
      <xdr:nvCxnSpPr>
        <xdr:cNvPr id="78" name="Elbow Connector 77"/>
        <xdr:cNvCxnSpPr>
          <a:stCxn id="58" idx="3"/>
          <a:endCxn id="50" idx="1"/>
        </xdr:cNvCxnSpPr>
      </xdr:nvCxnSpPr>
      <xdr:spPr>
        <a:xfrm>
          <a:off x="6719932" y="2001385"/>
          <a:ext cx="1098189" cy="2031635"/>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80743</xdr:colOff>
      <xdr:row>12</xdr:row>
      <xdr:rowOff>233546</xdr:rowOff>
    </xdr:from>
    <xdr:to>
      <xdr:col>9</xdr:col>
      <xdr:colOff>419100</xdr:colOff>
      <xdr:row>12</xdr:row>
      <xdr:rowOff>234438</xdr:rowOff>
    </xdr:to>
    <xdr:cxnSp macro="">
      <xdr:nvCxnSpPr>
        <xdr:cNvPr id="80" name="Elbow Connector 79"/>
        <xdr:cNvCxnSpPr>
          <a:stCxn id="49" idx="3"/>
          <a:endCxn id="179" idx="1"/>
        </xdr:cNvCxnSpPr>
      </xdr:nvCxnSpPr>
      <xdr:spPr>
        <a:xfrm flipV="1">
          <a:off x="8965663" y="3357746"/>
          <a:ext cx="338357" cy="892"/>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10</xdr:row>
      <xdr:rowOff>192804</xdr:rowOff>
    </xdr:from>
    <xdr:to>
      <xdr:col>7</xdr:col>
      <xdr:colOff>579121</xdr:colOff>
      <xdr:row>12</xdr:row>
      <xdr:rowOff>234438</xdr:rowOff>
    </xdr:to>
    <xdr:cxnSp macro="">
      <xdr:nvCxnSpPr>
        <xdr:cNvPr id="81" name="Elbow Connector 80"/>
        <xdr:cNvCxnSpPr>
          <a:stCxn id="59" idx="3"/>
          <a:endCxn id="49" idx="1"/>
        </xdr:cNvCxnSpPr>
      </xdr:nvCxnSpPr>
      <xdr:spPr>
        <a:xfrm>
          <a:off x="6719932" y="2684544"/>
          <a:ext cx="1098189" cy="674094"/>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3499</xdr:colOff>
      <xdr:row>14</xdr:row>
      <xdr:rowOff>21818</xdr:rowOff>
    </xdr:from>
    <xdr:to>
      <xdr:col>3</xdr:col>
      <xdr:colOff>175681</xdr:colOff>
      <xdr:row>17</xdr:row>
      <xdr:rowOff>46949</xdr:rowOff>
    </xdr:to>
    <xdr:sp macro="" textlink="">
      <xdr:nvSpPr>
        <xdr:cNvPr id="86" name="Rectangle 85">
          <a:hlinkClick xmlns:r="http://schemas.openxmlformats.org/officeDocument/2006/relationships" r:id="rId10"/>
        </xdr:cNvPr>
        <xdr:cNvSpPr/>
      </xdr:nvSpPr>
      <xdr:spPr>
        <a:xfrm>
          <a:off x="1199839" y="4159478"/>
          <a:ext cx="113992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Usage</a:t>
          </a:r>
        </a:p>
      </xdr:txBody>
    </xdr:sp>
    <xdr:clientData/>
  </xdr:twoCellAnchor>
  <xdr:twoCellAnchor>
    <xdr:from>
      <xdr:col>3</xdr:col>
      <xdr:colOff>175681</xdr:colOff>
      <xdr:row>15</xdr:row>
      <xdr:rowOff>98892</xdr:rowOff>
    </xdr:from>
    <xdr:to>
      <xdr:col>3</xdr:col>
      <xdr:colOff>1199839</xdr:colOff>
      <xdr:row>15</xdr:row>
      <xdr:rowOff>125824</xdr:rowOff>
    </xdr:to>
    <xdr:cxnSp macro="">
      <xdr:nvCxnSpPr>
        <xdr:cNvPr id="88" name="Elbow Connector 87"/>
        <xdr:cNvCxnSpPr>
          <a:stCxn id="86" idx="3"/>
          <a:endCxn id="57" idx="1"/>
        </xdr:cNvCxnSpPr>
      </xdr:nvCxnSpPr>
      <xdr:spPr>
        <a:xfrm flipV="1">
          <a:off x="2339761" y="4419432"/>
          <a:ext cx="1024158" cy="26932"/>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656792</xdr:colOff>
      <xdr:row>10</xdr:row>
      <xdr:rowOff>20083</xdr:rowOff>
    </xdr:from>
    <xdr:to>
      <xdr:col>3</xdr:col>
      <xdr:colOff>656792</xdr:colOff>
      <xdr:row>10</xdr:row>
      <xdr:rowOff>20083</xdr:rowOff>
    </xdr:to>
    <xdr:sp macro="" textlink="">
      <xdr:nvSpPr>
        <xdr:cNvPr id="89" name="Oval 88"/>
        <xdr:cNvSpPr/>
      </xdr:nvSpPr>
      <xdr:spPr>
        <a:xfrm>
          <a:off x="2813252" y="2930923"/>
          <a:ext cx="0" cy="0"/>
        </a:xfrm>
        <a:prstGeom prst="ellipse">
          <a:avLst/>
        </a:prstGeom>
        <a:solidFill>
          <a:schemeClr val="accent5">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600">
            <a:solidFill>
              <a:schemeClr val="bg1">
                <a:lumMod val="50000"/>
              </a:schemeClr>
            </a:solidFill>
          </a:endParaRPr>
        </a:p>
      </xdr:txBody>
    </xdr:sp>
    <xdr:clientData/>
  </xdr:twoCellAnchor>
  <xdr:twoCellAnchor>
    <xdr:from>
      <xdr:col>6</xdr:col>
      <xdr:colOff>303892</xdr:colOff>
      <xdr:row>10</xdr:row>
      <xdr:rowOff>195446</xdr:rowOff>
    </xdr:from>
    <xdr:to>
      <xdr:col>7</xdr:col>
      <xdr:colOff>579121</xdr:colOff>
      <xdr:row>12</xdr:row>
      <xdr:rowOff>235883</xdr:rowOff>
    </xdr:to>
    <xdr:cxnSp macro="">
      <xdr:nvCxnSpPr>
        <xdr:cNvPr id="144" name="Elbow Connector 143"/>
        <xdr:cNvCxnSpPr>
          <a:stCxn id="60" idx="3"/>
          <a:endCxn id="48" idx="1"/>
        </xdr:cNvCxnSpPr>
      </xdr:nvCxnSpPr>
      <xdr:spPr>
        <a:xfrm flipV="1">
          <a:off x="6719932" y="2687186"/>
          <a:ext cx="1098189" cy="67289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12</xdr:row>
      <xdr:rowOff>68580</xdr:rowOff>
    </xdr:from>
    <xdr:to>
      <xdr:col>3</xdr:col>
      <xdr:colOff>731520</xdr:colOff>
      <xdr:row>13</xdr:row>
      <xdr:rowOff>22860</xdr:rowOff>
    </xdr:to>
    <xdr:sp macro="" textlink="">
      <xdr:nvSpPr>
        <xdr:cNvPr id="91" name="Rectangle 90"/>
        <xdr:cNvSpPr/>
      </xdr:nvSpPr>
      <xdr:spPr>
        <a:xfrm>
          <a:off x="2316480" y="3573780"/>
          <a:ext cx="579120" cy="33528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inputs</a:t>
          </a:r>
        </a:p>
      </xdr:txBody>
    </xdr:sp>
    <xdr:clientData/>
  </xdr:twoCellAnchor>
  <xdr:twoCellAnchor>
    <xdr:from>
      <xdr:col>4</xdr:col>
      <xdr:colOff>868680</xdr:colOff>
      <xdr:row>10</xdr:row>
      <xdr:rowOff>350520</xdr:rowOff>
    </xdr:from>
    <xdr:to>
      <xdr:col>5</xdr:col>
      <xdr:colOff>616781</xdr:colOff>
      <xdr:row>12</xdr:row>
      <xdr:rowOff>150108</xdr:rowOff>
    </xdr:to>
    <xdr:sp macro="" textlink="">
      <xdr:nvSpPr>
        <xdr:cNvPr id="92" name="Rectangle 91"/>
        <xdr:cNvSpPr/>
      </xdr:nvSpPr>
      <xdr:spPr>
        <a:xfrm>
          <a:off x="4450080" y="3223260"/>
          <a:ext cx="1165421"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components and % change for each zone</a:t>
          </a:r>
        </a:p>
      </xdr:txBody>
    </xdr:sp>
    <xdr:clientData/>
  </xdr:twoCellAnchor>
  <xdr:twoCellAnchor>
    <xdr:from>
      <xdr:col>6</xdr:col>
      <xdr:colOff>289560</xdr:colOff>
      <xdr:row>11</xdr:row>
      <xdr:rowOff>30480</xdr:rowOff>
    </xdr:from>
    <xdr:to>
      <xdr:col>7</xdr:col>
      <xdr:colOff>529656</xdr:colOff>
      <xdr:row>12</xdr:row>
      <xdr:rowOff>211068</xdr:rowOff>
    </xdr:to>
    <xdr:sp macro="" textlink="">
      <xdr:nvSpPr>
        <xdr:cNvPr id="93" name="Rectangle 92"/>
        <xdr:cNvSpPr/>
      </xdr:nvSpPr>
      <xdr:spPr>
        <a:xfrm>
          <a:off x="6705600" y="2903220"/>
          <a:ext cx="1063056"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stacks and changes in underlying costs</a:t>
          </a:r>
        </a:p>
      </xdr:txBody>
    </xdr:sp>
    <xdr:clientData/>
  </xdr:twoCellAnchor>
  <xdr:twoCellAnchor>
    <xdr:from>
      <xdr:col>3</xdr:col>
      <xdr:colOff>150714</xdr:colOff>
      <xdr:row>14</xdr:row>
      <xdr:rowOff>76200</xdr:rowOff>
    </xdr:from>
    <xdr:to>
      <xdr:col>3</xdr:col>
      <xdr:colOff>746760</xdr:colOff>
      <xdr:row>16</xdr:row>
      <xdr:rowOff>142488</xdr:rowOff>
    </xdr:to>
    <xdr:sp macro="" textlink="">
      <xdr:nvSpPr>
        <xdr:cNvPr id="95" name="Rectangle 94"/>
        <xdr:cNvSpPr/>
      </xdr:nvSpPr>
      <xdr:spPr>
        <a:xfrm>
          <a:off x="2314794" y="4213860"/>
          <a:ext cx="596046"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Usage inputs</a:t>
          </a:r>
        </a:p>
      </xdr:txBody>
    </xdr:sp>
    <xdr:clientData/>
  </xdr:twoCellAnchor>
  <xdr:twoCellAnchor>
    <xdr:from>
      <xdr:col>3</xdr:col>
      <xdr:colOff>1128502</xdr:colOff>
      <xdr:row>5</xdr:row>
      <xdr:rowOff>67560</xdr:rowOff>
    </xdr:from>
    <xdr:to>
      <xdr:col>4</xdr:col>
      <xdr:colOff>853439</xdr:colOff>
      <xdr:row>6</xdr:row>
      <xdr:rowOff>152400</xdr:rowOff>
    </xdr:to>
    <xdr:sp macro="" textlink="">
      <xdr:nvSpPr>
        <xdr:cNvPr id="98" name="Rectangle 97"/>
        <xdr:cNvSpPr/>
      </xdr:nvSpPr>
      <xdr:spPr>
        <a:xfrm>
          <a:off x="3292582" y="1423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Cost calculations for DMO prices</a:t>
          </a:r>
        </a:p>
      </xdr:txBody>
    </xdr:sp>
    <xdr:clientData/>
  </xdr:twoCellAnchor>
  <xdr:twoCellAnchor>
    <xdr:from>
      <xdr:col>5</xdr:col>
      <xdr:colOff>350520</xdr:colOff>
      <xdr:row>5</xdr:row>
      <xdr:rowOff>44700</xdr:rowOff>
    </xdr:from>
    <xdr:to>
      <xdr:col>6</xdr:col>
      <xdr:colOff>487680</xdr:colOff>
      <xdr:row>6</xdr:row>
      <xdr:rowOff>129540</xdr:rowOff>
    </xdr:to>
    <xdr:sp macro="" textlink="">
      <xdr:nvSpPr>
        <xdr:cNvPr id="99" name="Rectangle 98"/>
        <xdr:cNvSpPr/>
      </xdr:nvSpPr>
      <xdr:spPr>
        <a:xfrm>
          <a:off x="5349240" y="1401060"/>
          <a:ext cx="1554480"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rgbClr val="8064A2">
                  <a:lumMod val="75000"/>
                </a:srgbClr>
              </a:solidFill>
              <a:effectLst/>
              <a:uLnTx/>
              <a:uFillTx/>
              <a:latin typeface="+mn-lt"/>
              <a:ea typeface="+mn-ea"/>
              <a:cs typeface="+mn-cs"/>
            </a:rPr>
            <a:t>Index assessment to determine DMO prices</a:t>
          </a:r>
        </a:p>
      </xdr:txBody>
    </xdr:sp>
    <xdr:clientData/>
  </xdr:twoCellAnchor>
  <xdr:twoCellAnchor>
    <xdr:from>
      <xdr:col>9</xdr:col>
      <xdr:colOff>419100</xdr:colOff>
      <xdr:row>11</xdr:row>
      <xdr:rowOff>198120</xdr:rowOff>
    </xdr:from>
    <xdr:to>
      <xdr:col>11</xdr:col>
      <xdr:colOff>347442</xdr:colOff>
      <xdr:row>13</xdr:row>
      <xdr:rowOff>139431</xdr:rowOff>
    </xdr:to>
    <xdr:sp macro="" textlink="">
      <xdr:nvSpPr>
        <xdr:cNvPr id="179" name="Rectangle 178">
          <a:hlinkClick xmlns:r="http://schemas.openxmlformats.org/officeDocument/2006/relationships" r:id="rId11"/>
        </xdr:cNvPr>
        <xdr:cNvSpPr/>
      </xdr:nvSpPr>
      <xdr:spPr>
        <a:xfrm>
          <a:off x="9304020" y="3070860"/>
          <a:ext cx="1147542" cy="573771"/>
        </a:xfrm>
        <a:prstGeom prst="rect">
          <a:avLst/>
        </a:prstGeom>
        <a:solidFill>
          <a:srgbClr val="C14E00">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Overall summary</a:t>
          </a:r>
        </a:p>
      </xdr:txBody>
    </xdr:sp>
    <xdr:clientData/>
  </xdr:twoCellAnchor>
  <xdr:twoCellAnchor>
    <xdr:from>
      <xdr:col>7</xdr:col>
      <xdr:colOff>579121</xdr:colOff>
      <xdr:row>9</xdr:row>
      <xdr:rowOff>160020</xdr:rowOff>
    </xdr:from>
    <xdr:to>
      <xdr:col>9</xdr:col>
      <xdr:colOff>80743</xdr:colOff>
      <xdr:row>11</xdr:row>
      <xdr:rowOff>101331</xdr:rowOff>
    </xdr:to>
    <xdr:sp macro="" textlink="">
      <xdr:nvSpPr>
        <xdr:cNvPr id="48" name="Rectangle 47">
          <a:hlinkClick xmlns:r="http://schemas.openxmlformats.org/officeDocument/2006/relationships" r:id="rId12"/>
        </xdr:cNvPr>
        <xdr:cNvSpPr/>
      </xdr:nvSpPr>
      <xdr:spPr>
        <a:xfrm>
          <a:off x="7818121" y="2400300"/>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 lastClr="FFFFFF"/>
              </a:solidFill>
              <a:effectLst/>
              <a:uLnTx/>
              <a:uFillTx/>
              <a:latin typeface="Calibri" panose="020F0502020204030204"/>
            </a:rPr>
            <a:t>Residential </a:t>
          </a:r>
          <a:r>
            <a:rPr kumimoji="0" lang="en-AU" sz="1200" b="1" i="0" u="none" strike="noStrike" kern="0" cap="none" spc="0" normalizeH="0">
              <a:ln>
                <a:noFill/>
              </a:ln>
              <a:solidFill>
                <a:sysClr val="window" lastClr="FFFFFF"/>
              </a:solidFill>
              <a:effectLst/>
              <a:uLnTx/>
              <a:uFillTx/>
              <a:latin typeface="Calibri" panose="020F0502020204030204"/>
            </a:rPr>
            <a:t> without CL</a:t>
          </a:r>
          <a:endParaRPr kumimoji="0" lang="en-AU" sz="1200" b="1" i="0" u="none" strike="noStrike" kern="0" cap="none" spc="0" normalizeH="0" baseline="0">
            <a:ln>
              <a:noFill/>
            </a:ln>
            <a:solidFill>
              <a:sysClr val="window" lastClr="FFFFFF"/>
            </a:solidFill>
            <a:effectLst/>
            <a:uLnTx/>
            <a:uFillTx/>
            <a:latin typeface="Calibri" panose="020F0502020204030204"/>
          </a:endParaRPr>
        </a:p>
      </xdr:txBody>
    </xdr:sp>
    <xdr:clientData/>
  </xdr:twoCellAnchor>
  <xdr:twoCellAnchor>
    <xdr:from>
      <xdr:col>7</xdr:col>
      <xdr:colOff>579121</xdr:colOff>
      <xdr:row>11</xdr:row>
      <xdr:rowOff>199012</xdr:rowOff>
    </xdr:from>
    <xdr:to>
      <xdr:col>9</xdr:col>
      <xdr:colOff>80743</xdr:colOff>
      <xdr:row>13</xdr:row>
      <xdr:rowOff>140323</xdr:rowOff>
    </xdr:to>
    <xdr:sp macro="" textlink="">
      <xdr:nvSpPr>
        <xdr:cNvPr id="49" name="Rectangle 48">
          <a:hlinkClick xmlns:r="http://schemas.openxmlformats.org/officeDocument/2006/relationships" r:id="rId13"/>
        </xdr:cNvPr>
        <xdr:cNvSpPr/>
      </xdr:nvSpPr>
      <xdr:spPr>
        <a:xfrm>
          <a:off x="7818121" y="3071752"/>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Residential with CL</a:t>
          </a:r>
        </a:p>
      </xdr:txBody>
    </xdr:sp>
    <xdr:clientData/>
  </xdr:twoCellAnchor>
  <xdr:twoCellAnchor>
    <xdr:from>
      <xdr:col>7</xdr:col>
      <xdr:colOff>579121</xdr:colOff>
      <xdr:row>13</xdr:row>
      <xdr:rowOff>240934</xdr:rowOff>
    </xdr:from>
    <xdr:to>
      <xdr:col>9</xdr:col>
      <xdr:colOff>80743</xdr:colOff>
      <xdr:row>17</xdr:row>
      <xdr:rowOff>14605</xdr:rowOff>
    </xdr:to>
    <xdr:sp macro="" textlink="">
      <xdr:nvSpPr>
        <xdr:cNvPr id="50" name="Rectangle 49">
          <a:hlinkClick xmlns:r="http://schemas.openxmlformats.org/officeDocument/2006/relationships" r:id="rId14"/>
        </xdr:cNvPr>
        <xdr:cNvSpPr/>
      </xdr:nvSpPr>
      <xdr:spPr>
        <a:xfrm>
          <a:off x="7818121" y="3746134"/>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 lastClr="FFFFFF"/>
              </a:solidFill>
              <a:effectLst/>
              <a:uLnTx/>
              <a:uFillTx/>
              <a:latin typeface="Calibri" panose="020F0502020204030204"/>
            </a:rPr>
            <a:t>Small business  without</a:t>
          </a:r>
          <a:r>
            <a:rPr kumimoji="0" lang="en-AU" sz="1200" b="1" i="0" u="none" strike="noStrike" kern="0" cap="none" spc="0" normalizeH="0">
              <a:ln>
                <a:noFill/>
              </a:ln>
              <a:solidFill>
                <a:sysClr val="window" lastClr="FFFFFF"/>
              </a:solidFill>
              <a:effectLst/>
              <a:uLnTx/>
              <a:uFillTx/>
              <a:latin typeface="Calibri" panose="020F0502020204030204"/>
            </a:rPr>
            <a:t> CL</a:t>
          </a:r>
          <a:endParaRPr kumimoji="0" lang="en-AU" sz="1200" b="1" i="0" u="none" strike="noStrike" kern="0" cap="none" spc="0" normalizeH="0" baseline="0">
            <a:ln>
              <a:noFill/>
            </a:ln>
            <a:solidFill>
              <a:sysClr val="window" lastClr="FFFFFF"/>
            </a:solidFill>
            <a:effectLst/>
            <a:uLnTx/>
            <a:uFillTx/>
            <a:latin typeface="Calibri" panose="020F0502020204030204"/>
          </a:endParaRPr>
        </a:p>
      </xdr:txBody>
    </xdr:sp>
    <xdr:clientData/>
  </xdr:twoCellAnchor>
  <xdr:twoCellAnchor>
    <xdr:from>
      <xdr:col>2</xdr:col>
      <xdr:colOff>0</xdr:colOff>
      <xdr:row>9</xdr:row>
      <xdr:rowOff>200457</xdr:rowOff>
    </xdr:from>
    <xdr:to>
      <xdr:col>3</xdr:col>
      <xdr:colOff>179802</xdr:colOff>
      <xdr:row>11</xdr:row>
      <xdr:rowOff>141768</xdr:rowOff>
    </xdr:to>
    <xdr:sp macro="" textlink="">
      <xdr:nvSpPr>
        <xdr:cNvPr id="79" name="Rectangle 78">
          <a:hlinkClick xmlns:r="http://schemas.openxmlformats.org/officeDocument/2006/relationships" r:id="rId15"/>
        </xdr:cNvPr>
        <xdr:cNvSpPr/>
      </xdr:nvSpPr>
      <xdr:spPr>
        <a:xfrm>
          <a:off x="1196340" y="2821737"/>
          <a:ext cx="114754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Key inputs</a:t>
          </a:r>
        </a:p>
      </xdr:txBody>
    </xdr:sp>
    <xdr:clientData/>
  </xdr:twoCellAnchor>
  <xdr:twoCellAnchor>
    <xdr:from>
      <xdr:col>3</xdr:col>
      <xdr:colOff>179802</xdr:colOff>
      <xdr:row>10</xdr:row>
      <xdr:rowOff>235883</xdr:rowOff>
    </xdr:from>
    <xdr:to>
      <xdr:col>3</xdr:col>
      <xdr:colOff>1199839</xdr:colOff>
      <xdr:row>12</xdr:row>
      <xdr:rowOff>238693</xdr:rowOff>
    </xdr:to>
    <xdr:cxnSp macro="">
      <xdr:nvCxnSpPr>
        <xdr:cNvPr id="83" name="Elbow Connector 82"/>
        <xdr:cNvCxnSpPr>
          <a:stCxn id="79" idx="3"/>
          <a:endCxn id="56" idx="1"/>
        </xdr:cNvCxnSpPr>
      </xdr:nvCxnSpPr>
      <xdr:spPr>
        <a:xfrm>
          <a:off x="2343882" y="3108623"/>
          <a:ext cx="1020037" cy="635270"/>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xdr:colOff>
      <xdr:row>5</xdr:row>
      <xdr:rowOff>67560</xdr:rowOff>
    </xdr:from>
    <xdr:to>
      <xdr:col>3</xdr:col>
      <xdr:colOff>175259</xdr:colOff>
      <xdr:row>6</xdr:row>
      <xdr:rowOff>152400</xdr:rowOff>
    </xdr:to>
    <xdr:sp macro="" textlink="">
      <xdr:nvSpPr>
        <xdr:cNvPr id="84" name="Rectangle 83"/>
        <xdr:cNvSpPr/>
      </xdr:nvSpPr>
      <xdr:spPr>
        <a:xfrm>
          <a:off x="1197082" y="1423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Inputs and assumptions</a:t>
          </a:r>
        </a:p>
      </xdr:txBody>
    </xdr:sp>
    <xdr:clientData/>
  </xdr:twoCellAnchor>
  <xdr:twoCellAnchor>
    <xdr:from>
      <xdr:col>9</xdr:col>
      <xdr:colOff>404602</xdr:colOff>
      <xdr:row>5</xdr:row>
      <xdr:rowOff>67560</xdr:rowOff>
    </xdr:from>
    <xdr:to>
      <xdr:col>11</xdr:col>
      <xdr:colOff>327659</xdr:colOff>
      <xdr:row>6</xdr:row>
      <xdr:rowOff>152400</xdr:rowOff>
    </xdr:to>
    <xdr:sp macro="" textlink="">
      <xdr:nvSpPr>
        <xdr:cNvPr id="85" name="Rectangle 84"/>
        <xdr:cNvSpPr/>
      </xdr:nvSpPr>
      <xdr:spPr>
        <a:xfrm>
          <a:off x="9289522" y="1423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Overview</a:t>
          </a:r>
        </a:p>
      </xdr:txBody>
    </xdr:sp>
    <xdr:clientData/>
  </xdr:twoCellAnchor>
  <xdr:twoCellAnchor>
    <xdr:from>
      <xdr:col>7</xdr:col>
      <xdr:colOff>335280</xdr:colOff>
      <xdr:row>5</xdr:row>
      <xdr:rowOff>67560</xdr:rowOff>
    </xdr:from>
    <xdr:to>
      <xdr:col>9</xdr:col>
      <xdr:colOff>214101</xdr:colOff>
      <xdr:row>6</xdr:row>
      <xdr:rowOff>152400</xdr:rowOff>
    </xdr:to>
    <xdr:sp macro="" textlink="">
      <xdr:nvSpPr>
        <xdr:cNvPr id="90" name="Rectangle 89"/>
        <xdr:cNvSpPr/>
      </xdr:nvSpPr>
      <xdr:spPr>
        <a:xfrm>
          <a:off x="7574280" y="1423920"/>
          <a:ext cx="1524741"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Cost stacks with changes in underlying costs</a:t>
          </a:r>
        </a:p>
      </xdr:txBody>
    </xdr:sp>
    <xdr:clientData/>
  </xdr:twoCellAnchor>
  <xdr:twoCellAnchor>
    <xdr:from>
      <xdr:col>3</xdr:col>
      <xdr:colOff>480060</xdr:colOff>
      <xdr:row>5</xdr:row>
      <xdr:rowOff>99060</xdr:rowOff>
    </xdr:from>
    <xdr:to>
      <xdr:col>3</xdr:col>
      <xdr:colOff>784860</xdr:colOff>
      <xdr:row>6</xdr:row>
      <xdr:rowOff>152400</xdr:rowOff>
    </xdr:to>
    <xdr:sp macro="" textlink="">
      <xdr:nvSpPr>
        <xdr:cNvPr id="34" name="Right Arrow 33"/>
        <xdr:cNvSpPr/>
      </xdr:nvSpPr>
      <xdr:spPr>
        <a:xfrm>
          <a:off x="2644140" y="1455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1242060</xdr:colOff>
      <xdr:row>5</xdr:row>
      <xdr:rowOff>99060</xdr:rowOff>
    </xdr:from>
    <xdr:to>
      <xdr:col>5</xdr:col>
      <xdr:colOff>129540</xdr:colOff>
      <xdr:row>6</xdr:row>
      <xdr:rowOff>152400</xdr:rowOff>
    </xdr:to>
    <xdr:sp macro="" textlink="">
      <xdr:nvSpPr>
        <xdr:cNvPr id="94" name="Right Arrow 93"/>
        <xdr:cNvSpPr/>
      </xdr:nvSpPr>
      <xdr:spPr>
        <a:xfrm>
          <a:off x="4823460" y="1455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701040</xdr:colOff>
      <xdr:row>5</xdr:row>
      <xdr:rowOff>99060</xdr:rowOff>
    </xdr:from>
    <xdr:to>
      <xdr:col>7</xdr:col>
      <xdr:colOff>182880</xdr:colOff>
      <xdr:row>6</xdr:row>
      <xdr:rowOff>152400</xdr:rowOff>
    </xdr:to>
    <xdr:sp macro="" textlink="">
      <xdr:nvSpPr>
        <xdr:cNvPr id="100" name="Right Arrow 99"/>
        <xdr:cNvSpPr/>
      </xdr:nvSpPr>
      <xdr:spPr>
        <a:xfrm>
          <a:off x="7117080" y="1455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289560</xdr:colOff>
      <xdr:row>5</xdr:row>
      <xdr:rowOff>99060</xdr:rowOff>
    </xdr:from>
    <xdr:to>
      <xdr:col>9</xdr:col>
      <xdr:colOff>594360</xdr:colOff>
      <xdr:row>6</xdr:row>
      <xdr:rowOff>152400</xdr:rowOff>
    </xdr:to>
    <xdr:sp macro="" textlink="">
      <xdr:nvSpPr>
        <xdr:cNvPr id="101" name="Right Arrow 100"/>
        <xdr:cNvSpPr/>
      </xdr:nvSpPr>
      <xdr:spPr>
        <a:xfrm>
          <a:off x="9174480" y="1455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303892</xdr:colOff>
      <xdr:row>12</xdr:row>
      <xdr:rowOff>234438</xdr:rowOff>
    </xdr:from>
    <xdr:to>
      <xdr:col>7</xdr:col>
      <xdr:colOff>579121</xdr:colOff>
      <xdr:row>15</xdr:row>
      <xdr:rowOff>94805</xdr:rowOff>
    </xdr:to>
    <xdr:cxnSp macro="">
      <xdr:nvCxnSpPr>
        <xdr:cNvPr id="104" name="Elbow Connector 103"/>
        <xdr:cNvCxnSpPr>
          <a:stCxn id="61" idx="3"/>
          <a:endCxn id="49" idx="1"/>
        </xdr:cNvCxnSpPr>
      </xdr:nvCxnSpPr>
      <xdr:spPr>
        <a:xfrm flipV="1">
          <a:off x="6719932" y="3358638"/>
          <a:ext cx="1098189" cy="67570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175260</xdr:colOff>
      <xdr:row>3</xdr:row>
      <xdr:rowOff>76200</xdr:rowOff>
    </xdr:from>
    <xdr:to>
      <xdr:col>7</xdr:col>
      <xdr:colOff>182880</xdr:colOff>
      <xdr:row>20</xdr:row>
      <xdr:rowOff>117240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3</xdr:row>
      <xdr:rowOff>76200</xdr:rowOff>
    </xdr:from>
    <xdr:to>
      <xdr:col>15</xdr:col>
      <xdr:colOff>487680</xdr:colOff>
      <xdr:row>20</xdr:row>
      <xdr:rowOff>117240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30480</xdr:colOff>
      <xdr:row>3</xdr:row>
      <xdr:rowOff>76200</xdr:rowOff>
    </xdr:from>
    <xdr:to>
      <xdr:col>23</xdr:col>
      <xdr:colOff>464820</xdr:colOff>
      <xdr:row>20</xdr:row>
      <xdr:rowOff>117240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472440</xdr:colOff>
      <xdr:row>21</xdr:row>
      <xdr:rowOff>38100</xdr:rowOff>
    </xdr:from>
    <xdr:to>
      <xdr:col>11</xdr:col>
      <xdr:colOff>533400</xdr:colOff>
      <xdr:row>38</xdr:row>
      <xdr:rowOff>79140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xdr:colOff>
      <xdr:row>21</xdr:row>
      <xdr:rowOff>38100</xdr:rowOff>
    </xdr:from>
    <xdr:to>
      <xdr:col>19</xdr:col>
      <xdr:colOff>480060</xdr:colOff>
      <xdr:row>38</xdr:row>
      <xdr:rowOff>79140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175260</xdr:colOff>
      <xdr:row>3</xdr:row>
      <xdr:rowOff>76200</xdr:rowOff>
    </xdr:from>
    <xdr:to>
      <xdr:col>7</xdr:col>
      <xdr:colOff>182880</xdr:colOff>
      <xdr:row>20</xdr:row>
      <xdr:rowOff>117240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3</xdr:row>
      <xdr:rowOff>76200</xdr:rowOff>
    </xdr:from>
    <xdr:to>
      <xdr:col>15</xdr:col>
      <xdr:colOff>487680</xdr:colOff>
      <xdr:row>20</xdr:row>
      <xdr:rowOff>117240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30480</xdr:colOff>
      <xdr:row>3</xdr:row>
      <xdr:rowOff>76200</xdr:rowOff>
    </xdr:from>
    <xdr:to>
      <xdr:col>23</xdr:col>
      <xdr:colOff>464820</xdr:colOff>
      <xdr:row>20</xdr:row>
      <xdr:rowOff>117240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472440</xdr:colOff>
      <xdr:row>21</xdr:row>
      <xdr:rowOff>38100</xdr:rowOff>
    </xdr:from>
    <xdr:to>
      <xdr:col>11</xdr:col>
      <xdr:colOff>533400</xdr:colOff>
      <xdr:row>38</xdr:row>
      <xdr:rowOff>79140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xdr:colOff>
      <xdr:row>21</xdr:row>
      <xdr:rowOff>38100</xdr:rowOff>
    </xdr:from>
    <xdr:to>
      <xdr:col>19</xdr:col>
      <xdr:colOff>480060</xdr:colOff>
      <xdr:row>38</xdr:row>
      <xdr:rowOff>79140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175260</xdr:colOff>
      <xdr:row>3</xdr:row>
      <xdr:rowOff>76200</xdr:rowOff>
    </xdr:from>
    <xdr:to>
      <xdr:col>7</xdr:col>
      <xdr:colOff>182880</xdr:colOff>
      <xdr:row>20</xdr:row>
      <xdr:rowOff>117240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3</xdr:row>
      <xdr:rowOff>76200</xdr:rowOff>
    </xdr:from>
    <xdr:to>
      <xdr:col>15</xdr:col>
      <xdr:colOff>487680</xdr:colOff>
      <xdr:row>20</xdr:row>
      <xdr:rowOff>117240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30480</xdr:colOff>
      <xdr:row>3</xdr:row>
      <xdr:rowOff>76200</xdr:rowOff>
    </xdr:from>
    <xdr:to>
      <xdr:col>23</xdr:col>
      <xdr:colOff>464820</xdr:colOff>
      <xdr:row>20</xdr:row>
      <xdr:rowOff>117240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472440</xdr:colOff>
      <xdr:row>21</xdr:row>
      <xdr:rowOff>38100</xdr:rowOff>
    </xdr:from>
    <xdr:to>
      <xdr:col>11</xdr:col>
      <xdr:colOff>533400</xdr:colOff>
      <xdr:row>38</xdr:row>
      <xdr:rowOff>79140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xdr:colOff>
      <xdr:row>21</xdr:row>
      <xdr:rowOff>38100</xdr:rowOff>
    </xdr:from>
    <xdr:to>
      <xdr:col>19</xdr:col>
      <xdr:colOff>480060</xdr:colOff>
      <xdr:row>38</xdr:row>
      <xdr:rowOff>79140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4</xdr:row>
      <xdr:rowOff>30480</xdr:rowOff>
    </xdr:from>
    <xdr:to>
      <xdr:col>26</xdr:col>
      <xdr:colOff>22860</xdr:colOff>
      <xdr:row>20</xdr:row>
      <xdr:rowOff>144780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876300</xdr:colOff>
      <xdr:row>20</xdr:row>
      <xdr:rowOff>144780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7620</xdr:colOff>
      <xdr:row>4</xdr:row>
      <xdr:rowOff>38100</xdr:rowOff>
    </xdr:from>
    <xdr:to>
      <xdr:col>35</xdr:col>
      <xdr:colOff>723900</xdr:colOff>
      <xdr:row>20</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4</xdr:row>
      <xdr:rowOff>30480</xdr:rowOff>
    </xdr:from>
    <xdr:to>
      <xdr:col>26</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876300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7620</xdr:colOff>
      <xdr:row>4</xdr:row>
      <xdr:rowOff>38100</xdr:rowOff>
    </xdr:from>
    <xdr:to>
      <xdr:col>35</xdr:col>
      <xdr:colOff>723900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4</xdr:row>
      <xdr:rowOff>30480</xdr:rowOff>
    </xdr:from>
    <xdr:to>
      <xdr:col>26</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876300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7620</xdr:colOff>
      <xdr:row>4</xdr:row>
      <xdr:rowOff>38100</xdr:rowOff>
    </xdr:from>
    <xdr:to>
      <xdr:col>35</xdr:col>
      <xdr:colOff>723900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0</xdr:colOff>
      <xdr:row>4</xdr:row>
      <xdr:rowOff>30480</xdr:rowOff>
    </xdr:from>
    <xdr:to>
      <xdr:col>26</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876300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7620</xdr:colOff>
      <xdr:row>4</xdr:row>
      <xdr:rowOff>38100</xdr:rowOff>
    </xdr:from>
    <xdr:to>
      <xdr:col>35</xdr:col>
      <xdr:colOff>723900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4</xdr:row>
      <xdr:rowOff>30480</xdr:rowOff>
    </xdr:from>
    <xdr:to>
      <xdr:col>26</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876300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7620</xdr:colOff>
      <xdr:row>4</xdr:row>
      <xdr:rowOff>38100</xdr:rowOff>
    </xdr:from>
    <xdr:to>
      <xdr:col>35</xdr:col>
      <xdr:colOff>723900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rba.gov.au/publications/smp/2019/nov/forecasts.html" TargetMode="External"/></Relationships>
</file>

<file path=xl/worksheets/_rels/sheet22.xml.rels><?xml version="1.0" encoding="UTF-8" standalone="yes"?>
<Relationships xmlns="http://schemas.openxmlformats.org/package/2006/relationships"><Relationship Id="rId26" Type="http://schemas.openxmlformats.org/officeDocument/2006/relationships/hyperlink" Target="https://www.aer.gov.au/system/files/Endeavour%20Energy%20-%20AER%20approved%202019-20%20Pricing%20Proposal_Final%20%2820%20May%202019%29%20-%20June%202019.pdf" TargetMode="External"/><Relationship Id="rId21" Type="http://schemas.openxmlformats.org/officeDocument/2006/relationships/hyperlink" Target="https://www.aer.gov.au/system/files/Ausgrid%20-%20AER%20approved%202019-20%20Initial%20Pricing%20Proposal%20-%20REVISED%20-%2029%20May%202019%20-%20June%202019.pdf" TargetMode="External"/><Relationship Id="rId42" Type="http://schemas.openxmlformats.org/officeDocument/2006/relationships/hyperlink" Target="https://www.aer.gov.au/system/files/Ausgrid%20-%20AER%20approved%202019-20%20Initial%20Pricing%20Proposal%20-%20REVISED%20-%2029%20May%202019%20-%20June%202019.pdf" TargetMode="External"/><Relationship Id="rId47" Type="http://schemas.openxmlformats.org/officeDocument/2006/relationships/hyperlink" Target="https://www.aer.gov.au/networks-pipelines/determinations-access-arrangements/pricing-proposals-tariffs/essential-energy-annual-pricing-2019-20" TargetMode="External"/><Relationship Id="rId63" Type="http://schemas.openxmlformats.org/officeDocument/2006/relationships/hyperlink" Target="https://www.aer.gov.au/system/files/AER%20APPROVED%20-%20SA%20Power%20Networks%20Pricing%20Proposal%202019-20%20-%20May%202019.pdf" TargetMode="External"/><Relationship Id="rId68" Type="http://schemas.openxmlformats.org/officeDocument/2006/relationships/hyperlink" Target="https://www.aer.gov.au/system/files/AER%20APPROVED%20-%20SA%20Power%20Networks%20Pricing%20Proposal%202019-20%20-%20May%202019.pdf" TargetMode="External"/><Relationship Id="rId84" Type="http://schemas.openxmlformats.org/officeDocument/2006/relationships/hyperlink" Target="https://www.aer.gov.au/system/files/SAPN%20-%20Revised%20Proposal%20-%20Attachment%2017%20-%20Tariff%20Structure%20Statement%20Part%20A%20-%20December%202019.pdf" TargetMode="External"/><Relationship Id="rId89" Type="http://schemas.openxmlformats.org/officeDocument/2006/relationships/hyperlink" Target="https://www.aer.gov.au/system/files/SAPN%20-%20Revised%20Proposal%20-%20Attachment%2017%20-%20Tariff%20Structure%20Statement%20Part%20A%20-%20December%202019.pdf" TargetMode="External"/><Relationship Id="rId7" Type="http://schemas.openxmlformats.org/officeDocument/2006/relationships/hyperlink" Target="https://www.aer.gov.au/system/files/Ausgrid%20-%20AER%20approved%202019-20%20Initial%20Pricing%20Proposal%20-%20REVISED%20-%2029%20May%202019%20-%20June%202019.pdf" TargetMode="External"/><Relationship Id="rId71" Type="http://schemas.openxmlformats.org/officeDocument/2006/relationships/hyperlink" Target="https://www.aer.gov.au/system/files/AER%20-%20SA%20Power%20Networks%202020-25%20-%20Draft%20decision%20-%20Attachment%201%20-%20Annual%20revenue%20requirement%20-%20October%202019.pdf" TargetMode="External"/><Relationship Id="rId92" Type="http://schemas.openxmlformats.org/officeDocument/2006/relationships/hyperlink" Target="https://www.aer.gov.au/system/files/SAPN%20-%20Revised%20Proposal%20-%20Attachment%2017%20-%20Tariff%20Structure%20Statement%20Part%20A%20-%20December%202019.pdf" TargetMode="External"/><Relationship Id="rId2" Type="http://schemas.openxmlformats.org/officeDocument/2006/relationships/hyperlink" Target="https://www.aer.gov.au/system/files/Ausgrid%20-%20AER%20approved%202019-20%20Initial%20Pricing%20Proposal%20-%20REVISED%20-%2029%20May%202019%20-%20June%202019.pdf" TargetMode="External"/><Relationship Id="rId16" Type="http://schemas.openxmlformats.org/officeDocument/2006/relationships/hyperlink" Target="https://www.aer.gov.au/system/files/Ausgrid%20-%20AER%20approved%202019-20%20Initial%20Pricing%20Proposal%20-%20REVISED%20-%2029%20May%202019%20-%20June%202019.pdf" TargetMode="External"/><Relationship Id="rId29" Type="http://schemas.openxmlformats.org/officeDocument/2006/relationships/hyperlink" Target="https://www.aer.gov.au/system/files/Endeavour%20Energy%20-%20AER%20approved%202019-20%20Pricing%20Proposal_Final%20%2820%20May%202019%29%20-%20June%202019.pdf" TargetMode="External"/><Relationship Id="rId11" Type="http://schemas.openxmlformats.org/officeDocument/2006/relationships/hyperlink" Target="https://www.aer.gov.au/system/files/Ausgrid%20-%20AER%20approved%202019-20%20Initial%20Pricing%20Proposal%20-%20REVISED%20-%2029%20May%202019%20-%20June%202019.pdf" TargetMode="External"/><Relationship Id="rId24" Type="http://schemas.openxmlformats.org/officeDocument/2006/relationships/hyperlink" Target="https://www.aer.gov.au/system/files/Endeavour%20Energy%20-%20AER%20approved%202019-20%20Pricing%20Proposal_Final%20%2820%20May%202019%29%20-%20June%202019.pdf" TargetMode="External"/><Relationship Id="rId32" Type="http://schemas.openxmlformats.org/officeDocument/2006/relationships/hyperlink" Target="https://www.aer.gov.au/system/files/Endeavour%20Energy%20-%20AER%20approved%202019-20%20Pricing%20Proposal_Final%20%2820%20May%202019%29%20-%20June%202019.pdf" TargetMode="External"/><Relationship Id="rId37" Type="http://schemas.openxmlformats.org/officeDocument/2006/relationships/hyperlink" Target="https://www.aer.gov.au/system/files/Endeavour%20Energy%20-%20AER%20approved%202019-20%20Pricing%20Proposal_Final%20%2820%20May%202019%29%20-%20June%202019.pdf" TargetMode="External"/><Relationship Id="rId40" Type="http://schemas.openxmlformats.org/officeDocument/2006/relationships/hyperlink" Target="https://www.aer.gov.au/system/files/Endeavour%20Energy%20-%20AER%20approved%202019-20%20Pricing%20Proposal_Final%20%2820%20May%202019%29%20-%20June%202019.pdf" TargetMode="External"/><Relationship Id="rId45" Type="http://schemas.openxmlformats.org/officeDocument/2006/relationships/hyperlink" Target="https://www.aer.gov.au/networks-pipelines/determinations-access-arrangements/pricing-proposals-tariffs/essential-energy-annual-pricing-2019-20" TargetMode="External"/><Relationship Id="rId53" Type="http://schemas.openxmlformats.org/officeDocument/2006/relationships/hyperlink" Target="https://www.aer.gov.au/system/files/Essential%20Energy%20-%20Att.7%20Indicative%20NUoS%20Pricing%20Schedule%20for%202019-24%20-%20May%202019%20%281%29.pdf" TargetMode="External"/><Relationship Id="rId58" Type="http://schemas.openxmlformats.org/officeDocument/2006/relationships/hyperlink" Target="https://www.aer.gov.au/system/files/AER%20APPROVED%20-%20SA%20Power%20Networks%20Pricing%20Proposal%202019-20%20-%20May%202019.pdf" TargetMode="External"/><Relationship Id="rId66" Type="http://schemas.openxmlformats.org/officeDocument/2006/relationships/hyperlink" Target="https://www.aer.gov.au/system/files/AER%20APPROVED%20-%20SA%20Power%20Networks%20Pricing%20Proposal%202019-20%20-%20May%202019.pdf" TargetMode="External"/><Relationship Id="rId74" Type="http://schemas.openxmlformats.org/officeDocument/2006/relationships/hyperlink" Target="https://www.aer.gov.au/system/files/Endeavour%20Energy%20-%20Attachment%20E%20-%20Indicative%20Pricing%20Schedule%20-%20May%202019.xlsx" TargetMode="External"/><Relationship Id="rId79" Type="http://schemas.openxmlformats.org/officeDocument/2006/relationships/hyperlink" Target="https://www.aer.gov.au/system/files/Essential%20Energy%20-%20AER%20approved%20-%20Att.5%20Essential%20Energy%20Network%20Price%20List%202019-20%20-%20June%202019.xlsx" TargetMode="External"/><Relationship Id="rId87" Type="http://schemas.openxmlformats.org/officeDocument/2006/relationships/hyperlink" Target="https://www.aer.gov.au/system/files/SAPN%20-%20Revised%20Proposal%20-%20Attachment%2017%20-%20Tariff%20Structure%20Statement%20Part%20A%20-%20December%202019.pdf" TargetMode="External"/><Relationship Id="rId102" Type="http://schemas.openxmlformats.org/officeDocument/2006/relationships/hyperlink" Target="https://www.aer.gov.au/system/files/Energex%20-%20Revised%20Proposal%20-%2010.001%20-%20Attachment%20A%20-%202020-25%20Indicative%20Pricing%20Schedule%20-%20December%202019.xlsx" TargetMode="External"/><Relationship Id="rId5" Type="http://schemas.openxmlformats.org/officeDocument/2006/relationships/hyperlink" Target="https://www.aer.gov.au/system/files/Ausgrid%20-%20AER%20approved%202019-20%20Initial%20Pricing%20Proposal%20-%20REVISED%20-%2029%20May%202019%20-%20June%202019.pdf" TargetMode="External"/><Relationship Id="rId61" Type="http://schemas.openxmlformats.org/officeDocument/2006/relationships/hyperlink" Target="https://www.aer.gov.au/system/files/AER%20APPROVED%20-%20SA%20Power%20Networks%20Pricing%20Proposal%202019-20%20-%20May%202019.pdf" TargetMode="External"/><Relationship Id="rId82" Type="http://schemas.openxmlformats.org/officeDocument/2006/relationships/hyperlink" Target="https://www.aer.gov.au/system/files/Essential%20Energy%20-%20Att.4%20Price%20Schedule%20for%20Metering%20Services%201%20July%202019%20-%20June%202019.pdf" TargetMode="External"/><Relationship Id="rId90" Type="http://schemas.openxmlformats.org/officeDocument/2006/relationships/hyperlink" Target="https://www.aer.gov.au/system/files/SAPN%20-%20Revised%20Proposal%20-%20Attachment%2017%20-%20Tariff%20Structure%20Statement%20Part%20A%20-%20December%202019.pdf" TargetMode="External"/><Relationship Id="rId95" Type="http://schemas.openxmlformats.org/officeDocument/2006/relationships/hyperlink" Target="https://www.aer.gov.au/system/files/SAPN%20-%20Revised%20Proposal%20-%20Attachment%2017%20-%20Tariff%20Structure%20Statement%20Part%20A%20-%20December%202019.pdf" TargetMode="External"/><Relationship Id="rId19" Type="http://schemas.openxmlformats.org/officeDocument/2006/relationships/hyperlink" Target="https://www.aer.gov.au/system/files/Ausgrid%20-%20AER%20approved%202019-20%20Initial%20Pricing%20Proposal%20-%20REVISED%20-%2029%20May%202019%20-%20June%202019.pdf" TargetMode="External"/><Relationship Id="rId14" Type="http://schemas.openxmlformats.org/officeDocument/2006/relationships/hyperlink" Target="https://www.aer.gov.au/system/files/Ausgrid%20-%20AER%20approved%202019-20%20Initial%20Pricing%20Proposal%20-%20REVISED%20-%2029%20May%202019%20-%20June%202019.pdf" TargetMode="External"/><Relationship Id="rId22" Type="http://schemas.openxmlformats.org/officeDocument/2006/relationships/hyperlink" Target="https://www.aer.gov.au/system/files/Ausgrid%20-%20AER%20approved%202019-20%20Initial%20Pricing%20Proposal%20-%20REVISED%20-%2029%20May%202019%20-%20June%202019.pdf" TargetMode="External"/><Relationship Id="rId27" Type="http://schemas.openxmlformats.org/officeDocument/2006/relationships/hyperlink" Target="https://www.aer.gov.au/system/files/Endeavour%20Energy%20-%20AER%20approved%202019-20%20Pricing%20Proposal_Final%20%2820%20May%202019%29%20-%20June%202019.pdf" TargetMode="External"/><Relationship Id="rId30" Type="http://schemas.openxmlformats.org/officeDocument/2006/relationships/hyperlink" Target="https://www.aer.gov.au/system/files/Endeavour%20Energy%20-%20AER%20approved%202019-20%20Pricing%20Proposal_Final%20%2820%20May%202019%29%20-%20June%202019.pdf" TargetMode="External"/><Relationship Id="rId35" Type="http://schemas.openxmlformats.org/officeDocument/2006/relationships/hyperlink" Target="https://www.aer.gov.au/system/files/Endeavour%20Energy%20-%20AER%20approved%202019-20%20Pricing%20Proposal_Final%20%2820%20May%202019%29%20-%20June%202019.pdf" TargetMode="External"/><Relationship Id="rId43" Type="http://schemas.openxmlformats.org/officeDocument/2006/relationships/hyperlink" Target="https://www.aer.gov.au/system/files/Ausgrid%20-%20AER%20approved%202019-20%20Initial%20Pricing%20Proposal%20-%20REVISED%20-%2029%20May%202019%20-%20June%202019.pdf" TargetMode="External"/><Relationship Id="rId48" Type="http://schemas.openxmlformats.org/officeDocument/2006/relationships/hyperlink" Target="https://www.aer.gov.au/networks-pipelines/determinations-access-arrangements/pricing-proposals-tariffs/essential-energy-annual-pricing-2019-20" TargetMode="External"/><Relationship Id="rId56" Type="http://schemas.openxmlformats.org/officeDocument/2006/relationships/hyperlink" Target="https://www.aer.gov.au/system/files/AER%20APPROVED%20-%20SA%20Power%20Networks%20Pricing%20Proposal%202019-20%20-%20May%202019.pdf" TargetMode="External"/><Relationship Id="rId64" Type="http://schemas.openxmlformats.org/officeDocument/2006/relationships/hyperlink" Target="https://www.aer.gov.au/system/files/AER%20APPROVED%20-%20SA%20Power%20Networks%20Pricing%20Proposal%202019-20%20-%20May%202019.pdf" TargetMode="External"/><Relationship Id="rId69" Type="http://schemas.openxmlformats.org/officeDocument/2006/relationships/hyperlink" Target="https://www.aer.gov.au/system/files/Energex%20-%20Attachment%201%20-%202019-20%20Network%20Tariff%20Tables%20-%20April%202019.xlsm" TargetMode="External"/><Relationship Id="rId77" Type="http://schemas.openxmlformats.org/officeDocument/2006/relationships/hyperlink" Target="https://www.aer.gov.au/system/files/Essential%20Energy%20-%20AER%20approved%20-%20Att.5%20Essential%20Energy%20Network%20Price%20List%202019-20%20-%20June%202019.xlsx" TargetMode="External"/><Relationship Id="rId100" Type="http://schemas.openxmlformats.org/officeDocument/2006/relationships/hyperlink" Target="https://www.aer.gov.au/system/files/Energex%20-%20Revised%20Proposal%20-%2010.001%20-%20Attachment%20A%20-%202020-25%20Indicative%20Pricing%20Schedule%20-%20December%202019.xlsx" TargetMode="External"/><Relationship Id="rId8" Type="http://schemas.openxmlformats.org/officeDocument/2006/relationships/hyperlink" Target="https://www.aer.gov.au/system/files/Ausgrid%20-%20AER%20approved%202019-20%20Initial%20Pricing%20Proposal%20-%20REVISED%20-%2029%20May%202019%20-%20June%202019.pdf" TargetMode="External"/><Relationship Id="rId51" Type="http://schemas.openxmlformats.org/officeDocument/2006/relationships/hyperlink" Target="https://www.aer.gov.au/system/files/Essential%20Energy%20-%20Att.7%20Indicative%20NUoS%20Pricing%20Schedule%20for%202019-24%20-%20May%202019%20%281%29.pdf" TargetMode="External"/><Relationship Id="rId72" Type="http://schemas.openxmlformats.org/officeDocument/2006/relationships/hyperlink" Target="https://www.aer.gov.au/networks-pipelines/determinations-access-arrangements/powerlink-determination-2017-2022/updates" TargetMode="External"/><Relationship Id="rId80" Type="http://schemas.openxmlformats.org/officeDocument/2006/relationships/hyperlink" Target="https://www.aer.gov.au/system/files/Essential%20Energy%20-%20Att.4%20Price%20Schedule%20for%20Metering%20Services%201%20July%202019%20-%20June%202019.pdf" TargetMode="External"/><Relationship Id="rId85" Type="http://schemas.openxmlformats.org/officeDocument/2006/relationships/hyperlink" Target="https://www.aer.gov.au/system/files/SAPN%20-%20Revised%20Proposal%20-%20Attachment%2017%20-%20Tariff%20Structure%20Statement%20Part%20A%20-%20December%202019.pdf" TargetMode="External"/><Relationship Id="rId93" Type="http://schemas.openxmlformats.org/officeDocument/2006/relationships/hyperlink" Target="https://www.aer.gov.au/system/files/SAPN%20-%20Revised%20Proposal%20-%20Attachment%2017%20-%20Tariff%20Structure%20Statement%20Part%20A%20-%20December%202019.pdf" TargetMode="External"/><Relationship Id="rId98" Type="http://schemas.openxmlformats.org/officeDocument/2006/relationships/hyperlink" Target="https://www.aer.gov.au/system/files/Energex%20-%20Revised%20Proposal%20-%2010.001%20-%20Attachment%20A%20-%202020-25%20Indicative%20Pricing%20Schedule%20-%20December%202019.xlsx" TargetMode="External"/><Relationship Id="rId3" Type="http://schemas.openxmlformats.org/officeDocument/2006/relationships/hyperlink" Target="https://www.aer.gov.au/system/files/Ausgrid%20-%20AER%20approved%202019-20%20Initial%20Pricing%20Proposal%20-%20REVISED%20-%2029%20May%202019%20-%20June%202019.pdf" TargetMode="External"/><Relationship Id="rId12" Type="http://schemas.openxmlformats.org/officeDocument/2006/relationships/hyperlink" Target="https://www.aer.gov.au/system/files/Ausgrid%20-%20AER%20approved%202019-20%20Initial%20Pricing%20Proposal%20-%20REVISED%20-%2029%20May%202019%20-%20June%202019.pdf" TargetMode="External"/><Relationship Id="rId17" Type="http://schemas.openxmlformats.org/officeDocument/2006/relationships/hyperlink" Target="https://www.aer.gov.au/system/files/Ausgrid%20-%20AER%20approved%202019-20%20Initial%20Pricing%20Proposal%20-%20REVISED%20-%2029%20May%202019%20-%20June%202019.pdf" TargetMode="External"/><Relationship Id="rId25" Type="http://schemas.openxmlformats.org/officeDocument/2006/relationships/hyperlink" Target="https://www.aer.gov.au/system/files/Endeavour%20Energy%20-%20AER%20approved%202019-20%20Pricing%20Proposal_Final%20%2820%20May%202019%29%20-%20June%202019.pdf" TargetMode="External"/><Relationship Id="rId33" Type="http://schemas.openxmlformats.org/officeDocument/2006/relationships/hyperlink" Target="https://www.aer.gov.au/system/files/Endeavour%20Energy%20-%20AER%20approved%202019-20%20Pricing%20Proposal_Final%20%2820%20May%202019%29%20-%20June%202019.pdf" TargetMode="External"/><Relationship Id="rId38" Type="http://schemas.openxmlformats.org/officeDocument/2006/relationships/hyperlink" Target="https://www.aer.gov.au/system/files/Endeavour%20Energy%20-%20AER%20approved%202019-20%20Pricing%20Proposal_Final%20%2820%20May%202019%29%20-%20June%202019.pdf" TargetMode="External"/><Relationship Id="rId46" Type="http://schemas.openxmlformats.org/officeDocument/2006/relationships/hyperlink" Target="https://www.aer.gov.au/networks-pipelines/determinations-access-arrangements/pricing-proposals-tariffs/essential-energy-annual-pricing-2019-20" TargetMode="External"/><Relationship Id="rId59" Type="http://schemas.openxmlformats.org/officeDocument/2006/relationships/hyperlink" Target="https://www.aer.gov.au/system/files/AER%20APPROVED%20-%20SA%20Power%20Networks%20Pricing%20Proposal%202019-20%20-%20May%202019.pdf" TargetMode="External"/><Relationship Id="rId67" Type="http://schemas.openxmlformats.org/officeDocument/2006/relationships/hyperlink" Target="https://www.aer.gov.au/system/files/AER%20APPROVED%20-%20SA%20Power%20Networks%20Pricing%20Proposal%202019-20%20-%20May%202019.pdf" TargetMode="External"/><Relationship Id="rId103" Type="http://schemas.openxmlformats.org/officeDocument/2006/relationships/printerSettings" Target="../printerSettings/printerSettings16.bin"/><Relationship Id="rId20" Type="http://schemas.openxmlformats.org/officeDocument/2006/relationships/hyperlink" Target="https://www.aer.gov.au/system/files/Ausgrid%20-%20AER%20approved%202019-20%20Initial%20Pricing%20Proposal%20-%20REVISED%20-%2029%20May%202019%20-%20June%202019.pdf" TargetMode="External"/><Relationship Id="rId41" Type="http://schemas.openxmlformats.org/officeDocument/2006/relationships/hyperlink" Target="https://www.aer.gov.au/system/files/Ausgrid%20-%20AER%20approved%202019-20%20Initial%20Pricing%20Proposal%20-%20REVISED%20-%2029%20May%202019%20-%20June%202019.pdf" TargetMode="External"/><Relationship Id="rId54" Type="http://schemas.openxmlformats.org/officeDocument/2006/relationships/hyperlink" Target="https://www.aer.gov.au/system/files/Essential%20Energy%20-%20Att.7%20Indicative%20NUoS%20Pricing%20Schedule%20for%202019-24%20-%20May%202019%20%281%29.pdf" TargetMode="External"/><Relationship Id="rId62" Type="http://schemas.openxmlformats.org/officeDocument/2006/relationships/hyperlink" Target="https://www.aer.gov.au/system/files/AER%20APPROVED%20-%20SA%20Power%20Networks%20Pricing%20Proposal%202019-20%20-%20May%202019.pdf" TargetMode="External"/><Relationship Id="rId70" Type="http://schemas.openxmlformats.org/officeDocument/2006/relationships/hyperlink" Target="https://www.aer.gov.au/system/files/AER%20-%20Energex%202020-25%20-%20Draft%20decision%20-%20Attachment%201%20-%20Annual%20revenue%20requirement%20-%20October%202019.pdf" TargetMode="External"/><Relationship Id="rId75" Type="http://schemas.openxmlformats.org/officeDocument/2006/relationships/hyperlink" Target="https://www.aer.gov.au/system/files/Endeavour%20Energy%20-%20Attachment%20E%20-%20Indicative%20Pricing%20Schedule%20-%20May%202019.xlsx" TargetMode="External"/><Relationship Id="rId83" Type="http://schemas.openxmlformats.org/officeDocument/2006/relationships/hyperlink" Target="https://www.aer.gov.au/system/files/Essential%20Energy%20-%20Att.4%20Price%20Schedule%20for%20Metering%20Services%201%20July%202019%20-%20June%202019.pdf" TargetMode="External"/><Relationship Id="rId88" Type="http://schemas.openxmlformats.org/officeDocument/2006/relationships/hyperlink" Target="https://www.aer.gov.au/system/files/SAPN%20-%20Revised%20Proposal%20-%20Attachment%2017%20-%20Tariff%20Structure%20Statement%20Part%20A%20-%20December%202019.pdf" TargetMode="External"/><Relationship Id="rId91" Type="http://schemas.openxmlformats.org/officeDocument/2006/relationships/hyperlink" Target="https://www.aer.gov.au/system/files/SAPN%20-%20Revised%20Proposal%20-%20Attachment%2017%20-%20Tariff%20Structure%20Statement%20Part%20A%20-%20December%202019.pdf" TargetMode="External"/><Relationship Id="rId96" Type="http://schemas.openxmlformats.org/officeDocument/2006/relationships/hyperlink" Target="https://www.aer.gov.au/system/files/SAPN%20-%20Revised%20Proposal%20-%20Attachment%2017%20-%20Tariff%20Structure%20Statement%20Part%20A%20-%20December%202019.pdf" TargetMode="External"/><Relationship Id="rId1" Type="http://schemas.openxmlformats.org/officeDocument/2006/relationships/hyperlink" Target="https://www.aer.gov.au/system/files/Ausgrid%20-%20AER%20approved%202019-20%20Initial%20Pricing%20Proposal%20-%20REVISED%20-%2029%20May%202019%20-%20June%202019.pdf" TargetMode="External"/><Relationship Id="rId6" Type="http://schemas.openxmlformats.org/officeDocument/2006/relationships/hyperlink" Target="https://www.aer.gov.au/system/files/Ausgrid%20-%20AER%20approved%202019-20%20Initial%20Pricing%20Proposal%20-%20REVISED%20-%2029%20May%202019%20-%20June%202019.pdf" TargetMode="External"/><Relationship Id="rId15" Type="http://schemas.openxmlformats.org/officeDocument/2006/relationships/hyperlink" Target="https://www.aer.gov.au/system/files/Ausgrid%20-%20AER%20approved%202019-20%20Initial%20Pricing%20Proposal%20-%20REVISED%20-%2029%20May%202019%20-%20June%202019.pdf" TargetMode="External"/><Relationship Id="rId23" Type="http://schemas.openxmlformats.org/officeDocument/2006/relationships/hyperlink" Target="https://www.aer.gov.au/system/files/Endeavour%20Energy%20-%20AER%20approved%202019-20%20Pricing%20Proposal_Final%20%2820%20May%202019%29%20-%20June%202019.pdf" TargetMode="External"/><Relationship Id="rId28" Type="http://schemas.openxmlformats.org/officeDocument/2006/relationships/hyperlink" Target="https://www.aer.gov.au/system/files/Endeavour%20Energy%20-%20AER%20approved%202019-20%20Pricing%20Proposal_Final%20%2820%20May%202019%29%20-%20June%202019.pdf" TargetMode="External"/><Relationship Id="rId36" Type="http://schemas.openxmlformats.org/officeDocument/2006/relationships/hyperlink" Target="https://www.aer.gov.au/system/files/Endeavour%20Energy%20-%20AER%20approved%202019-20%20Pricing%20Proposal_Final%20%2820%20May%202019%29%20-%20June%202019.pdf" TargetMode="External"/><Relationship Id="rId49" Type="http://schemas.openxmlformats.org/officeDocument/2006/relationships/hyperlink" Target="https://www.aer.gov.au/networks-pipelines/determinations-access-arrangements/pricing-proposals-tariffs/essential-energy-annual-pricing-2019-20" TargetMode="External"/><Relationship Id="rId57" Type="http://schemas.openxmlformats.org/officeDocument/2006/relationships/hyperlink" Target="https://www.aer.gov.au/system/files/AER%20APPROVED%20-%20SA%20Power%20Networks%20Pricing%20Proposal%202019-20%20-%20May%202019.pdf" TargetMode="External"/><Relationship Id="rId10" Type="http://schemas.openxmlformats.org/officeDocument/2006/relationships/hyperlink" Target="https://www.aer.gov.au/system/files/Ausgrid%20-%20AER%20approved%202019-20%20Initial%20Pricing%20Proposal%20-%20REVISED%20-%2029%20May%202019%20-%20June%202019.pdf" TargetMode="External"/><Relationship Id="rId31" Type="http://schemas.openxmlformats.org/officeDocument/2006/relationships/hyperlink" Target="https://www.aer.gov.au/system/files/Endeavour%20Energy%20-%20AER%20approved%202019-20%20Pricing%20Proposal_Final%20%2820%20May%202019%29%20-%20June%202019.pdf" TargetMode="External"/><Relationship Id="rId44" Type="http://schemas.openxmlformats.org/officeDocument/2006/relationships/hyperlink" Target="https://www.aer.gov.au/system/files/Ausgrid%20-%20AER%20approved%202019-20%20Initial%20Pricing%20Proposal%20-%20REVISED%20-%2029%20May%202019%20-%20June%202019.pdf" TargetMode="External"/><Relationship Id="rId52" Type="http://schemas.openxmlformats.org/officeDocument/2006/relationships/hyperlink" Target="https://www.aer.gov.au/system/files/Essential%20Energy%20-%20Att.7%20Indicative%20NUoS%20Pricing%20Schedule%20for%202019-24%20-%20May%202019%20%281%29.pdf" TargetMode="External"/><Relationship Id="rId60" Type="http://schemas.openxmlformats.org/officeDocument/2006/relationships/hyperlink" Target="https://www.aer.gov.au/system/files/AER%20APPROVED%20-%20SA%20Power%20Networks%20Pricing%20Proposal%202019-20%20-%20May%202019.pdf" TargetMode="External"/><Relationship Id="rId65" Type="http://schemas.openxmlformats.org/officeDocument/2006/relationships/hyperlink" Target="https://www.aer.gov.au/system/files/AER%20APPROVED%20-%20SA%20Power%20Networks%20Pricing%20Proposal%202019-20%20-%20May%202019.pdf" TargetMode="External"/><Relationship Id="rId73" Type="http://schemas.openxmlformats.org/officeDocument/2006/relationships/hyperlink" Target="https://www.aer.gov.au/networks-pipelines/determinations-access-arrangements/electranet-determination-2018-23/updates" TargetMode="External"/><Relationship Id="rId78" Type="http://schemas.openxmlformats.org/officeDocument/2006/relationships/hyperlink" Target="https://www.aer.gov.au/system/files/Essential%20Energy%20-%20AER%20approved%20-%20Att.5%20Essential%20Energy%20Network%20Price%20List%202019-20%20-%20June%202019.xlsx" TargetMode="External"/><Relationship Id="rId81" Type="http://schemas.openxmlformats.org/officeDocument/2006/relationships/hyperlink" Target="https://www.aer.gov.au/system/files/Essential%20Energy%20-%20Att.4%20Price%20Schedule%20for%20Metering%20Services%201%20July%202019%20-%20June%202019.pdf" TargetMode="External"/><Relationship Id="rId86" Type="http://schemas.openxmlformats.org/officeDocument/2006/relationships/hyperlink" Target="https://www.aer.gov.au/system/files/SAPN%20-%20Revised%20Proposal%20-%20Attachment%2017%20-%20Tariff%20Structure%20Statement%20Part%20A%20-%20December%202019.pdf" TargetMode="External"/><Relationship Id="rId94" Type="http://schemas.openxmlformats.org/officeDocument/2006/relationships/hyperlink" Target="https://www.aer.gov.au/system/files/SAPN%20-%20Revised%20Proposal%20-%20Attachment%2017%20-%20Tariff%20Structure%20Statement%20Part%20A%20-%20December%202019.pdf" TargetMode="External"/><Relationship Id="rId99" Type="http://schemas.openxmlformats.org/officeDocument/2006/relationships/hyperlink" Target="https://www.aer.gov.au/system/files/Energex%20-%20Revised%20Proposal%20-%2010.001%20-%20Attachment%20A%20-%202020-25%20Indicative%20Pricing%20Schedule%20-%20December%202019.xlsx" TargetMode="External"/><Relationship Id="rId101" Type="http://schemas.openxmlformats.org/officeDocument/2006/relationships/hyperlink" Target="https://www.aer.gov.au/system/files/Energex%20-%20Revised%20Proposal%20-%2010.001%20-%20Attachment%20A%20-%202020-25%20Indicative%20Pricing%20Schedule%20-%20December%202019.xlsx" TargetMode="External"/><Relationship Id="rId4" Type="http://schemas.openxmlformats.org/officeDocument/2006/relationships/hyperlink" Target="https://www.aer.gov.au/system/files/Ausgrid%20-%20AER%20approved%202019-20%20Initial%20Pricing%20Proposal%20-%20REVISED%20-%2029%20May%202019%20-%20June%202019.pdf" TargetMode="External"/><Relationship Id="rId9" Type="http://schemas.openxmlformats.org/officeDocument/2006/relationships/hyperlink" Target="https://www.aer.gov.au/system/files/Ausgrid%20-%20AER%20approved%202019-20%20Initial%20Pricing%20Proposal%20-%20REVISED%20-%2029%20May%202019%20-%20June%202019.pdf" TargetMode="External"/><Relationship Id="rId13" Type="http://schemas.openxmlformats.org/officeDocument/2006/relationships/hyperlink" Target="https://www.aer.gov.au/system/files/Ausgrid%20-%20AER%20approved%202019-20%20Initial%20Pricing%20Proposal%20-%20REVISED%20-%2029%20May%202019%20-%20June%202019.pdf" TargetMode="External"/><Relationship Id="rId18" Type="http://schemas.openxmlformats.org/officeDocument/2006/relationships/hyperlink" Target="https://www.aer.gov.au/system/files/Ausgrid%20-%20AER%20approved%202019-20%20Initial%20Pricing%20Proposal%20-%20REVISED%20-%2029%20May%202019%20-%20June%202019.pdf" TargetMode="External"/><Relationship Id="rId39" Type="http://schemas.openxmlformats.org/officeDocument/2006/relationships/hyperlink" Target="https://www.aer.gov.au/system/files/Endeavour%20Energy%20-%20AER%20approved%202019-20%20Pricing%20Proposal_Final%20%2820%20May%202019%29%20-%20June%202019.pdf" TargetMode="External"/><Relationship Id="rId34" Type="http://schemas.openxmlformats.org/officeDocument/2006/relationships/hyperlink" Target="https://www.aer.gov.au/system/files/Endeavour%20Energy%20-%20AER%20approved%202019-20%20Pricing%20Proposal_Final%20%2820%20May%202019%29%20-%20June%202019.pdf" TargetMode="External"/><Relationship Id="rId50" Type="http://schemas.openxmlformats.org/officeDocument/2006/relationships/hyperlink" Target="https://www.aer.gov.au/system/files/Essential%20Energy%20-%20Att.7%20Indicative%20NUoS%20Pricing%20Schedule%20for%202019-24%20-%20May%202019%20%281%29.pdf" TargetMode="External"/><Relationship Id="rId55" Type="http://schemas.openxmlformats.org/officeDocument/2006/relationships/hyperlink" Target="https://www.aer.gov.au/system/files/AER%20APPROVED%20-%20SA%20Power%20Networks%20Pricing%20Proposal%202019-20%20-%20May%202019.pdf" TargetMode="External"/><Relationship Id="rId76" Type="http://schemas.openxmlformats.org/officeDocument/2006/relationships/hyperlink" Target="https://www.aer.gov.au/system/files/Endeavour%20Energy%20-%20Attachment%20E%20-%20Indicative%20Pricing%20Schedule%20-%20May%202019.xlsx" TargetMode="External"/><Relationship Id="rId97" Type="http://schemas.openxmlformats.org/officeDocument/2006/relationships/hyperlink" Target="https://www.aer.gov.au/system/files/Energex%20-%20Revised%20Proposal%20-%2010.001%20-%20Attachment%20A%20-%202020-25%20Indicative%20Pricing%20Schedule%20-%20December%202019.xlsx"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F14"/>
  <sheetViews>
    <sheetView tabSelected="1" workbookViewId="0"/>
  </sheetViews>
  <sheetFormatPr defaultColWidth="8.88671875" defaultRowHeight="14.4" x14ac:dyDescent="0.3"/>
  <cols>
    <col min="1" max="16384" width="8.88671875" style="3"/>
  </cols>
  <sheetData>
    <row r="9" spans="6:6" ht="36.6" x14ac:dyDescent="0.3">
      <c r="F9" s="2" t="s">
        <v>18</v>
      </c>
    </row>
    <row r="10" spans="6:6" ht="36.6" x14ac:dyDescent="0.3">
      <c r="F10" s="2" t="str">
        <f>FY</f>
        <v>2020-21</v>
      </c>
    </row>
    <row r="11" spans="6:6" ht="23.4" x14ac:dyDescent="0.3">
      <c r="F11" s="4" t="s">
        <v>23</v>
      </c>
    </row>
    <row r="12" spans="6:6" ht="23.4" x14ac:dyDescent="0.3">
      <c r="F12" s="4"/>
    </row>
    <row r="13" spans="6:6" x14ac:dyDescent="0.3">
      <c r="F13" s="5"/>
    </row>
    <row r="14" spans="6:6" x14ac:dyDescent="0.3">
      <c r="F14" s="5"/>
    </row>
  </sheetData>
  <sheetProtection algorithmName="SHA-256" hashValue="SMaSwsHe70ZM6dPqM8G2WpJ3Iokb4yKWacXaLV8ENI8=" saltValue="8wDQiGcprRYAYBye1zYEO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pane ySplit="3" topLeftCell="A4" activePane="bottomLeft" state="frozen"/>
      <selection pane="bottomLeft"/>
    </sheetView>
  </sheetViews>
  <sheetFormatPr defaultColWidth="8.88671875" defaultRowHeight="19.95" customHeight="1" x14ac:dyDescent="0.3"/>
  <cols>
    <col min="1" max="1" width="1.6640625" style="1" customWidth="1"/>
    <col min="2" max="2" width="11" style="1" bestFit="1" customWidth="1"/>
    <col min="3" max="3" width="21.33203125" style="6" customWidth="1"/>
    <col min="4" max="16384" width="8.88671875" style="1"/>
  </cols>
  <sheetData>
    <row r="1" spans="1:3" s="9" customFormat="1" ht="22.5" customHeight="1" x14ac:dyDescent="0.3">
      <c r="A1" s="20" t="s">
        <v>10</v>
      </c>
      <c r="C1" s="10"/>
    </row>
    <row r="2" spans="1:3" ht="4.95" customHeight="1" x14ac:dyDescent="0.3">
      <c r="B2" s="8"/>
      <c r="C2" s="1"/>
    </row>
    <row r="3" spans="1:3" ht="19.95" customHeight="1" x14ac:dyDescent="0.3">
      <c r="B3" s="17" t="s">
        <v>11</v>
      </c>
      <c r="C3" s="11" t="s">
        <v>7</v>
      </c>
    </row>
    <row r="4" spans="1:3" ht="19.95" customHeight="1" x14ac:dyDescent="0.3">
      <c r="B4" s="19">
        <v>1</v>
      </c>
      <c r="C4" s="8" t="s">
        <v>207</v>
      </c>
    </row>
    <row r="5" spans="1:3" ht="19.95" customHeight="1" x14ac:dyDescent="0.3">
      <c r="B5" s="18">
        <f>B4+0.1</f>
        <v>1.1000000000000001</v>
      </c>
      <c r="C5" s="107" t="s">
        <v>110</v>
      </c>
    </row>
    <row r="6" spans="1:3" ht="19.95" customHeight="1" x14ac:dyDescent="0.3">
      <c r="B6" s="18">
        <f>B5+0.1</f>
        <v>1.2000000000000002</v>
      </c>
      <c r="C6" s="107" t="s">
        <v>21</v>
      </c>
    </row>
    <row r="7" spans="1:3" ht="19.95" customHeight="1" x14ac:dyDescent="0.3">
      <c r="B7" s="244">
        <v>2</v>
      </c>
      <c r="C7" s="8" t="s">
        <v>189</v>
      </c>
    </row>
    <row r="8" spans="1:3" ht="19.95" customHeight="1" x14ac:dyDescent="0.3">
      <c r="B8" s="18">
        <f>B7+0.1</f>
        <v>2.1</v>
      </c>
      <c r="C8" s="107" t="s">
        <v>182</v>
      </c>
    </row>
    <row r="9" spans="1:3" ht="19.95" customHeight="1" x14ac:dyDescent="0.3">
      <c r="B9" s="18">
        <f t="shared" ref="B9:B10" si="0">B8+0.1</f>
        <v>2.2000000000000002</v>
      </c>
      <c r="C9" s="107" t="s">
        <v>183</v>
      </c>
    </row>
    <row r="10" spans="1:3" ht="19.95" customHeight="1" x14ac:dyDescent="0.3">
      <c r="B10" s="18">
        <f t="shared" si="0"/>
        <v>2.3000000000000003</v>
      </c>
      <c r="C10" s="107" t="s">
        <v>184</v>
      </c>
    </row>
    <row r="11" spans="1:3" ht="19.95" customHeight="1" x14ac:dyDescent="0.3">
      <c r="B11" s="7">
        <v>3</v>
      </c>
      <c r="C11" s="8" t="s">
        <v>202</v>
      </c>
    </row>
    <row r="12" spans="1:3" ht="19.95" customHeight="1" x14ac:dyDescent="0.3">
      <c r="B12" s="18">
        <f t="shared" ref="B12:B20" si="1">B11+0.1</f>
        <v>3.1</v>
      </c>
      <c r="C12" s="107" t="s">
        <v>2</v>
      </c>
    </row>
    <row r="13" spans="1:3" ht="19.95" customHeight="1" x14ac:dyDescent="0.3">
      <c r="B13" s="18">
        <f t="shared" si="1"/>
        <v>3.2</v>
      </c>
      <c r="C13" s="107" t="s">
        <v>4</v>
      </c>
    </row>
    <row r="14" spans="1:3" ht="19.95" customHeight="1" x14ac:dyDescent="0.3">
      <c r="B14" s="18">
        <f t="shared" si="1"/>
        <v>3.3000000000000003</v>
      </c>
      <c r="C14" s="107" t="s">
        <v>0</v>
      </c>
    </row>
    <row r="15" spans="1:3" ht="19.95" customHeight="1" x14ac:dyDescent="0.3">
      <c r="B15" s="18">
        <f t="shared" si="1"/>
        <v>3.4000000000000004</v>
      </c>
      <c r="C15" s="107" t="s">
        <v>3</v>
      </c>
    </row>
    <row r="16" spans="1:3" ht="19.95" customHeight="1" x14ac:dyDescent="0.3">
      <c r="B16" s="18">
        <f t="shared" si="1"/>
        <v>3.5000000000000004</v>
      </c>
      <c r="C16" s="107" t="s">
        <v>5</v>
      </c>
    </row>
    <row r="17" spans="2:3" ht="19.95" customHeight="1" x14ac:dyDescent="0.3">
      <c r="B17" s="7">
        <v>4</v>
      </c>
      <c r="C17" s="8" t="s">
        <v>204</v>
      </c>
    </row>
    <row r="18" spans="2:3" ht="19.95" customHeight="1" x14ac:dyDescent="0.3">
      <c r="B18" s="18">
        <f>B17+0.1</f>
        <v>4.0999999999999996</v>
      </c>
      <c r="C18" s="107" t="s">
        <v>8</v>
      </c>
    </row>
    <row r="19" spans="2:3" ht="19.95" customHeight="1" x14ac:dyDescent="0.3">
      <c r="B19" s="18">
        <f t="shared" si="1"/>
        <v>4.1999999999999993</v>
      </c>
      <c r="C19" s="107" t="s">
        <v>9</v>
      </c>
    </row>
    <row r="20" spans="2:3" ht="19.95" customHeight="1" x14ac:dyDescent="0.3">
      <c r="B20" s="18">
        <f t="shared" si="1"/>
        <v>4.2999999999999989</v>
      </c>
      <c r="C20" s="107" t="s">
        <v>20</v>
      </c>
    </row>
    <row r="21" spans="2:3" ht="19.95" customHeight="1" x14ac:dyDescent="0.3">
      <c r="B21" s="7">
        <v>5</v>
      </c>
      <c r="C21" s="8" t="s">
        <v>205</v>
      </c>
    </row>
    <row r="22" spans="2:3" ht="19.95" customHeight="1" x14ac:dyDescent="0.3">
      <c r="B22" s="18">
        <f>B21+0.1</f>
        <v>5.0999999999999996</v>
      </c>
      <c r="C22" s="107" t="s">
        <v>108</v>
      </c>
    </row>
    <row r="23" spans="2:3" ht="19.95" customHeight="1" x14ac:dyDescent="0.3">
      <c r="B23" s="18">
        <f>B22+0.1</f>
        <v>5.1999999999999993</v>
      </c>
      <c r="C23" s="107" t="s">
        <v>107</v>
      </c>
    </row>
    <row r="24" spans="2:3" ht="19.95" customHeight="1" x14ac:dyDescent="0.3">
      <c r="B24" s="18">
        <f>B23+0.1</f>
        <v>5.2999999999999989</v>
      </c>
      <c r="C24" s="107" t="s">
        <v>95</v>
      </c>
    </row>
    <row r="25" spans="2:3" ht="19.95" customHeight="1" x14ac:dyDescent="0.3">
      <c r="B25" s="18"/>
    </row>
  </sheetData>
  <sheetProtection algorithmName="SHA-256" hashValue="i/ileneuVLcuIN15d4UkvsXaremv7CnoaThxJfUUDvI=" saltValue="sg+u2srheyok/PzfdL1MtQ==" spinCount="100000" sheet="1" objects="1" scenarios="1"/>
  <hyperlinks>
    <hyperlink ref="C23" location="'Detail inputs'!A1" display="Detail inputs"/>
    <hyperlink ref="C24" location="Usage!A1" display="Usage"/>
    <hyperlink ref="C20" location="'Environmental cost'!A1" display="Environmental costs"/>
    <hyperlink ref="C19" location="'Wholesale cost'!A1" display="Wholesale costs"/>
    <hyperlink ref="C18" location="'Network cost'!A1" display="Network costs"/>
    <hyperlink ref="C16" location="SAPN!A1" display="SAPN"/>
    <hyperlink ref="C15" location="Essential!A1" display="Essential"/>
    <hyperlink ref="C14" location="Energex!A1" display="Energex"/>
    <hyperlink ref="C13" location="Endeavour!A1" display="Endeavour"/>
    <hyperlink ref="C12" location="Ausgrid!A1" display="Ausgrid"/>
    <hyperlink ref="C6" location="Summary!A1" display="Summary!A1"/>
    <hyperlink ref="C5" location="Structure!A1" display="Model Structure"/>
    <hyperlink ref="C22" location="'Key inputs'!A1" display="Key inputs"/>
    <hyperlink ref="C8" location="'Res wo CL'!A1" display="Residential without CL"/>
    <hyperlink ref="C9" location="'Res w CL'!A1" display="Residential with CL"/>
    <hyperlink ref="C10" location="'SB wo CL'!A1" display="Small business without C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F9:F14"/>
  <sheetViews>
    <sheetView workbookViewId="0">
      <selection activeCell="F11" sqref="F11"/>
    </sheetView>
  </sheetViews>
  <sheetFormatPr defaultColWidth="8.88671875" defaultRowHeight="14.4" x14ac:dyDescent="0.3"/>
  <cols>
    <col min="1" max="16384" width="8.88671875" style="3"/>
  </cols>
  <sheetData>
    <row r="9" spans="6:6" ht="36.6" x14ac:dyDescent="0.3">
      <c r="F9" s="2" t="s">
        <v>206</v>
      </c>
    </row>
    <row r="10" spans="6:6" ht="36.6" x14ac:dyDescent="0.3">
      <c r="F10" s="2" t="str">
        <f>"DMO "&amp;FY</f>
        <v>DMO 2020-21</v>
      </c>
    </row>
    <row r="11" spans="6:6" ht="23.4" x14ac:dyDescent="0.3">
      <c r="F11" s="4"/>
    </row>
    <row r="12" spans="6:6" ht="23.4" x14ac:dyDescent="0.3">
      <c r="F12" s="4"/>
    </row>
    <row r="13" spans="6:6" x14ac:dyDescent="0.3">
      <c r="F13" s="5"/>
    </row>
    <row r="14" spans="6:6" x14ac:dyDescent="0.3">
      <c r="F14" s="5"/>
    </row>
  </sheetData>
  <sheetProtection algorithmName="SHA-256" hashValue="Ed3yVR91zr7YMES5JET9E8WnBhH2BRqFM2PteRy9S1E=" saltValue="98WustxrapupKwEOJuPvpA=="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59"/>
  <sheetViews>
    <sheetView workbookViewId="0">
      <selection sqref="A1:B1"/>
    </sheetView>
  </sheetViews>
  <sheetFormatPr defaultColWidth="0" defaultRowHeight="14.4" zeroHeight="1" x14ac:dyDescent="0.3"/>
  <cols>
    <col min="1" max="1" width="3.33203125" style="3" customWidth="1"/>
    <col min="2" max="3" width="14.109375" style="3" customWidth="1"/>
    <col min="4" max="6" width="20.6640625" style="3" customWidth="1"/>
    <col min="7" max="9" width="12" style="3" customWidth="1"/>
    <col min="10" max="13" width="8.88671875" style="3" customWidth="1"/>
    <col min="14" max="16384" width="8.88671875" style="3" hidden="1"/>
  </cols>
  <sheetData>
    <row r="1" spans="1:9" ht="10.199999999999999" customHeight="1" x14ac:dyDescent="0.3">
      <c r="A1" s="246" t="s">
        <v>22</v>
      </c>
      <c r="B1" s="246"/>
    </row>
    <row r="2" spans="1:9" s="15" customFormat="1" ht="22.5" customHeight="1" x14ac:dyDescent="0.3">
      <c r="A2" s="16" t="s">
        <v>110</v>
      </c>
    </row>
    <row r="3" spans="1:9" x14ac:dyDescent="0.3"/>
    <row r="4" spans="1:9" x14ac:dyDescent="0.3">
      <c r="G4" s="100"/>
      <c r="H4" s="100"/>
      <c r="I4" s="100"/>
    </row>
    <row r="5" spans="1:9" ht="15.6" x14ac:dyDescent="0.3">
      <c r="B5" s="38" t="s">
        <v>109</v>
      </c>
      <c r="G5" s="100"/>
      <c r="H5" s="100"/>
      <c r="I5" s="100"/>
    </row>
    <row r="6" spans="1:9" ht="19.95" customHeight="1" x14ac:dyDescent="0.3">
      <c r="G6" s="100"/>
      <c r="H6" s="100"/>
      <c r="I6" s="100"/>
    </row>
    <row r="7" spans="1:9" s="56" customFormat="1" ht="30" customHeight="1" x14ac:dyDescent="0.3">
      <c r="B7" s="3"/>
      <c r="C7" s="3"/>
      <c r="D7" s="3"/>
      <c r="E7" s="3"/>
      <c r="F7" s="3"/>
      <c r="G7" s="103"/>
      <c r="H7" s="103"/>
      <c r="I7" s="103"/>
    </row>
    <row r="8" spans="1:9" ht="19.95" customHeight="1" x14ac:dyDescent="0.3">
      <c r="G8" s="100"/>
      <c r="H8" s="100"/>
      <c r="I8" s="100"/>
    </row>
    <row r="9" spans="1:9" s="56" customFormat="1" ht="30" customHeight="1" x14ac:dyDescent="0.3">
      <c r="B9" s="3"/>
      <c r="C9" s="3"/>
      <c r="D9" s="3"/>
      <c r="E9" s="3"/>
      <c r="F9" s="3"/>
      <c r="G9" s="103"/>
      <c r="H9" s="103"/>
      <c r="I9" s="103"/>
    </row>
    <row r="10" spans="1:9" ht="19.95" customHeight="1" x14ac:dyDescent="0.3">
      <c r="G10" s="100"/>
      <c r="H10" s="100"/>
      <c r="I10" s="100"/>
    </row>
    <row r="11" spans="1:9" s="56" customFormat="1" ht="30" customHeight="1" x14ac:dyDescent="0.3">
      <c r="B11" s="3"/>
      <c r="C11" s="3"/>
      <c r="D11" s="3"/>
      <c r="E11" s="3"/>
      <c r="F11" s="3"/>
      <c r="G11" s="103"/>
      <c r="H11" s="103"/>
      <c r="I11" s="103"/>
    </row>
    <row r="12" spans="1:9" ht="19.95" customHeight="1" x14ac:dyDescent="0.3"/>
    <row r="13" spans="1:9" s="56" customFormat="1" ht="30" customHeight="1" x14ac:dyDescent="0.3">
      <c r="B13" s="3"/>
      <c r="C13" s="3"/>
      <c r="D13" s="3"/>
      <c r="E13" s="3"/>
      <c r="F13" s="3"/>
    </row>
    <row r="14" spans="1:9" ht="19.95" customHeight="1" x14ac:dyDescent="0.3"/>
    <row r="15" spans="1:9" x14ac:dyDescent="0.3"/>
    <row r="16" spans="1:9" x14ac:dyDescent="0.3"/>
    <row r="17" spans="1:3" x14ac:dyDescent="0.3"/>
    <row r="18" spans="1:3" x14ac:dyDescent="0.3"/>
    <row r="19" spans="1:3" x14ac:dyDescent="0.3"/>
    <row r="20" spans="1:3" x14ac:dyDescent="0.3"/>
    <row r="21" spans="1:3" x14ac:dyDescent="0.3"/>
    <row r="22" spans="1:3" x14ac:dyDescent="0.3"/>
    <row r="23" spans="1:3" x14ac:dyDescent="0.3">
      <c r="B23" s="190" t="s">
        <v>96</v>
      </c>
    </row>
    <row r="24" spans="1:3" x14ac:dyDescent="0.3"/>
    <row r="25" spans="1:3" ht="15.6" x14ac:dyDescent="0.3">
      <c r="A25" s="5"/>
      <c r="B25" s="38" t="s">
        <v>164</v>
      </c>
    </row>
    <row r="26" spans="1:3" x14ac:dyDescent="0.3">
      <c r="B26" s="3" t="s">
        <v>142</v>
      </c>
      <c r="C26" s="3" t="s">
        <v>143</v>
      </c>
    </row>
    <row r="27" spans="1:3" x14ac:dyDescent="0.3">
      <c r="B27" s="3" t="s">
        <v>17</v>
      </c>
      <c r="C27" s="3" t="s">
        <v>140</v>
      </c>
    </row>
    <row r="28" spans="1:3" x14ac:dyDescent="0.3">
      <c r="B28" s="3" t="s">
        <v>42</v>
      </c>
      <c r="C28" s="3" t="s">
        <v>141</v>
      </c>
    </row>
    <row r="29" spans="1:3" x14ac:dyDescent="0.3">
      <c r="B29" s="3" t="s">
        <v>5</v>
      </c>
      <c r="C29" s="3" t="s">
        <v>181</v>
      </c>
    </row>
    <row r="30" spans="1:3" x14ac:dyDescent="0.3">
      <c r="B30" s="3" t="s">
        <v>54</v>
      </c>
      <c r="C30" s="3" t="s">
        <v>111</v>
      </c>
    </row>
    <row r="31" spans="1:3" x14ac:dyDescent="0.3">
      <c r="B31" s="3" t="s">
        <v>55</v>
      </c>
      <c r="C31" s="3" t="s">
        <v>112</v>
      </c>
    </row>
    <row r="32" spans="1:3" x14ac:dyDescent="0.3">
      <c r="B32" s="3" t="s">
        <v>65</v>
      </c>
      <c r="C32" s="3" t="s">
        <v>113</v>
      </c>
    </row>
    <row r="33" spans="2:3" x14ac:dyDescent="0.3">
      <c r="B33" s="3" t="s">
        <v>56</v>
      </c>
      <c r="C33" s="3" t="s">
        <v>114</v>
      </c>
    </row>
    <row r="34" spans="2:3" x14ac:dyDescent="0.3">
      <c r="B34" s="3" t="s">
        <v>86</v>
      </c>
      <c r="C34" s="3" t="s">
        <v>180</v>
      </c>
    </row>
    <row r="35" spans="2:3" x14ac:dyDescent="0.3">
      <c r="B35" s="3" t="s">
        <v>87</v>
      </c>
      <c r="C35" s="3" t="s">
        <v>115</v>
      </c>
    </row>
    <row r="36" spans="2:3" x14ac:dyDescent="0.3">
      <c r="B36" s="3" t="s">
        <v>67</v>
      </c>
      <c r="C36" s="3" t="s">
        <v>116</v>
      </c>
    </row>
    <row r="37" spans="2:3" x14ac:dyDescent="0.3">
      <c r="B37" s="3" t="s">
        <v>78</v>
      </c>
      <c r="C37" s="3" t="s">
        <v>117</v>
      </c>
    </row>
    <row r="38" spans="2:3" x14ac:dyDescent="0.3">
      <c r="B38" s="3" t="s">
        <v>79</v>
      </c>
      <c r="C38" s="3" t="s">
        <v>118</v>
      </c>
    </row>
    <row r="39" spans="2:3" x14ac:dyDescent="0.3">
      <c r="B39" s="3" t="s">
        <v>89</v>
      </c>
      <c r="C39" s="3" t="s">
        <v>191</v>
      </c>
    </row>
    <row r="40" spans="2:3" x14ac:dyDescent="0.3">
      <c r="B40" s="3" t="s">
        <v>119</v>
      </c>
      <c r="C40" s="3" t="s">
        <v>179</v>
      </c>
    </row>
    <row r="41" spans="2:3" x14ac:dyDescent="0.3">
      <c r="B41" s="3" t="s">
        <v>120</v>
      </c>
      <c r="C41" s="3" t="s">
        <v>122</v>
      </c>
    </row>
    <row r="42" spans="2:3" x14ac:dyDescent="0.3">
      <c r="B42" s="3" t="s">
        <v>121</v>
      </c>
      <c r="C42" s="3" t="s">
        <v>123</v>
      </c>
    </row>
    <row r="43" spans="2:3" x14ac:dyDescent="0.3">
      <c r="B43" s="3" t="s">
        <v>80</v>
      </c>
      <c r="C43" s="3" t="s">
        <v>178</v>
      </c>
    </row>
    <row r="44" spans="2:3" x14ac:dyDescent="0.3">
      <c r="B44" s="3" t="s">
        <v>177</v>
      </c>
      <c r="C44" s="3" t="s">
        <v>124</v>
      </c>
    </row>
    <row r="45" spans="2:3" x14ac:dyDescent="0.3">
      <c r="B45" s="3" t="s">
        <v>125</v>
      </c>
      <c r="C45" s="3" t="s">
        <v>132</v>
      </c>
    </row>
    <row r="46" spans="2:3" x14ac:dyDescent="0.3">
      <c r="B46" s="3" t="s">
        <v>126</v>
      </c>
      <c r="C46" s="3" t="s">
        <v>133</v>
      </c>
    </row>
    <row r="47" spans="2:3" x14ac:dyDescent="0.3">
      <c r="B47" s="3" t="s">
        <v>127</v>
      </c>
      <c r="C47" s="3" t="s">
        <v>134</v>
      </c>
    </row>
    <row r="48" spans="2:3" x14ac:dyDescent="0.3">
      <c r="B48" s="3" t="s">
        <v>128</v>
      </c>
      <c r="C48" s="3" t="s">
        <v>135</v>
      </c>
    </row>
    <row r="49" spans="2:3" x14ac:dyDescent="0.3">
      <c r="B49" s="3" t="s">
        <v>82</v>
      </c>
      <c r="C49" s="3" t="s">
        <v>136</v>
      </c>
    </row>
    <row r="50" spans="2:3" x14ac:dyDescent="0.3">
      <c r="B50" s="3" t="s">
        <v>83</v>
      </c>
      <c r="C50" s="3" t="s">
        <v>137</v>
      </c>
    </row>
    <row r="51" spans="2:3" x14ac:dyDescent="0.3">
      <c r="B51" s="3" t="s">
        <v>84</v>
      </c>
      <c r="C51" s="3" t="s">
        <v>139</v>
      </c>
    </row>
    <row r="52" spans="2:3" x14ac:dyDescent="0.3">
      <c r="B52" s="3" t="s">
        <v>90</v>
      </c>
      <c r="C52" s="3" t="s">
        <v>138</v>
      </c>
    </row>
    <row r="53" spans="2:3" x14ac:dyDescent="0.3">
      <c r="B53" s="3" t="s">
        <v>81</v>
      </c>
      <c r="C53" s="3" t="s">
        <v>131</v>
      </c>
    </row>
    <row r="54" spans="2:3" x14ac:dyDescent="0.3">
      <c r="B54" s="3" t="s">
        <v>129</v>
      </c>
      <c r="C54" s="3" t="s">
        <v>192</v>
      </c>
    </row>
    <row r="55" spans="2:3" x14ac:dyDescent="0.3">
      <c r="B55" s="3" t="s">
        <v>130</v>
      </c>
      <c r="C55" s="3" t="s">
        <v>193</v>
      </c>
    </row>
    <row r="56" spans="2:3" x14ac:dyDescent="0.3">
      <c r="B56" s="3" t="s">
        <v>144</v>
      </c>
      <c r="C56" s="3" t="s">
        <v>145</v>
      </c>
    </row>
    <row r="57" spans="2:3" x14ac:dyDescent="0.3">
      <c r="B57" s="3" t="s">
        <v>146</v>
      </c>
      <c r="C57" s="3" t="s">
        <v>147</v>
      </c>
    </row>
    <row r="58" spans="2:3" x14ac:dyDescent="0.3">
      <c r="B58" s="3" t="s">
        <v>165</v>
      </c>
      <c r="C58" s="3" t="s">
        <v>166</v>
      </c>
    </row>
    <row r="59" spans="2:3" x14ac:dyDescent="0.3"/>
  </sheetData>
  <sheetProtection algorithmName="SHA-256" hashValue="koGIU1rTD7XxdSiWs16IwbZDZp9UGXsmLh6jcpF06no=" saltValue="kAxyHyWoix8eFuz9L2XMiA==" spinCount="100000" sheet="1" objects="1" scenarios="1"/>
  <mergeCells count="1">
    <mergeCell ref="A1:B1"/>
  </mergeCells>
  <hyperlinks>
    <hyperlink ref="A1" location="Index!A1" display="&lt;&lt;Back to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65"/>
  <sheetViews>
    <sheetView workbookViewId="0">
      <pane ySplit="7" topLeftCell="A8" activePane="bottomLeft" state="frozen"/>
      <selection pane="bottomLeft" activeCell="A2" sqref="A2"/>
    </sheetView>
  </sheetViews>
  <sheetFormatPr defaultColWidth="0" defaultRowHeight="14.4" zeroHeight="1" x14ac:dyDescent="0.3"/>
  <cols>
    <col min="1" max="1" width="3.33203125" style="3" customWidth="1"/>
    <col min="2" max="2" width="14.109375" style="3" customWidth="1"/>
    <col min="3" max="3" width="13.5546875" style="3" customWidth="1"/>
    <col min="4" max="9" width="10.6640625" style="3" customWidth="1"/>
    <col min="10" max="10" width="12" style="3" customWidth="1"/>
    <col min="11" max="17" width="12" style="3" hidden="1" customWidth="1"/>
    <col min="18" max="23" width="13.33203125" style="3" customWidth="1"/>
    <col min="24" max="24" width="3.21875" style="3" customWidth="1"/>
    <col min="25" max="25" width="0" style="3" hidden="1" customWidth="1"/>
    <col min="26" max="16384" width="8.88671875" style="3" hidden="1"/>
  </cols>
  <sheetData>
    <row r="1" spans="1:25" ht="10.199999999999999" customHeight="1" x14ac:dyDescent="0.3">
      <c r="A1" s="246" t="s">
        <v>22</v>
      </c>
      <c r="B1" s="272"/>
    </row>
    <row r="2" spans="1:25" s="15" customFormat="1" ht="22.5" customHeight="1" x14ac:dyDescent="0.3">
      <c r="A2" s="16" t="str">
        <f>"DMO "&amp;FY&amp;" Draft Determination Prices and Cost Changes"</f>
        <v>DMO 2020-21 Draft Determination Prices and Cost Changes</v>
      </c>
    </row>
    <row r="3" spans="1:25" x14ac:dyDescent="0.3">
      <c r="B3" s="145"/>
      <c r="R3" s="5"/>
      <c r="S3" s="21"/>
      <c r="T3" s="21"/>
      <c r="U3" s="21"/>
      <c r="V3" s="21"/>
    </row>
    <row r="4" spans="1:25" ht="15.6" x14ac:dyDescent="0.3">
      <c r="B4" s="38" t="str">
        <f>"DMO "&amp;FY&amp;" Draft Determination Prices"</f>
        <v>DMO 2020-21 Draft Determination Prices</v>
      </c>
      <c r="R4" s="38" t="s">
        <v>195</v>
      </c>
      <c r="S4" s="21"/>
      <c r="T4" s="21"/>
      <c r="U4" s="21"/>
      <c r="V4" s="21"/>
    </row>
    <row r="5" spans="1:25" ht="15.6" x14ac:dyDescent="0.3">
      <c r="B5" s="145" t="s">
        <v>148</v>
      </c>
      <c r="R5" s="38"/>
      <c r="S5" s="21"/>
      <c r="T5" s="21"/>
      <c r="U5" s="21"/>
      <c r="V5" s="21"/>
    </row>
    <row r="6" spans="1:25" ht="15.6" x14ac:dyDescent="0.3">
      <c r="B6" s="271" t="s">
        <v>1</v>
      </c>
      <c r="C6" s="195"/>
      <c r="D6" s="253" t="s">
        <v>6</v>
      </c>
      <c r="E6" s="253"/>
      <c r="F6" s="253" t="s">
        <v>6</v>
      </c>
      <c r="G6" s="253"/>
      <c r="H6" s="253" t="s">
        <v>85</v>
      </c>
      <c r="I6" s="273"/>
      <c r="J6" s="100"/>
      <c r="K6" s="100"/>
      <c r="L6" s="100"/>
      <c r="M6" s="100"/>
      <c r="N6" s="100"/>
      <c r="O6" s="100"/>
      <c r="P6" s="100"/>
      <c r="Q6" s="100"/>
      <c r="R6" s="265" t="s">
        <v>38</v>
      </c>
      <c r="S6" s="265" t="s">
        <v>68</v>
      </c>
      <c r="T6" s="265" t="s">
        <v>69</v>
      </c>
      <c r="U6" s="265" t="s">
        <v>70</v>
      </c>
      <c r="V6" s="265" t="s">
        <v>71</v>
      </c>
      <c r="W6" s="265" t="s">
        <v>77</v>
      </c>
    </row>
    <row r="7" spans="1:25" ht="15.6" x14ac:dyDescent="0.3">
      <c r="B7" s="271"/>
      <c r="C7" s="195"/>
      <c r="D7" s="254" t="s">
        <v>158</v>
      </c>
      <c r="E7" s="254"/>
      <c r="F7" s="254" t="s">
        <v>159</v>
      </c>
      <c r="G7" s="254"/>
      <c r="H7" s="254" t="s">
        <v>158</v>
      </c>
      <c r="I7" s="274"/>
      <c r="J7" s="100"/>
      <c r="K7" s="100"/>
      <c r="L7" s="100"/>
      <c r="M7" s="100"/>
      <c r="N7" s="100"/>
      <c r="O7" s="100"/>
      <c r="P7" s="100"/>
      <c r="Q7" s="100"/>
      <c r="R7" s="265"/>
      <c r="S7" s="265"/>
      <c r="T7" s="265"/>
      <c r="U7" s="265"/>
      <c r="V7" s="265"/>
      <c r="W7" s="265"/>
    </row>
    <row r="8" spans="1:25" s="56" customFormat="1" ht="30" customHeight="1" x14ac:dyDescent="0.3">
      <c r="B8" s="66" t="s">
        <v>2</v>
      </c>
      <c r="C8" s="193" t="s">
        <v>94</v>
      </c>
      <c r="D8" s="249">
        <f t="array" aca="1" ref="D8" ca="1">INDEX(INDIRECT("'"&amp;$B8&amp;"'!$B$6:$F$15"),MATCH("DMO "&amp;FY&amp;" price ($ pa, inc GST)",INDIRECT("'"&amp;$B8&amp;"'!$B$6:$B$15"),0),MATCH(D$6&amp;D$7,INDIRECT("'"&amp;$B8&amp;"'!$B$6:$E$6")&amp;INDIRECT("'"&amp;$B8&amp;"'!$B$7:$E$7"),0))</f>
        <v>1483</v>
      </c>
      <c r="E8" s="249"/>
      <c r="F8" s="249">
        <f t="array" aca="1" ref="F8" ca="1">INDEX(INDIRECT("'"&amp;$B8&amp;"'!$B$6:$F$15"),MATCH("DMO "&amp;FY&amp;" price ($ pa, inc GST)",INDIRECT("'"&amp;$B8&amp;"'!$B$6:$B$15"),0),MATCH(F$6&amp;F$7,INDIRECT("'"&amp;$B8&amp;"'!$B$6:$E$6")&amp;INDIRECT("'"&amp;$B8&amp;"'!$B$7:$E$7"),0))</f>
        <v>2059</v>
      </c>
      <c r="G8" s="249"/>
      <c r="H8" s="249">
        <f t="array" aca="1" ref="H8" ca="1">INDEX(INDIRECT("'"&amp;$B8&amp;"'!$B$6:$F$15"),MATCH("DMO "&amp;FY&amp;" price ($ pa, inc GST)",INDIRECT("'"&amp;$B8&amp;"'!$B$6:$B$15"),0),MATCH(H$6&amp;H$7,INDIRECT("'"&amp;$B8&amp;"'!$B$6:$E$6")&amp;INDIRECT("'"&amp;$B8&amp;"'!$B$7:$E$7"),0))</f>
        <v>7348</v>
      </c>
      <c r="I8" s="250"/>
      <c r="J8" s="103"/>
      <c r="K8" s="103"/>
      <c r="L8" s="103"/>
      <c r="M8" s="103"/>
      <c r="N8" s="103"/>
      <c r="O8" s="103"/>
      <c r="P8" s="103"/>
      <c r="Q8" s="103"/>
      <c r="R8" s="5" t="str">
        <f>X8&amp;" "&amp;Y8</f>
        <v>Residential without CL</v>
      </c>
      <c r="S8" s="21"/>
      <c r="T8" s="21"/>
      <c r="U8" s="229"/>
      <c r="V8" s="229"/>
      <c r="W8" s="229"/>
      <c r="X8" s="230" t="s">
        <v>6</v>
      </c>
      <c r="Y8" s="230" t="s">
        <v>158</v>
      </c>
    </row>
    <row r="9" spans="1:25" ht="12.45" customHeight="1" x14ac:dyDescent="0.3">
      <c r="B9" s="102" t="s">
        <v>2</v>
      </c>
      <c r="C9" s="266" t="s">
        <v>194</v>
      </c>
      <c r="D9" s="251" t="str">
        <f t="array" aca="1" ref="D9" ca="1">INDEX(INDIRECT("'"&amp;$B8&amp;"'!$B$6:$F$15"),MATCH("Annual usage (kWh)",INDIRECT("'"&amp;$B8&amp;"'!$B$6:$B$15"),0),MATCH(D$6&amp;D$7,INDIRECT("'"&amp;$B8&amp;"'!$B$6:$E$6")&amp;INDIRECT("'"&amp;$B8&amp;"'!$B$7:$E$7"),0))&amp;" kWh"</f>
        <v>3900 kWh</v>
      </c>
      <c r="E9" s="251"/>
      <c r="F9" s="247" t="str">
        <f t="array" aca="1" ref="F9" ca="1">"Flat rate "&amp;INDEX(INDIRECT("'"&amp;$B8&amp;"'!$B$6:$F$15"),MATCH("Flat rate usage (kWh)",INDIRECT("'"&amp;$B8&amp;"'!$B$6:$B$15"),0),MATCH(F$6&amp;F$7,INDIRECT("'"&amp;$B8&amp;"'!$B$6:$E$6")&amp;INDIRECT("'"&amp;$B8&amp;"'!$B$7:$E$7"),0))&amp;" kWh"</f>
        <v>Flat rate 4800 kWh</v>
      </c>
      <c r="G9" s="248"/>
      <c r="H9" s="251" t="str">
        <f t="array" aca="1" ref="H9" ca="1">INDEX(INDIRECT("'"&amp;$B8&amp;"'!$B$6:$F$15"),MATCH("Annual usage (kWh)",INDIRECT("'"&amp;$B8&amp;"'!$B$6:$B$15"),0),MATCH(H$6&amp;H$7,INDIRECT("'"&amp;$B8&amp;"'!$B$6:$E$6")&amp;INDIRECT("'"&amp;$B8&amp;"'!$B$7:$E$7"),0))&amp;" kWh"</f>
        <v>20000 kWh</v>
      </c>
      <c r="I9" s="252"/>
      <c r="J9" s="100"/>
      <c r="K9" s="101" t="s">
        <v>6</v>
      </c>
      <c r="L9" s="101" t="s">
        <v>158</v>
      </c>
      <c r="M9" s="101"/>
      <c r="N9" s="101"/>
      <c r="O9" s="101"/>
      <c r="P9" s="101"/>
      <c r="Q9" s="101"/>
      <c r="R9" s="3" t="s">
        <v>2</v>
      </c>
      <c r="S9" s="209">
        <f t="array" aca="1" ref="S9" ca="1">INDEX(INDIRECT("'"&amp;$R9&amp;"'!F23:AJ38"),MATCH(S$6,INDIRECT("'"&amp;$R9&amp;"'!F23:F38"),0),MATCH($K9&amp;$L9&amp;"Change",INDIRECT("'"&amp;$R9&amp;"'!F23:AJ23")&amp;INDIRECT("'"&amp;$R9&amp;"'!F24:AJ24")&amp;INDIRECT("'"&amp;$R9&amp;"'!F30:AJ30"),0))</f>
        <v>1.7809652777268203E-2</v>
      </c>
      <c r="T9" s="209">
        <f t="array" aca="1" ref="T9" ca="1">INDEX(INDIRECT("'"&amp;$R9&amp;"'!F23:AJ38"),MATCH(T$6,INDIRECT("'"&amp;$R9&amp;"'!F23:F38"),0),MATCH($K9&amp;$L9&amp;"Change",INDIRECT("'"&amp;$R9&amp;"'!F23:AJ23")&amp;INDIRECT("'"&amp;$R9&amp;"'!F24:AJ24")&amp;INDIRECT("'"&amp;$R9&amp;"'!F30:AJ30"),0))</f>
        <v>1.9037356321839116E-2</v>
      </c>
      <c r="U9" s="209">
        <f t="array" aca="1" ref="U9" ca="1">INDEX(INDIRECT("'"&amp;$R9&amp;"'!F23:AJ38"),MATCH(U$6,INDIRECT("'"&amp;$R9&amp;"'!F23:F38"),0),MATCH($K9&amp;$L9&amp;"Change",INDIRECT("'"&amp;$R9&amp;"'!F23:AJ23")&amp;INDIRECT("'"&amp;$R9&amp;"'!F24:AJ24")&amp;INDIRECT("'"&amp;$R9&amp;"'!F30:AJ30"),0))</f>
        <v>-0.11220268872802508</v>
      </c>
      <c r="V9" s="288">
        <f>CPI</f>
        <v>1.8500000000000003E-2</v>
      </c>
      <c r="W9" s="210">
        <f t="array" aca="1" ref="W9" ca="1">INDEX(INDIRECT("'"&amp;$R9&amp;"'!$B$6:$F$16"),MATCH("Change from DMO "&amp;PY&amp;" price (%)",INDIRECT("'"&amp;$R9&amp;"'!$B$6:$B$16"),0),MATCH($X9&amp;$Y9,INDIRECT("'"&amp;$R9&amp;"'!$B$6:$E$6")&amp;INDIRECT("'"&amp;$R9&amp;"'!$B$7:$E$7"),0))</f>
        <v>1.0906612133606108E-2</v>
      </c>
      <c r="X9" s="101" t="str">
        <f>X8</f>
        <v>Residential</v>
      </c>
      <c r="Y9" s="101" t="str">
        <f>Y8</f>
        <v>without CL</v>
      </c>
    </row>
    <row r="10" spans="1:25" ht="12.45" customHeight="1" x14ac:dyDescent="0.3">
      <c r="B10" s="102"/>
      <c r="C10" s="266"/>
      <c r="D10" s="196"/>
      <c r="E10" s="197"/>
      <c r="F10" s="247" t="str">
        <f t="array" aca="1" ref="F10" ca="1">"+ CL "&amp;INDEX(INDIRECT("'"&amp;$B8&amp;"'!$B$6:$F$15"),MATCH("Controlled load usage (kWh)",INDIRECT("'"&amp;$B8&amp;"'!$B$6:$B$15"),0),MATCH(F$6&amp;F$7,INDIRECT("'"&amp;$B8&amp;"'!$B$6:$E$6")&amp;INDIRECT("'"&amp;$B8&amp;"'!$B$7:$E$7"),0))&amp;" kWh"</f>
        <v>+ CL 2000 kWh</v>
      </c>
      <c r="G10" s="248"/>
      <c r="H10" s="196"/>
      <c r="I10" s="187"/>
      <c r="J10" s="100"/>
      <c r="K10" s="101" t="str">
        <f t="shared" ref="K10:L13" si="0">K9</f>
        <v>Residential</v>
      </c>
      <c r="L10" s="101" t="str">
        <f t="shared" si="0"/>
        <v>without CL</v>
      </c>
      <c r="M10" s="101"/>
      <c r="N10" s="101"/>
      <c r="O10" s="101"/>
      <c r="P10" s="101"/>
      <c r="Q10" s="101"/>
      <c r="R10" s="3" t="s">
        <v>4</v>
      </c>
      <c r="S10" s="209">
        <f t="array" aca="1" ref="S10" ca="1">INDEX(INDIRECT("'"&amp;$R10&amp;"'!F23:AJ38"),MATCH(S$6,INDIRECT("'"&amp;$R10&amp;"'!F23:F38"),0),MATCH($K10&amp;$L10&amp;"Change",INDIRECT("'"&amp;$R10&amp;"'!F23:AJ23")&amp;INDIRECT("'"&amp;$R10&amp;"'!F24:AJ24")&amp;INDIRECT("'"&amp;$R10&amp;"'!F30:AJ30"),0))</f>
        <v>-1.9301683807822156E-2</v>
      </c>
      <c r="T10" s="209">
        <f t="array" aca="1" ref="T10" ca="1">INDEX(INDIRECT("'"&amp;$R10&amp;"'!F23:AJ38"),MATCH(T$6,INDIRECT("'"&amp;$R10&amp;"'!F23:F38"),0),MATCH($K10&amp;$L10&amp;"Change",INDIRECT("'"&amp;$R10&amp;"'!F23:AJ23")&amp;INDIRECT("'"&amp;$R10&amp;"'!F24:AJ24")&amp;INDIRECT("'"&amp;$R10&amp;"'!F30:AJ30"),0))</f>
        <v>4.3366172543964687E-2</v>
      </c>
      <c r="U10" s="209">
        <f t="array" aca="1" ref="U10" ca="1">INDEX(INDIRECT("'"&amp;$R10&amp;"'!F23:AJ38"),MATCH(U$6,INDIRECT("'"&amp;$R10&amp;"'!F23:F38"),0),MATCH($K10&amp;$L10&amp;"Change",INDIRECT("'"&amp;$R10&amp;"'!F23:AJ23")&amp;INDIRECT("'"&amp;$R10&amp;"'!F24:AJ24")&amp;INDIRECT("'"&amp;$R10&amp;"'!F30:AJ30"),0))</f>
        <v>-0.11619537275064273</v>
      </c>
      <c r="V10" s="288">
        <f>CPI</f>
        <v>1.8500000000000003E-2</v>
      </c>
      <c r="W10" s="210">
        <f t="array" aca="1" ref="W10" ca="1">INDEX(INDIRECT("'"&amp;$R10&amp;"'!$B$6:$F$16"),MATCH("Change from DMO "&amp;PY&amp;" price (%)",INDIRECT("'"&amp;$R10&amp;"'!$B$6:$B$16"),0),MATCH($X10&amp;$Y10,INDIRECT("'"&amp;$R10&amp;"'!$B$6:$E$6")&amp;INDIRECT("'"&amp;$R10&amp;"'!$B$7:$E$7"),0))</f>
        <v>5.2325581395349374E-3</v>
      </c>
      <c r="X10" s="101" t="str">
        <f t="shared" ref="X10:X13" si="1">X9</f>
        <v>Residential</v>
      </c>
      <c r="Y10" s="101" t="str">
        <f t="shared" ref="Y10:Y13" si="2">Y9</f>
        <v>without CL</v>
      </c>
    </row>
    <row r="11" spans="1:25" ht="12.45" customHeight="1" x14ac:dyDescent="0.3">
      <c r="B11" s="102"/>
      <c r="C11" s="217"/>
      <c r="D11" s="221"/>
      <c r="E11" s="223"/>
      <c r="F11" s="215"/>
      <c r="G11" s="216"/>
      <c r="H11" s="221"/>
      <c r="I11" s="222"/>
      <c r="J11" s="100"/>
      <c r="K11" s="101" t="str">
        <f t="shared" si="0"/>
        <v>Residential</v>
      </c>
      <c r="L11" s="101" t="str">
        <f t="shared" si="0"/>
        <v>without CL</v>
      </c>
      <c r="M11" s="101"/>
      <c r="N11" s="101"/>
      <c r="O11" s="101"/>
      <c r="P11" s="101"/>
      <c r="Q11" s="101"/>
      <c r="R11" s="3" t="s">
        <v>3</v>
      </c>
      <c r="S11" s="209">
        <f t="array" aca="1" ref="S11" ca="1">INDEX(INDIRECT("'"&amp;$R11&amp;"'!F23:AJ38"),MATCH(S$6,INDIRECT("'"&amp;$R11&amp;"'!F23:F38"),0),MATCH($K11&amp;$L11&amp;"Change",INDIRECT("'"&amp;$R11&amp;"'!F23:AJ23")&amp;INDIRECT("'"&amp;$R11&amp;"'!F24:AJ24")&amp;INDIRECT("'"&amp;$R11&amp;"'!F30:AJ30"),0))</f>
        <v>2.7170419453594885E-3</v>
      </c>
      <c r="T11" s="209">
        <f t="array" aca="1" ref="T11" ca="1">INDEX(INDIRECT("'"&amp;$R11&amp;"'!F23:AJ38"),MATCH(T$6,INDIRECT("'"&amp;$R11&amp;"'!F23:F38"),0),MATCH($K11&amp;$L11&amp;"Change",INDIRECT("'"&amp;$R11&amp;"'!F23:AJ23")&amp;INDIRECT("'"&amp;$R11&amp;"'!F24:AJ24")&amp;INDIRECT("'"&amp;$R11&amp;"'!F30:AJ30"),0))</f>
        <v>2.0354754289037658E-2</v>
      </c>
      <c r="U11" s="209">
        <f t="array" aca="1" ref="U11" ca="1">INDEX(INDIRECT("'"&amp;$R11&amp;"'!F23:AJ38"),MATCH(U$6,INDIRECT("'"&amp;$R11&amp;"'!F23:F38"),0),MATCH($K11&amp;$L11&amp;"Change",INDIRECT("'"&amp;$R11&amp;"'!F23:AJ23")&amp;INDIRECT("'"&amp;$R11&amp;"'!F24:AJ24")&amp;INDIRECT("'"&amp;$R11&amp;"'!F30:AJ30"),0))</f>
        <v>-0.11993849308047133</v>
      </c>
      <c r="V11" s="288">
        <f>CPI</f>
        <v>1.8500000000000003E-2</v>
      </c>
      <c r="W11" s="210">
        <f t="array" aca="1" ref="W11" ca="1">INDEX(INDIRECT("'"&amp;$R11&amp;"'!$B$6:$F$16"),MATCH("Change from DMO "&amp;PY&amp;" price (%)",INDIRECT("'"&amp;$R11&amp;"'!$B$6:$B$16"),0),MATCH($X11&amp;$Y11,INDIRECT("'"&amp;$R11&amp;"'!$B$6:$E$6")&amp;INDIRECT("'"&amp;$R11&amp;"'!$B$7:$E$7"),0))</f>
        <v>5.1098620337250988E-3</v>
      </c>
      <c r="X11" s="101" t="str">
        <f t="shared" si="1"/>
        <v>Residential</v>
      </c>
      <c r="Y11" s="101" t="str">
        <f t="shared" si="2"/>
        <v>without CL</v>
      </c>
    </row>
    <row r="12" spans="1:25" ht="12.45" customHeight="1" x14ac:dyDescent="0.3">
      <c r="B12" s="102"/>
      <c r="C12" s="204" t="s">
        <v>175</v>
      </c>
      <c r="D12" s="205">
        <f t="array" aca="1" ref="D12" ca="1">INDEX(INDIRECT("'"&amp;$B8&amp;"'!$B$6:$F$16"),MATCH("Change from DMO "&amp;PY&amp;" price ($)",INDIRECT("'"&amp;$B8&amp;"'!$B$6:$B$16"),0),MATCH(D$6&amp;D$7,INDIRECT("'"&amp;$B8&amp;"'!$B$6:$E$6")&amp;INDIRECT("'"&amp;$B8&amp;"'!$B$7:$E$7"),0))</f>
        <v>16</v>
      </c>
      <c r="E12" s="206" t="str">
        <f t="array" aca="1" ref="E12" ca="1">"("&amp;ROUND(INDEX(INDIRECT("'"&amp;$B8&amp;"'!$B$6:$F$16"),MATCH("Change from DMO "&amp;PY&amp;" price (%)",INDIRECT("'"&amp;$B8&amp;"'!$B$6:$B$16"),0),MATCH(D$6&amp;D$7,INDIRECT("'"&amp;$B8&amp;"'!$B$6:$E$6")&amp;INDIRECT("'"&amp;$B8&amp;"'!$B$7:$E$7"),0))*100,1)&amp;"%)"</f>
        <v>(1.1%)</v>
      </c>
      <c r="F12" s="205">
        <f t="array" aca="1" ref="F12" ca="1">INDEX(INDIRECT("'"&amp;$B8&amp;"'!$B$6:$F$16"),MATCH("Change from DMO "&amp;PY&amp;" price ($)",INDIRECT("'"&amp;$B8&amp;"'!$B$6:$B$16"),0),MATCH(F$6&amp;F$7,INDIRECT("'"&amp;$B8&amp;"'!$B$6:$E$6")&amp;INDIRECT("'"&amp;$B8&amp;"'!$B$7:$E$7"),0))</f>
        <v>0</v>
      </c>
      <c r="G12" s="206" t="str">
        <f t="array" aca="1" ref="G12" ca="1">"("&amp;ROUND(INDEX(INDIRECT("'"&amp;$B8&amp;"'!$B$6:$F$16"),MATCH("Change from DMO "&amp;PY&amp;" price (%)",INDIRECT("'"&amp;$B8&amp;"'!$B$6:$B$16"),0),MATCH(F$6&amp;F$7,INDIRECT("'"&amp;$B8&amp;"'!$B$6:$E$6")&amp;INDIRECT("'"&amp;$B8&amp;"'!$B$7:$E$7"),0))*100,1)&amp;"%)"</f>
        <v>(0%)</v>
      </c>
      <c r="H12" s="205">
        <f t="array" aca="1" ref="H12" ca="1">INDEX(INDIRECT("'"&amp;$B8&amp;"'!$B$6:$F$16"),MATCH("Change from DMO "&amp;PY&amp;" price ($)",INDIRECT("'"&amp;$B8&amp;"'!$B$6:$B$16"),0),MATCH(H$6&amp;H$7,INDIRECT("'"&amp;$B8&amp;"'!$B$6:$E$6")&amp;INDIRECT("'"&amp;$B8&amp;"'!$B$7:$E$7"),0))</f>
        <v>-23</v>
      </c>
      <c r="I12" s="207" t="str">
        <f t="array" aca="1" ref="I12" ca="1">"("&amp;ROUND(INDEX(INDIRECT("'"&amp;$B8&amp;"'!$B$6:$F$16"),MATCH("Change from DMO "&amp;PY&amp;" price (%)",INDIRECT("'"&amp;$B8&amp;"'!$B$6:$B$16"),0),MATCH(H$6&amp;H$7,INDIRECT("'"&amp;$B8&amp;"'!$B$6:$E$6")&amp;INDIRECT("'"&amp;$B8&amp;"'!$B$7:$E$7"),0))*100,1)&amp;"%)"</f>
        <v>(-0.3%)</v>
      </c>
      <c r="J12" s="100"/>
      <c r="K12" s="101" t="str">
        <f t="shared" si="0"/>
        <v>Residential</v>
      </c>
      <c r="L12" s="101" t="str">
        <f t="shared" si="0"/>
        <v>without CL</v>
      </c>
      <c r="M12" s="101"/>
      <c r="N12" s="101"/>
      <c r="O12" s="101"/>
      <c r="P12" s="101"/>
      <c r="Q12" s="101"/>
      <c r="R12" s="3" t="s">
        <v>0</v>
      </c>
      <c r="S12" s="209">
        <f t="array" aca="1" ref="S12" ca="1">INDEX(INDIRECT("'"&amp;$R12&amp;"'!F23:AJ38"),MATCH(S$6,INDIRECT("'"&amp;$R12&amp;"'!F23:F38"),0),MATCH($K12&amp;$L12&amp;"Change",INDIRECT("'"&amp;$R12&amp;"'!F23:AJ23")&amp;INDIRECT("'"&amp;$R12&amp;"'!F24:AJ24")&amp;INDIRECT("'"&amp;$R12&amp;"'!F30:AJ30"),0))</f>
        <v>-8.7597980425286992E-2</v>
      </c>
      <c r="T12" s="209">
        <f t="array" aca="1" ref="T12" ca="1">INDEX(INDIRECT("'"&amp;$R12&amp;"'!F23:AJ38"),MATCH(T$6,INDIRECT("'"&amp;$R12&amp;"'!F23:F38"),0),MATCH($K12&amp;$L12&amp;"Change",INDIRECT("'"&amp;$R12&amp;"'!F23:AJ23")&amp;INDIRECT("'"&amp;$R12&amp;"'!F24:AJ24")&amp;INDIRECT("'"&amp;$R12&amp;"'!F30:AJ30"),0))</f>
        <v>-4.3420785031523357E-2</v>
      </c>
      <c r="U12" s="209">
        <f t="array" aca="1" ref="U12" ca="1">INDEX(INDIRECT("'"&amp;$R12&amp;"'!F23:AJ38"),MATCH(U$6,INDIRECT("'"&amp;$R12&amp;"'!F23:F38"),0),MATCH($K12&amp;$L12&amp;"Change",INDIRECT("'"&amp;$R12&amp;"'!F23:AJ23")&amp;INDIRECT("'"&amp;$R12&amp;"'!F24:AJ24")&amp;INDIRECT("'"&amp;$R12&amp;"'!F30:AJ30"),0))</f>
        <v>-0.1416478555304741</v>
      </c>
      <c r="V12" s="288">
        <f>CPI</f>
        <v>1.8500000000000003E-2</v>
      </c>
      <c r="W12" s="210">
        <f t="array" aca="1" ref="W12" ca="1">INDEX(INDIRECT("'"&amp;$R12&amp;"'!$B$6:$F$16"),MATCH("Change from DMO "&amp;PY&amp;" price (%)",INDIRECT("'"&amp;$R12&amp;"'!$B$6:$B$16"),0),MATCH($X12&amp;$Y12,INDIRECT("'"&amp;$R12&amp;"'!$B$6:$E$6")&amp;INDIRECT("'"&amp;$R12&amp;"'!$B$7:$E$7"),0))</f>
        <v>-5.4777070063694255E-2</v>
      </c>
      <c r="X12" s="101" t="str">
        <f t="shared" si="1"/>
        <v>Residential</v>
      </c>
      <c r="Y12" s="101" t="str">
        <f t="shared" si="2"/>
        <v>without CL</v>
      </c>
    </row>
    <row r="13" spans="1:25" ht="12.45" customHeight="1" x14ac:dyDescent="0.3">
      <c r="B13" s="102"/>
      <c r="C13" s="204"/>
      <c r="D13" s="205"/>
      <c r="E13" s="206"/>
      <c r="F13" s="205"/>
      <c r="G13" s="206"/>
      <c r="H13" s="205"/>
      <c r="I13" s="207"/>
      <c r="J13" s="100"/>
      <c r="K13" s="101" t="str">
        <f t="shared" si="0"/>
        <v>Residential</v>
      </c>
      <c r="L13" s="101" t="str">
        <f t="shared" si="0"/>
        <v>without CL</v>
      </c>
      <c r="M13" s="101"/>
      <c r="N13" s="101"/>
      <c r="O13" s="101"/>
      <c r="P13" s="101"/>
      <c r="Q13" s="101"/>
      <c r="R13" s="3" t="s">
        <v>5</v>
      </c>
      <c r="S13" s="209">
        <f t="array" aca="1" ref="S13" ca="1">INDEX(INDIRECT("'"&amp;$R13&amp;"'!F23:AJ38"),MATCH(S$6,INDIRECT("'"&amp;$R13&amp;"'!F23:F38"),0),MATCH($K13&amp;$L13&amp;"Change",INDIRECT("'"&amp;$R13&amp;"'!F23:AJ23")&amp;INDIRECT("'"&amp;$R13&amp;"'!F24:AJ24")&amp;INDIRECT("'"&amp;$R13&amp;"'!F30:AJ30"),0))</f>
        <v>-5.6405228758170001E-2</v>
      </c>
      <c r="T13" s="209">
        <f t="array" aca="1" ref="T13" ca="1">INDEX(INDIRECT("'"&amp;$R13&amp;"'!F23:AJ38"),MATCH(T$6,INDIRECT("'"&amp;$R13&amp;"'!F23:F38"),0),MATCH($K13&amp;$L13&amp;"Change",INDIRECT("'"&amp;$R13&amp;"'!F23:AJ23")&amp;INDIRECT("'"&amp;$R13&amp;"'!F24:AJ24")&amp;INDIRECT("'"&amp;$R13&amp;"'!F30:AJ30"),0))</f>
        <v>-4.305462517508063E-2</v>
      </c>
      <c r="U13" s="209">
        <f t="array" aca="1" ref="U13" ca="1">INDEX(INDIRECT("'"&amp;$R13&amp;"'!F23:AJ38"),MATCH(U$6,INDIRECT("'"&amp;$R13&amp;"'!F23:F38"),0),MATCH($K13&amp;$L13&amp;"Change",INDIRECT("'"&amp;$R13&amp;"'!F23:AJ23")&amp;INDIRECT("'"&amp;$R13&amp;"'!F24:AJ24")&amp;INDIRECT("'"&amp;$R13&amp;"'!F30:AJ30"),0))</f>
        <v>-0.12329411764705878</v>
      </c>
      <c r="V13" s="288">
        <f>CPI</f>
        <v>1.8500000000000003E-2</v>
      </c>
      <c r="W13" s="210">
        <f t="array" aca="1" ref="W13" ca="1">INDEX(INDIRECT("'"&amp;$R13&amp;"'!$B$6:$F$16"),MATCH("Change from DMO "&amp;PY&amp;" price (%)",INDIRECT("'"&amp;$R13&amp;"'!$B$6:$B$16"),0),MATCH($X13&amp;$Y13,INDIRECT("'"&amp;$R13&amp;"'!$B$6:$E$6")&amp;INDIRECT("'"&amp;$R13&amp;"'!$B$7:$E$7"),0))</f>
        <v>-4.3791859866048388E-2</v>
      </c>
      <c r="X13" s="101" t="str">
        <f t="shared" si="1"/>
        <v>Residential</v>
      </c>
      <c r="Y13" s="101" t="str">
        <f t="shared" si="2"/>
        <v>without CL</v>
      </c>
    </row>
    <row r="14" spans="1:25" s="56" customFormat="1" ht="30" customHeight="1" x14ac:dyDescent="0.3">
      <c r="B14" s="104" t="s">
        <v>4</v>
      </c>
      <c r="C14" s="194" t="s">
        <v>94</v>
      </c>
      <c r="D14" s="257">
        <f t="array" aca="1" ref="D14" ca="1">INDEX(INDIRECT("'"&amp;$B14&amp;"'!$B$6:$F$16"),MATCH("DMO "&amp;FY&amp;" price ($ pa, inc GST)",INDIRECT("'"&amp;$B14&amp;"'!$B$6:$B$16"),0),MATCH(D$6&amp;D$7,INDIRECT("'"&amp;$B14&amp;"'!$B$6:$E$6")&amp;INDIRECT("'"&amp;$B14&amp;"'!$B$7:$E$7"),0))</f>
        <v>1729</v>
      </c>
      <c r="E14" s="258"/>
      <c r="F14" s="257">
        <f t="array" aca="1" ref="F14" ca="1">INDEX(INDIRECT("'"&amp;$B14&amp;"'!$B$6:$F$16"),MATCH("DMO "&amp;FY&amp;" price ($ pa, inc GST)",INDIRECT("'"&amp;$B14&amp;"'!$B$6:$B$16"),0),MATCH(F$6&amp;F$7,INDIRECT("'"&amp;$B14&amp;"'!$B$6:$E$6")&amp;INDIRECT("'"&amp;$B14&amp;"'!$B$7:$E$7"),0))</f>
        <v>2193</v>
      </c>
      <c r="G14" s="258"/>
      <c r="H14" s="257">
        <f t="array" aca="1" ref="H14" ca="1">INDEX(INDIRECT("'"&amp;$B14&amp;"'!$B$6:$F$16"),MATCH("DMO "&amp;FY&amp;" price ($ pa, inc GST)",INDIRECT("'"&amp;$B14&amp;"'!$B$6:$B$16"),0),MATCH(H$6&amp;H$7,INDIRECT("'"&amp;$B14&amp;"'!$B$6:$E$6")&amp;INDIRECT("'"&amp;$B14&amp;"'!$B$7:$E$7"),0))</f>
        <v>6250</v>
      </c>
      <c r="I14" s="259"/>
      <c r="J14" s="103"/>
      <c r="K14" s="243"/>
      <c r="L14" s="243"/>
      <c r="M14" s="243"/>
      <c r="N14" s="243"/>
      <c r="O14" s="243"/>
      <c r="P14" s="243"/>
      <c r="Q14" s="243"/>
      <c r="R14" s="5" t="str">
        <f>X14&amp;" "&amp;Y14</f>
        <v>Residential with CL</v>
      </c>
      <c r="S14" s="211"/>
      <c r="T14" s="211"/>
      <c r="U14" s="229"/>
      <c r="V14" s="289"/>
      <c r="W14" s="229"/>
      <c r="X14" s="230" t="s">
        <v>6</v>
      </c>
      <c r="Y14" s="230" t="s">
        <v>159</v>
      </c>
    </row>
    <row r="15" spans="1:25" ht="12.45" customHeight="1" x14ac:dyDescent="0.3">
      <c r="B15" s="105" t="s">
        <v>4</v>
      </c>
      <c r="C15" s="267" t="s">
        <v>194</v>
      </c>
      <c r="D15" s="260" t="str">
        <f t="array" aca="1" ref="D15" ca="1">INDEX(INDIRECT("'"&amp;$B14&amp;"'!$B$6:$F$15"),MATCH("Annual usage (kWh)",INDIRECT("'"&amp;$B14&amp;"'!$B$6:$B$15"),0),MATCH(D$6&amp;D$7,INDIRECT("'"&amp;$B14&amp;"'!$B$6:$E$6")&amp;INDIRECT("'"&amp;$B14&amp;"'!$B$7:$E$7"),0))&amp;" kWh"</f>
        <v>4900 kWh</v>
      </c>
      <c r="E15" s="261"/>
      <c r="F15" s="263" t="str">
        <f t="array" aca="1" ref="F15" ca="1">"Flat rate "&amp;INDEX(INDIRECT("'"&amp;$B14&amp;"'!$B$6:$F$15"),MATCH("Flat rate usage (kWh)",INDIRECT("'"&amp;$B14&amp;"'!$B$6:$B$15"),0),MATCH(F$6&amp;F$7,INDIRECT("'"&amp;$B14&amp;"'!$B$6:$E$6")&amp;INDIRECT("'"&amp;$B14&amp;"'!$B$7:$E$7"),0))&amp;" kWh"</f>
        <v>Flat rate 5200 kWh</v>
      </c>
      <c r="G15" s="264"/>
      <c r="H15" s="260" t="str">
        <f t="array" aca="1" ref="H15" ca="1">INDEX(INDIRECT("'"&amp;$B14&amp;"'!$B$6:$F$15"),MATCH("Annual usage (kWh)",INDIRECT("'"&amp;$B14&amp;"'!$B$6:$B$15"),0),MATCH(H$6&amp;H$7,INDIRECT("'"&amp;$B14&amp;"'!$B$6:$E$6")&amp;INDIRECT("'"&amp;$B14&amp;"'!$B$7:$E$7"),0))&amp;" kWh"</f>
        <v>20000 kWh</v>
      </c>
      <c r="I15" s="262"/>
      <c r="J15" s="100"/>
      <c r="K15" s="101" t="s">
        <v>6</v>
      </c>
      <c r="L15" s="101" t="s">
        <v>159</v>
      </c>
      <c r="M15" s="101"/>
      <c r="N15" s="101"/>
      <c r="O15" s="101"/>
      <c r="P15" s="101"/>
      <c r="Q15" s="101"/>
      <c r="R15" s="3" t="s">
        <v>2</v>
      </c>
      <c r="S15" s="209">
        <f t="array" aca="1" ref="S15" ca="1">INDEX(INDIRECT("'"&amp;$R15&amp;"'!F23:AJ38"),MATCH(S$6,INDIRECT("'"&amp;$R15&amp;"'!F23:F38"),0),MATCH($K15&amp;$L15&amp;"Change",INDIRECT("'"&amp;$R15&amp;"'!F23:AJ23")&amp;INDIRECT("'"&amp;$R15&amp;"'!F24:AJ24")&amp;INDIRECT("'"&amp;$R15&amp;"'!F30:AJ30"),0))</f>
        <v>1.9329513003770948E-2</v>
      </c>
      <c r="T15" s="209">
        <f t="array" aca="1" ref="T15" ca="1">INDEX(INDIRECT("'"&amp;$R15&amp;"'!F23:AJ38"),MATCH(T$6,INDIRECT("'"&amp;$R15&amp;"'!F23:F38"),0),MATCH($K15&amp;$L15&amp;"Change",INDIRECT("'"&amp;$R15&amp;"'!F23:AJ23")&amp;INDIRECT("'"&amp;$R15&amp;"'!F24:AJ24")&amp;INDIRECT("'"&amp;$R15&amp;"'!F30:AJ30"),0))</f>
        <v>-7.1858111593403606E-3</v>
      </c>
      <c r="U15" s="209">
        <f t="array" aca="1" ref="U15" ca="1">INDEX(INDIRECT("'"&amp;$R15&amp;"'!F23:AJ38"),MATCH(U$6,INDIRECT("'"&amp;$R15&amp;"'!F23:F38"),0),MATCH($K15&amp;$L15&amp;"Change",INDIRECT("'"&amp;$R15&amp;"'!F23:AJ23")&amp;INDIRECT("'"&amp;$R15&amp;"'!F24:AJ24")&amp;INDIRECT("'"&amp;$R15&amp;"'!F30:AJ30"),0))</f>
        <v>-0.11252202442432702</v>
      </c>
      <c r="V15" s="288">
        <f>CPI</f>
        <v>1.8500000000000003E-2</v>
      </c>
      <c r="W15" s="210">
        <f t="array" aca="1" ref="W15" ca="1">INDEX(INDIRECT("'"&amp;$R15&amp;"'!$B$6:$F$16"),MATCH("Change from DMO "&amp;PY&amp;" price (%)",INDIRECT("'"&amp;$R15&amp;"'!$B$6:$B$16"),0),MATCH($X15&amp;$Y15,INDIRECT("'"&amp;$R15&amp;"'!$B$6:$E$6")&amp;INDIRECT("'"&amp;$R15&amp;"'!$B$7:$E$7"),0))</f>
        <v>0</v>
      </c>
      <c r="X15" s="101" t="str">
        <f t="shared" ref="X15:X19" si="3">X14</f>
        <v>Residential</v>
      </c>
      <c r="Y15" s="101" t="str">
        <f t="shared" ref="Y15:Y19" si="4">Y14</f>
        <v>with CL</v>
      </c>
    </row>
    <row r="16" spans="1:25" ht="12.45" customHeight="1" x14ac:dyDescent="0.3">
      <c r="B16" s="105"/>
      <c r="C16" s="268"/>
      <c r="D16" s="198"/>
      <c r="E16" s="199"/>
      <c r="F16" s="263" t="str">
        <f t="array" aca="1" ref="F16" ca="1">"+ CL "&amp;INDEX(INDIRECT("'"&amp;$B14&amp;"'!$B$6:$F$15"),MATCH("Controlled load usage (kWh)",INDIRECT("'"&amp;$B14&amp;"'!$B$6:$B$15"),0),MATCH(F$6&amp;F$7,INDIRECT("'"&amp;$B14&amp;"'!$B$6:$E$6")&amp;INDIRECT("'"&amp;$B14&amp;"'!$B$7:$E$7"),0))&amp;" kWh"</f>
        <v>+ CL 2200 kWh</v>
      </c>
      <c r="G16" s="264"/>
      <c r="H16" s="198"/>
      <c r="I16" s="188"/>
      <c r="J16" s="100"/>
      <c r="K16" s="101" t="str">
        <f>K15</f>
        <v>Residential</v>
      </c>
      <c r="L16" s="101" t="str">
        <f>L15</f>
        <v>with CL</v>
      </c>
      <c r="M16" s="101"/>
      <c r="N16" s="101"/>
      <c r="O16" s="101"/>
      <c r="P16" s="101"/>
      <c r="Q16" s="101"/>
      <c r="R16" s="3" t="s">
        <v>4</v>
      </c>
      <c r="S16" s="209">
        <f t="array" aca="1" ref="S16" ca="1">INDEX(INDIRECT("'"&amp;$R16&amp;"'!F23:AJ38"),MATCH(S$6,INDIRECT("'"&amp;$R16&amp;"'!F23:F38"),0),MATCH($K16&amp;$L16&amp;"Change",INDIRECT("'"&amp;$R16&amp;"'!F23:AJ23")&amp;INDIRECT("'"&amp;$R16&amp;"'!F24:AJ24")&amp;INDIRECT("'"&amp;$R16&amp;"'!F30:AJ30"),0))</f>
        <v>-8.0917351732271436E-3</v>
      </c>
      <c r="T16" s="209">
        <f t="array" aca="1" ref="T16" ca="1">INDEX(INDIRECT("'"&amp;$R16&amp;"'!F23:AJ38"),MATCH(T$6,INDIRECT("'"&amp;$R16&amp;"'!F23:F38"),0),MATCH($K16&amp;$L16&amp;"Change",INDIRECT("'"&amp;$R16&amp;"'!F23:AJ23")&amp;INDIRECT("'"&amp;$R16&amp;"'!F24:AJ24")&amp;INDIRECT("'"&amp;$R16&amp;"'!F30:AJ30"),0))</f>
        <v>5.041513682244414E-2</v>
      </c>
      <c r="U16" s="209">
        <f t="array" aca="1" ref="U16" ca="1">INDEX(INDIRECT("'"&amp;$R16&amp;"'!F23:AJ38"),MATCH(U$6,INDIRECT("'"&amp;$R16&amp;"'!F23:F38"),0),MATCH($K16&amp;$L16&amp;"Change",INDIRECT("'"&amp;$R16&amp;"'!F23:AJ23")&amp;INDIRECT("'"&amp;$R16&amp;"'!F24:AJ24")&amp;INDIRECT("'"&amp;$R16&amp;"'!F30:AJ30"),0))</f>
        <v>-0.11619537275064262</v>
      </c>
      <c r="V16" s="288">
        <f>CPI</f>
        <v>1.8500000000000003E-2</v>
      </c>
      <c r="W16" s="210">
        <f t="array" aca="1" ref="W16" ca="1">INDEX(INDIRECT("'"&amp;$R16&amp;"'!$B$6:$F$16"),MATCH("Change from DMO "&amp;PY&amp;" price (%)",INDIRECT("'"&amp;$R16&amp;"'!$B$6:$B$16"),0),MATCH($X16&amp;$Y16,INDIRECT("'"&amp;$R16&amp;"'!$B$6:$E$6")&amp;INDIRECT("'"&amp;$R16&amp;"'!$B$7:$E$7"),0))</f>
        <v>1.2465373961218829E-2</v>
      </c>
      <c r="X16" s="101" t="str">
        <f t="shared" si="3"/>
        <v>Residential</v>
      </c>
      <c r="Y16" s="101" t="str">
        <f t="shared" si="4"/>
        <v>with CL</v>
      </c>
    </row>
    <row r="17" spans="2:25" ht="12.45" customHeight="1" x14ac:dyDescent="0.3">
      <c r="B17" s="105"/>
      <c r="C17" s="218"/>
      <c r="D17" s="219"/>
      <c r="E17" s="220"/>
      <c r="F17" s="224"/>
      <c r="G17" s="225"/>
      <c r="H17" s="219"/>
      <c r="I17" s="226"/>
      <c r="J17" s="100"/>
      <c r="K17" s="101" t="str">
        <f>K16</f>
        <v>Residential</v>
      </c>
      <c r="L17" s="101" t="str">
        <f t="shared" ref="L17:L19" si="5">L16</f>
        <v>with CL</v>
      </c>
      <c r="M17" s="101"/>
      <c r="N17" s="101"/>
      <c r="O17" s="101"/>
      <c r="P17" s="101"/>
      <c r="Q17" s="101"/>
      <c r="R17" s="3" t="s">
        <v>3</v>
      </c>
      <c r="S17" s="209">
        <f t="array" aca="1" ref="S17" ca="1">INDEX(INDIRECT("'"&amp;$R17&amp;"'!F23:AJ38"),MATCH(S$6,INDIRECT("'"&amp;$R17&amp;"'!F23:F38"),0),MATCH($K17&amp;$L17&amp;"Change",INDIRECT("'"&amp;$R17&amp;"'!F23:AJ23")&amp;INDIRECT("'"&amp;$R17&amp;"'!F24:AJ24")&amp;INDIRECT("'"&amp;$R17&amp;"'!F30:AJ30"),0))</f>
        <v>1.5632933832940177E-2</v>
      </c>
      <c r="T17" s="209">
        <f t="array" aca="1" ref="T17" ca="1">INDEX(INDIRECT("'"&amp;$R17&amp;"'!F23:AJ38"),MATCH(T$6,INDIRECT("'"&amp;$R17&amp;"'!F23:F38"),0),MATCH($K17&amp;$L17&amp;"Change",INDIRECT("'"&amp;$R17&amp;"'!F23:AJ23")&amp;INDIRECT("'"&amp;$R17&amp;"'!F24:AJ24")&amp;INDIRECT("'"&amp;$R17&amp;"'!F30:AJ30"),0))</f>
        <v>-1.2033658141807901E-4</v>
      </c>
      <c r="U17" s="209">
        <f t="array" aca="1" ref="U17" ca="1">INDEX(INDIRECT("'"&amp;$R17&amp;"'!F23:AJ38"),MATCH(U$6,INDIRECT("'"&amp;$R17&amp;"'!F23:F38"),0),MATCH($K17&amp;$L17&amp;"Change",INDIRECT("'"&amp;$R17&amp;"'!F23:AJ23")&amp;INDIRECT("'"&amp;$R17&amp;"'!F24:AJ24")&amp;INDIRECT("'"&amp;$R17&amp;"'!F30:AJ30"),0))</f>
        <v>-0.11993849308047133</v>
      </c>
      <c r="V17" s="288">
        <f>CPI</f>
        <v>1.8500000000000003E-2</v>
      </c>
      <c r="W17" s="210">
        <f t="array" aca="1" ref="W17" ca="1">INDEX(INDIRECT("'"&amp;$R17&amp;"'!$B$6:$F$16"),MATCH("Change from DMO "&amp;PY&amp;" price (%)",INDIRECT("'"&amp;$R17&amp;"'!$B$6:$B$16"),0),MATCH($X17&amp;$Y17,INDIRECT("'"&amp;$R17&amp;"'!$B$6:$E$6")&amp;INDIRECT("'"&amp;$R17&amp;"'!$B$7:$E$7"),0))</f>
        <v>3.3684210526316871E-3</v>
      </c>
      <c r="X17" s="101" t="str">
        <f t="shared" si="3"/>
        <v>Residential</v>
      </c>
      <c r="Y17" s="101" t="str">
        <f t="shared" si="4"/>
        <v>with CL</v>
      </c>
    </row>
    <row r="18" spans="2:25" ht="12.45" customHeight="1" x14ac:dyDescent="0.3">
      <c r="B18" s="105"/>
      <c r="C18" s="200" t="s">
        <v>175</v>
      </c>
      <c r="D18" s="201">
        <f t="array" aca="1" ref="D18" ca="1">INDEX(INDIRECT("'"&amp;$B14&amp;"'!$B$6:$F$16"),MATCH("Change from DMO "&amp;PY&amp;" price ($)",INDIRECT("'"&amp;$B14&amp;"'!$B$6:$B$16"),0),MATCH(D$6&amp;D$7,INDIRECT("'"&amp;$B14&amp;"'!$B$6:$E$6")&amp;INDIRECT("'"&amp;$B14&amp;"'!$B$7:$E$7"),0))</f>
        <v>9</v>
      </c>
      <c r="E18" s="202" t="str">
        <f t="array" aca="1" ref="E18" ca="1">"("&amp;ROUND(INDEX(INDIRECT("'"&amp;$B14&amp;"'!$B$6:$F$16"),MATCH("Change from DMO "&amp;PY&amp;" price (%)",INDIRECT("'"&amp;$B14&amp;"'!$B$6:$B$16"),0),MATCH(D$6&amp;D$7,INDIRECT("'"&amp;$B14&amp;"'!$B$6:$E$6")&amp;INDIRECT("'"&amp;$B14&amp;"'!$B$7:$E$7"),0))*100,1)&amp;"%)"</f>
        <v>(0.5%)</v>
      </c>
      <c r="F18" s="201">
        <f t="array" aca="1" ref="F18" ca="1">INDEX(INDIRECT("'"&amp;$B14&amp;"'!$B$6:$F$16"),MATCH("Change from DMO "&amp;PY&amp;" price ($)",INDIRECT("'"&amp;$B14&amp;"'!$B$6:$B$16"),0),MATCH(F$6&amp;F$7,INDIRECT("'"&amp;$B14&amp;"'!$B$6:$E$6")&amp;INDIRECT("'"&amp;$B14&amp;"'!$B$7:$E$7"),0))</f>
        <v>27</v>
      </c>
      <c r="G18" s="202" t="str">
        <f t="array" aca="1" ref="G18" ca="1">"("&amp;ROUND(INDEX(INDIRECT("'"&amp;$B14&amp;"'!$B$6:$F$16"),MATCH("Change from DMO "&amp;PY&amp;" price (%)",INDIRECT("'"&amp;$B14&amp;"'!$B$6:$B$16"),0),MATCH(F$6&amp;F$7,INDIRECT("'"&amp;$B14&amp;"'!$B$6:$E$6")&amp;INDIRECT("'"&amp;$B14&amp;"'!$B$7:$E$7"),0))*100,1)&amp;"%)"</f>
        <v>(1.2%)</v>
      </c>
      <c r="H18" s="201">
        <f t="array" aca="1" ref="H18" ca="1">INDEX(INDIRECT("'"&amp;$B14&amp;"'!$B$6:$F$16"),MATCH("Change from DMO "&amp;PY&amp;" price ($)",INDIRECT("'"&amp;$B14&amp;"'!$B$6:$B$16"),0),MATCH(H$6&amp;H$7,INDIRECT("'"&amp;$B14&amp;"'!$B$6:$E$6")&amp;INDIRECT("'"&amp;$B14&amp;"'!$B$7:$E$7"),0))</f>
        <v>46</v>
      </c>
      <c r="I18" s="203" t="str">
        <f t="array" aca="1" ref="I18" ca="1">"("&amp;ROUND(INDEX(INDIRECT("'"&amp;$B14&amp;"'!$B$6:$F$16"),MATCH("Change from DMO "&amp;PY&amp;" price (%)",INDIRECT("'"&amp;$B14&amp;"'!$B$6:$B$16"),0),MATCH(H$6&amp;H$7,INDIRECT("'"&amp;$B14&amp;"'!$B$6:$E$6")&amp;INDIRECT("'"&amp;$B14&amp;"'!$B$7:$E$7"),0))*100,1)&amp;"%)"</f>
        <v>(0.7%)</v>
      </c>
      <c r="J18" s="100"/>
      <c r="K18" s="101" t="str">
        <f>K17</f>
        <v>Residential</v>
      </c>
      <c r="L18" s="101" t="str">
        <f t="shared" si="5"/>
        <v>with CL</v>
      </c>
      <c r="M18" s="101"/>
      <c r="N18" s="101"/>
      <c r="O18" s="101"/>
      <c r="P18" s="101"/>
      <c r="Q18" s="101"/>
      <c r="R18" s="3" t="s">
        <v>0</v>
      </c>
      <c r="S18" s="209">
        <f t="array" aca="1" ref="S18" ca="1">INDEX(INDIRECT("'"&amp;$R18&amp;"'!F23:AJ38"),MATCH(S$6,INDIRECT("'"&amp;$R18&amp;"'!F23:F38"),0),MATCH($K18&amp;$L18&amp;"Change",INDIRECT("'"&amp;$R18&amp;"'!F23:AJ23")&amp;INDIRECT("'"&amp;$R18&amp;"'!F24:AJ24")&amp;INDIRECT("'"&amp;$R18&amp;"'!F30:AJ30"),0))</f>
        <v>-0.13772762109342362</v>
      </c>
      <c r="T18" s="209">
        <f t="array" aca="1" ref="T18" ca="1">INDEX(INDIRECT("'"&amp;$R18&amp;"'!F23:AJ38"),MATCH(T$6,INDIRECT("'"&amp;$R18&amp;"'!F23:F38"),0),MATCH($K18&amp;$L18&amp;"Change",INDIRECT("'"&amp;$R18&amp;"'!F23:AJ23")&amp;INDIRECT("'"&amp;$R18&amp;"'!F24:AJ24")&amp;INDIRECT("'"&amp;$R18&amp;"'!F30:AJ30"),0))</f>
        <v>-4.4745572155779789E-2</v>
      </c>
      <c r="U18" s="209">
        <f t="array" aca="1" ref="U18" ca="1">INDEX(INDIRECT("'"&amp;$R18&amp;"'!F23:AJ38"),MATCH(U$6,INDIRECT("'"&amp;$R18&amp;"'!F23:F38"),0),MATCH($K18&amp;$L18&amp;"Change",INDIRECT("'"&amp;$R18&amp;"'!F23:AJ23")&amp;INDIRECT("'"&amp;$R18&amp;"'!F24:AJ24")&amp;INDIRECT("'"&amp;$R18&amp;"'!F30:AJ30"),0))</f>
        <v>-0.14164785553047399</v>
      </c>
      <c r="V18" s="288">
        <f>CPI</f>
        <v>1.8500000000000003E-2</v>
      </c>
      <c r="W18" s="210">
        <f t="array" aca="1" ref="W18" ca="1">INDEX(INDIRECT("'"&amp;$R18&amp;"'!$B$6:$F$16"),MATCH("Change from DMO "&amp;PY&amp;" price (%)",INDIRECT("'"&amp;$R18&amp;"'!$B$6:$B$16"),0),MATCH($X18&amp;$Y18,INDIRECT("'"&amp;$R18&amp;"'!$B$6:$E$6")&amp;INDIRECT("'"&amp;$R18&amp;"'!$B$7:$E$7"),0))</f>
        <v>-7.6284379865075191E-2</v>
      </c>
      <c r="X18" s="101" t="str">
        <f t="shared" si="3"/>
        <v>Residential</v>
      </c>
      <c r="Y18" s="101" t="str">
        <f t="shared" si="4"/>
        <v>with CL</v>
      </c>
    </row>
    <row r="19" spans="2:25" ht="12.45" customHeight="1" x14ac:dyDescent="0.3">
      <c r="B19" s="105"/>
      <c r="C19" s="200"/>
      <c r="D19" s="201"/>
      <c r="E19" s="202"/>
      <c r="F19" s="201"/>
      <c r="G19" s="202"/>
      <c r="H19" s="201"/>
      <c r="I19" s="203"/>
      <c r="J19" s="100"/>
      <c r="K19" s="101" t="str">
        <f>K18</f>
        <v>Residential</v>
      </c>
      <c r="L19" s="101" t="str">
        <f t="shared" si="5"/>
        <v>with CL</v>
      </c>
      <c r="M19" s="101"/>
      <c r="N19" s="101"/>
      <c r="O19" s="101"/>
      <c r="P19" s="101"/>
      <c r="Q19" s="101"/>
      <c r="R19" s="3" t="s">
        <v>5</v>
      </c>
      <c r="S19" s="209">
        <f t="array" aca="1" ref="S19" ca="1">INDEX(INDIRECT("'"&amp;$R19&amp;"'!F23:AJ38"),MATCH(S$6,INDIRECT("'"&amp;$R19&amp;"'!F23:F38"),0),MATCH($K19&amp;$L19&amp;"Change",INDIRECT("'"&amp;$R19&amp;"'!F23:AJ23")&amp;INDIRECT("'"&amp;$R19&amp;"'!F24:AJ24")&amp;INDIRECT("'"&amp;$R19&amp;"'!F30:AJ30"),0))</f>
        <v>-6.3632295861559274E-2</v>
      </c>
      <c r="T19" s="209">
        <f t="array" aca="1" ref="T19" ca="1">INDEX(INDIRECT("'"&amp;$R19&amp;"'!F23:AJ38"),MATCH(T$6,INDIRECT("'"&amp;$R19&amp;"'!F23:F38"),0),MATCH($K19&amp;$L19&amp;"Change",INDIRECT("'"&amp;$R19&amp;"'!F23:AJ23")&amp;INDIRECT("'"&amp;$R19&amp;"'!F24:AJ24")&amp;INDIRECT("'"&amp;$R19&amp;"'!F30:AJ30"),0))</f>
        <v>-5.9022469934118749E-2</v>
      </c>
      <c r="U19" s="209">
        <f t="array" aca="1" ref="U19" ca="1">INDEX(INDIRECT("'"&amp;$R19&amp;"'!F23:AJ38"),MATCH(U$6,INDIRECT("'"&amp;$R19&amp;"'!F23:F38"),0),MATCH($K19&amp;$L19&amp;"Change",INDIRECT("'"&amp;$R19&amp;"'!F23:AJ23")&amp;INDIRECT("'"&amp;$R19&amp;"'!F24:AJ24")&amp;INDIRECT("'"&amp;$R19&amp;"'!F30:AJ30"),0))</f>
        <v>-0.12329411764705878</v>
      </c>
      <c r="V19" s="288">
        <f>CPI</f>
        <v>1.8500000000000003E-2</v>
      </c>
      <c r="W19" s="210">
        <f t="array" aca="1" ref="W19" ca="1">INDEX(INDIRECT("'"&amp;$R19&amp;"'!$B$6:$F$16"),MATCH("Change from DMO "&amp;PY&amp;" price (%)",INDIRECT("'"&amp;$R19&amp;"'!$B$6:$B$16"),0),MATCH($X19&amp;$Y19,INDIRECT("'"&amp;$R19&amp;"'!$B$6:$E$6")&amp;INDIRECT("'"&amp;$R19&amp;"'!$B$7:$E$7"),0))</f>
        <v>-5.7024793388429806E-2</v>
      </c>
      <c r="X19" s="101" t="str">
        <f t="shared" si="3"/>
        <v>Residential</v>
      </c>
      <c r="Y19" s="101" t="str">
        <f t="shared" si="4"/>
        <v>with CL</v>
      </c>
    </row>
    <row r="20" spans="2:25" s="56" customFormat="1" ht="30" customHeight="1" x14ac:dyDescent="0.3">
      <c r="B20" s="66" t="s">
        <v>3</v>
      </c>
      <c r="C20" s="193" t="s">
        <v>94</v>
      </c>
      <c r="D20" s="250">
        <f t="array" aca="1" ref="D20" ca="1">INDEX(INDIRECT("'"&amp;$B20&amp;"'!$B$6:$F$16"),MATCH("DMO "&amp;FY&amp;" price ($ pa, inc GST)",INDIRECT("'"&amp;$B20&amp;"'!$B$6:$B$16"),0),MATCH(D$6&amp;D$7,INDIRECT("'"&amp;$B20&amp;"'!$B$6:$E$6")&amp;INDIRECT("'"&amp;$B20&amp;"'!$B$7:$E$7"),0))</f>
        <v>1967</v>
      </c>
      <c r="E20" s="256"/>
      <c r="F20" s="250">
        <f t="array" aca="1" ref="F20" ca="1">INDEX(INDIRECT("'"&amp;$B20&amp;"'!$B$6:$F$16"),MATCH("DMO "&amp;FY&amp;" price ($ pa, inc GST)",INDIRECT("'"&amp;$B20&amp;"'!$B$6:$B$16"),0),MATCH(F$6&amp;F$7,INDIRECT("'"&amp;$B20&amp;"'!$B$6:$E$6")&amp;INDIRECT("'"&amp;$B20&amp;"'!$B$7:$E$7"),0))</f>
        <v>2383</v>
      </c>
      <c r="G20" s="256"/>
      <c r="H20" s="250">
        <f t="array" aca="1" ref="H20" ca="1">INDEX(INDIRECT("'"&amp;$B20&amp;"'!$B$6:$F$16"),MATCH("DMO "&amp;FY&amp;" price ($ pa, inc GST)",INDIRECT("'"&amp;$B20&amp;"'!$B$6:$B$16"),0),MATCH(H$6&amp;H$7,INDIRECT("'"&amp;$B20&amp;"'!$B$6:$E$6")&amp;INDIRECT("'"&amp;$B20&amp;"'!$B$7:$E$7"),0))</f>
        <v>8081</v>
      </c>
      <c r="I20" s="255"/>
      <c r="J20" s="103"/>
      <c r="K20" s="243"/>
      <c r="L20" s="243"/>
      <c r="M20" s="243"/>
      <c r="N20" s="243"/>
      <c r="O20" s="243"/>
      <c r="P20" s="243"/>
      <c r="Q20" s="243"/>
      <c r="R20" s="5" t="str">
        <f>X20&amp;" "&amp;Y20</f>
        <v>Small business without CL</v>
      </c>
      <c r="U20" s="229"/>
      <c r="V20" s="289"/>
      <c r="W20" s="229"/>
      <c r="X20" s="230" t="s">
        <v>14</v>
      </c>
      <c r="Y20" s="230" t="s">
        <v>158</v>
      </c>
    </row>
    <row r="21" spans="2:25" ht="12.45" customHeight="1" x14ac:dyDescent="0.3">
      <c r="B21" s="102" t="s">
        <v>3</v>
      </c>
      <c r="C21" s="266" t="s">
        <v>194</v>
      </c>
      <c r="D21" s="252" t="str">
        <f t="array" aca="1" ref="D21" ca="1">INDEX(INDIRECT("'"&amp;$B20&amp;"'!$B$6:$F$16"),MATCH("Annual usage (kWh)",INDIRECT("'"&amp;$B20&amp;"'!$B$6:$B$16"),0),MATCH(D$6&amp;D$7,INDIRECT("'"&amp;$B20&amp;"'!$B$6:$E$6")&amp;INDIRECT("'"&amp;$B20&amp;"'!$B$7:$E$7"),0))&amp;" kWh"</f>
        <v>4600 kWh</v>
      </c>
      <c r="E21" s="270"/>
      <c r="F21" s="247" t="str">
        <f t="array" aca="1" ref="F21" ca="1">"Flat rate "&amp;INDEX(INDIRECT("'"&amp;$B20&amp;"'!$B$6:$F$15"),MATCH("Flat rate usage (kWh)",INDIRECT("'"&amp;$B20&amp;"'!$B$6:$B$15"),0),MATCH(F$6&amp;F$7,INDIRECT("'"&amp;$B20&amp;"'!$B$6:$E$6")&amp;INDIRECT("'"&amp;$B20&amp;"'!$B$7:$E$7"),0))&amp;" kWh"</f>
        <v>Flat rate 4600 kWh</v>
      </c>
      <c r="G21" s="248"/>
      <c r="H21" s="252" t="str">
        <f t="array" aca="1" ref="H21" ca="1">INDEX(INDIRECT("'"&amp;$B20&amp;"'!$B$6:$F$16"),MATCH("Annual usage (kWh)",INDIRECT("'"&amp;$B20&amp;"'!$B$6:$B$16"),0),MATCH(H$6&amp;H$7,INDIRECT("'"&amp;$B20&amp;"'!$B$6:$E$6")&amp;INDIRECT("'"&amp;$B20&amp;"'!$B$7:$E$7"),0))&amp;" kWh"</f>
        <v>20000 kWh</v>
      </c>
      <c r="I21" s="269"/>
      <c r="J21" s="100"/>
      <c r="K21" s="101" t="s">
        <v>14</v>
      </c>
      <c r="L21" s="101" t="s">
        <v>158</v>
      </c>
      <c r="M21" s="101"/>
      <c r="N21" s="101"/>
      <c r="O21" s="101"/>
      <c r="P21" s="101"/>
      <c r="Q21" s="101"/>
      <c r="R21" s="3" t="s">
        <v>2</v>
      </c>
      <c r="S21" s="209">
        <f t="array" aca="1" ref="S21" ca="1">INDEX(INDIRECT("'"&amp;$R21&amp;"'!F23:AJ38"),MATCH(S$6,INDIRECT("'"&amp;$R21&amp;"'!F23:F38"),0),MATCH($K21&amp;$L21&amp;"Change",INDIRECT("'"&amp;$R21&amp;"'!F23:AJ23")&amp;INDIRECT("'"&amp;$R21&amp;"'!F24:AJ24")&amp;INDIRECT("'"&amp;$R21&amp;"'!F30:AJ30"),0))</f>
        <v>-2.7712714509653513E-2</v>
      </c>
      <c r="T21" s="209">
        <f t="array" aca="1" ref="T21" ca="1">INDEX(INDIRECT("'"&amp;$R21&amp;"'!F23:AJ38"),MATCH(T$6,INDIRECT("'"&amp;$R21&amp;"'!F23:F38"),0),MATCH($K21&amp;$L21&amp;"Change",INDIRECT("'"&amp;$R21&amp;"'!F23:AJ23")&amp;INDIRECT("'"&amp;$R21&amp;"'!F24:AJ24")&amp;INDIRECT("'"&amp;$R21&amp;"'!F30:AJ30"),0))</f>
        <v>1.9037356321839116E-2</v>
      </c>
      <c r="U21" s="209">
        <f t="array" aca="1" ref="U21" ca="1">INDEX(INDIRECT("'"&amp;$R21&amp;"'!F23:AJ38"),MATCH(U$6,INDIRECT("'"&amp;$R21&amp;"'!F23:F38"),0),MATCH($K21&amp;$L21&amp;"Change",INDIRECT("'"&amp;$R21&amp;"'!F23:AJ23")&amp;INDIRECT("'"&amp;$R21&amp;"'!F24:AJ24")&amp;INDIRECT("'"&amp;$R21&amp;"'!F30:AJ30"),0))</f>
        <v>-0.11220268872802486</v>
      </c>
      <c r="V21" s="288">
        <f>CPI</f>
        <v>1.8500000000000003E-2</v>
      </c>
      <c r="W21" s="210">
        <f t="array" aca="1" ref="W21" ca="1">INDEX(INDIRECT("'"&amp;$R21&amp;"'!$B$6:$F$16"),MATCH("Change from DMO "&amp;PY&amp;" price (%)",INDIRECT("'"&amp;$R21&amp;"'!$B$6:$B$16"),0),MATCH($X21&amp;$Y21,INDIRECT("'"&amp;$R21&amp;"'!$B$6:$E$6")&amp;INDIRECT("'"&amp;$R21&amp;"'!$B$7:$E$7"),0))</f>
        <v>-3.1203364536698253E-3</v>
      </c>
      <c r="X21" s="101" t="str">
        <f t="shared" ref="X21:X25" si="6">X20</f>
        <v>Small business</v>
      </c>
      <c r="Y21" s="101" t="str">
        <f t="shared" ref="Y21:Y25" si="7">Y20</f>
        <v>without CL</v>
      </c>
    </row>
    <row r="22" spans="2:25" ht="12.45" customHeight="1" x14ac:dyDescent="0.3">
      <c r="B22" s="102"/>
      <c r="C22" s="268"/>
      <c r="D22" s="196"/>
      <c r="E22" s="197"/>
      <c r="F22" s="247" t="str">
        <f t="array" aca="1" ref="F22" ca="1">"+ CL "&amp;INDEX(INDIRECT("'"&amp;$B20&amp;"'!$B$6:$F$15"),MATCH("Controlled load usage (kWh)",INDIRECT("'"&amp;$B20&amp;"'!$B$6:$B$15"),0),MATCH(F$6&amp;F$7,INDIRECT("'"&amp;$B20&amp;"'!$B$6:$E$6")&amp;INDIRECT("'"&amp;$B20&amp;"'!$B$7:$E$7"),0))&amp;" kWh"</f>
        <v>+ CL 2000 kWh</v>
      </c>
      <c r="G22" s="248"/>
      <c r="H22" s="196"/>
      <c r="I22" s="187"/>
      <c r="J22" s="100"/>
      <c r="K22" s="101" t="str">
        <f t="shared" ref="K22:K25" si="8">K21</f>
        <v>Small business</v>
      </c>
      <c r="L22" s="101" t="str">
        <f>L21</f>
        <v>without CL</v>
      </c>
      <c r="M22" s="101"/>
      <c r="N22" s="101"/>
      <c r="O22" s="101"/>
      <c r="P22" s="101"/>
      <c r="Q22" s="101"/>
      <c r="R22" s="3" t="s">
        <v>4</v>
      </c>
      <c r="S22" s="209">
        <f t="array" aca="1" ref="S22" ca="1">INDEX(INDIRECT("'"&amp;$R22&amp;"'!F23:AJ38"),MATCH(S$6,INDIRECT("'"&amp;$R22&amp;"'!F23:F38"),0),MATCH($K22&amp;$L22&amp;"Change",INDIRECT("'"&amp;$R22&amp;"'!F23:AJ23")&amp;INDIRECT("'"&amp;$R22&amp;"'!F24:AJ24")&amp;INDIRECT("'"&amp;$R22&amp;"'!F30:AJ30"),0))</f>
        <v>-1.4306952150238139E-2</v>
      </c>
      <c r="T22" s="209">
        <f t="array" aca="1" ref="T22" ca="1">INDEX(INDIRECT("'"&amp;$R22&amp;"'!F23:AJ38"),MATCH(T$6,INDIRECT("'"&amp;$R22&amp;"'!F23:F38"),0),MATCH($K22&amp;$L22&amp;"Change",INDIRECT("'"&amp;$R22&amp;"'!F23:AJ23")&amp;INDIRECT("'"&amp;$R22&amp;"'!F24:AJ24")&amp;INDIRECT("'"&amp;$R22&amp;"'!F30:AJ30"),0))</f>
        <v>4.3366172543964687E-2</v>
      </c>
      <c r="U22" s="209">
        <f t="array" aca="1" ref="U22" ca="1">INDEX(INDIRECT("'"&amp;$R22&amp;"'!F23:AJ38"),MATCH(U$6,INDIRECT("'"&amp;$R22&amp;"'!F23:F38"),0),MATCH($K22&amp;$L22&amp;"Change",INDIRECT("'"&amp;$R22&amp;"'!F23:AJ23")&amp;INDIRECT("'"&amp;$R22&amp;"'!F24:AJ24")&amp;INDIRECT("'"&amp;$R22&amp;"'!F30:AJ30"),0))</f>
        <v>-0.11619537275064262</v>
      </c>
      <c r="V22" s="288">
        <f>CPI</f>
        <v>1.8500000000000003E-2</v>
      </c>
      <c r="W22" s="210">
        <f t="array" aca="1" ref="W22" ca="1">INDEX(INDIRECT("'"&amp;$R22&amp;"'!$B$6:$F$16"),MATCH("Change from DMO "&amp;PY&amp;" price (%)",INDIRECT("'"&amp;$R22&amp;"'!$B$6:$B$16"),0),MATCH($X22&amp;$Y22,INDIRECT("'"&amp;$R22&amp;"'!$B$6:$E$6")&amp;INDIRECT("'"&amp;$R22&amp;"'!$B$7:$E$7"),0))</f>
        <v>7.4145712443585143E-3</v>
      </c>
      <c r="X22" s="101" t="str">
        <f t="shared" si="6"/>
        <v>Small business</v>
      </c>
      <c r="Y22" s="101" t="str">
        <f t="shared" si="7"/>
        <v>without CL</v>
      </c>
    </row>
    <row r="23" spans="2:25" ht="12.45" customHeight="1" x14ac:dyDescent="0.3">
      <c r="B23" s="102"/>
      <c r="C23" s="228"/>
      <c r="D23" s="221"/>
      <c r="E23" s="223"/>
      <c r="F23" s="215"/>
      <c r="G23" s="216"/>
      <c r="H23" s="221"/>
      <c r="I23" s="222"/>
      <c r="J23" s="100"/>
      <c r="K23" s="101" t="str">
        <f t="shared" si="8"/>
        <v>Small business</v>
      </c>
      <c r="L23" s="101" t="str">
        <f t="shared" ref="L23:L25" si="9">L22</f>
        <v>without CL</v>
      </c>
      <c r="M23" s="101"/>
      <c r="N23" s="101"/>
      <c r="O23" s="101"/>
      <c r="P23" s="101"/>
      <c r="Q23" s="101"/>
      <c r="R23" s="3" t="s">
        <v>3</v>
      </c>
      <c r="S23" s="209">
        <f t="array" aca="1" ref="S23" ca="1">INDEX(INDIRECT("'"&amp;$R23&amp;"'!F23:AJ38"),MATCH(S$6,INDIRECT("'"&amp;$R23&amp;"'!F23:F38"),0),MATCH($K23&amp;$L23&amp;"Change",INDIRECT("'"&amp;$R23&amp;"'!F23:AJ23")&amp;INDIRECT("'"&amp;$R23&amp;"'!F24:AJ24")&amp;INDIRECT("'"&amp;$R23&amp;"'!F30:AJ30"),0))</f>
        <v>2.0554624865147808E-3</v>
      </c>
      <c r="T23" s="209">
        <f t="array" aca="1" ref="T23" ca="1">INDEX(INDIRECT("'"&amp;$R23&amp;"'!F23:AJ38"),MATCH(T$6,INDIRECT("'"&amp;$R23&amp;"'!F23:F38"),0),MATCH($K23&amp;$L23&amp;"Change",INDIRECT("'"&amp;$R23&amp;"'!F23:AJ23")&amp;INDIRECT("'"&amp;$R23&amp;"'!F24:AJ24")&amp;INDIRECT("'"&amp;$R23&amp;"'!F30:AJ30"),0))</f>
        <v>2.0354754289037436E-2</v>
      </c>
      <c r="U23" s="209">
        <f t="array" aca="1" ref="U23" ca="1">INDEX(INDIRECT("'"&amp;$R23&amp;"'!F23:AJ38"),MATCH(U$6,INDIRECT("'"&amp;$R23&amp;"'!F23:F38"),0),MATCH($K23&amp;$L23&amp;"Change",INDIRECT("'"&amp;$R23&amp;"'!F23:AJ23")&amp;INDIRECT("'"&amp;$R23&amp;"'!F24:AJ24")&amp;INDIRECT("'"&amp;$R23&amp;"'!F30:AJ30"),0))</f>
        <v>-0.11993849308047155</v>
      </c>
      <c r="V23" s="288">
        <f>CPI</f>
        <v>1.8500000000000003E-2</v>
      </c>
      <c r="W23" s="210">
        <f t="array" aca="1" ref="W23" ca="1">INDEX(INDIRECT("'"&amp;$R23&amp;"'!$B$6:$F$16"),MATCH("Change from DMO "&amp;PY&amp;" price (%)",INDIRECT("'"&amp;$R23&amp;"'!$B$6:$B$16"),0),MATCH($X23&amp;$Y23,INDIRECT("'"&amp;$R23&amp;"'!$B$6:$E$6")&amp;INDIRECT("'"&amp;$R23&amp;"'!$B$7:$E$7"),0))</f>
        <v>4.474829086388965E-3</v>
      </c>
      <c r="X23" s="101" t="str">
        <f t="shared" si="6"/>
        <v>Small business</v>
      </c>
      <c r="Y23" s="101" t="str">
        <f t="shared" si="7"/>
        <v>without CL</v>
      </c>
    </row>
    <row r="24" spans="2:25" ht="12.45" customHeight="1" x14ac:dyDescent="0.3">
      <c r="B24" s="102"/>
      <c r="C24" s="204" t="s">
        <v>175</v>
      </c>
      <c r="D24" s="205">
        <f t="array" aca="1" ref="D24" ca="1">INDEX(INDIRECT("'"&amp;$B20&amp;"'!$B$6:$F$16"),MATCH("Change from DMO "&amp;PY&amp;" price ($)",INDIRECT("'"&amp;$B20&amp;"'!$B$6:$B$16"),0),MATCH(D$6&amp;D$7,INDIRECT("'"&amp;$B20&amp;"'!$B$6:$E$6")&amp;INDIRECT("'"&amp;$B20&amp;"'!$B$7:$E$7"),0))</f>
        <v>10</v>
      </c>
      <c r="E24" s="206" t="str">
        <f t="array" aca="1" ref="E24" ca="1">"("&amp;ROUND(INDEX(INDIRECT("'"&amp;$B20&amp;"'!$B$6:$F$16"),MATCH("Change from DMO "&amp;PY&amp;" price (%)",INDIRECT("'"&amp;$B20&amp;"'!$B$6:$B$16"),0),MATCH(D$6&amp;D$7,INDIRECT("'"&amp;$B20&amp;"'!$B$6:$E$6")&amp;INDIRECT("'"&amp;$B20&amp;"'!$B$7:$E$7"),0))*100,1)&amp;"%)"</f>
        <v>(0.5%)</v>
      </c>
      <c r="F24" s="205">
        <f t="array" aca="1" ref="F24" ca="1">INDEX(INDIRECT("'"&amp;$B20&amp;"'!$B$6:$F$16"),MATCH("Change from DMO "&amp;PY&amp;" price ($)",INDIRECT("'"&amp;$B20&amp;"'!$B$6:$B$16"),0),MATCH(F$6&amp;F$7,INDIRECT("'"&amp;$B20&amp;"'!$B$6:$E$6")&amp;INDIRECT("'"&amp;$B20&amp;"'!$B$7:$E$7"),0))</f>
        <v>8</v>
      </c>
      <c r="G24" s="206" t="str">
        <f t="array" aca="1" ref="G24" ca="1">"("&amp;ROUND(INDEX(INDIRECT("'"&amp;$B20&amp;"'!$B$6:$F$16"),MATCH("Change from DMO "&amp;PY&amp;" price (%)",INDIRECT("'"&amp;$B20&amp;"'!$B$6:$B$16"),0),MATCH(F$6&amp;F$7,INDIRECT("'"&amp;$B20&amp;"'!$B$6:$E$6")&amp;INDIRECT("'"&amp;$B20&amp;"'!$B$7:$E$7"),0))*100,1)&amp;"%)"</f>
        <v>(0.3%)</v>
      </c>
      <c r="H24" s="205">
        <f t="array" aca="1" ref="H24" ca="1">INDEX(INDIRECT("'"&amp;$B20&amp;"'!$B$6:$F$16"),MATCH("Change from DMO "&amp;PY&amp;" price ($)",INDIRECT("'"&amp;$B20&amp;"'!$B$6:$B$16"),0),MATCH(H$6&amp;H$7,INDIRECT("'"&amp;$B20&amp;"'!$B$6:$E$6")&amp;INDIRECT("'"&amp;$B20&amp;"'!$B$7:$E$7"),0))</f>
        <v>36</v>
      </c>
      <c r="I24" s="207" t="str">
        <f t="array" aca="1" ref="I24" ca="1">"("&amp;ROUND(INDEX(INDIRECT("'"&amp;$B20&amp;"'!$B$6:$F$16"),MATCH("Change from DMO "&amp;PY&amp;" price (%)",INDIRECT("'"&amp;$B20&amp;"'!$B$6:$B$16"),0),MATCH(H$6&amp;H$7,INDIRECT("'"&amp;$B20&amp;"'!$B$6:$E$6")&amp;INDIRECT("'"&amp;$B20&amp;"'!$B$7:$E$7"),0))*100,1)&amp;"%)"</f>
        <v>(0.4%)</v>
      </c>
      <c r="J24" s="100"/>
      <c r="K24" s="101" t="str">
        <f t="shared" si="8"/>
        <v>Small business</v>
      </c>
      <c r="L24" s="101" t="str">
        <f t="shared" si="9"/>
        <v>without CL</v>
      </c>
      <c r="M24" s="101"/>
      <c r="N24" s="101"/>
      <c r="O24" s="101"/>
      <c r="P24" s="101"/>
      <c r="Q24" s="101"/>
      <c r="R24" s="3" t="s">
        <v>0</v>
      </c>
      <c r="S24" s="209">
        <f t="array" aca="1" ref="S24" ca="1">INDEX(INDIRECT("'"&amp;$R24&amp;"'!F23:AJ38"),MATCH(S$6,INDIRECT("'"&amp;$R24&amp;"'!F23:F38"),0),MATCH($K24&amp;$L24&amp;"Change",INDIRECT("'"&amp;$R24&amp;"'!F23:AJ23")&amp;INDIRECT("'"&amp;$R24&amp;"'!F24:AJ24")&amp;INDIRECT("'"&amp;$R24&amp;"'!F30:AJ30"),0))</f>
        <v>-0.11242262613773324</v>
      </c>
      <c r="T24" s="209">
        <f t="array" aca="1" ref="T24" ca="1">INDEX(INDIRECT("'"&amp;$R24&amp;"'!F23:AJ38"),MATCH(T$6,INDIRECT("'"&amp;$R24&amp;"'!F23:F38"),0),MATCH($K24&amp;$L24&amp;"Change",INDIRECT("'"&amp;$R24&amp;"'!F23:AJ23")&amp;INDIRECT("'"&amp;$R24&amp;"'!F24:AJ24")&amp;INDIRECT("'"&amp;$R24&amp;"'!F30:AJ30"),0))</f>
        <v>-4.3420785031523357E-2</v>
      </c>
      <c r="U24" s="209">
        <f t="array" aca="1" ref="U24" ca="1">INDEX(INDIRECT("'"&amp;$R24&amp;"'!F23:AJ38"),MATCH(U$6,INDIRECT("'"&amp;$R24&amp;"'!F23:F38"),0),MATCH($K24&amp;$L24&amp;"Change",INDIRECT("'"&amp;$R24&amp;"'!F23:AJ23")&amp;INDIRECT("'"&amp;$R24&amp;"'!F24:AJ24")&amp;INDIRECT("'"&amp;$R24&amp;"'!F30:AJ30"),0))</f>
        <v>-0.14164785553047399</v>
      </c>
      <c r="V24" s="288">
        <f>CPI</f>
        <v>1.8500000000000003E-2</v>
      </c>
      <c r="W24" s="210">
        <f t="array" aca="1" ref="W24" ca="1">INDEX(INDIRECT("'"&amp;$R24&amp;"'!$B$6:$F$16"),MATCH("Change from DMO "&amp;PY&amp;" price (%)",INDIRECT("'"&amp;$R24&amp;"'!$B$6:$B$16"),0),MATCH($X24&amp;$Y24,INDIRECT("'"&amp;$R24&amp;"'!$B$6:$E$6")&amp;INDIRECT("'"&amp;$R24&amp;"'!$B$7:$E$7"),0))</f>
        <v>-6.2738589211618234E-2</v>
      </c>
      <c r="X24" s="101" t="str">
        <f t="shared" si="6"/>
        <v>Small business</v>
      </c>
      <c r="Y24" s="101" t="str">
        <f t="shared" si="7"/>
        <v>without CL</v>
      </c>
    </row>
    <row r="25" spans="2:25" ht="12.45" customHeight="1" x14ac:dyDescent="0.3">
      <c r="B25" s="102"/>
      <c r="C25" s="204"/>
      <c r="D25" s="205"/>
      <c r="E25" s="206"/>
      <c r="F25" s="205"/>
      <c r="G25" s="206"/>
      <c r="H25" s="205"/>
      <c r="I25" s="207"/>
      <c r="J25" s="100"/>
      <c r="K25" s="101" t="str">
        <f t="shared" si="8"/>
        <v>Small business</v>
      </c>
      <c r="L25" s="101" t="str">
        <f t="shared" si="9"/>
        <v>without CL</v>
      </c>
      <c r="M25" s="101"/>
      <c r="N25" s="101"/>
      <c r="O25" s="101"/>
      <c r="P25" s="101"/>
      <c r="Q25" s="101"/>
      <c r="R25" s="158" t="s">
        <v>5</v>
      </c>
      <c r="S25" s="213">
        <f t="array" aca="1" ref="S25" ca="1">INDEX(INDIRECT("'"&amp;$R25&amp;"'!F23:AJ38"),MATCH(S$6,INDIRECT("'"&amp;$R25&amp;"'!F23:F38"),0),MATCH($K25&amp;$L25&amp;"Change",INDIRECT("'"&amp;$R25&amp;"'!F23:AJ23")&amp;INDIRECT("'"&amp;$R25&amp;"'!F24:AJ24")&amp;INDIRECT("'"&amp;$R25&amp;"'!F30:AJ30"),0))</f>
        <v>-0.13914863252394916</v>
      </c>
      <c r="T25" s="213">
        <f t="array" aca="1" ref="T25" ca="1">INDEX(INDIRECT("'"&amp;$R25&amp;"'!F23:AJ38"),MATCH(T$6,INDIRECT("'"&amp;$R25&amp;"'!F23:F38"),0),MATCH($K25&amp;$L25&amp;"Change",INDIRECT("'"&amp;$R25&amp;"'!F23:AJ23")&amp;INDIRECT("'"&amp;$R25&amp;"'!F24:AJ24")&amp;INDIRECT("'"&amp;$R25&amp;"'!F30:AJ30"),0))</f>
        <v>-4.3054625175080519E-2</v>
      </c>
      <c r="U25" s="213">
        <f t="array" aca="1" ref="U25" ca="1">INDEX(INDIRECT("'"&amp;$R25&amp;"'!F23:AJ38"),MATCH(U$6,INDIRECT("'"&amp;$R25&amp;"'!F23:F38"),0),MATCH($K25&amp;$L25&amp;"Change",INDIRECT("'"&amp;$R25&amp;"'!F23:AJ23")&amp;INDIRECT("'"&amp;$R25&amp;"'!F24:AJ24")&amp;INDIRECT("'"&amp;$R25&amp;"'!F30:AJ30"),0))</f>
        <v>-0.12329411764705867</v>
      </c>
      <c r="V25" s="290">
        <f>CPI</f>
        <v>1.8500000000000003E-2</v>
      </c>
      <c r="W25" s="214">
        <f t="array" aca="1" ref="W25" ca="1">INDEX(INDIRECT("'"&amp;$R25&amp;"'!$B$6:$F$16"),MATCH("Change from DMO "&amp;PY&amp;" price (%)",INDIRECT("'"&amp;$R25&amp;"'!$B$6:$B$16"),0),MATCH($X25&amp;$Y25,INDIRECT("'"&amp;$R25&amp;"'!$B$6:$E$6")&amp;INDIRECT("'"&amp;$R25&amp;"'!$B$7:$E$7"),0))</f>
        <v>-7.5767543859649122E-2</v>
      </c>
      <c r="X25" s="101" t="str">
        <f t="shared" si="6"/>
        <v>Small business</v>
      </c>
      <c r="Y25" s="101" t="str">
        <f t="shared" si="7"/>
        <v>without CL</v>
      </c>
    </row>
    <row r="26" spans="2:25" s="56" customFormat="1" ht="30" customHeight="1" x14ac:dyDescent="0.3">
      <c r="B26" s="104" t="s">
        <v>0</v>
      </c>
      <c r="C26" s="194" t="s">
        <v>94</v>
      </c>
      <c r="D26" s="257">
        <f t="array" aca="1" ref="D26" ca="1">INDEX(INDIRECT("'"&amp;$B27&amp;"'!$B$6:$F$16"),MATCH("DMO "&amp;FY&amp;" price ($ pa, inc GST)",INDIRECT("'"&amp;$B27&amp;"'!$B$6:$B$16"),0),MATCH(D$6&amp;D$7,INDIRECT("'"&amp;$B27&amp;"'!$B$6:$E$6")&amp;INDIRECT("'"&amp;$B27&amp;"'!$B$7:$E$7"),0))</f>
        <v>1484</v>
      </c>
      <c r="E26" s="258"/>
      <c r="F26" s="257">
        <f t="array" aca="1" ref="F26" ca="1">INDEX(INDIRECT("'"&amp;$B27&amp;"'!$B$6:$F$16"),MATCH("DMO "&amp;FY&amp;" price ($ pa, inc GST)",INDIRECT("'"&amp;$B27&amp;"'!$B$6:$B$16"),0),MATCH(F$6&amp;F$7,INDIRECT("'"&amp;$B27&amp;"'!$B$6:$E$6")&amp;INDIRECT("'"&amp;$B27&amp;"'!$B$7:$E$7"),0))</f>
        <v>1780</v>
      </c>
      <c r="G26" s="258"/>
      <c r="H26" s="257">
        <f t="array" aca="1" ref="H26" ca="1">INDEX(INDIRECT("'"&amp;$B27&amp;"'!$B$6:$F$16"),MATCH("DMO "&amp;FY&amp;" price ($ pa, inc GST)",INDIRECT("'"&amp;$B27&amp;"'!$B$6:$B$16"),0),MATCH(H$6&amp;H$7,INDIRECT("'"&amp;$B27&amp;"'!$B$6:$E$6")&amp;INDIRECT("'"&amp;$B27&amp;"'!$B$7:$E$7"),0))</f>
        <v>5647</v>
      </c>
      <c r="I26" s="259"/>
      <c r="J26" s="103"/>
      <c r="K26" s="103"/>
      <c r="L26" s="103"/>
      <c r="M26" s="103"/>
      <c r="N26" s="103"/>
      <c r="O26" s="103"/>
      <c r="P26" s="103"/>
      <c r="Q26" s="103"/>
      <c r="R26" s="231" t="s">
        <v>198</v>
      </c>
      <c r="S26" s="211"/>
      <c r="T26" s="211"/>
      <c r="U26" s="211"/>
      <c r="V26" s="211"/>
      <c r="W26" s="212"/>
    </row>
    <row r="27" spans="2:25" ht="12.45" customHeight="1" x14ac:dyDescent="0.3">
      <c r="B27" s="105" t="s">
        <v>0</v>
      </c>
      <c r="C27" s="267" t="s">
        <v>194</v>
      </c>
      <c r="D27" s="260" t="str">
        <f t="array" aca="1" ref="D27" ca="1">INDEX(INDIRECT("'"&amp;$B27&amp;"'!$B$6:$F$16"),MATCH("Annual usage (kWh)",INDIRECT("'"&amp;$B27&amp;"'!$B$6:$B$16"),0),MATCH(D$6&amp;D$7,INDIRECT("'"&amp;$B27&amp;"'!$B$6:$E$6")&amp;INDIRECT("'"&amp;$B27&amp;"'!$B$7:$E$7"),0))&amp;" kWh"</f>
        <v>4600 kWh</v>
      </c>
      <c r="E27" s="261"/>
      <c r="F27" s="263" t="str">
        <f t="array" aca="1" ref="F27" ca="1">"Flat rate "&amp;INDEX(INDIRECT("'"&amp;$B26&amp;"'!$B$6:$F$15"),MATCH("Flat rate usage (kWh)",INDIRECT("'"&amp;$B26&amp;"'!$B$6:$B$15"),0),MATCH(F$6&amp;F$7,INDIRECT("'"&amp;$B26&amp;"'!$B$6:$E$6")&amp;INDIRECT("'"&amp;$B26&amp;"'!$B$7:$E$7"),0))&amp;" kWh"</f>
        <v>Flat rate 4400 kWh</v>
      </c>
      <c r="G27" s="264"/>
      <c r="H27" s="260" t="str">
        <f t="array" aca="1" ref="H27" ca="1">INDEX(INDIRECT("'"&amp;$B27&amp;"'!$B$6:$F$16"),MATCH("Annual usage (kWh)",INDIRECT("'"&amp;$B27&amp;"'!$B$6:$B$16"),0),MATCH(H$6&amp;H$7,INDIRECT("'"&amp;$B27&amp;"'!$B$6:$E$6")&amp;INDIRECT("'"&amp;$B27&amp;"'!$B$7:$E$7"),0))&amp;" kWh"</f>
        <v>20000 kWh</v>
      </c>
      <c r="I27" s="262"/>
    </row>
    <row r="28" spans="2:25" ht="12.45" customHeight="1" x14ac:dyDescent="0.3">
      <c r="B28" s="105"/>
      <c r="C28" s="268"/>
      <c r="D28" s="198"/>
      <c r="E28" s="199"/>
      <c r="F28" s="263" t="str">
        <f t="array" aca="1" ref="F28" ca="1">"+ CL "&amp;INDEX(INDIRECT("'"&amp;$B26&amp;"'!$B$6:$F$15"),MATCH("Controlled load usage (kWh)",INDIRECT("'"&amp;$B26&amp;"'!$B$6:$B$15"),0),MATCH(F$6&amp;F$7,INDIRECT("'"&amp;$B26&amp;"'!$B$6:$E$6")&amp;INDIRECT("'"&amp;$B26&amp;"'!$B$7:$E$7"),0))&amp;" kWh"</f>
        <v>+ CL 1900 kWh</v>
      </c>
      <c r="G28" s="264"/>
      <c r="H28" s="198"/>
      <c r="I28" s="188"/>
    </row>
    <row r="29" spans="2:25" ht="12.45" customHeight="1" x14ac:dyDescent="0.3">
      <c r="B29" s="105"/>
      <c r="C29" s="218"/>
      <c r="D29" s="219"/>
      <c r="E29" s="220"/>
      <c r="F29" s="224"/>
      <c r="G29" s="225"/>
      <c r="H29" s="219"/>
      <c r="I29" s="226"/>
    </row>
    <row r="30" spans="2:25" ht="12.45" customHeight="1" x14ac:dyDescent="0.3">
      <c r="B30" s="105"/>
      <c r="C30" s="200" t="s">
        <v>175</v>
      </c>
      <c r="D30" s="201">
        <f t="array" aca="1" ref="D30" ca="1">INDEX(INDIRECT("'"&amp;$B26&amp;"'!$B$6:$F$16"),MATCH("Change from DMO "&amp;PY&amp;" price ($)",INDIRECT("'"&amp;$B26&amp;"'!$B$6:$B$16"),0),MATCH(D$6&amp;D$7,INDIRECT("'"&amp;$B26&amp;"'!$B$6:$E$6")&amp;INDIRECT("'"&amp;$B26&amp;"'!$B$7:$E$7"),0))</f>
        <v>-86</v>
      </c>
      <c r="E30" s="202" t="str">
        <f t="array" aca="1" ref="E30" ca="1">"("&amp;ROUND(INDEX(INDIRECT("'"&amp;$B26&amp;"'!$B$6:$F$16"),MATCH("Change from DMO "&amp;PY&amp;" price (%)",INDIRECT("'"&amp;$B26&amp;"'!$B$6:$B$16"),0),MATCH(D$6&amp;D$7,INDIRECT("'"&amp;$B26&amp;"'!$B$6:$E$6")&amp;INDIRECT("'"&amp;$B26&amp;"'!$B$7:$E$7"),0))*100,1)&amp;"%)"</f>
        <v>(-5.5%)</v>
      </c>
      <c r="F30" s="201">
        <f t="array" aca="1" ref="F30" ca="1">INDEX(INDIRECT("'"&amp;$B26&amp;"'!$B$6:$F$16"),MATCH("Change from DMO "&amp;PY&amp;" price ($)",INDIRECT("'"&amp;$B26&amp;"'!$B$6:$B$16"),0),MATCH(F$6&amp;F$7,INDIRECT("'"&amp;$B26&amp;"'!$B$6:$E$6")&amp;INDIRECT("'"&amp;$B26&amp;"'!$B$7:$E$7"),0))</f>
        <v>-147</v>
      </c>
      <c r="G30" s="202" t="str">
        <f t="array" aca="1" ref="G30" ca="1">"("&amp;ROUND(INDEX(INDIRECT("'"&amp;$B26&amp;"'!$B$6:$F$16"),MATCH("Change from DMO "&amp;PY&amp;" price (%)",INDIRECT("'"&amp;$B26&amp;"'!$B$6:$B$16"),0),MATCH(F$6&amp;F$7,INDIRECT("'"&amp;$B26&amp;"'!$B$6:$E$6")&amp;INDIRECT("'"&amp;$B26&amp;"'!$B$7:$E$7"),0))*100,1)&amp;"%)"</f>
        <v>(-7.6%)</v>
      </c>
      <c r="H30" s="201">
        <f t="array" aca="1" ref="H30" ca="1">INDEX(INDIRECT("'"&amp;$B26&amp;"'!$B$6:$F$16"),MATCH("Change from DMO "&amp;PY&amp;" price ($)",INDIRECT("'"&amp;$B26&amp;"'!$B$6:$B$16"),0),MATCH(H$6&amp;H$7,INDIRECT("'"&amp;$B26&amp;"'!$B$6:$E$6")&amp;INDIRECT("'"&amp;$B26&amp;"'!$B$7:$E$7"),0))</f>
        <v>-378</v>
      </c>
      <c r="I30" s="203" t="str">
        <f t="array" aca="1" ref="I30" ca="1">"("&amp;ROUND(INDEX(INDIRECT("'"&amp;$B26&amp;"'!$B$6:$F$16"),MATCH("Change from DMO "&amp;PY&amp;" price (%)",INDIRECT("'"&amp;$B26&amp;"'!$B$6:$B$16"),0),MATCH(H$6&amp;H$7,INDIRECT("'"&amp;$B26&amp;"'!$B$6:$E$6")&amp;INDIRECT("'"&amp;$B26&amp;"'!$B$7:$E$7"),0))*100,1)&amp;"%)"</f>
        <v>(-6.3%)</v>
      </c>
      <c r="S30" s="209"/>
      <c r="T30" s="209"/>
      <c r="U30" s="209"/>
      <c r="V30" s="209"/>
      <c r="W30" s="210"/>
    </row>
    <row r="31" spans="2:25" ht="12.45" customHeight="1" x14ac:dyDescent="0.3">
      <c r="B31" s="105"/>
      <c r="C31" s="200"/>
      <c r="D31" s="201"/>
      <c r="E31" s="202"/>
      <c r="F31" s="201"/>
      <c r="G31" s="202"/>
      <c r="H31" s="201"/>
      <c r="I31" s="203"/>
    </row>
    <row r="32" spans="2:25" s="56" customFormat="1" ht="30" customHeight="1" x14ac:dyDescent="0.3">
      <c r="B32" s="66" t="s">
        <v>5</v>
      </c>
      <c r="C32" s="193" t="s">
        <v>94</v>
      </c>
      <c r="D32" s="250">
        <f t="array" aca="1" ref="D32" ca="1">INDEX(INDIRECT("'"&amp;$B32&amp;"'!$B$6:$F$16"),MATCH("DMO "&amp;FY&amp;" price ($ pa, inc GST)",INDIRECT("'"&amp;$B32&amp;"'!$B$6:$B$16"),0),MATCH(D$6&amp;D$7,INDIRECT("'"&amp;$B32&amp;"'!$B$6:$E$6")&amp;INDIRECT("'"&amp;$B32&amp;"'!$B$7:$E$7"),0))</f>
        <v>1856</v>
      </c>
      <c r="E32" s="256"/>
      <c r="F32" s="250">
        <f t="array" aca="1" ref="F32" ca="1">INDEX(INDIRECT("'"&amp;$B32&amp;"'!$B$6:$F$16"),MATCH("DMO "&amp;FY&amp;" price ($ pa, inc GST)",INDIRECT("'"&amp;$B32&amp;"'!$B$6:$B$16"),0),MATCH(F$6&amp;F$7,INDIRECT("'"&amp;$B32&amp;"'!$B$6:$E$6")&amp;INDIRECT("'"&amp;$B32&amp;"'!$B$7:$E$7"),0))</f>
        <v>2282</v>
      </c>
      <c r="G32" s="256"/>
      <c r="H32" s="250">
        <f t="array" aca="1" ref="H32" ca="1">INDEX(INDIRECT("'"&amp;$B32&amp;"'!$B$6:$F$16"),MATCH("DMO "&amp;FY&amp;" price ($ pa, inc GST)",INDIRECT("'"&amp;$B32&amp;"'!$B$6:$B$16"),0),MATCH(H$6&amp;H$7,INDIRECT("'"&amp;$B32&amp;"'!$B$6:$E$6")&amp;INDIRECT("'"&amp;$B32&amp;"'!$B$7:$E$7"),0))</f>
        <v>8429</v>
      </c>
      <c r="I32" s="255"/>
      <c r="R32" s="3"/>
      <c r="S32" s="209"/>
      <c r="T32" s="209"/>
      <c r="U32" s="209"/>
      <c r="V32" s="209"/>
      <c r="W32" s="210"/>
    </row>
    <row r="33" spans="2:24" ht="12.45" customHeight="1" x14ac:dyDescent="0.3">
      <c r="B33" s="102" t="s">
        <v>5</v>
      </c>
      <c r="C33" s="266" t="s">
        <v>194</v>
      </c>
      <c r="D33" s="252" t="str">
        <f t="array" aca="1" ref="D33" ca="1">INDEX(INDIRECT("'"&amp;$B32&amp;"'!$B$6:$F$16"),MATCH("Annual usage (kWh)",INDIRECT("'"&amp;$B32&amp;"'!$B$6:$B$16"),0),MATCH(D$6&amp;D$7,INDIRECT("'"&amp;$B32&amp;"'!$B$6:$E$6")&amp;INDIRECT("'"&amp;$B32&amp;"'!$B$7:$E$7"),0))&amp;" kWh"</f>
        <v>4000 kWh</v>
      </c>
      <c r="E33" s="270"/>
      <c r="F33" s="247" t="str">
        <f t="array" aca="1" ref="F33" ca="1">"Flat rate "&amp;INDEX(INDIRECT("'"&amp;$B32&amp;"'!$B$6:$F$15"),MATCH("Flat rate usage (kWh)",INDIRECT("'"&amp;$B32&amp;"'!$B$6:$B$15"),0),MATCH(F$6&amp;F$7,INDIRECT("'"&amp;$B32&amp;"'!$B$6:$E$6")&amp;INDIRECT("'"&amp;$B32&amp;"'!$B$7:$E$7"),0))&amp;" kWh"</f>
        <v>Flat rate 4200 kWh</v>
      </c>
      <c r="G33" s="248"/>
      <c r="H33" s="252" t="str">
        <f t="array" aca="1" ref="H33" ca="1">INDEX(INDIRECT("'"&amp;$B32&amp;"'!$B$6:$F$16"),MATCH("Annual usage (kWh)",INDIRECT("'"&amp;$B32&amp;"'!$B$6:$B$16"),0),MATCH(H$6&amp;H$7,INDIRECT("'"&amp;$B32&amp;"'!$B$6:$E$6")&amp;INDIRECT("'"&amp;$B32&amp;"'!$B$7:$E$7"),0))&amp;" kWh"</f>
        <v>20000 kWh</v>
      </c>
      <c r="I33" s="269"/>
    </row>
    <row r="34" spans="2:24" ht="12.45" customHeight="1" x14ac:dyDescent="0.3">
      <c r="B34" s="102"/>
      <c r="C34" s="268"/>
      <c r="D34" s="196"/>
      <c r="E34" s="197"/>
      <c r="F34" s="247" t="str">
        <f t="array" aca="1" ref="F34" ca="1">"+ CL "&amp;INDEX(INDIRECT("'"&amp;$B32&amp;"'!$B$6:$F$15"),MATCH("Controlled load usage (kWh)",INDIRECT("'"&amp;$B32&amp;"'!$B$6:$B$15"),0),MATCH(F$6&amp;F$7,INDIRECT("'"&amp;$B32&amp;"'!$B$6:$E$6")&amp;INDIRECT("'"&amp;$B32&amp;"'!$B$7:$E$7"),0))&amp;" kWh"</f>
        <v>+ CL 1800 kWh</v>
      </c>
      <c r="G34" s="248"/>
      <c r="H34" s="196"/>
      <c r="I34" s="187"/>
    </row>
    <row r="35" spans="2:24" ht="12.45" customHeight="1" x14ac:dyDescent="0.3">
      <c r="B35" s="102"/>
      <c r="C35" s="228"/>
      <c r="D35" s="232"/>
      <c r="E35" s="223"/>
      <c r="F35" s="215"/>
      <c r="G35" s="216"/>
      <c r="H35" s="221"/>
      <c r="I35" s="222"/>
    </row>
    <row r="36" spans="2:24" ht="12.45" customHeight="1" x14ac:dyDescent="0.3">
      <c r="B36" s="102"/>
      <c r="C36" s="204" t="s">
        <v>175</v>
      </c>
      <c r="D36" s="205">
        <f t="array" aca="1" ref="D36" ca="1">INDEX(INDIRECT("'"&amp;$B32&amp;"'!$B$6:$F$16"),MATCH("Change from DMO "&amp;PY&amp;" price ($)",INDIRECT("'"&amp;$B32&amp;"'!$B$6:$B$16"),0),MATCH(D$6&amp;D$7,INDIRECT("'"&amp;$B32&amp;"'!$B$6:$E$6")&amp;INDIRECT("'"&amp;$B32&amp;"'!$B$7:$E$7"),0))</f>
        <v>-85</v>
      </c>
      <c r="E36" s="206" t="str">
        <f t="array" aca="1" ref="E36" ca="1">"("&amp;ROUND(INDEX(INDIRECT("'"&amp;$B32&amp;"'!$B$6:$F$16"),MATCH("Change from DMO "&amp;PY&amp;" price (%)",INDIRECT("'"&amp;$B32&amp;"'!$B$6:$B$16"),0),MATCH(D$6&amp;D$7,INDIRECT("'"&amp;$B32&amp;"'!$B$6:$E$6")&amp;INDIRECT("'"&amp;$B32&amp;"'!$B$7:$E$7"),0))*100,1)&amp;"%)"</f>
        <v>(-4.4%)</v>
      </c>
      <c r="F36" s="205">
        <f t="array" aca="1" ref="F36" ca="1">INDEX(INDIRECT("'"&amp;$B32&amp;"'!$B$6:$F$16"),MATCH("Change from DMO "&amp;PY&amp;" price ($)",INDIRECT("'"&amp;$B32&amp;"'!$B$6:$B$16"),0),MATCH(F$6&amp;F$7,INDIRECT("'"&amp;$B32&amp;"'!$B$6:$E$6")&amp;INDIRECT("'"&amp;$B32&amp;"'!$B$7:$E$7"),0))</f>
        <v>-138</v>
      </c>
      <c r="G36" s="236" t="str">
        <f t="array" aca="1" ref="G36" ca="1">"("&amp;ROUND(INDEX(INDIRECT("'"&amp;$B32&amp;"'!$B$6:$F$16"),MATCH("Change from DMO "&amp;PY&amp;" price (%)",INDIRECT("'"&amp;$B32&amp;"'!$B$6:$B$16"),0),MATCH(F$6&amp;F$7,INDIRECT("'"&amp;$B32&amp;"'!$B$6:$E$6")&amp;INDIRECT("'"&amp;$B32&amp;"'!$B$7:$E$7"),0))*100,1)&amp;"%)"</f>
        <v>(-5.7%)</v>
      </c>
      <c r="H36" s="205">
        <f t="array" aca="1" ref="H36" ca="1">INDEX(INDIRECT("'"&amp;$B32&amp;"'!$B$6:$F$16"),MATCH("Change from DMO "&amp;PY&amp;" price ($)",INDIRECT("'"&amp;$B32&amp;"'!$B$6:$B$16"),0),MATCH(H$6&amp;H$7,INDIRECT("'"&amp;$B32&amp;"'!$B$6:$E$6")&amp;INDIRECT("'"&amp;$B32&amp;"'!$B$7:$E$7"),0))</f>
        <v>-691</v>
      </c>
      <c r="I36" s="207" t="str">
        <f t="array" aca="1" ref="I36" ca="1">"("&amp;ROUND(INDEX(INDIRECT("'"&amp;$B32&amp;"'!$B$6:$F$16"),MATCH("Change from DMO "&amp;PY&amp;" price (%)",INDIRECT("'"&amp;$B32&amp;"'!$B$6:$B$16"),0),MATCH(H$6&amp;H$7,INDIRECT("'"&amp;$B32&amp;"'!$B$6:$E$6")&amp;INDIRECT("'"&amp;$B32&amp;"'!$B$7:$E$7"),0))*100,1)&amp;"%)"</f>
        <v>(-7.6%)</v>
      </c>
    </row>
    <row r="37" spans="2:24" ht="12.45" customHeight="1" thickBot="1" x14ac:dyDescent="0.35">
      <c r="B37" s="106"/>
      <c r="C37" s="237"/>
      <c r="D37" s="238"/>
      <c r="E37" s="239"/>
      <c r="F37" s="238"/>
      <c r="G37" s="240"/>
      <c r="H37" s="238"/>
      <c r="I37" s="208"/>
    </row>
    <row r="38" spans="2:24" x14ac:dyDescent="0.3"/>
    <row r="39" spans="2:24" hidden="1" x14ac:dyDescent="0.3"/>
    <row r="40" spans="2:24" hidden="1" x14ac:dyDescent="0.3"/>
    <row r="41" spans="2:24" hidden="1" x14ac:dyDescent="0.3"/>
    <row r="42" spans="2:24" hidden="1" x14ac:dyDescent="0.3"/>
    <row r="43" spans="2:24" hidden="1" x14ac:dyDescent="0.3"/>
    <row r="44" spans="2:24" hidden="1" x14ac:dyDescent="0.3"/>
    <row r="45" spans="2:24" hidden="1" x14ac:dyDescent="0.3"/>
    <row r="46" spans="2:24" hidden="1" x14ac:dyDescent="0.3"/>
    <row r="47" spans="2:24" ht="42" hidden="1" customHeight="1" x14ac:dyDescent="0.3">
      <c r="B47" s="242"/>
      <c r="C47" s="242"/>
      <c r="D47" s="242"/>
      <c r="E47" s="242"/>
      <c r="F47" s="242"/>
      <c r="G47" s="242"/>
      <c r="H47" s="242"/>
      <c r="I47" s="242"/>
      <c r="J47" s="242"/>
      <c r="K47" s="242"/>
      <c r="L47" s="242"/>
      <c r="M47" s="242"/>
      <c r="N47" s="242"/>
      <c r="O47" s="242"/>
      <c r="P47" s="242"/>
      <c r="Q47" s="242"/>
      <c r="R47" s="242"/>
      <c r="S47" s="242"/>
      <c r="T47" s="242"/>
      <c r="U47" s="242"/>
      <c r="V47" s="242"/>
      <c r="W47" s="242"/>
      <c r="X47" s="242"/>
    </row>
    <row r="48" spans="2:24" ht="25.2" hidden="1" customHeight="1" x14ac:dyDescent="0.3">
      <c r="B48" s="242"/>
      <c r="C48" s="242"/>
      <c r="D48" s="242"/>
      <c r="E48" s="242"/>
      <c r="F48" s="242"/>
      <c r="G48" s="242"/>
      <c r="H48" s="242"/>
      <c r="I48" s="242"/>
      <c r="J48" s="242"/>
      <c r="K48" s="242"/>
      <c r="L48" s="242"/>
      <c r="M48" s="242"/>
      <c r="N48" s="242"/>
      <c r="O48" s="242"/>
      <c r="P48" s="242"/>
      <c r="Q48" s="242"/>
      <c r="R48" s="242"/>
      <c r="S48" s="242"/>
      <c r="T48" s="242"/>
      <c r="U48" s="242"/>
      <c r="V48" s="242"/>
      <c r="W48" s="242"/>
      <c r="X48" s="242"/>
    </row>
    <row r="49" spans="2:24" ht="25.2" hidden="1" customHeight="1" x14ac:dyDescent="0.3">
      <c r="D49" s="242"/>
      <c r="E49" s="242"/>
      <c r="F49" s="242"/>
      <c r="G49" s="242"/>
      <c r="H49" s="242"/>
      <c r="I49" s="242"/>
      <c r="J49" s="242"/>
      <c r="K49" s="242"/>
      <c r="L49" s="242"/>
      <c r="M49" s="242"/>
      <c r="N49" s="242"/>
      <c r="O49" s="242"/>
      <c r="P49" s="242"/>
      <c r="Q49" s="242"/>
      <c r="R49" s="242"/>
      <c r="S49" s="242"/>
      <c r="T49" s="242"/>
      <c r="U49" s="242"/>
      <c r="V49" s="242"/>
      <c r="W49" s="242"/>
      <c r="X49" s="242"/>
    </row>
    <row r="50" spans="2:24" ht="25.2" hidden="1" customHeight="1" x14ac:dyDescent="0.3">
      <c r="D50" s="242"/>
      <c r="E50" s="242"/>
      <c r="F50" s="242"/>
      <c r="G50" s="242"/>
      <c r="H50" s="242"/>
      <c r="I50" s="242"/>
      <c r="J50" s="242"/>
      <c r="K50" s="242"/>
      <c r="L50" s="242"/>
      <c r="M50" s="242"/>
      <c r="N50" s="242"/>
      <c r="O50" s="242"/>
      <c r="P50" s="242"/>
      <c r="Q50" s="242"/>
      <c r="R50" s="242"/>
      <c r="S50" s="242"/>
      <c r="T50" s="242"/>
      <c r="U50" s="242"/>
      <c r="V50" s="242"/>
      <c r="W50" s="242"/>
      <c r="X50" s="242"/>
    </row>
    <row r="51" spans="2:24" ht="25.2" hidden="1" customHeight="1" x14ac:dyDescent="0.3">
      <c r="D51" s="242"/>
      <c r="E51" s="242"/>
      <c r="F51" s="242"/>
      <c r="G51" s="242"/>
      <c r="H51" s="242"/>
      <c r="I51" s="242"/>
      <c r="J51" s="242"/>
      <c r="K51" s="242"/>
      <c r="L51" s="242"/>
      <c r="M51" s="242"/>
      <c r="N51" s="242"/>
      <c r="O51" s="242"/>
      <c r="P51" s="242"/>
      <c r="Q51" s="242"/>
      <c r="R51" s="242"/>
      <c r="S51" s="242"/>
      <c r="T51" s="242"/>
      <c r="U51" s="242"/>
      <c r="V51" s="242"/>
      <c r="W51" s="242"/>
      <c r="X51" s="242"/>
    </row>
    <row r="52" spans="2:24" ht="25.2" hidden="1" customHeight="1" x14ac:dyDescent="0.3">
      <c r="D52" s="242"/>
      <c r="E52" s="242"/>
      <c r="F52" s="242"/>
      <c r="G52" s="242"/>
      <c r="H52" s="242"/>
      <c r="I52" s="242"/>
      <c r="J52" s="242"/>
      <c r="K52" s="242"/>
      <c r="L52" s="242"/>
      <c r="M52" s="242"/>
      <c r="N52" s="242"/>
      <c r="O52" s="242"/>
      <c r="P52" s="242"/>
      <c r="Q52" s="242"/>
      <c r="R52" s="242"/>
      <c r="S52" s="242"/>
      <c r="T52" s="242"/>
      <c r="U52" s="242"/>
      <c r="V52" s="242"/>
      <c r="W52" s="242"/>
      <c r="X52" s="242"/>
    </row>
    <row r="53" spans="2:24" ht="25.2" hidden="1" customHeight="1" x14ac:dyDescent="0.3">
      <c r="D53" s="242"/>
      <c r="E53" s="242"/>
      <c r="F53" s="242"/>
      <c r="G53" s="242"/>
      <c r="H53" s="242"/>
      <c r="I53" s="242"/>
      <c r="J53" s="242"/>
      <c r="K53" s="242"/>
      <c r="L53" s="242"/>
      <c r="M53" s="242"/>
      <c r="N53" s="242"/>
      <c r="O53" s="242"/>
      <c r="P53" s="242"/>
      <c r="Q53" s="242"/>
      <c r="R53" s="242"/>
      <c r="S53" s="242"/>
      <c r="T53" s="242"/>
      <c r="U53" s="242"/>
      <c r="V53" s="242"/>
      <c r="W53" s="242"/>
      <c r="X53" s="242"/>
    </row>
    <row r="54" spans="2:24" ht="25.2" hidden="1" customHeight="1" x14ac:dyDescent="0.3">
      <c r="B54" s="242"/>
      <c r="C54" s="242"/>
      <c r="D54" s="242"/>
      <c r="E54" s="242"/>
      <c r="F54" s="242"/>
      <c r="G54" s="242"/>
      <c r="H54" s="242"/>
      <c r="I54" s="242"/>
      <c r="J54" s="242"/>
      <c r="K54" s="242"/>
      <c r="L54" s="242"/>
      <c r="M54" s="242"/>
      <c r="N54" s="242"/>
      <c r="O54" s="242"/>
      <c r="P54" s="242"/>
      <c r="Q54" s="242"/>
      <c r="R54" s="242"/>
      <c r="S54" s="242"/>
      <c r="T54" s="242"/>
      <c r="U54" s="242"/>
      <c r="V54" s="242"/>
      <c r="W54" s="242"/>
      <c r="X54" s="242"/>
    </row>
    <row r="55" spans="2:24" ht="25.2" hidden="1" customHeight="1" x14ac:dyDescent="0.3">
      <c r="D55" s="242"/>
      <c r="E55" s="242"/>
      <c r="F55" s="242"/>
      <c r="G55" s="242"/>
      <c r="H55" s="242"/>
      <c r="I55" s="242"/>
      <c r="J55" s="242"/>
      <c r="K55" s="242"/>
      <c r="L55" s="242"/>
      <c r="M55" s="242"/>
      <c r="N55" s="242"/>
      <c r="O55" s="242"/>
      <c r="P55" s="242"/>
      <c r="Q55" s="242"/>
      <c r="R55" s="242"/>
      <c r="S55" s="242"/>
      <c r="T55" s="242"/>
      <c r="U55" s="242"/>
      <c r="V55" s="242"/>
      <c r="W55" s="242"/>
      <c r="X55" s="242"/>
    </row>
    <row r="56" spans="2:24" ht="25.2" hidden="1" customHeight="1" x14ac:dyDescent="0.3">
      <c r="D56" s="242"/>
      <c r="E56" s="242"/>
      <c r="F56" s="242"/>
      <c r="G56" s="242"/>
      <c r="H56" s="242"/>
      <c r="I56" s="242"/>
      <c r="J56" s="242"/>
      <c r="K56" s="242"/>
      <c r="L56" s="242"/>
      <c r="M56" s="242"/>
      <c r="N56" s="242"/>
      <c r="O56" s="242"/>
      <c r="P56" s="242"/>
      <c r="Q56" s="242"/>
      <c r="R56" s="242"/>
      <c r="S56" s="242"/>
      <c r="T56" s="242"/>
      <c r="U56" s="242"/>
      <c r="V56" s="242"/>
      <c r="W56" s="242"/>
      <c r="X56" s="242"/>
    </row>
    <row r="57" spans="2:24" ht="25.2" hidden="1" customHeight="1" x14ac:dyDescent="0.3">
      <c r="D57" s="242"/>
      <c r="E57" s="242"/>
      <c r="F57" s="242"/>
      <c r="G57" s="242"/>
      <c r="H57" s="242"/>
      <c r="I57" s="242"/>
      <c r="J57" s="242"/>
      <c r="K57" s="242"/>
      <c r="L57" s="242"/>
      <c r="M57" s="242"/>
      <c r="N57" s="242"/>
      <c r="O57" s="242"/>
      <c r="P57" s="242"/>
      <c r="Q57" s="242"/>
      <c r="R57" s="242"/>
      <c r="S57" s="242"/>
      <c r="T57" s="242"/>
      <c r="U57" s="242"/>
      <c r="V57" s="242"/>
      <c r="W57" s="242"/>
      <c r="X57" s="242"/>
    </row>
    <row r="58" spans="2:24" ht="25.2" hidden="1" customHeight="1" x14ac:dyDescent="0.3">
      <c r="D58" s="242"/>
      <c r="E58" s="242"/>
      <c r="F58" s="242"/>
      <c r="G58" s="242"/>
      <c r="H58" s="242"/>
      <c r="I58" s="242"/>
      <c r="J58" s="242"/>
      <c r="K58" s="242"/>
      <c r="L58" s="242"/>
      <c r="M58" s="242"/>
      <c r="N58" s="242"/>
      <c r="O58" s="242"/>
      <c r="P58" s="242"/>
      <c r="Q58" s="242"/>
      <c r="R58" s="242"/>
      <c r="S58" s="242"/>
      <c r="T58" s="242"/>
      <c r="U58" s="242"/>
      <c r="V58" s="242"/>
      <c r="W58" s="242"/>
      <c r="X58" s="242"/>
    </row>
    <row r="59" spans="2:24" ht="25.2" hidden="1" customHeight="1" x14ac:dyDescent="0.3">
      <c r="D59" s="242"/>
      <c r="E59" s="242"/>
      <c r="F59" s="242"/>
      <c r="G59" s="242"/>
      <c r="H59" s="242"/>
      <c r="I59" s="242"/>
      <c r="J59" s="242"/>
      <c r="K59" s="242"/>
      <c r="L59" s="242"/>
      <c r="M59" s="242"/>
      <c r="N59" s="242"/>
      <c r="O59" s="242"/>
      <c r="P59" s="242"/>
      <c r="Q59" s="242"/>
      <c r="R59" s="242"/>
      <c r="S59" s="242"/>
      <c r="T59" s="242"/>
      <c r="U59" s="242"/>
      <c r="V59" s="242"/>
      <c r="W59" s="242"/>
      <c r="X59" s="242"/>
    </row>
    <row r="60" spans="2:24" ht="25.2" hidden="1" customHeight="1" x14ac:dyDescent="0.3">
      <c r="B60" s="242"/>
      <c r="C60" s="242"/>
      <c r="D60" s="242"/>
      <c r="E60" s="242"/>
      <c r="F60" s="242"/>
      <c r="G60" s="242"/>
      <c r="H60" s="242"/>
      <c r="I60" s="242"/>
      <c r="J60" s="242"/>
      <c r="K60" s="242"/>
      <c r="L60" s="242"/>
      <c r="M60" s="242"/>
      <c r="N60" s="242"/>
      <c r="O60" s="242"/>
      <c r="P60" s="242"/>
      <c r="Q60" s="242"/>
      <c r="R60" s="242"/>
      <c r="S60" s="242"/>
      <c r="T60" s="242"/>
      <c r="U60" s="242"/>
      <c r="V60" s="242"/>
      <c r="W60" s="242"/>
      <c r="X60" s="242"/>
    </row>
    <row r="61" spans="2:24" ht="25.2" hidden="1" customHeight="1" x14ac:dyDescent="0.3">
      <c r="D61" s="242"/>
      <c r="E61" s="242"/>
      <c r="F61" s="242"/>
      <c r="G61" s="242"/>
      <c r="H61" s="242"/>
      <c r="I61" s="242"/>
      <c r="J61" s="242"/>
      <c r="K61" s="242"/>
      <c r="L61" s="242"/>
      <c r="M61" s="242"/>
      <c r="N61" s="242"/>
      <c r="O61" s="242"/>
      <c r="P61" s="242"/>
      <c r="Q61" s="242"/>
      <c r="R61" s="242"/>
      <c r="S61" s="242"/>
      <c r="T61" s="242"/>
      <c r="U61" s="242"/>
      <c r="V61" s="242"/>
      <c r="W61" s="242"/>
      <c r="X61" s="242"/>
    </row>
    <row r="62" spans="2:24" ht="25.2" hidden="1" customHeight="1" x14ac:dyDescent="0.3">
      <c r="D62" s="242"/>
      <c r="E62" s="242"/>
      <c r="F62" s="242"/>
      <c r="G62" s="242"/>
      <c r="H62" s="242"/>
      <c r="I62" s="242"/>
      <c r="J62" s="242"/>
      <c r="K62" s="242"/>
      <c r="L62" s="242"/>
      <c r="M62" s="242"/>
      <c r="N62" s="242"/>
      <c r="O62" s="242"/>
      <c r="P62" s="242"/>
      <c r="Q62" s="242"/>
      <c r="R62" s="242"/>
      <c r="S62" s="242"/>
      <c r="T62" s="242"/>
      <c r="U62" s="242"/>
      <c r="V62" s="242"/>
      <c r="W62" s="242"/>
      <c r="X62" s="242"/>
    </row>
    <row r="63" spans="2:24" ht="25.2" hidden="1" customHeight="1" x14ac:dyDescent="0.3">
      <c r="D63" s="242"/>
      <c r="E63" s="242"/>
      <c r="F63" s="242"/>
      <c r="G63" s="242"/>
      <c r="H63" s="242"/>
      <c r="I63" s="242"/>
      <c r="J63" s="242"/>
      <c r="K63" s="242"/>
      <c r="L63" s="242"/>
      <c r="M63" s="242"/>
      <c r="N63" s="242"/>
      <c r="O63" s="242"/>
      <c r="P63" s="242"/>
      <c r="Q63" s="242"/>
      <c r="R63" s="242"/>
      <c r="S63" s="242"/>
      <c r="T63" s="242"/>
      <c r="U63" s="242"/>
      <c r="V63" s="242"/>
      <c r="W63" s="242"/>
      <c r="X63" s="242"/>
    </row>
    <row r="64" spans="2:24" ht="25.2" hidden="1" customHeight="1" x14ac:dyDescent="0.3">
      <c r="D64" s="242"/>
      <c r="E64" s="242"/>
      <c r="F64" s="242"/>
      <c r="G64" s="242"/>
      <c r="H64" s="242"/>
      <c r="I64" s="242"/>
      <c r="J64" s="242"/>
      <c r="K64" s="242"/>
      <c r="L64" s="242"/>
      <c r="M64" s="242"/>
      <c r="N64" s="242"/>
      <c r="O64" s="242"/>
      <c r="P64" s="242"/>
      <c r="Q64" s="242"/>
      <c r="R64" s="242"/>
      <c r="S64" s="242"/>
      <c r="T64" s="242"/>
      <c r="U64" s="242"/>
      <c r="V64" s="242"/>
      <c r="W64" s="242"/>
      <c r="X64" s="242"/>
    </row>
    <row r="65" spans="4:24" ht="25.2" hidden="1" customHeight="1" x14ac:dyDescent="0.3">
      <c r="D65" s="242"/>
      <c r="E65" s="242"/>
      <c r="F65" s="242"/>
      <c r="G65" s="242"/>
      <c r="H65" s="242"/>
      <c r="I65" s="242"/>
      <c r="J65" s="242"/>
      <c r="K65" s="242"/>
      <c r="L65" s="242"/>
      <c r="M65" s="242"/>
      <c r="N65" s="242"/>
      <c r="O65" s="242"/>
      <c r="P65" s="242"/>
      <c r="Q65" s="242"/>
      <c r="R65" s="242"/>
      <c r="S65" s="242"/>
      <c r="T65" s="242"/>
      <c r="U65" s="242"/>
      <c r="V65" s="242"/>
      <c r="W65" s="242"/>
      <c r="X65" s="242"/>
    </row>
  </sheetData>
  <sheetProtection algorithmName="SHA-256" hashValue="UsihdWweRlr59X+DNiI+hZBA5IOiBqpqgygWNJmXZj4=" saltValue="88KtnMy6FI8z3z7cbgLoMQ==" spinCount="100000" sheet="1" objects="1" scenarios="1"/>
  <mergeCells count="54">
    <mergeCell ref="U6:U7"/>
    <mergeCell ref="B6:B7"/>
    <mergeCell ref="F16:G16"/>
    <mergeCell ref="A1:B1"/>
    <mergeCell ref="R6:R7"/>
    <mergeCell ref="S6:S7"/>
    <mergeCell ref="T6:T7"/>
    <mergeCell ref="H15:I15"/>
    <mergeCell ref="D14:E14"/>
    <mergeCell ref="F14:G14"/>
    <mergeCell ref="H14:I14"/>
    <mergeCell ref="H6:I6"/>
    <mergeCell ref="H7:I7"/>
    <mergeCell ref="D9:E9"/>
    <mergeCell ref="D8:E8"/>
    <mergeCell ref="F8:G8"/>
    <mergeCell ref="F33:G33"/>
    <mergeCell ref="W6:W7"/>
    <mergeCell ref="V6:V7"/>
    <mergeCell ref="F34:G34"/>
    <mergeCell ref="C9:C10"/>
    <mergeCell ref="C15:C16"/>
    <mergeCell ref="C21:C22"/>
    <mergeCell ref="C27:C28"/>
    <mergeCell ref="C33:C34"/>
    <mergeCell ref="D15:E15"/>
    <mergeCell ref="H33:I33"/>
    <mergeCell ref="D33:E33"/>
    <mergeCell ref="D21:E21"/>
    <mergeCell ref="H21:I21"/>
    <mergeCell ref="F10:G10"/>
    <mergeCell ref="F15:G15"/>
    <mergeCell ref="H32:I32"/>
    <mergeCell ref="F32:G32"/>
    <mergeCell ref="D32:E32"/>
    <mergeCell ref="D27:E27"/>
    <mergeCell ref="H27:I27"/>
    <mergeCell ref="F27:G27"/>
    <mergeCell ref="F28:G28"/>
    <mergeCell ref="H20:I20"/>
    <mergeCell ref="F20:G20"/>
    <mergeCell ref="D20:E20"/>
    <mergeCell ref="D26:E26"/>
    <mergeCell ref="F26:G26"/>
    <mergeCell ref="H26:I26"/>
    <mergeCell ref="F21:G21"/>
    <mergeCell ref="F22:G22"/>
    <mergeCell ref="F9:G9"/>
    <mergeCell ref="H8:I8"/>
    <mergeCell ref="H9:I9"/>
    <mergeCell ref="D6:E6"/>
    <mergeCell ref="D7:E7"/>
    <mergeCell ref="F6:G6"/>
    <mergeCell ref="F7:G7"/>
  </mergeCells>
  <conditionalFormatting sqref="R8:W25">
    <cfRule type="expression" dxfId="92" priority="5">
      <formula>MOD(ROW(),2)=0</formula>
    </cfRule>
  </conditionalFormatting>
  <hyperlinks>
    <hyperlink ref="A1" location="Index!A1" display="&lt;&lt;Back to Index"/>
  </hyperlinks>
  <pageMargins left="0.7" right="0.7" top="0.75" bottom="0.75" header="0.3" footer="0.3"/>
  <pageSetup paperSize="9" orientation="portrait" r:id="rId1"/>
  <ignoredErrors>
    <ignoredError sqref="E12:I12 H32:I33 H26:I27 H20:I21 D33:E33 D27:E27 D32:E32 D21:E21 D26:E26 D20:E20 D18:E18 D24:E24 D30:E30 D36:I36 F9 H18:I18 H24:I24 H30:I30 F30:G30 F24:G24 F18:G18 F20:G20 F26:G26 F32:G32 F15:G15 F33:G33 F27:G27 F21:G2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F9:F14"/>
  <sheetViews>
    <sheetView workbookViewId="0">
      <selection activeCell="F11" sqref="F11"/>
    </sheetView>
  </sheetViews>
  <sheetFormatPr defaultColWidth="8.88671875" defaultRowHeight="14.4" x14ac:dyDescent="0.3"/>
  <cols>
    <col min="1" max="16384" width="8.88671875" style="3"/>
  </cols>
  <sheetData>
    <row r="9" spans="6:6" ht="36.6" x14ac:dyDescent="0.3">
      <c r="F9" s="2" t="s">
        <v>208</v>
      </c>
    </row>
    <row r="10" spans="6:6" ht="36.6" x14ac:dyDescent="0.3">
      <c r="F10" s="2" t="str">
        <f>"DMO "&amp;FY</f>
        <v>DMO 2020-21</v>
      </c>
    </row>
    <row r="11" spans="6:6" ht="23.4" x14ac:dyDescent="0.3">
      <c r="F11" s="4" t="s">
        <v>200</v>
      </c>
    </row>
    <row r="12" spans="6:6" ht="23.4" x14ac:dyDescent="0.3">
      <c r="F12" s="4"/>
    </row>
    <row r="13" spans="6:6" x14ac:dyDescent="0.3">
      <c r="F13" s="5"/>
    </row>
    <row r="14" spans="6:6" x14ac:dyDescent="0.3">
      <c r="F14" s="5"/>
    </row>
  </sheetData>
  <sheetProtection algorithmName="SHA-256" hashValue="NfAu9ylN1y+Mc9+99x667kkjkrABmtFW4NA5r1TGqzU=" saltValue="RJBV89K4Cb0stufyJqRPvQ=="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X74"/>
  <sheetViews>
    <sheetView workbookViewId="0">
      <selection sqref="A1:B1"/>
    </sheetView>
  </sheetViews>
  <sheetFormatPr defaultColWidth="0" defaultRowHeight="14.4" zeroHeight="1" x14ac:dyDescent="0.3"/>
  <cols>
    <col min="1" max="1" width="3.33203125" style="3" customWidth="1"/>
    <col min="2" max="2" width="10.109375" style="3" bestFit="1" customWidth="1"/>
    <col min="3" max="3" width="17.44140625" style="3" bestFit="1" customWidth="1"/>
    <col min="4" max="4" width="7.6640625" style="3" bestFit="1" customWidth="1"/>
    <col min="5" max="5" width="12.109375" style="3" bestFit="1" customWidth="1"/>
    <col min="6" max="6" width="13.6640625" style="3" bestFit="1" customWidth="1"/>
    <col min="7" max="7" width="17.44140625" style="3" bestFit="1" customWidth="1"/>
    <col min="8" max="8" width="11.88671875" style="3" bestFit="1" customWidth="1"/>
    <col min="9" max="9" width="7.6640625" style="3" bestFit="1" customWidth="1"/>
    <col min="10" max="10" width="7.33203125" style="3" bestFit="1" customWidth="1"/>
    <col min="11" max="23" width="10.6640625" style="3" customWidth="1"/>
    <col min="24" max="24" width="12" style="3" customWidth="1"/>
    <col min="25" max="16384" width="8.88671875" style="3" hidden="1"/>
  </cols>
  <sheetData>
    <row r="1" spans="1:2" ht="10.199999999999999" customHeight="1" x14ac:dyDescent="0.3">
      <c r="A1" s="246" t="s">
        <v>22</v>
      </c>
      <c r="B1" s="272"/>
    </row>
    <row r="2" spans="1:2" s="15" customFormat="1" ht="22.5" customHeight="1" x14ac:dyDescent="0.3">
      <c r="A2" s="16" t="s">
        <v>186</v>
      </c>
      <c r="B2" s="16"/>
    </row>
    <row r="3" spans="1:2" x14ac:dyDescent="0.3">
      <c r="B3" s="145" t="s">
        <v>160</v>
      </c>
    </row>
    <row r="4" spans="1:2" x14ac:dyDescent="0.3"/>
    <row r="5" spans="1:2" x14ac:dyDescent="0.3"/>
    <row r="6" spans="1:2" x14ac:dyDescent="0.3"/>
    <row r="7" spans="1:2" x14ac:dyDescent="0.3"/>
    <row r="8" spans="1:2" x14ac:dyDescent="0.3"/>
    <row r="9" spans="1:2" x14ac:dyDescent="0.3"/>
    <row r="10" spans="1:2" x14ac:dyDescent="0.3"/>
    <row r="11" spans="1:2" x14ac:dyDescent="0.3"/>
    <row r="12" spans="1:2" x14ac:dyDescent="0.3"/>
    <row r="13" spans="1:2" x14ac:dyDescent="0.3"/>
    <row r="14" spans="1:2" x14ac:dyDescent="0.3"/>
    <row r="15" spans="1:2" x14ac:dyDescent="0.3"/>
    <row r="16" spans="1: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1:18" x14ac:dyDescent="0.3"/>
    <row r="34" spans="1:18" x14ac:dyDescent="0.3"/>
    <row r="35" spans="1:18" x14ac:dyDescent="0.3"/>
    <row r="36" spans="1:18" x14ac:dyDescent="0.3"/>
    <row r="37" spans="1:18" x14ac:dyDescent="0.3"/>
    <row r="38" spans="1:18" x14ac:dyDescent="0.3"/>
    <row r="39" spans="1:18" x14ac:dyDescent="0.3"/>
    <row r="40" spans="1:18" x14ac:dyDescent="0.3"/>
    <row r="41" spans="1:18" x14ac:dyDescent="0.3">
      <c r="B41" s="165" t="s">
        <v>154</v>
      </c>
    </row>
    <row r="42" spans="1:18" x14ac:dyDescent="0.3"/>
    <row r="43" spans="1:18" x14ac:dyDescent="0.3"/>
    <row r="44" spans="1:18" s="5" customFormat="1" x14ac:dyDescent="0.3">
      <c r="B44" s="161" t="s">
        <v>6</v>
      </c>
      <c r="C44" s="162" t="s">
        <v>158</v>
      </c>
      <c r="D44" s="163" t="str">
        <f>PY</f>
        <v>2019-20</v>
      </c>
      <c r="E44" s="163" t="s">
        <v>68</v>
      </c>
      <c r="F44" s="163" t="s">
        <v>69</v>
      </c>
      <c r="G44" s="163" t="s">
        <v>70</v>
      </c>
      <c r="H44" s="163" t="s">
        <v>71</v>
      </c>
      <c r="I44" s="163" t="str">
        <f>FY</f>
        <v>2020-21</v>
      </c>
      <c r="J44" s="164" t="s">
        <v>25</v>
      </c>
      <c r="L44" s="182" t="s">
        <v>106</v>
      </c>
    </row>
    <row r="45" spans="1:18" x14ac:dyDescent="0.3">
      <c r="A45" s="101" t="str">
        <f>B45&amp;" "&amp;$B$44&amp;" "&amp;$C$44&amp;" $"</f>
        <v>Ausgrid Residential without CL $</v>
      </c>
      <c r="B45" s="150" t="s">
        <v>2</v>
      </c>
      <c r="C45" s="151" t="s">
        <v>212</v>
      </c>
      <c r="D45" s="152">
        <v>0</v>
      </c>
      <c r="E45" s="152">
        <f ca="1">IF($J46&lt;0,SUM(D45:D49)+$J46,SUM(D45:D49))</f>
        <v>1467</v>
      </c>
      <c r="F45" s="152">
        <f ca="1">IF($J47&lt;0,IF($J46&lt;0,E45+$J47,E45+$J46+$J47),IF($J46&lt;0,E45,E45+$J46))</f>
        <v>1476.4509855000001</v>
      </c>
      <c r="G45" s="152">
        <f ca="1">IF($J48&lt;0,IF($J47&lt;0,F45+$J48,F45+$J47+$J48),IF($J47&lt;0,F45,F45+$J47))</f>
        <v>1476.2364855000001</v>
      </c>
      <c r="H45" s="152">
        <f ca="1">IF($J49&lt;0,IF($J48&lt;0,G45+$J49,G45+$J48+$J49),IF($J48&lt;0,G45,G45+$J48))</f>
        <v>1476.2364855000001</v>
      </c>
      <c r="I45" s="152">
        <v>0</v>
      </c>
      <c r="J45" s="153"/>
      <c r="L45" s="41"/>
      <c r="M45" s="41"/>
      <c r="N45" s="41"/>
      <c r="O45" s="41"/>
      <c r="P45" s="41"/>
      <c r="Q45" s="41"/>
      <c r="R45" s="41"/>
    </row>
    <row r="46" spans="1:18" x14ac:dyDescent="0.3">
      <c r="A46" s="101"/>
      <c r="B46" s="154" t="str">
        <f>B45</f>
        <v>Ausgrid</v>
      </c>
      <c r="C46" s="36" t="s">
        <v>68</v>
      </c>
      <c r="D46" s="14">
        <f t="array" aca="1" ref="D46" ca="1">INDEX(INDIRECT("'"&amp;$B46&amp;"'!$F$23:$AJ$39"),MATCH($C46,INDIRECT("'"&amp;$B46&amp;"'!$F$23:$F$39"),0),MATCH($B$44&amp;$C$44&amp;D$44&amp;"Cost",INDIRECT("'"&amp;$B46&amp;"'!$F$23:$AJ$23")&amp;INDIRECT("'"&amp;$B46&amp;"'!$F$24:$AJ$24")&amp;INDIRECT("'"&amp;$B46&amp;"'!$F$25:$AJ$25")&amp;INDIRECT("'"&amp;$B46&amp;"'!$F$30:$AJ$30"),0))</f>
        <v>530.66646600000001</v>
      </c>
      <c r="E46" s="155">
        <f ca="1">ABS($I46-$D46)</f>
        <v>9.4509855000000016</v>
      </c>
      <c r="F46" s="155"/>
      <c r="G46" s="155"/>
      <c r="H46" s="155"/>
      <c r="I46" s="14">
        <f t="array" aca="1" ref="I46" ca="1">INDEX(INDIRECT("'"&amp;$B46&amp;"'!$F$23:$AJ$39"),MATCH($C46,INDIRECT("'"&amp;$B46&amp;"'!$F$23:$F$39"),0),MATCH($B$44&amp;$C$44&amp;I$44&amp;"Cost",INDIRECT("'"&amp;$B46&amp;"'!$F$23:$AJ$23")&amp;INDIRECT("'"&amp;$B46&amp;"'!$F$24:$AJ$24")&amp;INDIRECT("'"&amp;$B46&amp;"'!$F$25:$AJ$25")&amp;INDIRECT("'"&amp;$B46&amp;"'!$F$30:$AJ$30"),0))</f>
        <v>540.11745150000002</v>
      </c>
      <c r="J46" s="156">
        <f ca="1">I46-D46</f>
        <v>9.4509855000000016</v>
      </c>
      <c r="K46" s="149"/>
      <c r="L46" s="41"/>
      <c r="M46" s="41"/>
      <c r="N46" s="41"/>
      <c r="O46" s="41"/>
      <c r="P46" s="41"/>
      <c r="Q46" s="41"/>
      <c r="R46" s="41"/>
    </row>
    <row r="47" spans="1:18" x14ac:dyDescent="0.3">
      <c r="A47" s="101"/>
      <c r="B47" s="154" t="str">
        <f>B46</f>
        <v>Ausgrid</v>
      </c>
      <c r="C47" s="36" t="s">
        <v>69</v>
      </c>
      <c r="D47" s="14">
        <f t="array" aca="1" ref="D47" ca="1">INDEX(INDIRECT("'"&amp;$B47&amp;"'!$F$23:$AJ$39"),MATCH($C47,INDIRECT("'"&amp;$B47&amp;"'!$F$23:$F$39"),0),MATCH($B$44&amp;$C$44&amp;D$44&amp;"Cost",INDIRECT("'"&amp;$B47&amp;"'!$F$23:$AJ$23")&amp;INDIRECT("'"&amp;$B47&amp;"'!$F$24:$AJ$24")&amp;INDIRECT("'"&amp;$B47&amp;"'!$F$25:$AJ$25")&amp;INDIRECT("'"&amp;$B47&amp;"'!$F$30:$AJ$30"),0))</f>
        <v>477.73439999999999</v>
      </c>
      <c r="E47" s="155"/>
      <c r="F47" s="155">
        <f ca="1">ABS($I47-$D47)</f>
        <v>9.0948000000000206</v>
      </c>
      <c r="G47" s="155"/>
      <c r="H47" s="155"/>
      <c r="I47" s="14">
        <f t="array" aca="1" ref="I47" ca="1">INDEX(INDIRECT("'"&amp;$B47&amp;"'!$F$23:$AJ$39"),MATCH($C47,INDIRECT("'"&amp;$B47&amp;"'!$F$23:$F$39"),0),MATCH($B$44&amp;$C$44&amp;I$44&amp;"Cost",INDIRECT("'"&amp;$B47&amp;"'!$F$23:$AJ$23")&amp;INDIRECT("'"&amp;$B47&amp;"'!$F$24:$AJ$24")&amp;INDIRECT("'"&amp;$B47&amp;"'!$F$25:$AJ$25")&amp;INDIRECT("'"&amp;$B47&amp;"'!$F$30:$AJ$30"),0))</f>
        <v>486.82920000000001</v>
      </c>
      <c r="J47" s="156">
        <f ca="1">I47-D47</f>
        <v>9.0948000000000206</v>
      </c>
      <c r="L47" s="41"/>
      <c r="M47" s="41"/>
      <c r="N47" s="41"/>
      <c r="O47" s="41"/>
      <c r="P47" s="41"/>
      <c r="Q47" s="41"/>
      <c r="R47" s="41"/>
    </row>
    <row r="48" spans="1:18" x14ac:dyDescent="0.3">
      <c r="A48" s="101"/>
      <c r="B48" s="154" t="str">
        <f>B47</f>
        <v>Ausgrid</v>
      </c>
      <c r="C48" s="36" t="s">
        <v>70</v>
      </c>
      <c r="D48" s="14">
        <f t="array" aca="1" ref="D48" ca="1">INDEX(INDIRECT("'"&amp;$B48&amp;"'!$F$23:$AJ$39"),MATCH($C48,INDIRECT("'"&amp;$B48&amp;"'!$F$23:$F$39"),0),MATCH($B$44&amp;$C$44&amp;D$44&amp;"Cost",INDIRECT("'"&amp;$B48&amp;"'!$F$23:$AJ$23")&amp;INDIRECT("'"&amp;$B48&amp;"'!$F$24:$AJ$24")&amp;INDIRECT("'"&amp;$B48&amp;"'!$F$25:$AJ$25")&amp;INDIRECT("'"&amp;$B48&amp;"'!$F$30:$AJ$30"),0))</f>
        <v>82.968600000000009</v>
      </c>
      <c r="E48" s="155"/>
      <c r="F48" s="155"/>
      <c r="G48" s="155">
        <f ca="1">ABS($I48-$D48)</f>
        <v>9.3093000000000217</v>
      </c>
      <c r="H48" s="155"/>
      <c r="I48" s="14">
        <f t="array" aca="1" ref="I48" ca="1">INDEX(INDIRECT("'"&amp;$B48&amp;"'!$F$23:$AJ$39"),MATCH($C48,INDIRECT("'"&amp;$B48&amp;"'!$F$23:$F$39"),0),MATCH($B$44&amp;$C$44&amp;I$44&amp;"Cost",INDIRECT("'"&amp;$B48&amp;"'!$F$23:$AJ$23")&amp;INDIRECT("'"&amp;$B48&amp;"'!$F$24:$AJ$24")&amp;INDIRECT("'"&amp;$B48&amp;"'!$F$25:$AJ$25")&amp;INDIRECT("'"&amp;$B48&amp;"'!$F$30:$AJ$30"),0))</f>
        <v>73.659299999999988</v>
      </c>
      <c r="J48" s="156">
        <f ca="1">I48-D48</f>
        <v>-9.3093000000000217</v>
      </c>
      <c r="L48" s="41"/>
      <c r="M48" s="41"/>
      <c r="N48" s="41"/>
      <c r="O48" s="41"/>
      <c r="P48" s="41"/>
      <c r="Q48" s="41"/>
      <c r="R48" s="41"/>
    </row>
    <row r="49" spans="1:18" x14ac:dyDescent="0.3">
      <c r="A49" s="101"/>
      <c r="B49" s="154" t="str">
        <f>B48</f>
        <v>Ausgrid</v>
      </c>
      <c r="C49" s="36" t="s">
        <v>71</v>
      </c>
      <c r="D49" s="14">
        <f t="array" aca="1" ref="D49" ca="1">INDEX(INDIRECT("'"&amp;$B49&amp;"'!$F$23:$AJ$39"),MATCH($C49,INDIRECT("'"&amp;$B49&amp;"'!$F$23:$F$39"),0),MATCH($B$44&amp;$C$44&amp;D$44&amp;"Cost",INDIRECT("'"&amp;$B49&amp;"'!$F$23:$AJ$23")&amp;INDIRECT("'"&amp;$B49&amp;"'!$F$24:$AJ$24")&amp;INDIRECT("'"&amp;$B49&amp;"'!$F$25:$AJ$25")&amp;INDIRECT("'"&amp;$B49&amp;"'!$F$30:$AJ$30"),0))</f>
        <v>375.63053400000013</v>
      </c>
      <c r="E49" s="155"/>
      <c r="F49" s="155"/>
      <c r="G49" s="155"/>
      <c r="H49" s="155">
        <f ca="1">ABS($I49-$D49)</f>
        <v>6.949164878999909</v>
      </c>
      <c r="I49" s="14">
        <f t="array" aca="1" ref="I49" ca="1">INDEX(INDIRECT("'"&amp;$B49&amp;"'!$F$23:$AJ$39"),MATCH($C49,INDIRECT("'"&amp;$B49&amp;"'!$F$23:$F$39"),0),MATCH($B$44&amp;$C$44&amp;I$44&amp;"Cost",INDIRECT("'"&amp;$B49&amp;"'!$F$23:$AJ$23")&amp;INDIRECT("'"&amp;$B49&amp;"'!$F$24:$AJ$24")&amp;INDIRECT("'"&amp;$B49&amp;"'!$F$25:$AJ$25")&amp;INDIRECT("'"&amp;$B49&amp;"'!$F$30:$AJ$30"),0))</f>
        <v>382.57969887900003</v>
      </c>
      <c r="J49" s="156">
        <f ca="1">I49-D49</f>
        <v>6.949164878999909</v>
      </c>
      <c r="L49" s="41"/>
      <c r="M49" s="41"/>
      <c r="N49" s="41"/>
      <c r="O49" s="41"/>
      <c r="P49" s="41"/>
      <c r="Q49" s="41"/>
      <c r="R49" s="41"/>
    </row>
    <row r="50" spans="1:18" x14ac:dyDescent="0.3">
      <c r="A50" s="101"/>
      <c r="B50" s="157" t="str">
        <f>B49</f>
        <v>Ausgrid</v>
      </c>
      <c r="C50" s="158" t="s">
        <v>142</v>
      </c>
      <c r="D50" s="159">
        <f ca="1">SUM(D45:D49)</f>
        <v>1467</v>
      </c>
      <c r="E50" s="159"/>
      <c r="F50" s="159"/>
      <c r="G50" s="159"/>
      <c r="H50" s="159"/>
      <c r="I50" s="159">
        <f ca="1">SUM(I45:I49)</f>
        <v>1483.185650379</v>
      </c>
      <c r="J50" s="160"/>
      <c r="L50" s="183" t="b">
        <f ca="1">IF(J49&gt;0,I50=SUM(H45,J49),I50=H45)</f>
        <v>1</v>
      </c>
      <c r="M50" s="41"/>
      <c r="N50" s="41"/>
      <c r="O50" s="41"/>
      <c r="P50" s="41"/>
      <c r="Q50" s="41"/>
      <c r="R50" s="41"/>
    </row>
    <row r="51" spans="1:18" x14ac:dyDescent="0.3">
      <c r="A51" s="101" t="str">
        <f>B51&amp;" "&amp;$B$44&amp;" "&amp;$C$44&amp;" $"</f>
        <v>Endeavour Residential without CL $</v>
      </c>
      <c r="B51" s="150" t="s">
        <v>4</v>
      </c>
      <c r="C51" s="151" t="s">
        <v>212</v>
      </c>
      <c r="D51" s="152">
        <v>0</v>
      </c>
      <c r="E51" s="152">
        <f ca="1">IF($J52&lt;0,SUM(D51:D55)+$J52,SUM(D51:D55))</f>
        <v>1707.96468</v>
      </c>
      <c r="F51" s="152">
        <f ca="1">IF($J53&lt;0,IF($J52&lt;0,E51+$J53,E51+$J52+$J53),IF($J52&lt;0,E51,E51+$J52))</f>
        <v>1707.96468</v>
      </c>
      <c r="G51" s="152">
        <f ca="1">IF($J54&lt;0,IF($J53&lt;0,F51+$J54,F51+$J53+$J54),IF($J53&lt;0,F51,F51+$J53))</f>
        <v>1721.1701800000001</v>
      </c>
      <c r="H51" s="152">
        <f ca="1">IF($J55&lt;0,IF($J54&lt;0,G51+$J55,G51+$J54+$J55),IF($J54&lt;0,G51,G51+$J54))</f>
        <v>1721.1701800000001</v>
      </c>
      <c r="I51" s="152">
        <v>0</v>
      </c>
      <c r="J51" s="153"/>
      <c r="L51" s="176"/>
    </row>
    <row r="52" spans="1:18" x14ac:dyDescent="0.3">
      <c r="A52" s="101"/>
      <c r="B52" s="154" t="str">
        <f>B51</f>
        <v>Endeavour</v>
      </c>
      <c r="C52" s="36" t="s">
        <v>68</v>
      </c>
      <c r="D52" s="14">
        <f t="array" aca="1" ref="D52" ca="1">INDEX(INDIRECT("'"&amp;$B52&amp;"'!$F$23:$AJ$39"),MATCH($C52,INDIRECT("'"&amp;$B52&amp;"'!$F$23:$F$39"),0),MATCH($B$44&amp;$C$44&amp;D$44&amp;"Cost",INDIRECT("'"&amp;$B52&amp;"'!$F$23:$AJ$23")&amp;INDIRECT("'"&amp;$B52&amp;"'!$F$24:$AJ$24")&amp;INDIRECT("'"&amp;$B52&amp;"'!$F$25:$AJ$25")&amp;INDIRECT("'"&amp;$B52&amp;"'!$F$30:$AJ$30"),0))</f>
        <v>623.53731000000005</v>
      </c>
      <c r="E52" s="155">
        <f ca="1">ABS($I52-$D52)</f>
        <v>12.035319999999956</v>
      </c>
      <c r="F52" s="155"/>
      <c r="G52" s="155"/>
      <c r="H52" s="155"/>
      <c r="I52" s="14">
        <f t="array" aca="1" ref="I52" ca="1">INDEX(INDIRECT("'"&amp;$B52&amp;"'!$F$23:$AJ$39"),MATCH($C52,INDIRECT("'"&amp;$B52&amp;"'!$F$23:$F$39"),0),MATCH($B$44&amp;$C$44&amp;I$44&amp;"Cost",INDIRECT("'"&amp;$B52&amp;"'!$F$23:$AJ$23")&amp;INDIRECT("'"&amp;$B52&amp;"'!$F$24:$AJ$24")&amp;INDIRECT("'"&amp;$B52&amp;"'!$F$25:$AJ$25")&amp;INDIRECT("'"&amp;$B52&amp;"'!$F$30:$AJ$30"),0))</f>
        <v>611.50199000000009</v>
      </c>
      <c r="J52" s="156">
        <f ca="1">I52-D52</f>
        <v>-12.035319999999956</v>
      </c>
      <c r="L52" s="176"/>
    </row>
    <row r="53" spans="1:18" x14ac:dyDescent="0.3">
      <c r="A53" s="101"/>
      <c r="B53" s="154" t="str">
        <f>B52</f>
        <v>Endeavour</v>
      </c>
      <c r="C53" s="36" t="s">
        <v>69</v>
      </c>
      <c r="D53" s="14">
        <f t="array" aca="1" ref="D53" ca="1">INDEX(INDIRECT("'"&amp;$B53&amp;"'!$F$23:$AJ$39"),MATCH($C53,INDIRECT("'"&amp;$B53&amp;"'!$F$23:$F$39"),0),MATCH($B$44&amp;$C$44&amp;D$44&amp;"Cost",INDIRECT("'"&amp;$B53&amp;"'!$F$23:$AJ$23")&amp;INDIRECT("'"&amp;$B53&amp;"'!$F$24:$AJ$24")&amp;INDIRECT("'"&amp;$B53&amp;"'!$F$25:$AJ$25")&amp;INDIRECT("'"&amp;$B53&amp;"'!$F$30:$AJ$30"),0))</f>
        <v>585.40789999999993</v>
      </c>
      <c r="E53" s="155"/>
      <c r="F53" s="155">
        <f ca="1">ABS($I53-$D53)</f>
        <v>25.386900000000082</v>
      </c>
      <c r="G53" s="155"/>
      <c r="H53" s="155"/>
      <c r="I53" s="14">
        <f t="array" aca="1" ref="I53" ca="1">INDEX(INDIRECT("'"&amp;$B53&amp;"'!$F$23:$AJ$39"),MATCH($C53,INDIRECT("'"&amp;$B53&amp;"'!$F$23:$F$39"),0),MATCH($B$44&amp;$C$44&amp;I$44&amp;"Cost",INDIRECT("'"&amp;$B53&amp;"'!$F$23:$AJ$23")&amp;INDIRECT("'"&amp;$B53&amp;"'!$F$24:$AJ$24")&amp;INDIRECT("'"&amp;$B53&amp;"'!$F$25:$AJ$25")&amp;INDIRECT("'"&amp;$B53&amp;"'!$F$30:$AJ$30"),0))</f>
        <v>610.79480000000001</v>
      </c>
      <c r="J53" s="156">
        <f ca="1">I53-D53</f>
        <v>25.386900000000082</v>
      </c>
      <c r="L53" s="176"/>
    </row>
    <row r="54" spans="1:18" x14ac:dyDescent="0.3">
      <c r="A54" s="101"/>
      <c r="B54" s="154" t="str">
        <f>B53</f>
        <v>Endeavour</v>
      </c>
      <c r="C54" s="36" t="s">
        <v>70</v>
      </c>
      <c r="D54" s="14">
        <f t="array" aca="1" ref="D54" ca="1">INDEX(INDIRECT("'"&amp;$B54&amp;"'!$F$23:$AJ$39"),MATCH($C54,INDIRECT("'"&amp;$B54&amp;"'!$F$23:$F$39"),0),MATCH($B$44&amp;$C$44&amp;D$44&amp;"Cost",INDIRECT("'"&amp;$B54&amp;"'!$F$23:$AJ$23")&amp;INDIRECT("'"&amp;$B54&amp;"'!$F$24:$AJ$24")&amp;INDIRECT("'"&amp;$B54&amp;"'!$F$25:$AJ$25")&amp;INDIRECT("'"&amp;$B54&amp;"'!$F$30:$AJ$30"),0))</f>
        <v>104.83550000000001</v>
      </c>
      <c r="E54" s="155"/>
      <c r="F54" s="155"/>
      <c r="G54" s="155">
        <f ca="1">ABS($I54-$D54)</f>
        <v>12.181400000000011</v>
      </c>
      <c r="H54" s="155"/>
      <c r="I54" s="14">
        <f t="array" aca="1" ref="I54" ca="1">INDEX(INDIRECT("'"&amp;$B54&amp;"'!$F$23:$AJ$39"),MATCH($C54,INDIRECT("'"&amp;$B54&amp;"'!$F$23:$F$39"),0),MATCH($B$44&amp;$C$44&amp;I$44&amp;"Cost",INDIRECT("'"&amp;$B54&amp;"'!$F$23:$AJ$23")&amp;INDIRECT("'"&amp;$B54&amp;"'!$F$24:$AJ$24")&amp;INDIRECT("'"&amp;$B54&amp;"'!$F$25:$AJ$25")&amp;INDIRECT("'"&amp;$B54&amp;"'!$F$30:$AJ$30"),0))</f>
        <v>92.6541</v>
      </c>
      <c r="J54" s="156">
        <f ca="1">I54-D54</f>
        <v>-12.181400000000011</v>
      </c>
      <c r="L54" s="176"/>
    </row>
    <row r="55" spans="1:18" x14ac:dyDescent="0.3">
      <c r="A55" s="101"/>
      <c r="B55" s="154" t="str">
        <f>B54</f>
        <v>Endeavour</v>
      </c>
      <c r="C55" s="36" t="s">
        <v>71</v>
      </c>
      <c r="D55" s="14">
        <f t="array" aca="1" ref="D55" ca="1">INDEX(INDIRECT("'"&amp;$B55&amp;"'!$F$23:$AJ$39"),MATCH($C55,INDIRECT("'"&amp;$B55&amp;"'!$F$23:$F$39"),0),MATCH($B$44&amp;$C$44&amp;D$44&amp;"Cost",INDIRECT("'"&amp;$B55&amp;"'!$F$23:$AJ$23")&amp;INDIRECT("'"&amp;$B55&amp;"'!$F$24:$AJ$24")&amp;INDIRECT("'"&amp;$B55&amp;"'!$F$25:$AJ$25")&amp;INDIRECT("'"&amp;$B55&amp;"'!$F$30:$AJ$30"),0))</f>
        <v>406.21929000000023</v>
      </c>
      <c r="E55" s="155"/>
      <c r="F55" s="155"/>
      <c r="G55" s="155"/>
      <c r="H55" s="155">
        <f ca="1">ABS($I55-$D55)</f>
        <v>7.5150568649996785</v>
      </c>
      <c r="I55" s="14">
        <f t="array" aca="1" ref="I55" ca="1">INDEX(INDIRECT("'"&amp;$B55&amp;"'!$F$23:$AJ$39"),MATCH($C55,INDIRECT("'"&amp;$B55&amp;"'!$F$23:$F$39"),0),MATCH($B$44&amp;$C$44&amp;I$44&amp;"Cost",INDIRECT("'"&amp;$B55&amp;"'!$F$23:$AJ$23")&amp;INDIRECT("'"&amp;$B55&amp;"'!$F$24:$AJ$24")&amp;INDIRECT("'"&amp;$B55&amp;"'!$F$25:$AJ$25")&amp;INDIRECT("'"&amp;$B55&amp;"'!$F$30:$AJ$30"),0))</f>
        <v>413.73434686499991</v>
      </c>
      <c r="J55" s="156">
        <f ca="1">I55-D55</f>
        <v>7.5150568649996785</v>
      </c>
      <c r="L55" s="176"/>
    </row>
    <row r="56" spans="1:18" x14ac:dyDescent="0.3">
      <c r="A56" s="101"/>
      <c r="B56" s="157" t="str">
        <f>B55</f>
        <v>Endeavour</v>
      </c>
      <c r="C56" s="158" t="s">
        <v>142</v>
      </c>
      <c r="D56" s="159">
        <f ca="1">SUM(D51:D55)</f>
        <v>1720</v>
      </c>
      <c r="E56" s="159"/>
      <c r="F56" s="159"/>
      <c r="G56" s="159"/>
      <c r="H56" s="159"/>
      <c r="I56" s="159">
        <f ca="1">SUM(I51:I55)</f>
        <v>1728.685236865</v>
      </c>
      <c r="J56" s="160"/>
      <c r="L56" s="183" t="b">
        <f ca="1">IF(J55&gt;0,I56=SUM(H51,J55),I56=H51)</f>
        <v>1</v>
      </c>
    </row>
    <row r="57" spans="1:18" x14ac:dyDescent="0.3">
      <c r="A57" s="101" t="str">
        <f>B57&amp;" "&amp;$B$44&amp;" "&amp;$C$44&amp;" $"</f>
        <v>Essential Residential without CL $</v>
      </c>
      <c r="B57" s="150" t="s">
        <v>3</v>
      </c>
      <c r="C57" s="151" t="s">
        <v>212</v>
      </c>
      <c r="D57" s="152">
        <v>0</v>
      </c>
      <c r="E57" s="152">
        <f ca="1">IF($J58&lt;0,SUM(D57:D61)+$J58,SUM(D57:D61))</f>
        <v>1957</v>
      </c>
      <c r="F57" s="152">
        <f ca="1">IF($J59&lt;0,IF($J58&lt;0,E57+$J59,E57+$J58+$J59),IF($J58&lt;0,E57,E57+$J58))</f>
        <v>1959.4072400000002</v>
      </c>
      <c r="G57" s="152">
        <f ca="1">IF($J60&lt;0,IF($J59&lt;0,F57+$J60,F57+$J59+$J60),IF($J59&lt;0,F57,F57+$J59))</f>
        <v>1958.1928400000002</v>
      </c>
      <c r="H57" s="152">
        <f ca="1">IF($J61&lt;0,IF($J60&lt;0,G57+$J61,G57+$J60+$J61),IF($J60&lt;0,G57,G57+$J60))</f>
        <v>1958.1928400000002</v>
      </c>
      <c r="I57" s="152">
        <v>0</v>
      </c>
      <c r="J57" s="153"/>
      <c r="L57" s="176"/>
    </row>
    <row r="58" spans="1:18" x14ac:dyDescent="0.3">
      <c r="A58" s="101"/>
      <c r="B58" s="154" t="str">
        <f>B57</f>
        <v>Essential</v>
      </c>
      <c r="C58" s="36" t="s">
        <v>68</v>
      </c>
      <c r="D58" s="14">
        <f t="array" aca="1" ref="D58" ca="1">INDEX(INDIRECT("'"&amp;$B58&amp;"'!$F$23:$AJ$39"),MATCH($C58,INDIRECT("'"&amp;$B58&amp;"'!$F$23:$F$39"),0),MATCH($B$44&amp;$C$44&amp;D$44&amp;"Cost",INDIRECT("'"&amp;$B58&amp;"'!$F$23:$AJ$23")&amp;INDIRECT("'"&amp;$B58&amp;"'!$F$24:$AJ$24")&amp;INDIRECT("'"&amp;$B58&amp;"'!$F$25:$AJ$25")&amp;INDIRECT("'"&amp;$B58&amp;"'!$F$30:$AJ$30"),0))</f>
        <v>885.97822499999984</v>
      </c>
      <c r="E58" s="155">
        <f ca="1">ABS($I58-$D58)</f>
        <v>2.407240000000229</v>
      </c>
      <c r="F58" s="155"/>
      <c r="G58" s="155"/>
      <c r="H58" s="155"/>
      <c r="I58" s="14">
        <f t="array" aca="1" ref="I58" ca="1">INDEX(INDIRECT("'"&amp;$B58&amp;"'!$F$23:$AJ$39"),MATCH($C58,INDIRECT("'"&amp;$B58&amp;"'!$F$23:$F$39"),0),MATCH($B$44&amp;$C$44&amp;I$44&amp;"Cost",INDIRECT("'"&amp;$B58&amp;"'!$F$23:$AJ$23")&amp;INDIRECT("'"&amp;$B58&amp;"'!$F$24:$AJ$24")&amp;INDIRECT("'"&amp;$B58&amp;"'!$F$25:$AJ$25")&amp;INDIRECT("'"&amp;$B58&amp;"'!$F$30:$AJ$30"),0))</f>
        <v>888.38546500000007</v>
      </c>
      <c r="J58" s="156">
        <f ca="1">I58-D58</f>
        <v>2.407240000000229</v>
      </c>
      <c r="L58" s="176"/>
    </row>
    <row r="59" spans="1:18" x14ac:dyDescent="0.3">
      <c r="A59" s="101"/>
      <c r="B59" s="154" t="str">
        <f>B58</f>
        <v>Essential</v>
      </c>
      <c r="C59" s="36" t="s">
        <v>69</v>
      </c>
      <c r="D59" s="14">
        <f t="array" aca="1" ref="D59" ca="1">INDEX(INDIRECT("'"&amp;$B59&amp;"'!$F$23:$AJ$39"),MATCH($C59,INDIRECT("'"&amp;$B59&amp;"'!$F$23:$F$39"),0),MATCH($B$44&amp;$C$44&amp;D$44&amp;"Cost",INDIRECT("'"&amp;$B59&amp;"'!$F$23:$AJ$23")&amp;INDIRECT("'"&amp;$B59&amp;"'!$F$24:$AJ$24")&amp;INDIRECT("'"&amp;$B59&amp;"'!$F$25:$AJ$25")&amp;INDIRECT("'"&amp;$B59&amp;"'!$F$30:$AJ$30"),0))</f>
        <v>522.04020000000003</v>
      </c>
      <c r="E59" s="155"/>
      <c r="F59" s="155">
        <f ca="1">ABS($I59-$D59)</f>
        <v>10.62600000000009</v>
      </c>
      <c r="G59" s="155"/>
      <c r="H59" s="155"/>
      <c r="I59" s="14">
        <f t="array" aca="1" ref="I59" ca="1">INDEX(INDIRECT("'"&amp;$B59&amp;"'!$F$23:$AJ$39"),MATCH($C59,INDIRECT("'"&amp;$B59&amp;"'!$F$23:$F$39"),0),MATCH($B$44&amp;$C$44&amp;I$44&amp;"Cost",INDIRECT("'"&amp;$B59&amp;"'!$F$23:$AJ$23")&amp;INDIRECT("'"&amp;$B59&amp;"'!$F$24:$AJ$24")&amp;INDIRECT("'"&amp;$B59&amp;"'!$F$25:$AJ$25")&amp;INDIRECT("'"&amp;$B59&amp;"'!$F$30:$AJ$30"),0))</f>
        <v>532.66620000000012</v>
      </c>
      <c r="J59" s="156">
        <f ca="1">I59-D59</f>
        <v>10.62600000000009</v>
      </c>
      <c r="L59" s="176"/>
    </row>
    <row r="60" spans="1:18" x14ac:dyDescent="0.3">
      <c r="A60" s="101"/>
      <c r="B60" s="154" t="str">
        <f>B59</f>
        <v>Essential</v>
      </c>
      <c r="C60" s="36" t="s">
        <v>70</v>
      </c>
      <c r="D60" s="14">
        <f t="array" aca="1" ref="D60" ca="1">INDEX(INDIRECT("'"&amp;$B60&amp;"'!$F$23:$AJ$39"),MATCH($C60,INDIRECT("'"&amp;$B60&amp;"'!$F$23:$F$39"),0),MATCH($B$44&amp;$C$44&amp;D$44&amp;"Cost",INDIRECT("'"&amp;$B60&amp;"'!$F$23:$AJ$23")&amp;INDIRECT("'"&amp;$B60&amp;"'!$F$24:$AJ$24")&amp;INDIRECT("'"&amp;$B60&amp;"'!$F$25:$AJ$25")&amp;INDIRECT("'"&amp;$B60&amp;"'!$F$30:$AJ$30"),0))</f>
        <v>98.72059999999999</v>
      </c>
      <c r="E60" s="155"/>
      <c r="F60" s="155"/>
      <c r="G60" s="155">
        <f ca="1">ABS($I60-$D60)</f>
        <v>11.840399999999974</v>
      </c>
      <c r="H60" s="155"/>
      <c r="I60" s="14">
        <f t="array" aca="1" ref="I60" ca="1">INDEX(INDIRECT("'"&amp;$B60&amp;"'!$F$23:$AJ$39"),MATCH($C60,INDIRECT("'"&amp;$B60&amp;"'!$F$23:$F$39"),0),MATCH($B$44&amp;$C$44&amp;I$44&amp;"Cost",INDIRECT("'"&amp;$B60&amp;"'!$F$23:$AJ$23")&amp;INDIRECT("'"&amp;$B60&amp;"'!$F$24:$AJ$24")&amp;INDIRECT("'"&amp;$B60&amp;"'!$F$25:$AJ$25")&amp;INDIRECT("'"&amp;$B60&amp;"'!$F$30:$AJ$30"),0))</f>
        <v>86.880200000000016</v>
      </c>
      <c r="J60" s="156">
        <f ca="1">I60-D60</f>
        <v>-11.840399999999974</v>
      </c>
      <c r="L60" s="176"/>
    </row>
    <row r="61" spans="1:18" x14ac:dyDescent="0.3">
      <c r="A61" s="101"/>
      <c r="B61" s="154" t="str">
        <f>B60</f>
        <v>Essential</v>
      </c>
      <c r="C61" s="36" t="s">
        <v>71</v>
      </c>
      <c r="D61" s="14">
        <f t="array" aca="1" ref="D61" ca="1">INDEX(INDIRECT("'"&amp;$B61&amp;"'!$F$23:$AJ$39"),MATCH($C61,INDIRECT("'"&amp;$B61&amp;"'!$F$23:$F$39"),0),MATCH($B$44&amp;$C$44&amp;D$44&amp;"Cost",INDIRECT("'"&amp;$B61&amp;"'!$F$23:$AJ$23")&amp;INDIRECT("'"&amp;$B61&amp;"'!$F$24:$AJ$24")&amp;INDIRECT("'"&amp;$B61&amp;"'!$F$25:$AJ$25")&amp;INDIRECT("'"&amp;$B61&amp;"'!$F$30:$AJ$30"),0))</f>
        <v>450.26097500000014</v>
      </c>
      <c r="E61" s="155"/>
      <c r="F61" s="155"/>
      <c r="G61" s="155"/>
      <c r="H61" s="155">
        <f ca="1">ABS($I61-$D61)</f>
        <v>8.3298280374997375</v>
      </c>
      <c r="I61" s="14">
        <f t="array" aca="1" ref="I61" ca="1">INDEX(INDIRECT("'"&amp;$B61&amp;"'!$F$23:$AJ$39"),MATCH($C61,INDIRECT("'"&amp;$B61&amp;"'!$F$23:$F$39"),0),MATCH($B$44&amp;$C$44&amp;I$44&amp;"Cost",INDIRECT("'"&amp;$B61&amp;"'!$F$23:$AJ$23")&amp;INDIRECT("'"&amp;$B61&amp;"'!$F$24:$AJ$24")&amp;INDIRECT("'"&amp;$B61&amp;"'!$F$25:$AJ$25")&amp;INDIRECT("'"&amp;$B61&amp;"'!$F$30:$AJ$30"),0))</f>
        <v>458.59080303749988</v>
      </c>
      <c r="J61" s="156">
        <f ca="1">I61-D61</f>
        <v>8.3298280374997375</v>
      </c>
      <c r="L61" s="176"/>
    </row>
    <row r="62" spans="1:18" x14ac:dyDescent="0.3">
      <c r="A62" s="101"/>
      <c r="B62" s="157" t="str">
        <f>B61</f>
        <v>Essential</v>
      </c>
      <c r="C62" s="158" t="s">
        <v>142</v>
      </c>
      <c r="D62" s="159">
        <f ca="1">SUM(D57:D61)</f>
        <v>1957</v>
      </c>
      <c r="E62" s="159"/>
      <c r="F62" s="159"/>
      <c r="G62" s="159"/>
      <c r="H62" s="159"/>
      <c r="I62" s="159">
        <f ca="1">SUM(I57:I61)</f>
        <v>1966.5226680375001</v>
      </c>
      <c r="J62" s="160"/>
      <c r="L62" s="183" t="b">
        <f ca="1">IF(J61&gt;0,I62=SUM(H57,J61),I62=H57)</f>
        <v>1</v>
      </c>
    </row>
    <row r="63" spans="1:18" x14ac:dyDescent="0.3">
      <c r="A63" s="101" t="str">
        <f>B63&amp;" "&amp;$B$44&amp;" "&amp;$C$44&amp;" $"</f>
        <v>Energex Residential without CL $</v>
      </c>
      <c r="B63" s="150" t="s">
        <v>0</v>
      </c>
      <c r="C63" s="151" t="s">
        <v>212</v>
      </c>
      <c r="D63" s="152">
        <v>0</v>
      </c>
      <c r="E63" s="152">
        <f ca="1">IF($J64&lt;0,SUM(D63:D67)+$J64,SUM(D63:D67))</f>
        <v>1512.0643749999999</v>
      </c>
      <c r="F63" s="152">
        <f ca="1">IF($J65&lt;0,IF($J64&lt;0,E63+$J65,E63+$J64+$J65),IF($J64&lt;0,E63,E63+$J64))</f>
        <v>1490.4581749999998</v>
      </c>
      <c r="G63" s="152">
        <f ca="1">IF($J66&lt;0,IF($J65&lt;0,F63+$J66,F63+$J65+$J66),IF($J65&lt;0,F63,F63+$J65))</f>
        <v>1477.7575749999996</v>
      </c>
      <c r="H63" s="152">
        <f ca="1">IF($J67&lt;0,IF($J66&lt;0,G63+$J67,G63+$J66+$J67),IF($J66&lt;0,G63,G63+$J66))</f>
        <v>1477.7575749999996</v>
      </c>
      <c r="I63" s="152">
        <v>0</v>
      </c>
      <c r="J63" s="153"/>
      <c r="L63" s="176"/>
    </row>
    <row r="64" spans="1:18" x14ac:dyDescent="0.3">
      <c r="A64" s="101"/>
      <c r="B64" s="154" t="str">
        <f>B63</f>
        <v>Energex</v>
      </c>
      <c r="C64" s="36" t="s">
        <v>68</v>
      </c>
      <c r="D64" s="14">
        <f t="array" aca="1" ref="D64" ca="1">INDEX(INDIRECT("'"&amp;$B64&amp;"'!$F$23:$AJ$39"),MATCH($C64,INDIRECT("'"&amp;$B64&amp;"'!$F$23:$F$39"),0),MATCH($B$44&amp;$C$44&amp;D$44&amp;"Cost",INDIRECT("'"&amp;$B64&amp;"'!$F$23:$AJ$23")&amp;INDIRECT("'"&amp;$B64&amp;"'!$F$24:$AJ$24")&amp;INDIRECT("'"&amp;$B64&amp;"'!$F$25:$AJ$25")&amp;INDIRECT("'"&amp;$B64&amp;"'!$F$30:$AJ$30"),0))</f>
        <v>661.38083000000006</v>
      </c>
      <c r="E64" s="155">
        <f ca="1">ABS($I64-$D64)</f>
        <v>57.935625000000073</v>
      </c>
      <c r="F64" s="155"/>
      <c r="G64" s="155"/>
      <c r="H64" s="155"/>
      <c r="I64" s="14">
        <f t="array" aca="1" ref="I64" ca="1">INDEX(INDIRECT("'"&amp;$B64&amp;"'!$F$23:$AJ$39"),MATCH($C64,INDIRECT("'"&amp;$B64&amp;"'!$F$23:$F$39"),0),MATCH($B$44&amp;$C$44&amp;I$44&amp;"Cost",INDIRECT("'"&amp;$B64&amp;"'!$F$23:$AJ$23")&amp;INDIRECT("'"&amp;$B64&amp;"'!$F$24:$AJ$24")&amp;INDIRECT("'"&amp;$B64&amp;"'!$F$25:$AJ$25")&amp;INDIRECT("'"&amp;$B64&amp;"'!$F$30:$AJ$30"),0))</f>
        <v>603.44520499999999</v>
      </c>
      <c r="J64" s="156">
        <f ca="1">I64-D64</f>
        <v>-57.935625000000073</v>
      </c>
      <c r="L64" s="176"/>
    </row>
    <row r="65" spans="1:12" x14ac:dyDescent="0.3">
      <c r="A65" s="101"/>
      <c r="B65" s="154" t="str">
        <f>B64</f>
        <v>Energex</v>
      </c>
      <c r="C65" s="36" t="s">
        <v>69</v>
      </c>
      <c r="D65" s="14">
        <f t="array" aca="1" ref="D65" ca="1">INDEX(INDIRECT("'"&amp;$B65&amp;"'!$F$23:$AJ$39"),MATCH($C65,INDIRECT("'"&amp;$B65&amp;"'!$F$23:$F$39"),0),MATCH($B$44&amp;$C$44&amp;D$44&amp;"Cost",INDIRECT("'"&amp;$B65&amp;"'!$F$23:$AJ$23")&amp;INDIRECT("'"&amp;$B65&amp;"'!$F$24:$AJ$24")&amp;INDIRECT("'"&amp;$B65&amp;"'!$F$25:$AJ$25")&amp;INDIRECT("'"&amp;$B65&amp;"'!$F$30:$AJ$30"),0))</f>
        <v>497.60039999999998</v>
      </c>
      <c r="E65" s="155"/>
      <c r="F65" s="155">
        <f ca="1">ABS($I65-$D65)</f>
        <v>21.606200000000058</v>
      </c>
      <c r="G65" s="155"/>
      <c r="H65" s="155"/>
      <c r="I65" s="14">
        <f t="array" aca="1" ref="I65" ca="1">INDEX(INDIRECT("'"&amp;$B65&amp;"'!$F$23:$AJ$39"),MATCH($C65,INDIRECT("'"&amp;$B65&amp;"'!$F$23:$F$39"),0),MATCH($B$44&amp;$C$44&amp;I$44&amp;"Cost",INDIRECT("'"&amp;$B65&amp;"'!$F$23:$AJ$23")&amp;INDIRECT("'"&amp;$B65&amp;"'!$F$24:$AJ$24")&amp;INDIRECT("'"&amp;$B65&amp;"'!$F$25:$AJ$25")&amp;INDIRECT("'"&amp;$B65&amp;"'!$F$30:$AJ$30"),0))</f>
        <v>475.99419999999992</v>
      </c>
      <c r="J65" s="156">
        <f ca="1">I65-D65</f>
        <v>-21.606200000000058</v>
      </c>
      <c r="L65" s="176"/>
    </row>
    <row r="66" spans="1:12" x14ac:dyDescent="0.3">
      <c r="A66" s="101"/>
      <c r="B66" s="154" t="str">
        <f>B65</f>
        <v>Energex</v>
      </c>
      <c r="C66" s="36" t="s">
        <v>70</v>
      </c>
      <c r="D66" s="14">
        <f t="array" aca="1" ref="D66" ca="1">INDEX(INDIRECT("'"&amp;$B66&amp;"'!$F$23:$AJ$39"),MATCH($C66,INDIRECT("'"&amp;$B66&amp;"'!$F$23:$F$39"),0),MATCH($B$44&amp;$C$44&amp;D$44&amp;"Cost",INDIRECT("'"&amp;$B66&amp;"'!$F$23:$AJ$23")&amp;INDIRECT("'"&amp;$B66&amp;"'!$F$24:$AJ$24")&amp;INDIRECT("'"&amp;$B66&amp;"'!$F$25:$AJ$25")&amp;INDIRECT("'"&amp;$B66&amp;"'!$F$30:$AJ$30"),0))</f>
        <v>89.663200000000003</v>
      </c>
      <c r="E66" s="155"/>
      <c r="F66" s="155"/>
      <c r="G66" s="155">
        <f ca="1">ABS($I66-$D66)</f>
        <v>12.700600000000009</v>
      </c>
      <c r="H66" s="155"/>
      <c r="I66" s="14">
        <f t="array" aca="1" ref="I66" ca="1">INDEX(INDIRECT("'"&amp;$B66&amp;"'!$F$23:$AJ$39"),MATCH($C66,INDIRECT("'"&amp;$B66&amp;"'!$F$23:$F$39"),0),MATCH($B$44&amp;$C$44&amp;I$44&amp;"Cost",INDIRECT("'"&amp;$B66&amp;"'!$F$23:$AJ$23")&amp;INDIRECT("'"&amp;$B66&amp;"'!$F$24:$AJ$24")&amp;INDIRECT("'"&amp;$B66&amp;"'!$F$25:$AJ$25")&amp;INDIRECT("'"&amp;$B66&amp;"'!$F$30:$AJ$30"),0))</f>
        <v>76.962599999999995</v>
      </c>
      <c r="J66" s="156">
        <f ca="1">I66-D66</f>
        <v>-12.700600000000009</v>
      </c>
      <c r="L66" s="176"/>
    </row>
    <row r="67" spans="1:12" x14ac:dyDescent="0.3">
      <c r="A67" s="101"/>
      <c r="B67" s="154" t="str">
        <f>B66</f>
        <v>Energex</v>
      </c>
      <c r="C67" s="36" t="s">
        <v>71</v>
      </c>
      <c r="D67" s="14">
        <f t="array" aca="1" ref="D67" ca="1">INDEX(INDIRECT("'"&amp;$B67&amp;"'!$F$23:$AJ$39"),MATCH($C67,INDIRECT("'"&amp;$B67&amp;"'!$F$23:$F$39"),0),MATCH($B$44&amp;$C$44&amp;D$44&amp;"Cost",INDIRECT("'"&amp;$B67&amp;"'!$F$23:$AJ$23")&amp;INDIRECT("'"&amp;$B67&amp;"'!$F$24:$AJ$24")&amp;INDIRECT("'"&amp;$B67&amp;"'!$F$25:$AJ$25")&amp;INDIRECT("'"&amp;$B67&amp;"'!$F$30:$AJ$30"),0))</f>
        <v>321.35556999999994</v>
      </c>
      <c r="E67" s="155"/>
      <c r="F67" s="155"/>
      <c r="G67" s="155"/>
      <c r="H67" s="155">
        <f ca="1">ABS($I67-$D67)</f>
        <v>5.9450780449999456</v>
      </c>
      <c r="I67" s="14">
        <f t="array" aca="1" ref="I67" ca="1">INDEX(INDIRECT("'"&amp;$B67&amp;"'!$F$23:$AJ$39"),MATCH($C67,INDIRECT("'"&amp;$B67&amp;"'!$F$23:$F$39"),0),MATCH($B$44&amp;$C$44&amp;I$44&amp;"Cost",INDIRECT("'"&amp;$B67&amp;"'!$F$23:$AJ$23")&amp;INDIRECT("'"&amp;$B67&amp;"'!$F$24:$AJ$24")&amp;INDIRECT("'"&amp;$B67&amp;"'!$F$25:$AJ$25")&amp;INDIRECT("'"&amp;$B67&amp;"'!$F$30:$AJ$30"),0))</f>
        <v>327.30064804499989</v>
      </c>
      <c r="J67" s="156">
        <f ca="1">I67-D67</f>
        <v>5.9450780449999456</v>
      </c>
      <c r="L67" s="176"/>
    </row>
    <row r="68" spans="1:12" x14ac:dyDescent="0.3">
      <c r="A68" s="101"/>
      <c r="B68" s="157" t="str">
        <f>B67</f>
        <v>Energex</v>
      </c>
      <c r="C68" s="158" t="s">
        <v>142</v>
      </c>
      <c r="D68" s="159">
        <f ca="1">SUM(D63:D67)</f>
        <v>1570</v>
      </c>
      <c r="E68" s="159"/>
      <c r="F68" s="159"/>
      <c r="G68" s="159"/>
      <c r="H68" s="159"/>
      <c r="I68" s="159">
        <f ca="1">SUM(I63:I67)</f>
        <v>1483.7026530449998</v>
      </c>
      <c r="J68" s="160"/>
      <c r="L68" s="183" t="b">
        <f ca="1">IF(J67&gt;0,I68=SUM(H63,J67),I68=H63)</f>
        <v>1</v>
      </c>
    </row>
    <row r="69" spans="1:12" x14ac:dyDescent="0.3">
      <c r="A69" s="101" t="str">
        <f>B69&amp;" "&amp;$B$44&amp;" "&amp;$C$44&amp;" $"</f>
        <v>SAPN Residential without CL $</v>
      </c>
      <c r="B69" s="150" t="s">
        <v>5</v>
      </c>
      <c r="C69" s="151" t="s">
        <v>212</v>
      </c>
      <c r="D69" s="152">
        <v>0</v>
      </c>
      <c r="E69" s="152">
        <f ca="1">IF($J70&lt;0,SUM(D69:D73)+$J70,SUM(D69:D73))</f>
        <v>1893.5349999999999</v>
      </c>
      <c r="F69" s="152">
        <f ca="1">IF($J71&lt;0,IF($J70&lt;0,E69+$J71,E69+$J70+$J71),IF($J70&lt;0,E69,E69+$J70))</f>
        <v>1862.4269999999999</v>
      </c>
      <c r="G69" s="152">
        <f ca="1">IF($J72&lt;0,IF($J71&lt;0,F69+$J72,F69+$J71+$J72),IF($J71&lt;0,F69,F69+$J71))</f>
        <v>1850.8989999999999</v>
      </c>
      <c r="H69" s="152">
        <f ca="1">IF($J73&lt;0,IF($J72&lt;0,G69+$J73,G69+$J72+$J73),IF($J72&lt;0,G69,G69+$J72))</f>
        <v>1850.8989999999999</v>
      </c>
      <c r="I69" s="152">
        <v>0</v>
      </c>
      <c r="J69" s="153"/>
      <c r="L69" s="176"/>
    </row>
    <row r="70" spans="1:12" x14ac:dyDescent="0.3">
      <c r="A70" s="101"/>
      <c r="B70" s="154" t="str">
        <f>B69</f>
        <v>SAPN</v>
      </c>
      <c r="C70" s="36" t="s">
        <v>68</v>
      </c>
      <c r="D70" s="14">
        <f t="array" aca="1" ref="D70" ca="1">INDEX(INDIRECT("'"&amp;$B70&amp;"'!$F$23:$AJ$39"),MATCH($C70,INDIRECT("'"&amp;$B70&amp;"'!$F$23:$F$39"),0),MATCH($B$44&amp;$C$44&amp;D$44&amp;"Cost",INDIRECT("'"&amp;$B70&amp;"'!$F$23:$AJ$23")&amp;INDIRECT("'"&amp;$B70&amp;"'!$F$24:$AJ$24")&amp;INDIRECT("'"&amp;$B70&amp;"'!$F$25:$AJ$25")&amp;INDIRECT("'"&amp;$B70&amp;"'!$F$30:$AJ$30"),0))</f>
        <v>841.50000000000011</v>
      </c>
      <c r="E70" s="155">
        <f ca="1">ABS($I70-$D70)</f>
        <v>47.465000000000032</v>
      </c>
      <c r="F70" s="155"/>
      <c r="G70" s="155"/>
      <c r="H70" s="155"/>
      <c r="I70" s="14">
        <f t="array" aca="1" ref="I70" ca="1">INDEX(INDIRECT("'"&amp;$B70&amp;"'!$F$23:$AJ$39"),MATCH($C70,INDIRECT("'"&amp;$B70&amp;"'!$F$23:$F$39"),0),MATCH($B$44&amp;$C$44&amp;I$44&amp;"Cost",INDIRECT("'"&amp;$B70&amp;"'!$F$23:$AJ$23")&amp;INDIRECT("'"&amp;$B70&amp;"'!$F$24:$AJ$24")&amp;INDIRECT("'"&amp;$B70&amp;"'!$F$25:$AJ$25")&amp;INDIRECT("'"&amp;$B70&amp;"'!$F$30:$AJ$30"),0))</f>
        <v>794.03500000000008</v>
      </c>
      <c r="J70" s="156">
        <f ca="1">I70-D70</f>
        <v>-47.465000000000032</v>
      </c>
      <c r="L70" s="176"/>
    </row>
    <row r="71" spans="1:12" x14ac:dyDescent="0.3">
      <c r="A71" s="101"/>
      <c r="B71" s="154" t="str">
        <f>B70</f>
        <v>SAPN</v>
      </c>
      <c r="C71" s="36" t="s">
        <v>69</v>
      </c>
      <c r="D71" s="14">
        <f t="array" aca="1" ref="D71" ca="1">INDEX(INDIRECT("'"&amp;$B71&amp;"'!$F$23:$AJ$39"),MATCH($C71,INDIRECT("'"&amp;$B71&amp;"'!$F$23:$F$39"),0),MATCH($B$44&amp;$C$44&amp;D$44&amp;"Cost",INDIRECT("'"&amp;$B71&amp;"'!$F$23:$AJ$23")&amp;INDIRECT("'"&amp;$B71&amp;"'!$F$24:$AJ$24")&amp;INDIRECT("'"&amp;$B71&amp;"'!$F$25:$AJ$25")&amp;INDIRECT("'"&amp;$B71&amp;"'!$F$30:$AJ$30"),0))</f>
        <v>722.52399999999989</v>
      </c>
      <c r="E71" s="155"/>
      <c r="F71" s="155">
        <f ca="1">ABS($I71-$D71)</f>
        <v>31.107999999999947</v>
      </c>
      <c r="G71" s="155"/>
      <c r="H71" s="155"/>
      <c r="I71" s="14">
        <f t="array" aca="1" ref="I71" ca="1">INDEX(INDIRECT("'"&amp;$B71&amp;"'!$F$23:$AJ$39"),MATCH($C71,INDIRECT("'"&amp;$B71&amp;"'!$F$23:$F$39"),0),MATCH($B$44&amp;$C$44&amp;I$44&amp;"Cost",INDIRECT("'"&amp;$B71&amp;"'!$F$23:$AJ$23")&amp;INDIRECT("'"&amp;$B71&amp;"'!$F$24:$AJ$24")&amp;INDIRECT("'"&amp;$B71&amp;"'!$F$25:$AJ$25")&amp;INDIRECT("'"&amp;$B71&amp;"'!$F$30:$AJ$30"),0))</f>
        <v>691.41599999999994</v>
      </c>
      <c r="J71" s="156">
        <f ca="1">I71-D71</f>
        <v>-31.107999999999947</v>
      </c>
      <c r="L71" s="176"/>
    </row>
    <row r="72" spans="1:12" x14ac:dyDescent="0.3">
      <c r="A72" s="101"/>
      <c r="B72" s="154" t="str">
        <f>B71</f>
        <v>SAPN</v>
      </c>
      <c r="C72" s="36" t="s">
        <v>70</v>
      </c>
      <c r="D72" s="14">
        <f t="array" aca="1" ref="D72" ca="1">INDEX(INDIRECT("'"&amp;$B72&amp;"'!$F$23:$AJ$39"),MATCH($C72,INDIRECT("'"&amp;$B72&amp;"'!$F$23:$F$39"),0),MATCH($B$44&amp;$C$44&amp;D$44&amp;"Cost",INDIRECT("'"&amp;$B72&amp;"'!$F$23:$AJ$23")&amp;INDIRECT("'"&amp;$B72&amp;"'!$F$24:$AJ$24")&amp;INDIRECT("'"&amp;$B72&amp;"'!$F$25:$AJ$25")&amp;INDIRECT("'"&amp;$B72&amp;"'!$F$30:$AJ$30"),0))</f>
        <v>93.5</v>
      </c>
      <c r="E72" s="155"/>
      <c r="F72" s="155"/>
      <c r="G72" s="155">
        <f ca="1">ABS($I72-$D72)</f>
        <v>11.527999999999992</v>
      </c>
      <c r="H72" s="155"/>
      <c r="I72" s="14">
        <f t="array" aca="1" ref="I72" ca="1">INDEX(INDIRECT("'"&amp;$B72&amp;"'!$F$23:$AJ$39"),MATCH($C72,INDIRECT("'"&amp;$B72&amp;"'!$F$23:$F$39"),0),MATCH($B$44&amp;$C$44&amp;I$44&amp;"Cost",INDIRECT("'"&amp;$B72&amp;"'!$F$23:$AJ$23")&amp;INDIRECT("'"&amp;$B72&amp;"'!$F$24:$AJ$24")&amp;INDIRECT("'"&amp;$B72&amp;"'!$F$25:$AJ$25")&amp;INDIRECT("'"&amp;$B72&amp;"'!$F$30:$AJ$30"),0))</f>
        <v>81.972000000000008</v>
      </c>
      <c r="J72" s="156">
        <f ca="1">I72-D72</f>
        <v>-11.527999999999992</v>
      </c>
      <c r="L72" s="176"/>
    </row>
    <row r="73" spans="1:12" x14ac:dyDescent="0.3">
      <c r="A73" s="101"/>
      <c r="B73" s="154" t="str">
        <f>B72</f>
        <v>SAPN</v>
      </c>
      <c r="C73" s="36" t="s">
        <v>71</v>
      </c>
      <c r="D73" s="14">
        <f t="array" aca="1" ref="D73" ca="1">INDEX(INDIRECT("'"&amp;$B73&amp;"'!$F$23:$AJ$39"),MATCH($C73,INDIRECT("'"&amp;$B73&amp;"'!$F$23:$F$39"),0),MATCH($B$44&amp;$C$44&amp;D$44&amp;"Cost",INDIRECT("'"&amp;$B73&amp;"'!$F$23:$AJ$23")&amp;INDIRECT("'"&amp;$B73&amp;"'!$F$24:$AJ$24")&amp;INDIRECT("'"&amp;$B73&amp;"'!$F$25:$AJ$25")&amp;INDIRECT("'"&amp;$B73&amp;"'!$F$30:$AJ$30"),0))</f>
        <v>283.47600000000011</v>
      </c>
      <c r="E73" s="155"/>
      <c r="F73" s="155"/>
      <c r="G73" s="155"/>
      <c r="H73" s="155">
        <f ca="1">ABS($I73-$D73)</f>
        <v>5.2443060000000514</v>
      </c>
      <c r="I73" s="14">
        <f t="array" aca="1" ref="I73" ca="1">INDEX(INDIRECT("'"&amp;$B73&amp;"'!$F$23:$AJ$39"),MATCH($C73,INDIRECT("'"&amp;$B73&amp;"'!$F$23:$F$39"),0),MATCH($B$44&amp;$C$44&amp;I$44&amp;"Cost",INDIRECT("'"&amp;$B73&amp;"'!$F$23:$AJ$23")&amp;INDIRECT("'"&amp;$B73&amp;"'!$F$24:$AJ$24")&amp;INDIRECT("'"&amp;$B73&amp;"'!$F$25:$AJ$25")&amp;INDIRECT("'"&amp;$B73&amp;"'!$F$30:$AJ$30"),0))</f>
        <v>288.72030600000016</v>
      </c>
      <c r="J73" s="156">
        <f ca="1">I73-D73</f>
        <v>5.2443060000000514</v>
      </c>
      <c r="L73" s="176"/>
    </row>
    <row r="74" spans="1:12" x14ac:dyDescent="0.3">
      <c r="A74" s="101"/>
      <c r="B74" s="157" t="str">
        <f>B73</f>
        <v>SAPN</v>
      </c>
      <c r="C74" s="158" t="s">
        <v>142</v>
      </c>
      <c r="D74" s="159">
        <f ca="1">SUM(D69:D73)</f>
        <v>1941</v>
      </c>
      <c r="E74" s="159"/>
      <c r="F74" s="159"/>
      <c r="G74" s="159"/>
      <c r="H74" s="159"/>
      <c r="I74" s="159">
        <f ca="1">SUM(I69:I73)</f>
        <v>1856.1433060000002</v>
      </c>
      <c r="J74" s="160"/>
      <c r="L74" s="183" t="b">
        <f ca="1">IF(J73&gt;0,I74=SUM(H69,J73),I74=H69)</f>
        <v>1</v>
      </c>
    </row>
  </sheetData>
  <sheetProtection algorithmName="SHA-256" hashValue="Lt6k99Qz/KUw6xzruYzjU8TslktHsNYX5OhGYxvVhV8=" saltValue="tJ5uZVuiIo5SbZP8JDHhkg==" spinCount="100000" sheet="1" objects="1" scenarios="1"/>
  <mergeCells count="1">
    <mergeCell ref="A1:B1"/>
  </mergeCells>
  <conditionalFormatting sqref="B45:J74">
    <cfRule type="expression" dxfId="91" priority="13">
      <formula>MOD(ROW(),2)=0</formula>
    </cfRule>
  </conditionalFormatting>
  <conditionalFormatting sqref="L51:L55 L57:L61 L63:L67 L69:L73">
    <cfRule type="cellIs" dxfId="90" priority="11" operator="equal">
      <formula>FALSE</formula>
    </cfRule>
    <cfRule type="cellIs" dxfId="89" priority="12" operator="equal">
      <formula>TRUE</formula>
    </cfRule>
  </conditionalFormatting>
  <conditionalFormatting sqref="L50">
    <cfRule type="cellIs" dxfId="88" priority="9" operator="equal">
      <formula>FALSE</formula>
    </cfRule>
    <cfRule type="cellIs" dxfId="87" priority="10" operator="equal">
      <formula>TRUE</formula>
    </cfRule>
  </conditionalFormatting>
  <conditionalFormatting sqref="L56">
    <cfRule type="cellIs" dxfId="86" priority="7" operator="equal">
      <formula>FALSE</formula>
    </cfRule>
    <cfRule type="cellIs" dxfId="85" priority="8" operator="equal">
      <formula>TRUE</formula>
    </cfRule>
  </conditionalFormatting>
  <conditionalFormatting sqref="L62">
    <cfRule type="cellIs" dxfId="84" priority="5" operator="equal">
      <formula>FALSE</formula>
    </cfRule>
    <cfRule type="cellIs" dxfId="83" priority="6" operator="equal">
      <formula>TRUE</formula>
    </cfRule>
  </conditionalFormatting>
  <conditionalFormatting sqref="L68">
    <cfRule type="cellIs" dxfId="82" priority="3" operator="equal">
      <formula>FALSE</formula>
    </cfRule>
    <cfRule type="cellIs" dxfId="81" priority="4" operator="equal">
      <formula>TRUE</formula>
    </cfRule>
  </conditionalFormatting>
  <conditionalFormatting sqref="L74">
    <cfRule type="cellIs" dxfId="80" priority="1" operator="equal">
      <formula>FALSE</formula>
    </cfRule>
    <cfRule type="cellIs" dxfId="79"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X74"/>
  <sheetViews>
    <sheetView workbookViewId="0">
      <selection sqref="A1:B1"/>
    </sheetView>
  </sheetViews>
  <sheetFormatPr defaultColWidth="0" defaultRowHeight="14.4" zeroHeight="1" x14ac:dyDescent="0.3"/>
  <cols>
    <col min="1" max="1" width="3.33203125" style="3" customWidth="1"/>
    <col min="2" max="2" width="10.109375" style="3" bestFit="1" customWidth="1"/>
    <col min="3" max="3" width="17.44140625" style="3" bestFit="1" customWidth="1"/>
    <col min="4" max="4" width="7.6640625" style="3" bestFit="1" customWidth="1"/>
    <col min="5" max="5" width="12.109375" style="3" bestFit="1" customWidth="1"/>
    <col min="6" max="6" width="13.6640625" style="3" bestFit="1" customWidth="1"/>
    <col min="7" max="7" width="17.44140625" style="3" bestFit="1" customWidth="1"/>
    <col min="8" max="8" width="11.88671875" style="3" bestFit="1" customWidth="1"/>
    <col min="9" max="9" width="7.6640625" style="3" bestFit="1" customWidth="1"/>
    <col min="10" max="10" width="7.33203125" style="3" bestFit="1" customWidth="1"/>
    <col min="11" max="23" width="10.6640625" style="3" customWidth="1"/>
    <col min="24" max="24" width="12" style="3" customWidth="1"/>
    <col min="25" max="16384" width="8.88671875" style="3" hidden="1"/>
  </cols>
  <sheetData>
    <row r="1" spans="1:2" ht="10.199999999999999" customHeight="1" x14ac:dyDescent="0.3">
      <c r="A1" s="246" t="s">
        <v>22</v>
      </c>
      <c r="B1" s="272"/>
    </row>
    <row r="2" spans="1:2" s="15" customFormat="1" ht="22.5" customHeight="1" x14ac:dyDescent="0.3">
      <c r="A2" s="16" t="s">
        <v>187</v>
      </c>
      <c r="B2" s="16"/>
    </row>
    <row r="3" spans="1:2" x14ac:dyDescent="0.3">
      <c r="B3" s="178" t="s">
        <v>160</v>
      </c>
    </row>
    <row r="4" spans="1:2" x14ac:dyDescent="0.3"/>
    <row r="5" spans="1:2" x14ac:dyDescent="0.3"/>
    <row r="6" spans="1:2" x14ac:dyDescent="0.3"/>
    <row r="7" spans="1:2" x14ac:dyDescent="0.3"/>
    <row r="8" spans="1:2" x14ac:dyDescent="0.3"/>
    <row r="9" spans="1:2" x14ac:dyDescent="0.3"/>
    <row r="10" spans="1:2" x14ac:dyDescent="0.3"/>
    <row r="11" spans="1:2" x14ac:dyDescent="0.3"/>
    <row r="12" spans="1:2" x14ac:dyDescent="0.3"/>
    <row r="13" spans="1:2" x14ac:dyDescent="0.3"/>
    <row r="14" spans="1:2" x14ac:dyDescent="0.3"/>
    <row r="15" spans="1:2" x14ac:dyDescent="0.3"/>
    <row r="16" spans="1: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1:18" x14ac:dyDescent="0.3"/>
    <row r="34" spans="1:18" x14ac:dyDescent="0.3"/>
    <row r="35" spans="1:18" x14ac:dyDescent="0.3"/>
    <row r="36" spans="1:18" x14ac:dyDescent="0.3"/>
    <row r="37" spans="1:18" x14ac:dyDescent="0.3"/>
    <row r="38" spans="1:18" x14ac:dyDescent="0.3"/>
    <row r="39" spans="1:18" x14ac:dyDescent="0.3"/>
    <row r="40" spans="1:18" x14ac:dyDescent="0.3"/>
    <row r="41" spans="1:18" x14ac:dyDescent="0.3">
      <c r="B41" s="165" t="s">
        <v>154</v>
      </c>
    </row>
    <row r="42" spans="1:18" x14ac:dyDescent="0.3"/>
    <row r="43" spans="1:18" x14ac:dyDescent="0.3"/>
    <row r="44" spans="1:18" s="5" customFormat="1" x14ac:dyDescent="0.3">
      <c r="B44" s="161" t="s">
        <v>6</v>
      </c>
      <c r="C44" s="162" t="s">
        <v>159</v>
      </c>
      <c r="D44" s="163" t="str">
        <f>PY</f>
        <v>2019-20</v>
      </c>
      <c r="E44" s="163" t="s">
        <v>68</v>
      </c>
      <c r="F44" s="163" t="s">
        <v>69</v>
      </c>
      <c r="G44" s="163" t="s">
        <v>70</v>
      </c>
      <c r="H44" s="163" t="s">
        <v>71</v>
      </c>
      <c r="I44" s="163" t="str">
        <f>FY</f>
        <v>2020-21</v>
      </c>
      <c r="J44" s="164" t="s">
        <v>25</v>
      </c>
      <c r="L44" s="182" t="s">
        <v>106</v>
      </c>
    </row>
    <row r="45" spans="1:18" x14ac:dyDescent="0.3">
      <c r="A45" s="101" t="str">
        <f>B45&amp;" "&amp;$B$44&amp;" "&amp;$C$44&amp;" $"</f>
        <v>Ausgrid Residential with CL $</v>
      </c>
      <c r="B45" s="150" t="s">
        <v>2</v>
      </c>
      <c r="C45" s="151" t="s">
        <v>212</v>
      </c>
      <c r="D45" s="152">
        <v>0</v>
      </c>
      <c r="E45" s="152">
        <f ca="1">IF($J46&lt;0,SUM(D45:D49)+$J46,SUM(D45:D49))</f>
        <v>2059</v>
      </c>
      <c r="F45" s="152">
        <f ca="1">IF($J47&lt;0,IF($J46&lt;0,E45+$J47,E45+$J46+$J47),IF($J46&lt;0,E45,E45+$J46))</f>
        <v>2066.9413827899998</v>
      </c>
      <c r="G45" s="152">
        <f ca="1">IF($J48&lt;0,IF($J47&lt;0,F45+$J48,F45+$J47+$J48),IF($J47&lt;0,F45,F45+$J47))</f>
        <v>2050.6437827899999</v>
      </c>
      <c r="H45" s="152">
        <f ca="1">IF($J49&lt;0,IF($J48&lt;0,G45+$J49,G45+$J48+$J49),IF($J48&lt;0,G45,G45+$J48))</f>
        <v>2050.6437827899999</v>
      </c>
      <c r="I45" s="152">
        <v>0</v>
      </c>
      <c r="J45" s="153"/>
      <c r="L45" s="41"/>
      <c r="M45" s="41"/>
      <c r="N45" s="41"/>
      <c r="O45" s="41"/>
      <c r="P45" s="41"/>
      <c r="Q45" s="41"/>
      <c r="R45" s="41"/>
    </row>
    <row r="46" spans="1:18" x14ac:dyDescent="0.3">
      <c r="A46" s="101"/>
      <c r="B46" s="154" t="str">
        <f>B45</f>
        <v>Ausgrid</v>
      </c>
      <c r="C46" s="36" t="s">
        <v>68</v>
      </c>
      <c r="D46" s="14">
        <f t="array" aca="1" ref="D46" ca="1">INDEX(INDIRECT("'"&amp;$B46&amp;"'!$F$23:$AJ$39"),MATCH($C46,INDIRECT("'"&amp;$B46&amp;"'!$F$23:$F$39"),0),MATCH($B$44&amp;$C$44&amp;D$44&amp;"Cost",INDIRECT("'"&amp;$B46&amp;"'!$F$23:$AJ$23")&amp;INDIRECT("'"&amp;$B46&amp;"'!$F$24:$AJ$24")&amp;INDIRECT("'"&amp;$B46&amp;"'!$F$25:$AJ$25")&amp;INDIRECT("'"&amp;$B46&amp;"'!$F$30:$AJ$30"),0))</f>
        <v>697.03167313999995</v>
      </c>
      <c r="E46" s="155">
        <f ca="1">ABS($I46-$D46)</f>
        <v>13.473282789999871</v>
      </c>
      <c r="F46" s="155"/>
      <c r="G46" s="155"/>
      <c r="H46" s="155"/>
      <c r="I46" s="14">
        <f t="array" aca="1" ref="I46" ca="1">INDEX(INDIRECT("'"&amp;$B46&amp;"'!$F$23:$AJ$39"),MATCH($C46,INDIRECT("'"&amp;$B46&amp;"'!$F$23:$F$39"),0),MATCH($B$44&amp;$C$44&amp;I$44&amp;"Cost",INDIRECT("'"&amp;$B46&amp;"'!$F$23:$AJ$23")&amp;INDIRECT("'"&amp;$B46&amp;"'!$F$24:$AJ$24")&amp;INDIRECT("'"&amp;$B46&amp;"'!$F$25:$AJ$25")&amp;INDIRECT("'"&amp;$B46&amp;"'!$F$30:$AJ$30"),0))</f>
        <v>710.50495592999982</v>
      </c>
      <c r="J46" s="156">
        <f ca="1">I46-D46</f>
        <v>13.473282789999871</v>
      </c>
      <c r="K46" s="149"/>
      <c r="L46" s="41"/>
      <c r="M46" s="41"/>
      <c r="N46" s="41"/>
      <c r="O46" s="41"/>
      <c r="P46" s="41"/>
      <c r="Q46" s="41"/>
      <c r="R46" s="41"/>
    </row>
    <row r="47" spans="1:18" x14ac:dyDescent="0.3">
      <c r="A47" s="101"/>
      <c r="B47" s="154" t="str">
        <f>B46</f>
        <v>Ausgrid</v>
      </c>
      <c r="C47" s="36" t="s">
        <v>69</v>
      </c>
      <c r="D47" s="14">
        <f t="array" aca="1" ref="D47" ca="1">INDEX(INDIRECT("'"&amp;$B47&amp;"'!$F$23:$AJ$39"),MATCH($C47,INDIRECT("'"&amp;$B47&amp;"'!$F$23:$F$39"),0),MATCH($B$44&amp;$C$44&amp;D$44&amp;"Cost",INDIRECT("'"&amp;$B47&amp;"'!$F$23:$AJ$23")&amp;INDIRECT("'"&amp;$B47&amp;"'!$F$24:$AJ$24")&amp;INDIRECT("'"&amp;$B47&amp;"'!$F$25:$AJ$25")&amp;INDIRECT("'"&amp;$B47&amp;"'!$F$30:$AJ$30"),0))</f>
        <v>769.83654000000001</v>
      </c>
      <c r="E47" s="155"/>
      <c r="F47" s="155">
        <f ca="1">ABS($I47-$D47)</f>
        <v>5.5318999999999505</v>
      </c>
      <c r="G47" s="155"/>
      <c r="H47" s="155"/>
      <c r="I47" s="14">
        <f t="array" aca="1" ref="I47" ca="1">INDEX(INDIRECT("'"&amp;$B47&amp;"'!$F$23:$AJ$39"),MATCH($C47,INDIRECT("'"&amp;$B47&amp;"'!$F$23:$F$39"),0),MATCH($B$44&amp;$C$44&amp;I$44&amp;"Cost",INDIRECT("'"&amp;$B47&amp;"'!$F$23:$AJ$23")&amp;INDIRECT("'"&amp;$B47&amp;"'!$F$24:$AJ$24")&amp;INDIRECT("'"&amp;$B47&amp;"'!$F$25:$AJ$25")&amp;INDIRECT("'"&amp;$B47&amp;"'!$F$30:$AJ$30"),0))</f>
        <v>764.30464000000006</v>
      </c>
      <c r="J47" s="156">
        <f ca="1">I47-D47</f>
        <v>-5.5318999999999505</v>
      </c>
      <c r="L47" s="41"/>
      <c r="M47" s="41"/>
      <c r="N47" s="41"/>
      <c r="O47" s="41"/>
      <c r="P47" s="41"/>
      <c r="Q47" s="41"/>
      <c r="R47" s="41"/>
    </row>
    <row r="48" spans="1:18" x14ac:dyDescent="0.3">
      <c r="A48" s="101"/>
      <c r="B48" s="154" t="str">
        <f>B47</f>
        <v>Ausgrid</v>
      </c>
      <c r="C48" s="36" t="s">
        <v>70</v>
      </c>
      <c r="D48" s="14">
        <f t="array" aca="1" ref="D48" ca="1">INDEX(INDIRECT("'"&amp;$B48&amp;"'!$F$23:$AJ$39"),MATCH($C48,INDIRECT("'"&amp;$B48&amp;"'!$F$23:$F$39"),0),MATCH($B$44&amp;$C$44&amp;D$44&amp;"Cost",INDIRECT("'"&amp;$B48&amp;"'!$F$23:$AJ$23")&amp;INDIRECT("'"&amp;$B48&amp;"'!$F$24:$AJ$24")&amp;INDIRECT("'"&amp;$B48&amp;"'!$F$25:$AJ$25")&amp;INDIRECT("'"&amp;$B48&amp;"'!$F$30:$AJ$30"),0))</f>
        <v>144.83920000000001</v>
      </c>
      <c r="E48" s="155"/>
      <c r="F48" s="155"/>
      <c r="G48" s="155">
        <f ca="1">ABS($I48-$D48)</f>
        <v>16.297599999999989</v>
      </c>
      <c r="H48" s="155"/>
      <c r="I48" s="14">
        <f t="array" aca="1" ref="I48" ca="1">INDEX(INDIRECT("'"&amp;$B48&amp;"'!$F$23:$AJ$39"),MATCH($C48,INDIRECT("'"&amp;$B48&amp;"'!$F$23:$F$39"),0),MATCH($B$44&amp;$C$44&amp;I$44&amp;"Cost",INDIRECT("'"&amp;$B48&amp;"'!$F$23:$AJ$23")&amp;INDIRECT("'"&amp;$B48&amp;"'!$F$24:$AJ$24")&amp;INDIRECT("'"&amp;$B48&amp;"'!$F$25:$AJ$25")&amp;INDIRECT("'"&amp;$B48&amp;"'!$F$30:$AJ$30"),0))</f>
        <v>128.54160000000002</v>
      </c>
      <c r="J48" s="156">
        <f ca="1">I48-D48</f>
        <v>-16.297599999999989</v>
      </c>
      <c r="L48" s="41"/>
      <c r="M48" s="41"/>
      <c r="N48" s="41"/>
      <c r="O48" s="41"/>
      <c r="P48" s="41"/>
      <c r="Q48" s="41"/>
      <c r="R48" s="41"/>
    </row>
    <row r="49" spans="1:18" x14ac:dyDescent="0.3">
      <c r="A49" s="101"/>
      <c r="B49" s="154" t="str">
        <f>B48</f>
        <v>Ausgrid</v>
      </c>
      <c r="C49" s="36" t="s">
        <v>71</v>
      </c>
      <c r="D49" s="14">
        <f t="array" aca="1" ref="D49" ca="1">INDEX(INDIRECT("'"&amp;$B49&amp;"'!$F$23:$AJ$39"),MATCH($C49,INDIRECT("'"&amp;$B49&amp;"'!$F$23:$F$39"),0),MATCH($B$44&amp;$C$44&amp;D$44&amp;"Cost",INDIRECT("'"&amp;$B49&amp;"'!$F$23:$AJ$23")&amp;INDIRECT("'"&amp;$B49&amp;"'!$F$24:$AJ$24")&amp;INDIRECT("'"&amp;$B49&amp;"'!$F$25:$AJ$25")&amp;INDIRECT("'"&amp;$B49&amp;"'!$F$30:$AJ$30"),0))</f>
        <v>447.29258686000003</v>
      </c>
      <c r="E49" s="155"/>
      <c r="F49" s="155"/>
      <c r="G49" s="155"/>
      <c r="H49" s="155">
        <f ca="1">ABS($I49-$D49)</f>
        <v>8.2749128569098502</v>
      </c>
      <c r="I49" s="14">
        <f t="array" aca="1" ref="I49" ca="1">INDEX(INDIRECT("'"&amp;$B49&amp;"'!$F$23:$AJ$39"),MATCH($C49,INDIRECT("'"&amp;$B49&amp;"'!$F$23:$F$39"),0),MATCH($B$44&amp;$C$44&amp;I$44&amp;"Cost",INDIRECT("'"&amp;$B49&amp;"'!$F$23:$AJ$23")&amp;INDIRECT("'"&amp;$B49&amp;"'!$F$24:$AJ$24")&amp;INDIRECT("'"&amp;$B49&amp;"'!$F$25:$AJ$25")&amp;INDIRECT("'"&amp;$B49&amp;"'!$F$30:$AJ$30"),0))</f>
        <v>455.56749971690988</v>
      </c>
      <c r="J49" s="156">
        <f ca="1">I49-D49</f>
        <v>8.2749128569098502</v>
      </c>
      <c r="L49" s="41"/>
      <c r="M49" s="41"/>
      <c r="N49" s="41"/>
      <c r="O49" s="41"/>
      <c r="P49" s="41"/>
      <c r="Q49" s="41"/>
      <c r="R49" s="41"/>
    </row>
    <row r="50" spans="1:18" x14ac:dyDescent="0.3">
      <c r="A50" s="101"/>
      <c r="B50" s="157" t="str">
        <f>B49</f>
        <v>Ausgrid</v>
      </c>
      <c r="C50" s="158" t="s">
        <v>142</v>
      </c>
      <c r="D50" s="159">
        <f ca="1">SUM(D45:D49)</f>
        <v>2059</v>
      </c>
      <c r="E50" s="159"/>
      <c r="F50" s="159"/>
      <c r="G50" s="159"/>
      <c r="H50" s="159"/>
      <c r="I50" s="159">
        <f ca="1">SUM(I45:I49)</f>
        <v>2058.9186956469098</v>
      </c>
      <c r="J50" s="160"/>
      <c r="L50" s="183" t="b">
        <f ca="1">IF(J49&gt;0,I50=SUM(H45,J49),I50=H45)</f>
        <v>1</v>
      </c>
      <c r="M50" s="41"/>
      <c r="N50" s="41"/>
      <c r="O50" s="41"/>
      <c r="P50" s="41"/>
      <c r="Q50" s="41"/>
      <c r="R50" s="41"/>
    </row>
    <row r="51" spans="1:18" x14ac:dyDescent="0.3">
      <c r="A51" s="101" t="str">
        <f>B51&amp;" "&amp;$B$44&amp;" "&amp;$C$44&amp;" $"</f>
        <v>Endeavour Residential with CL $</v>
      </c>
      <c r="B51" s="150" t="s">
        <v>4</v>
      </c>
      <c r="C51" s="151" t="s">
        <v>212</v>
      </c>
      <c r="D51" s="152">
        <v>0</v>
      </c>
      <c r="E51" s="152">
        <f ca="1">IF($J52&lt;0,SUM(D51:D55)+$J52,SUM(D51:D55))</f>
        <v>2160.1761885999999</v>
      </c>
      <c r="F51" s="152">
        <f ca="1">IF($J53&lt;0,IF($J52&lt;0,E51+$J53,E51+$J52+$J53),IF($J52&lt;0,E51,E51+$J52))</f>
        <v>2160.1761885999999</v>
      </c>
      <c r="G51" s="152">
        <f ca="1">IF($J54&lt;0,IF($J53&lt;0,F51+$J54,F51+$J53+$J54),IF($J53&lt;0,F51,F51+$J53))</f>
        <v>2185.1285886000001</v>
      </c>
      <c r="H51" s="152">
        <f ca="1">IF($J55&lt;0,IF($J54&lt;0,G51+$J55,G51+$J54+$J55),IF($J54&lt;0,G51,G51+$J54))</f>
        <v>2185.1285886000001</v>
      </c>
      <c r="I51" s="152">
        <v>0</v>
      </c>
      <c r="J51" s="153"/>
      <c r="L51" s="176"/>
    </row>
    <row r="52" spans="1:18" x14ac:dyDescent="0.3">
      <c r="A52" s="101"/>
      <c r="B52" s="154" t="str">
        <f>B51</f>
        <v>Endeavour</v>
      </c>
      <c r="C52" s="36" t="s">
        <v>68</v>
      </c>
      <c r="D52" s="14">
        <f t="array" aca="1" ref="D52" ca="1">INDEX(INDIRECT("'"&amp;$B52&amp;"'!$F$23:$AJ$39"),MATCH($C52,INDIRECT("'"&amp;$B52&amp;"'!$F$23:$F$39"),0),MATCH($B$44&amp;$C$44&amp;D$44&amp;"Cost",INDIRECT("'"&amp;$B52&amp;"'!$F$23:$AJ$23")&amp;INDIRECT("'"&amp;$B52&amp;"'!$F$24:$AJ$24")&amp;INDIRECT("'"&amp;$B52&amp;"'!$F$25:$AJ$25")&amp;INDIRECT("'"&amp;$B52&amp;"'!$F$30:$AJ$30"),0))</f>
        <v>719.72343080000019</v>
      </c>
      <c r="E52" s="155">
        <f ca="1">ABS($I52-$D52)</f>
        <v>5.8238114000000678</v>
      </c>
      <c r="F52" s="155"/>
      <c r="G52" s="155"/>
      <c r="H52" s="155"/>
      <c r="I52" s="14">
        <f t="array" aca="1" ref="I52" ca="1">INDEX(INDIRECT("'"&amp;$B52&amp;"'!$F$23:$AJ$39"),MATCH($C52,INDIRECT("'"&amp;$B52&amp;"'!$F$23:$F$39"),0),MATCH($B$44&amp;$C$44&amp;I$44&amp;"Cost",INDIRECT("'"&amp;$B52&amp;"'!$F$23:$AJ$23")&amp;INDIRECT("'"&amp;$B52&amp;"'!$F$24:$AJ$24")&amp;INDIRECT("'"&amp;$B52&amp;"'!$F$25:$AJ$25")&amp;INDIRECT("'"&amp;$B52&amp;"'!$F$30:$AJ$30"),0))</f>
        <v>713.89961940000012</v>
      </c>
      <c r="J52" s="156">
        <f ca="1">I52-D52</f>
        <v>-5.8238114000000678</v>
      </c>
      <c r="L52" s="176"/>
    </row>
    <row r="53" spans="1:18" x14ac:dyDescent="0.3">
      <c r="A53" s="101"/>
      <c r="B53" s="154" t="str">
        <f>B52</f>
        <v>Endeavour</v>
      </c>
      <c r="C53" s="36" t="s">
        <v>69</v>
      </c>
      <c r="D53" s="14">
        <f t="array" aca="1" ref="D53" ca="1">INDEX(INDIRECT("'"&amp;$B53&amp;"'!$F$23:$AJ$39"),MATCH($C53,INDIRECT("'"&amp;$B53&amp;"'!$F$23:$F$39"),0),MATCH($B$44&amp;$C$44&amp;D$44&amp;"Cost",INDIRECT("'"&amp;$B53&amp;"'!$F$23:$AJ$23")&amp;INDIRECT("'"&amp;$B53&amp;"'!$F$24:$AJ$24")&amp;INDIRECT("'"&amp;$B53&amp;"'!$F$25:$AJ$25")&amp;INDIRECT("'"&amp;$B53&amp;"'!$F$30:$AJ$30"),0))</f>
        <v>859.83699999999999</v>
      </c>
      <c r="E53" s="155"/>
      <c r="F53" s="155">
        <f ca="1">ABS($I53-$D53)</f>
        <v>43.348799999999983</v>
      </c>
      <c r="G53" s="155"/>
      <c r="H53" s="155"/>
      <c r="I53" s="14">
        <f t="array" aca="1" ref="I53" ca="1">INDEX(INDIRECT("'"&amp;$B53&amp;"'!$F$23:$AJ$39"),MATCH($C53,INDIRECT("'"&amp;$B53&amp;"'!$F$23:$F$39"),0),MATCH($B$44&amp;$C$44&amp;I$44&amp;"Cost",INDIRECT("'"&amp;$B53&amp;"'!$F$23:$AJ$23")&amp;INDIRECT("'"&amp;$B53&amp;"'!$F$24:$AJ$24")&amp;INDIRECT("'"&amp;$B53&amp;"'!$F$25:$AJ$25")&amp;INDIRECT("'"&amp;$B53&amp;"'!$F$30:$AJ$30"),0))</f>
        <v>903.18579999999997</v>
      </c>
      <c r="J53" s="156">
        <f ca="1">I53-D53</f>
        <v>43.348799999999983</v>
      </c>
      <c r="L53" s="176"/>
    </row>
    <row r="54" spans="1:18" x14ac:dyDescent="0.3">
      <c r="A54" s="101"/>
      <c r="B54" s="154" t="str">
        <f>B53</f>
        <v>Endeavour</v>
      </c>
      <c r="C54" s="36" t="s">
        <v>70</v>
      </c>
      <c r="D54" s="14">
        <f t="array" aca="1" ref="D54" ca="1">INDEX(INDIRECT("'"&amp;$B54&amp;"'!$F$23:$AJ$39"),MATCH($C54,INDIRECT("'"&amp;$B54&amp;"'!$F$23:$F$39"),0),MATCH($B$44&amp;$C$44&amp;D$44&amp;"Cost",INDIRECT("'"&amp;$B54&amp;"'!$F$23:$AJ$23")&amp;INDIRECT("'"&amp;$B54&amp;"'!$F$24:$AJ$24")&amp;INDIRECT("'"&amp;$B54&amp;"'!$F$25:$AJ$25")&amp;INDIRECT("'"&amp;$B54&amp;"'!$F$30:$AJ$30"),0))</f>
        <v>158.32300000000001</v>
      </c>
      <c r="E54" s="155"/>
      <c r="F54" s="155"/>
      <c r="G54" s="155">
        <f ca="1">ABS($I54-$D54)</f>
        <v>18.3964</v>
      </c>
      <c r="H54" s="155"/>
      <c r="I54" s="14">
        <f t="array" aca="1" ref="I54" ca="1">INDEX(INDIRECT("'"&amp;$B54&amp;"'!$F$23:$AJ$39"),MATCH($C54,INDIRECT("'"&amp;$B54&amp;"'!$F$23:$F$39"),0),MATCH($B$44&amp;$C$44&amp;I$44&amp;"Cost",INDIRECT("'"&amp;$B54&amp;"'!$F$23:$AJ$23")&amp;INDIRECT("'"&amp;$B54&amp;"'!$F$24:$AJ$24")&amp;INDIRECT("'"&amp;$B54&amp;"'!$F$25:$AJ$25")&amp;INDIRECT("'"&amp;$B54&amp;"'!$F$30:$AJ$30"),0))</f>
        <v>139.92660000000001</v>
      </c>
      <c r="J54" s="156">
        <f ca="1">I54-D54</f>
        <v>-18.3964</v>
      </c>
      <c r="L54" s="176"/>
    </row>
    <row r="55" spans="1:18" x14ac:dyDescent="0.3">
      <c r="A55" s="101"/>
      <c r="B55" s="154" t="str">
        <f>B54</f>
        <v>Endeavour</v>
      </c>
      <c r="C55" s="36" t="s">
        <v>71</v>
      </c>
      <c r="D55" s="14">
        <f t="array" aca="1" ref="D55" ca="1">INDEX(INDIRECT("'"&amp;$B55&amp;"'!$F$23:$AJ$39"),MATCH($C55,INDIRECT("'"&amp;$B55&amp;"'!$F$23:$F$39"),0),MATCH($B$44&amp;$C$44&amp;D$44&amp;"Cost",INDIRECT("'"&amp;$B55&amp;"'!$F$23:$AJ$23")&amp;INDIRECT("'"&amp;$B55&amp;"'!$F$24:$AJ$24")&amp;INDIRECT("'"&amp;$B55&amp;"'!$F$25:$AJ$25")&amp;INDIRECT("'"&amp;$B55&amp;"'!$F$30:$AJ$30"),0))</f>
        <v>428.11656919999973</v>
      </c>
      <c r="E55" s="155"/>
      <c r="F55" s="155"/>
      <c r="G55" s="155"/>
      <c r="H55" s="155">
        <f ca="1">ABS($I55-$D55)</f>
        <v>7.9201565302003019</v>
      </c>
      <c r="I55" s="14">
        <f t="array" aca="1" ref="I55" ca="1">INDEX(INDIRECT("'"&amp;$B55&amp;"'!$F$23:$AJ$39"),MATCH($C55,INDIRECT("'"&amp;$B55&amp;"'!$F$23:$F$39"),0),MATCH($B$44&amp;$C$44&amp;I$44&amp;"Cost",INDIRECT("'"&amp;$B55&amp;"'!$F$23:$AJ$23")&amp;INDIRECT("'"&amp;$B55&amp;"'!$F$24:$AJ$24")&amp;INDIRECT("'"&amp;$B55&amp;"'!$F$25:$AJ$25")&amp;INDIRECT("'"&amp;$B55&amp;"'!$F$30:$AJ$30"),0))</f>
        <v>436.03672573020003</v>
      </c>
      <c r="J55" s="156">
        <f ca="1">I55-D55</f>
        <v>7.9201565302003019</v>
      </c>
      <c r="L55" s="176"/>
    </row>
    <row r="56" spans="1:18" x14ac:dyDescent="0.3">
      <c r="A56" s="101"/>
      <c r="B56" s="157" t="str">
        <f>B55</f>
        <v>Endeavour</v>
      </c>
      <c r="C56" s="158" t="s">
        <v>142</v>
      </c>
      <c r="D56" s="159">
        <f ca="1">SUM(D51:D55)</f>
        <v>2166</v>
      </c>
      <c r="E56" s="159"/>
      <c r="F56" s="159"/>
      <c r="G56" s="159"/>
      <c r="H56" s="159"/>
      <c r="I56" s="159">
        <f ca="1">SUM(I51:I55)</f>
        <v>2193.0487451302001</v>
      </c>
      <c r="J56" s="160"/>
      <c r="L56" s="183" t="b">
        <f ca="1">IF(J55&gt;0,I56=SUM(H51,J55),I56=H51)</f>
        <v>1</v>
      </c>
    </row>
    <row r="57" spans="1:18" x14ac:dyDescent="0.3">
      <c r="A57" s="101" t="str">
        <f>B57&amp;" "&amp;$B$44&amp;" "&amp;$C$44&amp;" $"</f>
        <v>Essential Residential with CL $</v>
      </c>
      <c r="B57" s="150" t="s">
        <v>3</v>
      </c>
      <c r="C57" s="151" t="s">
        <v>212</v>
      </c>
      <c r="D57" s="152">
        <v>0</v>
      </c>
      <c r="E57" s="152">
        <f ca="1">IF($J58&lt;0,SUM(D57:D61)+$J58,SUM(D57:D61))</f>
        <v>2375</v>
      </c>
      <c r="F57" s="152">
        <f ca="1">IF($J59&lt;0,IF($J58&lt;0,E57+$J59,E57+$J58+$J59),IF($J58&lt;0,E57,E57+$J58))</f>
        <v>2390.4330110000005</v>
      </c>
      <c r="G57" s="152">
        <f ca="1">IF($J60&lt;0,IF($J59&lt;0,F57+$J60,F57+$J59+$J60),IF($J59&lt;0,F57,F57+$J59))</f>
        <v>2373.4446110000004</v>
      </c>
      <c r="H57" s="152">
        <f ca="1">IF($J61&lt;0,IF($J60&lt;0,G57+$J61,G57+$J60+$J61),IF($J60&lt;0,G57,G57+$J60))</f>
        <v>2373.4446110000004</v>
      </c>
      <c r="I57" s="152">
        <v>0</v>
      </c>
      <c r="J57" s="153"/>
      <c r="L57" s="176"/>
    </row>
    <row r="58" spans="1:18" x14ac:dyDescent="0.3">
      <c r="A58" s="101"/>
      <c r="B58" s="154" t="str">
        <f>B57</f>
        <v>Essential</v>
      </c>
      <c r="C58" s="36" t="s">
        <v>68</v>
      </c>
      <c r="D58" s="14">
        <f t="array" aca="1" ref="D58" ca="1">INDEX(INDIRECT("'"&amp;$B58&amp;"'!$F$23:$AJ$39"),MATCH($C58,INDIRECT("'"&amp;$B58&amp;"'!$F$23:$F$39"),0),MATCH($B$44&amp;$C$44&amp;D$44&amp;"Cost",INDIRECT("'"&amp;$B58&amp;"'!$F$23:$AJ$23")&amp;INDIRECT("'"&amp;$B58&amp;"'!$F$24:$AJ$24")&amp;INDIRECT("'"&amp;$B58&amp;"'!$F$25:$AJ$25")&amp;INDIRECT("'"&amp;$B58&amp;"'!$F$30:$AJ$30"),0))</f>
        <v>992.84057399999983</v>
      </c>
      <c r="E58" s="155">
        <f ca="1">ABS($I58-$D58)</f>
        <v>15.521011000000271</v>
      </c>
      <c r="F58" s="155"/>
      <c r="G58" s="155"/>
      <c r="H58" s="155"/>
      <c r="I58" s="14">
        <f t="array" aca="1" ref="I58" ca="1">INDEX(INDIRECT("'"&amp;$B58&amp;"'!$F$23:$AJ$39"),MATCH($C58,INDIRECT("'"&amp;$B58&amp;"'!$F$23:$F$39"),0),MATCH($B$44&amp;$C$44&amp;I$44&amp;"Cost",INDIRECT("'"&amp;$B58&amp;"'!$F$23:$AJ$23")&amp;INDIRECT("'"&amp;$B58&amp;"'!$F$24:$AJ$24")&amp;INDIRECT("'"&amp;$B58&amp;"'!$F$25:$AJ$25")&amp;INDIRECT("'"&amp;$B58&amp;"'!$F$30:$AJ$30"),0))</f>
        <v>1008.3615850000001</v>
      </c>
      <c r="J58" s="156">
        <f ca="1">I58-D58</f>
        <v>15.521011000000271</v>
      </c>
      <c r="L58" s="176"/>
    </row>
    <row r="59" spans="1:18" x14ac:dyDescent="0.3">
      <c r="A59" s="101"/>
      <c r="B59" s="154" t="str">
        <f>B58</f>
        <v>Essential</v>
      </c>
      <c r="C59" s="36" t="s">
        <v>69</v>
      </c>
      <c r="D59" s="14">
        <f t="array" aca="1" ref="D59" ca="1">INDEX(INDIRECT("'"&amp;$B59&amp;"'!$F$23:$AJ$39"),MATCH($C59,INDIRECT("'"&amp;$B59&amp;"'!$F$23:$F$39"),0),MATCH($B$44&amp;$C$44&amp;D$44&amp;"Cost",INDIRECT("'"&amp;$B59&amp;"'!$F$23:$AJ$23")&amp;INDIRECT("'"&amp;$B59&amp;"'!$F$24:$AJ$24")&amp;INDIRECT("'"&amp;$B59&amp;"'!$F$25:$AJ$25")&amp;INDIRECT("'"&amp;$B59&amp;"'!$F$30:$AJ$30"),0))</f>
        <v>731.28219999999999</v>
      </c>
      <c r="E59" s="155"/>
      <c r="F59" s="155">
        <f ca="1">ABS($I59-$D59)</f>
        <v>8.7999999999851752E-2</v>
      </c>
      <c r="G59" s="155"/>
      <c r="H59" s="155"/>
      <c r="I59" s="14">
        <f t="array" aca="1" ref="I59" ca="1">INDEX(INDIRECT("'"&amp;$B59&amp;"'!$F$23:$AJ$39"),MATCH($C59,INDIRECT("'"&amp;$B59&amp;"'!$F$23:$F$39"),0),MATCH($B$44&amp;$C$44&amp;I$44&amp;"Cost",INDIRECT("'"&amp;$B59&amp;"'!$F$23:$AJ$23")&amp;INDIRECT("'"&amp;$B59&amp;"'!$F$24:$AJ$24")&amp;INDIRECT("'"&amp;$B59&amp;"'!$F$25:$AJ$25")&amp;INDIRECT("'"&amp;$B59&amp;"'!$F$30:$AJ$30"),0))</f>
        <v>731.19420000000014</v>
      </c>
      <c r="J59" s="156">
        <f ca="1">I59-D59</f>
        <v>-8.7999999999851752E-2</v>
      </c>
      <c r="L59" s="176"/>
    </row>
    <row r="60" spans="1:18" x14ac:dyDescent="0.3">
      <c r="A60" s="101"/>
      <c r="B60" s="154" t="str">
        <f>B59</f>
        <v>Essential</v>
      </c>
      <c r="C60" s="36" t="s">
        <v>70</v>
      </c>
      <c r="D60" s="14">
        <f t="array" aca="1" ref="D60" ca="1">INDEX(INDIRECT("'"&amp;$B60&amp;"'!$F$23:$AJ$39"),MATCH($C60,INDIRECT("'"&amp;$B60&amp;"'!$F$23:$F$39"),0),MATCH($B$44&amp;$C$44&amp;D$44&amp;"Cost",INDIRECT("'"&amp;$B60&amp;"'!$F$23:$AJ$23")&amp;INDIRECT("'"&amp;$B60&amp;"'!$F$24:$AJ$24")&amp;INDIRECT("'"&amp;$B60&amp;"'!$F$25:$AJ$25")&amp;INDIRECT("'"&amp;$B60&amp;"'!$F$30:$AJ$30"),0))</f>
        <v>141.64259999999999</v>
      </c>
      <c r="E60" s="155"/>
      <c r="F60" s="155"/>
      <c r="G60" s="155">
        <f ca="1">ABS($I60-$D60)</f>
        <v>16.98839999999997</v>
      </c>
      <c r="H60" s="155"/>
      <c r="I60" s="14">
        <f t="array" aca="1" ref="I60" ca="1">INDEX(INDIRECT("'"&amp;$B60&amp;"'!$F$23:$AJ$39"),MATCH($C60,INDIRECT("'"&amp;$B60&amp;"'!$F$23:$F$39"),0),MATCH($B$44&amp;$C$44&amp;I$44&amp;"Cost",INDIRECT("'"&amp;$B60&amp;"'!$F$23:$AJ$23")&amp;INDIRECT("'"&amp;$B60&amp;"'!$F$24:$AJ$24")&amp;INDIRECT("'"&amp;$B60&amp;"'!$F$25:$AJ$25")&amp;INDIRECT("'"&amp;$B60&amp;"'!$F$30:$AJ$30"),0))</f>
        <v>124.65420000000002</v>
      </c>
      <c r="J60" s="156">
        <f ca="1">I60-D60</f>
        <v>-16.98839999999997</v>
      </c>
      <c r="L60" s="176"/>
    </row>
    <row r="61" spans="1:18" x14ac:dyDescent="0.3">
      <c r="A61" s="101"/>
      <c r="B61" s="154" t="str">
        <f>B60</f>
        <v>Essential</v>
      </c>
      <c r="C61" s="36" t="s">
        <v>71</v>
      </c>
      <c r="D61" s="14">
        <f t="array" aca="1" ref="D61" ca="1">INDEX(INDIRECT("'"&amp;$B61&amp;"'!$F$23:$AJ$39"),MATCH($C61,INDIRECT("'"&amp;$B61&amp;"'!$F$23:$F$39"),0),MATCH($B$44&amp;$C$44&amp;D$44&amp;"Cost",INDIRECT("'"&amp;$B61&amp;"'!$F$23:$AJ$23")&amp;INDIRECT("'"&amp;$B61&amp;"'!$F$24:$AJ$24")&amp;INDIRECT("'"&amp;$B61&amp;"'!$F$25:$AJ$25")&amp;INDIRECT("'"&amp;$B61&amp;"'!$F$30:$AJ$30"),0))</f>
        <v>509.23462600000016</v>
      </c>
      <c r="E61" s="155"/>
      <c r="F61" s="155"/>
      <c r="G61" s="155"/>
      <c r="H61" s="155">
        <f ca="1">ABS($I61-$D61)</f>
        <v>9.4208405809999931</v>
      </c>
      <c r="I61" s="14">
        <f t="array" aca="1" ref="I61" ca="1">INDEX(INDIRECT("'"&amp;$B61&amp;"'!$F$23:$AJ$39"),MATCH($C61,INDIRECT("'"&amp;$B61&amp;"'!$F$23:$F$39"),0),MATCH($B$44&amp;$C$44&amp;I$44&amp;"Cost",INDIRECT("'"&amp;$B61&amp;"'!$F$23:$AJ$23")&amp;INDIRECT("'"&amp;$B61&amp;"'!$F$24:$AJ$24")&amp;INDIRECT("'"&amp;$B61&amp;"'!$F$25:$AJ$25")&amp;INDIRECT("'"&amp;$B61&amp;"'!$F$30:$AJ$30"),0))</f>
        <v>518.65546658100016</v>
      </c>
      <c r="J61" s="156">
        <f ca="1">I61-D61</f>
        <v>9.4208405809999931</v>
      </c>
      <c r="L61" s="176"/>
    </row>
    <row r="62" spans="1:18" x14ac:dyDescent="0.3">
      <c r="A62" s="101"/>
      <c r="B62" s="157" t="str">
        <f>B61</f>
        <v>Essential</v>
      </c>
      <c r="C62" s="158" t="s">
        <v>142</v>
      </c>
      <c r="D62" s="159">
        <f ca="1">SUM(D57:D61)</f>
        <v>2375</v>
      </c>
      <c r="E62" s="159"/>
      <c r="F62" s="159"/>
      <c r="G62" s="159"/>
      <c r="H62" s="159"/>
      <c r="I62" s="159">
        <f ca="1">SUM(I57:I61)</f>
        <v>2382.8654515810003</v>
      </c>
      <c r="J62" s="160"/>
      <c r="L62" s="183" t="b">
        <f ca="1">IF(J61&gt;0,I62=SUM(H57,J61),I62=H57)</f>
        <v>1</v>
      </c>
    </row>
    <row r="63" spans="1:18" x14ac:dyDescent="0.3">
      <c r="A63" s="101" t="str">
        <f>B63&amp;" "&amp;$B$44&amp;" "&amp;$C$44&amp;" $"</f>
        <v>Energex Residential with CL $</v>
      </c>
      <c r="B63" s="150" t="s">
        <v>0</v>
      </c>
      <c r="C63" s="151" t="s">
        <v>212</v>
      </c>
      <c r="D63" s="152">
        <v>0</v>
      </c>
      <c r="E63" s="152">
        <f ca="1">IF($J64&lt;0,SUM(D63:D67)+$J64,SUM(D63:D67))</f>
        <v>1818.6791940000003</v>
      </c>
      <c r="F63" s="152">
        <f ca="1">IF($J65&lt;0,IF($J64&lt;0,E63+$J65,E63+$J64+$J65),IF($J64&lt;0,E63,E63+$J64))</f>
        <v>1790.0388350000001</v>
      </c>
      <c r="G63" s="152">
        <f ca="1">IF($J66&lt;0,IF($J65&lt;0,F63+$J66,F63+$J65+$J66),IF($J65&lt;0,F63,F63+$J65))</f>
        <v>1772.6445350000001</v>
      </c>
      <c r="H63" s="152">
        <f ca="1">IF($J67&lt;0,IF($J66&lt;0,G63+$J67,G63+$J66+$J67),IF($J66&lt;0,G63,G63+$J66))</f>
        <v>1772.6445350000001</v>
      </c>
      <c r="I63" s="152">
        <v>0</v>
      </c>
      <c r="J63" s="153"/>
      <c r="L63" s="176"/>
    </row>
    <row r="64" spans="1:18" x14ac:dyDescent="0.3">
      <c r="A64" s="101"/>
      <c r="B64" s="154" t="str">
        <f>B63</f>
        <v>Energex</v>
      </c>
      <c r="C64" s="36" t="s">
        <v>68</v>
      </c>
      <c r="D64" s="14">
        <f t="array" aca="1" ref="D64" ca="1">INDEX(INDIRECT("'"&amp;$B64&amp;"'!$F$23:$AJ$39"),MATCH($C64,INDIRECT("'"&amp;$B64&amp;"'!$F$23:$F$39"),0),MATCH($B$44&amp;$C$44&amp;D$44&amp;"Cost",INDIRECT("'"&amp;$B64&amp;"'!$F$23:$AJ$23")&amp;INDIRECT("'"&amp;$B64&amp;"'!$F$24:$AJ$24")&amp;INDIRECT("'"&amp;$B64&amp;"'!$F$25:$AJ$25")&amp;INDIRECT("'"&amp;$B64&amp;"'!$F$30:$AJ$30"),0))</f>
        <v>786.48571099999992</v>
      </c>
      <c r="E64" s="155">
        <f ca="1">ABS($I64-$D64)</f>
        <v>108.32080599999983</v>
      </c>
      <c r="F64" s="155"/>
      <c r="G64" s="155"/>
      <c r="H64" s="155"/>
      <c r="I64" s="14">
        <f t="array" aca="1" ref="I64" ca="1">INDEX(INDIRECT("'"&amp;$B64&amp;"'!$F$23:$AJ$39"),MATCH($C64,INDIRECT("'"&amp;$B64&amp;"'!$F$23:$F$39"),0),MATCH($B$44&amp;$C$44&amp;I$44&amp;"Cost",INDIRECT("'"&amp;$B64&amp;"'!$F$23:$AJ$23")&amp;INDIRECT("'"&amp;$B64&amp;"'!$F$24:$AJ$24")&amp;INDIRECT("'"&amp;$B64&amp;"'!$F$25:$AJ$25")&amp;INDIRECT("'"&amp;$B64&amp;"'!$F$30:$AJ$30"),0))</f>
        <v>678.16490500000009</v>
      </c>
      <c r="J64" s="156">
        <f ca="1">I64-D64</f>
        <v>-108.32080599999983</v>
      </c>
      <c r="L64" s="176"/>
    </row>
    <row r="65" spans="1:12" x14ac:dyDescent="0.3">
      <c r="A65" s="101"/>
      <c r="B65" s="154" t="str">
        <f>B64</f>
        <v>Energex</v>
      </c>
      <c r="C65" s="36" t="s">
        <v>69</v>
      </c>
      <c r="D65" s="14">
        <f t="array" aca="1" ref="D65" ca="1">INDEX(INDIRECT("'"&amp;$B65&amp;"'!$F$23:$AJ$39"),MATCH($C65,INDIRECT("'"&amp;$B65&amp;"'!$F$23:$F$39"),0),MATCH($B$44&amp;$C$44&amp;D$44&amp;"Cost",INDIRECT("'"&amp;$B65&amp;"'!$F$23:$AJ$23")&amp;INDIRECT("'"&amp;$B65&amp;"'!$F$24:$AJ$24")&amp;INDIRECT("'"&amp;$B65&amp;"'!$F$25:$AJ$25")&amp;INDIRECT("'"&amp;$B65&amp;"'!$F$30:$AJ$30"),0))</f>
        <v>640.07135500000004</v>
      </c>
      <c r="E65" s="155"/>
      <c r="F65" s="155">
        <f ca="1">ABS($I65-$D65)</f>
        <v>28.640359000000217</v>
      </c>
      <c r="G65" s="155"/>
      <c r="H65" s="155"/>
      <c r="I65" s="14">
        <f t="array" aca="1" ref="I65" ca="1">INDEX(INDIRECT("'"&amp;$B65&amp;"'!$F$23:$AJ$39"),MATCH($C65,INDIRECT("'"&amp;$B65&amp;"'!$F$23:$F$39"),0),MATCH($B$44&amp;$C$44&amp;I$44&amp;"Cost",INDIRECT("'"&amp;$B65&amp;"'!$F$23:$AJ$23")&amp;INDIRECT("'"&amp;$B65&amp;"'!$F$24:$AJ$24")&amp;INDIRECT("'"&amp;$B65&amp;"'!$F$25:$AJ$25")&amp;INDIRECT("'"&amp;$B65&amp;"'!$F$30:$AJ$30"),0))</f>
        <v>611.43099599999982</v>
      </c>
      <c r="J65" s="156">
        <f ca="1">I65-D65</f>
        <v>-28.640359000000217</v>
      </c>
      <c r="L65" s="176"/>
    </row>
    <row r="66" spans="1:12" x14ac:dyDescent="0.3">
      <c r="A66" s="101"/>
      <c r="B66" s="154" t="str">
        <f>B65</f>
        <v>Energex</v>
      </c>
      <c r="C66" s="36" t="s">
        <v>70</v>
      </c>
      <c r="D66" s="14">
        <f t="array" aca="1" ref="D66" ca="1">INDEX(INDIRECT("'"&amp;$B66&amp;"'!$F$23:$AJ$39"),MATCH($C66,INDIRECT("'"&amp;$B66&amp;"'!$F$23:$F$39"),0),MATCH($B$44&amp;$C$44&amp;D$44&amp;"Cost",INDIRECT("'"&amp;$B66&amp;"'!$F$23:$AJ$23")&amp;INDIRECT("'"&amp;$B66&amp;"'!$F$24:$AJ$24")&amp;INDIRECT("'"&amp;$B66&amp;"'!$F$25:$AJ$25")&amp;INDIRECT("'"&amp;$B66&amp;"'!$F$30:$AJ$30"),0))</f>
        <v>122.7996</v>
      </c>
      <c r="E66" s="155"/>
      <c r="F66" s="155"/>
      <c r="G66" s="155">
        <f ca="1">ABS($I66-$D66)</f>
        <v>17.394299999999987</v>
      </c>
      <c r="H66" s="155"/>
      <c r="I66" s="14">
        <f t="array" aca="1" ref="I66" ca="1">INDEX(INDIRECT("'"&amp;$B66&amp;"'!$F$23:$AJ$39"),MATCH($C66,INDIRECT("'"&amp;$B66&amp;"'!$F$23:$F$39"),0),MATCH($B$44&amp;$C$44&amp;I$44&amp;"Cost",INDIRECT("'"&amp;$B66&amp;"'!$F$23:$AJ$23")&amp;INDIRECT("'"&amp;$B66&amp;"'!$F$24:$AJ$24")&amp;INDIRECT("'"&amp;$B66&amp;"'!$F$25:$AJ$25")&amp;INDIRECT("'"&amp;$B66&amp;"'!$F$30:$AJ$30"),0))</f>
        <v>105.40530000000001</v>
      </c>
      <c r="J66" s="156">
        <f ca="1">I66-D66</f>
        <v>-17.394299999999987</v>
      </c>
      <c r="L66" s="176"/>
    </row>
    <row r="67" spans="1:12" x14ac:dyDescent="0.3">
      <c r="A67" s="101"/>
      <c r="B67" s="154" t="str">
        <f>B66</f>
        <v>Energex</v>
      </c>
      <c r="C67" s="36" t="s">
        <v>71</v>
      </c>
      <c r="D67" s="14">
        <f t="array" aca="1" ref="D67" ca="1">INDEX(INDIRECT("'"&amp;$B67&amp;"'!$F$23:$AJ$39"),MATCH($C67,INDIRECT("'"&amp;$B67&amp;"'!$F$23:$F$39"),0),MATCH($B$44&amp;$C$44&amp;D$44&amp;"Cost",INDIRECT("'"&amp;$B67&amp;"'!$F$23:$AJ$23")&amp;INDIRECT("'"&amp;$B67&amp;"'!$F$24:$AJ$24")&amp;INDIRECT("'"&amp;$B67&amp;"'!$F$25:$AJ$25")&amp;INDIRECT("'"&amp;$B67&amp;"'!$F$30:$AJ$30"),0))</f>
        <v>377.6433340000001</v>
      </c>
      <c r="E67" s="155"/>
      <c r="F67" s="155"/>
      <c r="G67" s="155"/>
      <c r="H67" s="155">
        <f ca="1">ABS($I67-$D67)</f>
        <v>6.9864016789997549</v>
      </c>
      <c r="I67" s="14">
        <f t="array" aca="1" ref="I67" ca="1">INDEX(INDIRECT("'"&amp;$B67&amp;"'!$F$23:$AJ$39"),MATCH($C67,INDIRECT("'"&amp;$B67&amp;"'!$F$23:$F$39"),0),MATCH($B$44&amp;$C$44&amp;I$44&amp;"Cost",INDIRECT("'"&amp;$B67&amp;"'!$F$23:$AJ$23")&amp;INDIRECT("'"&amp;$B67&amp;"'!$F$24:$AJ$24")&amp;INDIRECT("'"&amp;$B67&amp;"'!$F$25:$AJ$25")&amp;INDIRECT("'"&amp;$B67&amp;"'!$F$30:$AJ$30"),0))</f>
        <v>384.62973567899985</v>
      </c>
      <c r="J67" s="156">
        <f ca="1">I67-D67</f>
        <v>6.9864016789997549</v>
      </c>
      <c r="L67" s="176"/>
    </row>
    <row r="68" spans="1:12" x14ac:dyDescent="0.3">
      <c r="A68" s="101"/>
      <c r="B68" s="157" t="str">
        <f>B67</f>
        <v>Energex</v>
      </c>
      <c r="C68" s="158" t="s">
        <v>142</v>
      </c>
      <c r="D68" s="159">
        <f ca="1">SUM(D63:D67)</f>
        <v>1927</v>
      </c>
      <c r="E68" s="159"/>
      <c r="F68" s="159"/>
      <c r="G68" s="159"/>
      <c r="H68" s="159"/>
      <c r="I68" s="159">
        <f ca="1">SUM(I63:I67)</f>
        <v>1779.6309366789999</v>
      </c>
      <c r="J68" s="160"/>
      <c r="L68" s="183" t="b">
        <f ca="1">IF(J67&gt;0,I68=SUM(H63,J67),I68=H63)</f>
        <v>1</v>
      </c>
    </row>
    <row r="69" spans="1:12" x14ac:dyDescent="0.3">
      <c r="A69" s="101" t="str">
        <f>B69&amp;" "&amp;$B$44&amp;" "&amp;$C$44&amp;" $"</f>
        <v>SAPN Residential with CL $</v>
      </c>
      <c r="B69" s="150" t="s">
        <v>5</v>
      </c>
      <c r="C69" s="151" t="s">
        <v>212</v>
      </c>
      <c r="D69" s="152">
        <v>0</v>
      </c>
      <c r="E69" s="152">
        <f ca="1">IF($J70&lt;0,SUM(D69:D73)+$J70,SUM(D69:D73))</f>
        <v>2352.7350000000001</v>
      </c>
      <c r="F69" s="152">
        <f ca="1">IF($J71&lt;0,IF($J70&lt;0,E69+$J71,E69+$J70+$J71),IF($J70&lt;0,E69,E69+$J70))</f>
        <v>2295.1434000000004</v>
      </c>
      <c r="G69" s="152">
        <f ca="1">IF($J72&lt;0,IF($J71&lt;0,F69+$J72,F69+$J71+$J72),IF($J71&lt;0,F69,F69+$J71))</f>
        <v>2277.8514000000005</v>
      </c>
      <c r="H69" s="152">
        <f ca="1">IF($J73&lt;0,IF($J72&lt;0,G69+$J73,G69+$J72+$J73),IF($J72&lt;0,G69,G69+$J72))</f>
        <v>2277.8514000000005</v>
      </c>
      <c r="I69" s="152">
        <v>0</v>
      </c>
      <c r="J69" s="153"/>
      <c r="L69" s="176"/>
    </row>
    <row r="70" spans="1:12" x14ac:dyDescent="0.3">
      <c r="A70" s="101"/>
      <c r="B70" s="154" t="str">
        <f>B69</f>
        <v>SAPN</v>
      </c>
      <c r="C70" s="36" t="s">
        <v>68</v>
      </c>
      <c r="D70" s="14">
        <f t="array" aca="1" ref="D70" ca="1">INDEX(INDIRECT("'"&amp;$B70&amp;"'!$F$23:$AJ$39"),MATCH($C70,INDIRECT("'"&amp;$B70&amp;"'!$F$23:$F$39"),0),MATCH($B$44&amp;$C$44&amp;D$44&amp;"Cost",INDIRECT("'"&amp;$B70&amp;"'!$F$23:$AJ$23")&amp;INDIRECT("'"&amp;$B70&amp;"'!$F$24:$AJ$24")&amp;INDIRECT("'"&amp;$B70&amp;"'!$F$25:$AJ$25")&amp;INDIRECT("'"&amp;$B70&amp;"'!$F$30:$AJ$30"),0))</f>
        <v>1057.0889999999999</v>
      </c>
      <c r="E70" s="155">
        <f ca="1">ABS($I70-$D70)</f>
        <v>67.264999999999873</v>
      </c>
      <c r="F70" s="155"/>
      <c r="G70" s="155"/>
      <c r="H70" s="155"/>
      <c r="I70" s="14">
        <f t="array" aca="1" ref="I70" ca="1">INDEX(INDIRECT("'"&amp;$B70&amp;"'!$F$23:$AJ$39"),MATCH($C70,INDIRECT("'"&amp;$B70&amp;"'!$F$23:$F$39"),0),MATCH($B$44&amp;$C$44&amp;I$44&amp;"Cost",INDIRECT("'"&amp;$B70&amp;"'!$F$23:$AJ$23")&amp;INDIRECT("'"&amp;$B70&amp;"'!$F$24:$AJ$24")&amp;INDIRECT("'"&amp;$B70&amp;"'!$F$25:$AJ$25")&amp;INDIRECT("'"&amp;$B70&amp;"'!$F$30:$AJ$30"),0))</f>
        <v>989.82400000000007</v>
      </c>
      <c r="J70" s="156">
        <f ca="1">I70-D70</f>
        <v>-67.264999999999873</v>
      </c>
      <c r="L70" s="176"/>
    </row>
    <row r="71" spans="1:12" x14ac:dyDescent="0.3">
      <c r="A71" s="101"/>
      <c r="B71" s="154" t="str">
        <f>B70</f>
        <v>SAPN</v>
      </c>
      <c r="C71" s="36" t="s">
        <v>69</v>
      </c>
      <c r="D71" s="14">
        <f t="array" aca="1" ref="D71" ca="1">INDEX(INDIRECT("'"&amp;$B71&amp;"'!$F$23:$AJ$39"),MATCH($C71,INDIRECT("'"&amp;$B71&amp;"'!$F$23:$F$39"),0),MATCH($B$44&amp;$C$44&amp;D$44&amp;"Cost",INDIRECT("'"&amp;$B71&amp;"'!$F$23:$AJ$23")&amp;INDIRECT("'"&amp;$B71&amp;"'!$F$24:$AJ$24")&amp;INDIRECT("'"&amp;$B71&amp;"'!$F$25:$AJ$25")&amp;INDIRECT("'"&amp;$B71&amp;"'!$F$30:$AJ$30"),0))</f>
        <v>975.7571999999999</v>
      </c>
      <c r="E71" s="155"/>
      <c r="F71" s="155">
        <f ca="1">ABS($I71-$D71)</f>
        <v>57.591599999999858</v>
      </c>
      <c r="G71" s="155"/>
      <c r="H71" s="155"/>
      <c r="I71" s="14">
        <f t="array" aca="1" ref="I71" ca="1">INDEX(INDIRECT("'"&amp;$B71&amp;"'!$F$23:$AJ$39"),MATCH($C71,INDIRECT("'"&amp;$B71&amp;"'!$F$23:$F$39"),0),MATCH($B$44&amp;$C$44&amp;I$44&amp;"Cost",INDIRECT("'"&amp;$B71&amp;"'!$F$23:$AJ$23")&amp;INDIRECT("'"&amp;$B71&amp;"'!$F$24:$AJ$24")&amp;INDIRECT("'"&amp;$B71&amp;"'!$F$25:$AJ$25")&amp;INDIRECT("'"&amp;$B71&amp;"'!$F$30:$AJ$30"),0))</f>
        <v>918.16560000000004</v>
      </c>
      <c r="J71" s="156">
        <f ca="1">I71-D71</f>
        <v>-57.591599999999858</v>
      </c>
      <c r="L71" s="176"/>
    </row>
    <row r="72" spans="1:12" x14ac:dyDescent="0.3">
      <c r="A72" s="101"/>
      <c r="B72" s="154" t="str">
        <f>B71</f>
        <v>SAPN</v>
      </c>
      <c r="C72" s="36" t="s">
        <v>70</v>
      </c>
      <c r="D72" s="14">
        <f t="array" aca="1" ref="D72" ca="1">INDEX(INDIRECT("'"&amp;$B72&amp;"'!$F$23:$AJ$39"),MATCH($C72,INDIRECT("'"&amp;$B72&amp;"'!$F$23:$F$39"),0),MATCH($B$44&amp;$C$44&amp;D$44&amp;"Cost",INDIRECT("'"&amp;$B72&amp;"'!$F$23:$AJ$23")&amp;INDIRECT("'"&amp;$B72&amp;"'!$F$24:$AJ$24")&amp;INDIRECT("'"&amp;$B72&amp;"'!$F$25:$AJ$25")&amp;INDIRECT("'"&amp;$B72&amp;"'!$F$30:$AJ$30"),0))</f>
        <v>140.25</v>
      </c>
      <c r="E72" s="155"/>
      <c r="F72" s="155"/>
      <c r="G72" s="155">
        <f ca="1">ABS($I72-$D72)</f>
        <v>17.291999999999987</v>
      </c>
      <c r="H72" s="155"/>
      <c r="I72" s="14">
        <f t="array" aca="1" ref="I72" ca="1">INDEX(INDIRECT("'"&amp;$B72&amp;"'!$F$23:$AJ$39"),MATCH($C72,INDIRECT("'"&amp;$B72&amp;"'!$F$23:$F$39"),0),MATCH($B$44&amp;$C$44&amp;I$44&amp;"Cost",INDIRECT("'"&amp;$B72&amp;"'!$F$23:$AJ$23")&amp;INDIRECT("'"&amp;$B72&amp;"'!$F$24:$AJ$24")&amp;INDIRECT("'"&amp;$B72&amp;"'!$F$25:$AJ$25")&amp;INDIRECT("'"&amp;$B72&amp;"'!$F$30:$AJ$30"),0))</f>
        <v>122.95800000000001</v>
      </c>
      <c r="J72" s="156">
        <f ca="1">I72-D72</f>
        <v>-17.291999999999987</v>
      </c>
      <c r="L72" s="176"/>
    </row>
    <row r="73" spans="1:12" x14ac:dyDescent="0.3">
      <c r="A73" s="101"/>
      <c r="B73" s="154" t="str">
        <f>B72</f>
        <v>SAPN</v>
      </c>
      <c r="C73" s="36" t="s">
        <v>71</v>
      </c>
      <c r="D73" s="14">
        <f t="array" aca="1" ref="D73" ca="1">INDEX(INDIRECT("'"&amp;$B73&amp;"'!$F$23:$AJ$39"),MATCH($C73,INDIRECT("'"&amp;$B73&amp;"'!$F$23:$F$39"),0),MATCH($B$44&amp;$C$44&amp;D$44&amp;"Cost",INDIRECT("'"&amp;$B73&amp;"'!$F$23:$AJ$23")&amp;INDIRECT("'"&amp;$B73&amp;"'!$F$24:$AJ$24")&amp;INDIRECT("'"&amp;$B73&amp;"'!$F$25:$AJ$25")&amp;INDIRECT("'"&amp;$B73&amp;"'!$F$30:$AJ$30"),0))</f>
        <v>246.90380000000005</v>
      </c>
      <c r="E73" s="155"/>
      <c r="F73" s="155"/>
      <c r="G73" s="155"/>
      <c r="H73" s="155">
        <f ca="1">ABS($I73-$D73)</f>
        <v>4.5677203000002464</v>
      </c>
      <c r="I73" s="14">
        <f t="array" aca="1" ref="I73" ca="1">INDEX(INDIRECT("'"&amp;$B73&amp;"'!$F$23:$AJ$39"),MATCH($C73,INDIRECT("'"&amp;$B73&amp;"'!$F$23:$F$39"),0),MATCH($B$44&amp;$C$44&amp;I$44&amp;"Cost",INDIRECT("'"&amp;$B73&amp;"'!$F$23:$AJ$23")&amp;INDIRECT("'"&amp;$B73&amp;"'!$F$24:$AJ$24")&amp;INDIRECT("'"&amp;$B73&amp;"'!$F$25:$AJ$25")&amp;INDIRECT("'"&amp;$B73&amp;"'!$F$30:$AJ$30"),0))</f>
        <v>251.47152030000029</v>
      </c>
      <c r="J73" s="156">
        <f ca="1">I73-D73</f>
        <v>4.5677203000002464</v>
      </c>
      <c r="L73" s="176"/>
    </row>
    <row r="74" spans="1:12" x14ac:dyDescent="0.3">
      <c r="A74" s="101"/>
      <c r="B74" s="157" t="str">
        <f>B73</f>
        <v>SAPN</v>
      </c>
      <c r="C74" s="158" t="s">
        <v>142</v>
      </c>
      <c r="D74" s="159">
        <f ca="1">SUM(D69:D73)</f>
        <v>2420</v>
      </c>
      <c r="E74" s="159"/>
      <c r="F74" s="159"/>
      <c r="G74" s="159"/>
      <c r="H74" s="159"/>
      <c r="I74" s="159">
        <f ca="1">SUM(I69:I73)</f>
        <v>2282.4191203000005</v>
      </c>
      <c r="J74" s="160"/>
      <c r="L74" s="183" t="b">
        <f ca="1">IF(J73&gt;0,I74=SUM(H69,J73),I74=H69)</f>
        <v>1</v>
      </c>
    </row>
  </sheetData>
  <sheetProtection algorithmName="SHA-256" hashValue="y9JT08ryyQGN/9tp7cee4ra7fh4459GhhKIccyHaAfU=" saltValue="6YBb1AZTC0el8AkafsiYdg==" spinCount="100000" sheet="1" objects="1" scenarios="1"/>
  <mergeCells count="1">
    <mergeCell ref="A1:B1"/>
  </mergeCells>
  <conditionalFormatting sqref="B45:J74">
    <cfRule type="expression" dxfId="78" priority="13">
      <formula>MOD(ROW(),2)=0</formula>
    </cfRule>
  </conditionalFormatting>
  <conditionalFormatting sqref="L51:L55 L57:L61 L63:L67 L69:L73">
    <cfRule type="cellIs" dxfId="77" priority="11" operator="equal">
      <formula>FALSE</formula>
    </cfRule>
    <cfRule type="cellIs" dxfId="76" priority="12" operator="equal">
      <formula>TRUE</formula>
    </cfRule>
  </conditionalFormatting>
  <conditionalFormatting sqref="L50">
    <cfRule type="cellIs" dxfId="75" priority="9" operator="equal">
      <formula>FALSE</formula>
    </cfRule>
    <cfRule type="cellIs" dxfId="74" priority="10" operator="equal">
      <formula>TRUE</formula>
    </cfRule>
  </conditionalFormatting>
  <conditionalFormatting sqref="L56">
    <cfRule type="cellIs" dxfId="73" priority="7" operator="equal">
      <formula>FALSE</formula>
    </cfRule>
    <cfRule type="cellIs" dxfId="72" priority="8" operator="equal">
      <formula>TRUE</formula>
    </cfRule>
  </conditionalFormatting>
  <conditionalFormatting sqref="L62">
    <cfRule type="cellIs" dxfId="71" priority="5" operator="equal">
      <formula>FALSE</formula>
    </cfRule>
    <cfRule type="cellIs" dxfId="70" priority="6" operator="equal">
      <formula>TRUE</formula>
    </cfRule>
  </conditionalFormatting>
  <conditionalFormatting sqref="L68">
    <cfRule type="cellIs" dxfId="69" priority="3" operator="equal">
      <formula>FALSE</formula>
    </cfRule>
    <cfRule type="cellIs" dxfId="68" priority="4" operator="equal">
      <formula>TRUE</formula>
    </cfRule>
  </conditionalFormatting>
  <conditionalFormatting sqref="L74">
    <cfRule type="cellIs" dxfId="67" priority="1" operator="equal">
      <formula>FALSE</formula>
    </cfRule>
    <cfRule type="cellIs" dxfId="66"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X74"/>
  <sheetViews>
    <sheetView topLeftCell="A19" workbookViewId="0">
      <selection activeCell="A48" sqref="A48"/>
    </sheetView>
  </sheetViews>
  <sheetFormatPr defaultColWidth="0" defaultRowHeight="14.4" zeroHeight="1" x14ac:dyDescent="0.3"/>
  <cols>
    <col min="1" max="1" width="3.33203125" style="3" customWidth="1"/>
    <col min="2" max="2" width="13.21875" style="3" customWidth="1"/>
    <col min="3" max="3" width="17.44140625" style="3" bestFit="1" customWidth="1"/>
    <col min="4" max="4" width="7.6640625" style="3" bestFit="1" customWidth="1"/>
    <col min="5" max="5" width="12.109375" style="3" bestFit="1" customWidth="1"/>
    <col min="6" max="6" width="13.6640625" style="3" bestFit="1" customWidth="1"/>
    <col min="7" max="7" width="17.44140625" style="3" bestFit="1" customWidth="1"/>
    <col min="8" max="8" width="11.88671875" style="3" bestFit="1" customWidth="1"/>
    <col min="9" max="9" width="7.6640625" style="3" bestFit="1" customWidth="1"/>
    <col min="10" max="10" width="7.33203125" style="3" bestFit="1" customWidth="1"/>
    <col min="11" max="23" width="10.6640625" style="3" customWidth="1"/>
    <col min="24" max="24" width="12" style="3" customWidth="1"/>
    <col min="25" max="16384" width="8.88671875" style="3" hidden="1"/>
  </cols>
  <sheetData>
    <row r="1" spans="1:2" ht="10.199999999999999" customHeight="1" x14ac:dyDescent="0.3">
      <c r="A1" s="246" t="s">
        <v>22</v>
      </c>
      <c r="B1" s="272"/>
    </row>
    <row r="2" spans="1:2" s="15" customFormat="1" ht="22.5" customHeight="1" x14ac:dyDescent="0.3">
      <c r="A2" s="16" t="s">
        <v>188</v>
      </c>
      <c r="B2" s="16"/>
    </row>
    <row r="3" spans="1:2" x14ac:dyDescent="0.3">
      <c r="B3" s="178" t="s">
        <v>160</v>
      </c>
    </row>
    <row r="4" spans="1:2" x14ac:dyDescent="0.3"/>
    <row r="5" spans="1:2" x14ac:dyDescent="0.3"/>
    <row r="6" spans="1:2" x14ac:dyDescent="0.3"/>
    <row r="7" spans="1:2" x14ac:dyDescent="0.3"/>
    <row r="8" spans="1:2" x14ac:dyDescent="0.3"/>
    <row r="9" spans="1:2" x14ac:dyDescent="0.3"/>
    <row r="10" spans="1:2" x14ac:dyDescent="0.3"/>
    <row r="11" spans="1:2" x14ac:dyDescent="0.3"/>
    <row r="12" spans="1:2" x14ac:dyDescent="0.3"/>
    <row r="13" spans="1:2" x14ac:dyDescent="0.3"/>
    <row r="14" spans="1:2" x14ac:dyDescent="0.3"/>
    <row r="15" spans="1:2" x14ac:dyDescent="0.3"/>
    <row r="16" spans="1: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1:18" x14ac:dyDescent="0.3"/>
    <row r="34" spans="1:18" x14ac:dyDescent="0.3"/>
    <row r="35" spans="1:18" x14ac:dyDescent="0.3"/>
    <row r="36" spans="1:18" x14ac:dyDescent="0.3"/>
    <row r="37" spans="1:18" x14ac:dyDescent="0.3"/>
    <row r="38" spans="1:18" x14ac:dyDescent="0.3"/>
    <row r="39" spans="1:18" x14ac:dyDescent="0.3"/>
    <row r="40" spans="1:18" x14ac:dyDescent="0.3"/>
    <row r="41" spans="1:18" x14ac:dyDescent="0.3">
      <c r="B41" s="165" t="s">
        <v>154</v>
      </c>
    </row>
    <row r="42" spans="1:18" x14ac:dyDescent="0.3"/>
    <row r="43" spans="1:18" x14ac:dyDescent="0.3"/>
    <row r="44" spans="1:18" s="5" customFormat="1" x14ac:dyDescent="0.3">
      <c r="B44" s="161" t="s">
        <v>85</v>
      </c>
      <c r="C44" s="162" t="s">
        <v>158</v>
      </c>
      <c r="D44" s="163" t="str">
        <f>PY</f>
        <v>2019-20</v>
      </c>
      <c r="E44" s="163" t="s">
        <v>68</v>
      </c>
      <c r="F44" s="163" t="s">
        <v>69</v>
      </c>
      <c r="G44" s="163" t="s">
        <v>70</v>
      </c>
      <c r="H44" s="163" t="s">
        <v>71</v>
      </c>
      <c r="I44" s="163" t="str">
        <f>FY</f>
        <v>2020-21</v>
      </c>
      <c r="J44" s="164" t="s">
        <v>25</v>
      </c>
      <c r="L44" s="181" t="s">
        <v>106</v>
      </c>
    </row>
    <row r="45" spans="1:18" x14ac:dyDescent="0.3">
      <c r="A45" s="101" t="str">
        <f>B45&amp;" "&amp;$B$44&amp;" "&amp;$C$44&amp;" $"</f>
        <v>Ausgrid Small Business without CL $</v>
      </c>
      <c r="B45" s="150" t="s">
        <v>2</v>
      </c>
      <c r="C45" s="151" t="s">
        <v>212</v>
      </c>
      <c r="D45" s="152">
        <v>0</v>
      </c>
      <c r="E45" s="152">
        <f ca="1">IF($J46&lt;0,SUM(D45:D49)+$J46,SUM(D45:D49))</f>
        <v>7307.9609414999995</v>
      </c>
      <c r="F45" s="152">
        <f ca="1">IF($J47&lt;0,IF($J46&lt;0,E45+$J47,E45+$J46+$J47),IF($J46&lt;0,E45,E45+$J46))</f>
        <v>7307.9609414999995</v>
      </c>
      <c r="G45" s="152">
        <f ca="1">IF($J48&lt;0,IF($J47&lt;0,F45+$J48,F45+$J47+$J48),IF($J47&lt;0,F45,F45+$J47))</f>
        <v>7306.8609415000001</v>
      </c>
      <c r="H45" s="152">
        <f ca="1">IF($J49&lt;0,IF($J48&lt;0,G45+$J49,G45+$J48+$J49),IF($J48&lt;0,G45,G45+$J48))</f>
        <v>7306.8609415000001</v>
      </c>
      <c r="I45" s="152">
        <v>0</v>
      </c>
      <c r="J45" s="153"/>
      <c r="L45" s="41"/>
      <c r="M45" s="41"/>
      <c r="N45" s="41"/>
      <c r="O45" s="41"/>
      <c r="P45" s="41"/>
      <c r="Q45" s="41"/>
      <c r="R45" s="41"/>
    </row>
    <row r="46" spans="1:18" x14ac:dyDescent="0.3">
      <c r="A46" s="101"/>
      <c r="B46" s="154" t="str">
        <f>B45</f>
        <v>Ausgrid</v>
      </c>
      <c r="C46" s="36" t="s">
        <v>68</v>
      </c>
      <c r="D46" s="14">
        <f t="array" aca="1" ref="D46" ca="1">INDEX(INDIRECT("'"&amp;$B46&amp;"'!$F$23:$AJ$39"),MATCH($C46,INDIRECT("'"&amp;$B46&amp;"'!$F$23:$F$39"),0),MATCH($B$44&amp;$C$44&amp;D$44&amp;"Cost",INDIRECT("'"&amp;$B46&amp;"'!$F$23:$AJ$23")&amp;INDIRECT("'"&amp;$B46&amp;"'!$F$24:$AJ$24")&amp;INDIRECT("'"&amp;$B46&amp;"'!$F$25:$AJ$25")&amp;INDIRECT("'"&amp;$B46&amp;"'!$F$30:$AJ$30"),0))</f>
        <v>2274.7341649999998</v>
      </c>
      <c r="E46" s="155">
        <f ca="1">ABS($I46-$D46)</f>
        <v>63.03905850000001</v>
      </c>
      <c r="F46" s="155"/>
      <c r="G46" s="155"/>
      <c r="H46" s="155"/>
      <c r="I46" s="14">
        <f t="array" aca="1" ref="I46" ca="1">INDEX(INDIRECT("'"&amp;$B46&amp;"'!$F$23:$AJ$39"),MATCH($C46,INDIRECT("'"&amp;$B46&amp;"'!$F$23:$F$39"),0),MATCH($B$44&amp;$C$44&amp;I$44&amp;"Cost",INDIRECT("'"&amp;$B46&amp;"'!$F$23:$AJ$23")&amp;INDIRECT("'"&amp;$B46&amp;"'!$F$24:$AJ$24")&amp;INDIRECT("'"&amp;$B46&amp;"'!$F$25:$AJ$25")&amp;INDIRECT("'"&amp;$B46&amp;"'!$F$30:$AJ$30"),0))</f>
        <v>2211.6951064999998</v>
      </c>
      <c r="J46" s="156">
        <f ca="1">I46-D46</f>
        <v>-63.03905850000001</v>
      </c>
      <c r="K46" s="149"/>
      <c r="L46" s="41"/>
      <c r="M46" s="41"/>
      <c r="N46" s="41"/>
      <c r="O46" s="41"/>
      <c r="P46" s="41"/>
      <c r="Q46" s="41"/>
      <c r="R46" s="41"/>
    </row>
    <row r="47" spans="1:18" x14ac:dyDescent="0.3">
      <c r="A47" s="101"/>
      <c r="B47" s="154" t="str">
        <f>B46</f>
        <v>Ausgrid</v>
      </c>
      <c r="C47" s="36" t="s">
        <v>69</v>
      </c>
      <c r="D47" s="14">
        <f t="array" aca="1" ref="D47" ca="1">INDEX(INDIRECT("'"&amp;$B47&amp;"'!$F$23:$AJ$39"),MATCH($C47,INDIRECT("'"&amp;$B47&amp;"'!$F$23:$F$39"),0),MATCH($B$44&amp;$C$44&amp;D$44&amp;"Cost",INDIRECT("'"&amp;$B47&amp;"'!$F$23:$AJ$23")&amp;INDIRECT("'"&amp;$B47&amp;"'!$F$24:$AJ$24")&amp;INDIRECT("'"&amp;$B47&amp;"'!$F$25:$AJ$25")&amp;INDIRECT("'"&amp;$B47&amp;"'!$F$30:$AJ$30"),0))</f>
        <v>2449.9199999999996</v>
      </c>
      <c r="E47" s="155"/>
      <c r="F47" s="155">
        <f ca="1">ABS($I47-$D47)</f>
        <v>46.640000000000327</v>
      </c>
      <c r="G47" s="155"/>
      <c r="H47" s="155"/>
      <c r="I47" s="14">
        <f t="array" aca="1" ref="I47" ca="1">INDEX(INDIRECT("'"&amp;$B47&amp;"'!$F$23:$AJ$39"),MATCH($C47,INDIRECT("'"&amp;$B47&amp;"'!$F$23:$F$39"),0),MATCH($B$44&amp;$C$44&amp;I$44&amp;"Cost",INDIRECT("'"&amp;$B47&amp;"'!$F$23:$AJ$23")&amp;INDIRECT("'"&amp;$B47&amp;"'!$F$24:$AJ$24")&amp;INDIRECT("'"&amp;$B47&amp;"'!$F$25:$AJ$25")&amp;INDIRECT("'"&amp;$B47&amp;"'!$F$30:$AJ$30"),0))</f>
        <v>2496.56</v>
      </c>
      <c r="J47" s="156">
        <f ca="1">I47-D47</f>
        <v>46.640000000000327</v>
      </c>
      <c r="L47" s="41"/>
      <c r="M47" s="41"/>
      <c r="N47" s="41"/>
      <c r="O47" s="41"/>
      <c r="P47" s="41"/>
      <c r="Q47" s="41"/>
      <c r="R47" s="41"/>
    </row>
    <row r="48" spans="1:18" x14ac:dyDescent="0.3">
      <c r="A48" s="101"/>
      <c r="B48" s="154" t="str">
        <f>B47</f>
        <v>Ausgrid</v>
      </c>
      <c r="C48" s="36" t="s">
        <v>70</v>
      </c>
      <c r="D48" s="14">
        <f t="array" aca="1" ref="D48" ca="1">INDEX(INDIRECT("'"&amp;$B48&amp;"'!$F$23:$AJ$39"),MATCH($C48,INDIRECT("'"&amp;$B48&amp;"'!$F$23:$F$39"),0),MATCH($B$44&amp;$C$44&amp;D$44&amp;"Cost",INDIRECT("'"&amp;$B48&amp;"'!$F$23:$AJ$23")&amp;INDIRECT("'"&amp;$B48&amp;"'!$F$24:$AJ$24")&amp;INDIRECT("'"&amp;$B48&amp;"'!$F$25:$AJ$25")&amp;INDIRECT("'"&amp;$B48&amp;"'!$F$30:$AJ$30"),0))</f>
        <v>425.48</v>
      </c>
      <c r="E48" s="155"/>
      <c r="F48" s="155"/>
      <c r="G48" s="155">
        <f ca="1">ABS($I48-$D48)</f>
        <v>47.740000000000009</v>
      </c>
      <c r="H48" s="155"/>
      <c r="I48" s="14">
        <f t="array" aca="1" ref="I48" ca="1">INDEX(INDIRECT("'"&amp;$B48&amp;"'!$F$23:$AJ$39"),MATCH($C48,INDIRECT("'"&amp;$B48&amp;"'!$F$23:$F$39"),0),MATCH($B$44&amp;$C$44&amp;I$44&amp;"Cost",INDIRECT("'"&amp;$B48&amp;"'!$F$23:$AJ$23")&amp;INDIRECT("'"&amp;$B48&amp;"'!$F$24:$AJ$24")&amp;INDIRECT("'"&amp;$B48&amp;"'!$F$25:$AJ$25")&amp;INDIRECT("'"&amp;$B48&amp;"'!$F$30:$AJ$30"),0))</f>
        <v>377.74</v>
      </c>
      <c r="J48" s="156">
        <f ca="1">I48-D48</f>
        <v>-47.740000000000009</v>
      </c>
      <c r="L48" s="41"/>
      <c r="M48" s="41"/>
      <c r="N48" s="41"/>
      <c r="O48" s="41"/>
      <c r="P48" s="41"/>
      <c r="Q48" s="41"/>
      <c r="R48" s="41"/>
    </row>
    <row r="49" spans="1:18" x14ac:dyDescent="0.3">
      <c r="A49" s="101"/>
      <c r="B49" s="154" t="str">
        <f>B48</f>
        <v>Ausgrid</v>
      </c>
      <c r="C49" s="36" t="s">
        <v>71</v>
      </c>
      <c r="D49" s="14">
        <f t="array" aca="1" ref="D49" ca="1">INDEX(INDIRECT("'"&amp;$B49&amp;"'!$F$23:$AJ$39"),MATCH($C49,INDIRECT("'"&amp;$B49&amp;"'!$F$23:$F$39"),0),MATCH($B$44&amp;$C$44&amp;D$44&amp;"Cost",INDIRECT("'"&amp;$B49&amp;"'!$F$23:$AJ$23")&amp;INDIRECT("'"&amp;$B49&amp;"'!$F$24:$AJ$24")&amp;INDIRECT("'"&amp;$B49&amp;"'!$F$25:$AJ$25")&amp;INDIRECT("'"&amp;$B49&amp;"'!$F$30:$AJ$30"),0))</f>
        <v>2220.8658350000005</v>
      </c>
      <c r="E49" s="155"/>
      <c r="F49" s="155"/>
      <c r="G49" s="155"/>
      <c r="H49" s="155">
        <f ca="1">ABS($I49-$D49)</f>
        <v>41.086017947500295</v>
      </c>
      <c r="I49" s="14">
        <f t="array" aca="1" ref="I49" ca="1">INDEX(INDIRECT("'"&amp;$B49&amp;"'!$F$23:$AJ$39"),MATCH($C49,INDIRECT("'"&amp;$B49&amp;"'!$F$23:$F$39"),0),MATCH($B$44&amp;$C$44&amp;I$44&amp;"Cost",INDIRECT("'"&amp;$B49&amp;"'!$F$23:$AJ$23")&amp;INDIRECT("'"&amp;$B49&amp;"'!$F$24:$AJ$24")&amp;INDIRECT("'"&amp;$B49&amp;"'!$F$25:$AJ$25")&amp;INDIRECT("'"&amp;$B49&amp;"'!$F$30:$AJ$30"),0))</f>
        <v>2261.9518529475008</v>
      </c>
      <c r="J49" s="156">
        <f ca="1">I49-D49</f>
        <v>41.086017947500295</v>
      </c>
      <c r="L49" s="41"/>
      <c r="M49" s="41"/>
      <c r="N49" s="41"/>
      <c r="O49" s="41"/>
      <c r="P49" s="41"/>
      <c r="Q49" s="41"/>
      <c r="R49" s="41"/>
    </row>
    <row r="50" spans="1:18" x14ac:dyDescent="0.3">
      <c r="A50" s="101"/>
      <c r="B50" s="157" t="str">
        <f>B49</f>
        <v>Ausgrid</v>
      </c>
      <c r="C50" s="158" t="s">
        <v>142</v>
      </c>
      <c r="D50" s="159">
        <f ca="1">SUM(D45:D49)</f>
        <v>7371</v>
      </c>
      <c r="E50" s="159"/>
      <c r="F50" s="159"/>
      <c r="G50" s="159"/>
      <c r="H50" s="159"/>
      <c r="I50" s="159">
        <f ca="1">SUM(I45:I49)</f>
        <v>7347.9469594475004</v>
      </c>
      <c r="J50" s="160"/>
      <c r="L50" s="183" t="b">
        <f ca="1">IF(J49&gt;0,I50=SUM(H45,J49),I50=H45)</f>
        <v>1</v>
      </c>
      <c r="M50" s="41"/>
      <c r="N50" s="41"/>
      <c r="O50" s="41"/>
      <c r="P50" s="41"/>
      <c r="Q50" s="41"/>
      <c r="R50" s="41"/>
    </row>
    <row r="51" spans="1:18" x14ac:dyDescent="0.3">
      <c r="A51" s="101" t="str">
        <f>B51&amp;" "&amp;$B$44&amp;" "&amp;$C$44&amp;" $"</f>
        <v>Endeavour Small Business without CL $</v>
      </c>
      <c r="B51" s="150" t="s">
        <v>4</v>
      </c>
      <c r="C51" s="151" t="s">
        <v>212</v>
      </c>
      <c r="D51" s="152">
        <v>0</v>
      </c>
      <c r="E51" s="152">
        <f ca="1">IF($J52&lt;0,SUM(D51:D55)+$J52,SUM(D51:D55))</f>
        <v>6173.4277000000002</v>
      </c>
      <c r="F51" s="152">
        <f ca="1">IF($J53&lt;0,IF($J52&lt;0,E51+$J53,E51+$J52+$J53),IF($J52&lt;0,E51,E51+$J52))</f>
        <v>6173.4277000000002</v>
      </c>
      <c r="G51" s="152">
        <f ca="1">IF($J54&lt;0,IF($J53&lt;0,F51+$J54,F51+$J53+$J54),IF($J53&lt;0,F51,F51+$J53))</f>
        <v>6227.3277000000007</v>
      </c>
      <c r="H51" s="152">
        <f ca="1">IF($J55&lt;0,IF($J54&lt;0,G51+$J55,G51+$J54+$J55),IF($J54&lt;0,G51,G51+$J54))</f>
        <v>6227.3277000000007</v>
      </c>
      <c r="I51" s="152">
        <v>0</v>
      </c>
      <c r="J51" s="153"/>
      <c r="L51" s="176"/>
    </row>
    <row r="52" spans="1:18" x14ac:dyDescent="0.3">
      <c r="A52" s="101"/>
      <c r="B52" s="154" t="str">
        <f>B51</f>
        <v>Endeavour</v>
      </c>
      <c r="C52" s="36" t="s">
        <v>68</v>
      </c>
      <c r="D52" s="14">
        <f t="array" aca="1" ref="D52" ca="1">INDEX(INDIRECT("'"&amp;$B52&amp;"'!$F$23:$AJ$39"),MATCH($C52,INDIRECT("'"&amp;$B52&amp;"'!$F$23:$F$39"),0),MATCH($B$44&amp;$C$44&amp;D$44&amp;"Cost",INDIRECT("'"&amp;$B52&amp;"'!$F$23:$AJ$23")&amp;INDIRECT("'"&amp;$B52&amp;"'!$F$24:$AJ$24")&amp;INDIRECT("'"&amp;$B52&amp;"'!$F$25:$AJ$25")&amp;INDIRECT("'"&amp;$B52&amp;"'!$F$30:$AJ$30"),0))</f>
        <v>2136.8842</v>
      </c>
      <c r="E52" s="155">
        <f ca="1">ABS($I52-$D52)</f>
        <v>30.572299999999814</v>
      </c>
      <c r="F52" s="155"/>
      <c r="G52" s="155"/>
      <c r="H52" s="155"/>
      <c r="I52" s="14">
        <f t="array" aca="1" ref="I52" ca="1">INDEX(INDIRECT("'"&amp;$B52&amp;"'!$F$23:$AJ$39"),MATCH($C52,INDIRECT("'"&amp;$B52&amp;"'!$F$23:$F$39"),0),MATCH($B$44&amp;$C$44&amp;I$44&amp;"Cost",INDIRECT("'"&amp;$B52&amp;"'!$F$23:$AJ$23")&amp;INDIRECT("'"&amp;$B52&amp;"'!$F$24:$AJ$24")&amp;INDIRECT("'"&amp;$B52&amp;"'!$F$25:$AJ$25")&amp;INDIRECT("'"&amp;$B52&amp;"'!$F$30:$AJ$30"),0))</f>
        <v>2106.3119000000002</v>
      </c>
      <c r="J52" s="156">
        <f ca="1">I52-D52</f>
        <v>-30.572299999999814</v>
      </c>
      <c r="L52" s="176"/>
    </row>
    <row r="53" spans="1:18" x14ac:dyDescent="0.3">
      <c r="A53" s="101"/>
      <c r="B53" s="154" t="str">
        <f>B52</f>
        <v>Endeavour</v>
      </c>
      <c r="C53" s="36" t="s">
        <v>69</v>
      </c>
      <c r="D53" s="14">
        <f t="array" aca="1" ref="D53" ca="1">INDEX(INDIRECT("'"&amp;$B53&amp;"'!$F$23:$AJ$39"),MATCH($C53,INDIRECT("'"&amp;$B53&amp;"'!$F$23:$F$39"),0),MATCH($B$44&amp;$C$44&amp;D$44&amp;"Cost",INDIRECT("'"&amp;$B53&amp;"'!$F$23:$AJ$23")&amp;INDIRECT("'"&amp;$B53&amp;"'!$F$24:$AJ$24")&amp;INDIRECT("'"&amp;$B53&amp;"'!$F$25:$AJ$25")&amp;INDIRECT("'"&amp;$B53&amp;"'!$F$30:$AJ$30"),0))</f>
        <v>2389.4199999999996</v>
      </c>
      <c r="E53" s="155"/>
      <c r="F53" s="155">
        <f ca="1">ABS($I53-$D53)</f>
        <v>103.62000000000035</v>
      </c>
      <c r="G53" s="155"/>
      <c r="H53" s="155"/>
      <c r="I53" s="14">
        <f t="array" aca="1" ref="I53" ca="1">INDEX(INDIRECT("'"&amp;$B53&amp;"'!$F$23:$AJ$39"),MATCH($C53,INDIRECT("'"&amp;$B53&amp;"'!$F$23:$F$39"),0),MATCH($B$44&amp;$C$44&amp;I$44&amp;"Cost",INDIRECT("'"&amp;$B53&amp;"'!$F$23:$AJ$23")&amp;INDIRECT("'"&amp;$B53&amp;"'!$F$24:$AJ$24")&amp;INDIRECT("'"&amp;$B53&amp;"'!$F$25:$AJ$25")&amp;INDIRECT("'"&amp;$B53&amp;"'!$F$30:$AJ$30"),0))</f>
        <v>2493.04</v>
      </c>
      <c r="J53" s="156">
        <f ca="1">I53-D53</f>
        <v>103.62000000000035</v>
      </c>
      <c r="L53" s="176"/>
    </row>
    <row r="54" spans="1:18" x14ac:dyDescent="0.3">
      <c r="A54" s="101"/>
      <c r="B54" s="154" t="str">
        <f>B53</f>
        <v>Endeavour</v>
      </c>
      <c r="C54" s="36" t="s">
        <v>70</v>
      </c>
      <c r="D54" s="14">
        <f t="array" aca="1" ref="D54" ca="1">INDEX(INDIRECT("'"&amp;$B54&amp;"'!$F$23:$AJ$39"),MATCH($C54,INDIRECT("'"&amp;$B54&amp;"'!$F$23:$F$39"),0),MATCH($B$44&amp;$C$44&amp;D$44&amp;"Cost",INDIRECT("'"&amp;$B54&amp;"'!$F$23:$AJ$23")&amp;INDIRECT("'"&amp;$B54&amp;"'!$F$24:$AJ$24")&amp;INDIRECT("'"&amp;$B54&amp;"'!$F$25:$AJ$25")&amp;INDIRECT("'"&amp;$B54&amp;"'!$F$30:$AJ$30"),0))</f>
        <v>427.9</v>
      </c>
      <c r="E54" s="155"/>
      <c r="F54" s="155"/>
      <c r="G54" s="155">
        <f ca="1">ABS($I54-$D54)</f>
        <v>49.71999999999997</v>
      </c>
      <c r="H54" s="155"/>
      <c r="I54" s="14">
        <f t="array" aca="1" ref="I54" ca="1">INDEX(INDIRECT("'"&amp;$B54&amp;"'!$F$23:$AJ$39"),MATCH($C54,INDIRECT("'"&amp;$B54&amp;"'!$F$23:$F$39"),0),MATCH($B$44&amp;$C$44&amp;I$44&amp;"Cost",INDIRECT("'"&amp;$B54&amp;"'!$F$23:$AJ$23")&amp;INDIRECT("'"&amp;$B54&amp;"'!$F$24:$AJ$24")&amp;INDIRECT("'"&amp;$B54&amp;"'!$F$25:$AJ$25")&amp;INDIRECT("'"&amp;$B54&amp;"'!$F$30:$AJ$30"),0))</f>
        <v>378.18</v>
      </c>
      <c r="J54" s="156">
        <f ca="1">I54-D54</f>
        <v>-49.71999999999997</v>
      </c>
      <c r="L54" s="176"/>
    </row>
    <row r="55" spans="1:18" x14ac:dyDescent="0.3">
      <c r="A55" s="101"/>
      <c r="B55" s="154" t="str">
        <f>B54</f>
        <v>Endeavour</v>
      </c>
      <c r="C55" s="36" t="s">
        <v>71</v>
      </c>
      <c r="D55" s="14">
        <f t="array" aca="1" ref="D55" ca="1">INDEX(INDIRECT("'"&amp;$B55&amp;"'!$F$23:$AJ$39"),MATCH($C55,INDIRECT("'"&amp;$B55&amp;"'!$F$23:$F$39"),0),MATCH($B$44&amp;$C$44&amp;D$44&amp;"Cost",INDIRECT("'"&amp;$B55&amp;"'!$F$23:$AJ$23")&amp;INDIRECT("'"&amp;$B55&amp;"'!$F$24:$AJ$24")&amp;INDIRECT("'"&amp;$B55&amp;"'!$F$25:$AJ$25")&amp;INDIRECT("'"&amp;$B55&amp;"'!$F$30:$AJ$30"),0))</f>
        <v>1249.7958000000008</v>
      </c>
      <c r="E55" s="155"/>
      <c r="F55" s="155"/>
      <c r="G55" s="155"/>
      <c r="H55" s="155">
        <f ca="1">ABS($I55-$D55)</f>
        <v>23.121222300000227</v>
      </c>
      <c r="I55" s="14">
        <f t="array" aca="1" ref="I55" ca="1">INDEX(INDIRECT("'"&amp;$B55&amp;"'!$F$23:$AJ$39"),MATCH($C55,INDIRECT("'"&amp;$B55&amp;"'!$F$23:$F$39"),0),MATCH($B$44&amp;$C$44&amp;I$44&amp;"Cost",INDIRECT("'"&amp;$B55&amp;"'!$F$23:$AJ$23")&amp;INDIRECT("'"&amp;$B55&amp;"'!$F$24:$AJ$24")&amp;INDIRECT("'"&amp;$B55&amp;"'!$F$25:$AJ$25")&amp;INDIRECT("'"&amp;$B55&amp;"'!$F$30:$AJ$30"),0))</f>
        <v>1272.917022300001</v>
      </c>
      <c r="J55" s="156">
        <f ca="1">I55-D55</f>
        <v>23.121222300000227</v>
      </c>
      <c r="L55" s="176"/>
    </row>
    <row r="56" spans="1:18" x14ac:dyDescent="0.3">
      <c r="A56" s="101"/>
      <c r="B56" s="157" t="str">
        <f>B55</f>
        <v>Endeavour</v>
      </c>
      <c r="C56" s="158" t="s">
        <v>142</v>
      </c>
      <c r="D56" s="159">
        <f ca="1">SUM(D51:D55)</f>
        <v>6204</v>
      </c>
      <c r="E56" s="159"/>
      <c r="F56" s="159"/>
      <c r="G56" s="159"/>
      <c r="H56" s="159"/>
      <c r="I56" s="159">
        <f ca="1">SUM(I51:I55)</f>
        <v>6250.448922300001</v>
      </c>
      <c r="J56" s="160"/>
      <c r="L56" s="183" t="b">
        <f ca="1">IF(J55&gt;0,I56=SUM(H51,J55),I56=H51)</f>
        <v>1</v>
      </c>
    </row>
    <row r="57" spans="1:18" x14ac:dyDescent="0.3">
      <c r="A57" s="101" t="str">
        <f>B57&amp;" "&amp;$B$44&amp;" "&amp;$C$44&amp;" $"</f>
        <v>Essential Small Business without CL $</v>
      </c>
      <c r="B57" s="150" t="s">
        <v>3</v>
      </c>
      <c r="C57" s="151" t="s">
        <v>212</v>
      </c>
      <c r="D57" s="152">
        <v>0</v>
      </c>
      <c r="E57" s="152">
        <f ca="1">IF($J58&lt;0,SUM(D57:D61)+$J58,SUM(D57:D61))</f>
        <v>8045</v>
      </c>
      <c r="F57" s="152">
        <f ca="1">IF($J59&lt;0,IF($J58&lt;0,E57+$J59,E57+$J58+$J59),IF($J58&lt;0,E57,E57+$J58))</f>
        <v>8052.2028</v>
      </c>
      <c r="G57" s="152">
        <f ca="1">IF($J60&lt;0,IF($J59&lt;0,F57+$J60,F57+$J59+$J60),IF($J59&lt;0,F57,F57+$J59))</f>
        <v>8046.9228000000003</v>
      </c>
      <c r="H57" s="152">
        <f ca="1">IF($J61&lt;0,IF($J60&lt;0,G57+$J61,G57+$J60+$J61),IF($J60&lt;0,G57,G57+$J60))</f>
        <v>8046.9228000000003</v>
      </c>
      <c r="I57" s="152">
        <v>0</v>
      </c>
      <c r="J57" s="153"/>
      <c r="L57" s="176"/>
    </row>
    <row r="58" spans="1:18" x14ac:dyDescent="0.3">
      <c r="A58" s="101"/>
      <c r="B58" s="154" t="str">
        <f>B57</f>
        <v>Essential</v>
      </c>
      <c r="C58" s="36" t="s">
        <v>68</v>
      </c>
      <c r="D58" s="14">
        <f t="array" aca="1" ref="D58" ca="1">INDEX(INDIRECT("'"&amp;$B58&amp;"'!$F$23:$AJ$39"),MATCH($C58,INDIRECT("'"&amp;$B58&amp;"'!$F$23:$F$39"),0),MATCH($B$44&amp;$C$44&amp;D$44&amp;"Cost",INDIRECT("'"&amp;$B58&amp;"'!$F$23:$AJ$23")&amp;INDIRECT("'"&amp;$B58&amp;"'!$F$24:$AJ$24")&amp;INDIRECT("'"&amp;$B58&amp;"'!$F$25:$AJ$25")&amp;INDIRECT("'"&amp;$B58&amp;"'!$F$30:$AJ$30"),0))</f>
        <v>3504.2235250000003</v>
      </c>
      <c r="E58" s="155">
        <f ca="1">ABS($I58-$D58)</f>
        <v>7.2028000000000247</v>
      </c>
      <c r="F58" s="155"/>
      <c r="G58" s="155"/>
      <c r="H58" s="155"/>
      <c r="I58" s="14">
        <f t="array" aca="1" ref="I58" ca="1">INDEX(INDIRECT("'"&amp;$B58&amp;"'!$F$23:$AJ$39"),MATCH($C58,INDIRECT("'"&amp;$B58&amp;"'!$F$23:$F$39"),0),MATCH($B$44&amp;$C$44&amp;I$44&amp;"Cost",INDIRECT("'"&amp;$B58&amp;"'!$F$23:$AJ$23")&amp;INDIRECT("'"&amp;$B58&amp;"'!$F$24:$AJ$24")&amp;INDIRECT("'"&amp;$B58&amp;"'!$F$25:$AJ$25")&amp;INDIRECT("'"&amp;$B58&amp;"'!$F$30:$AJ$30"),0))</f>
        <v>3511.4263250000004</v>
      </c>
      <c r="J58" s="156">
        <f ca="1">I58-D58</f>
        <v>7.2028000000000247</v>
      </c>
      <c r="L58" s="176"/>
    </row>
    <row r="59" spans="1:18" x14ac:dyDescent="0.3">
      <c r="A59" s="101"/>
      <c r="B59" s="154" t="str">
        <f>B58</f>
        <v>Essential</v>
      </c>
      <c r="C59" s="36" t="s">
        <v>69</v>
      </c>
      <c r="D59" s="14">
        <f t="array" aca="1" ref="D59" ca="1">INDEX(INDIRECT("'"&amp;$B59&amp;"'!$F$23:$AJ$39"),MATCH($C59,INDIRECT("'"&amp;$B59&amp;"'!$F$23:$F$39"),0),MATCH($B$44&amp;$C$44&amp;D$44&amp;"Cost",INDIRECT("'"&amp;$B59&amp;"'!$F$23:$AJ$23")&amp;INDIRECT("'"&amp;$B59&amp;"'!$F$24:$AJ$24")&amp;INDIRECT("'"&amp;$B59&amp;"'!$F$25:$AJ$25")&amp;INDIRECT("'"&amp;$B59&amp;"'!$F$30:$AJ$30"),0))</f>
        <v>2269.7400000000002</v>
      </c>
      <c r="E59" s="155"/>
      <c r="F59" s="155">
        <f ca="1">ABS($I59-$D59)</f>
        <v>46.199999999999818</v>
      </c>
      <c r="G59" s="155"/>
      <c r="H59" s="155"/>
      <c r="I59" s="14">
        <f t="array" aca="1" ref="I59" ca="1">INDEX(INDIRECT("'"&amp;$B59&amp;"'!$F$23:$AJ$39"),MATCH($C59,INDIRECT("'"&amp;$B59&amp;"'!$F$23:$F$39"),0),MATCH($B$44&amp;$C$44&amp;I$44&amp;"Cost",INDIRECT("'"&amp;$B59&amp;"'!$F$23:$AJ$23")&amp;INDIRECT("'"&amp;$B59&amp;"'!$F$24:$AJ$24")&amp;INDIRECT("'"&amp;$B59&amp;"'!$F$25:$AJ$25")&amp;INDIRECT("'"&amp;$B59&amp;"'!$F$30:$AJ$30"),0))</f>
        <v>2315.94</v>
      </c>
      <c r="J59" s="156">
        <f ca="1">I59-D59</f>
        <v>46.199999999999818</v>
      </c>
      <c r="L59" s="176"/>
    </row>
    <row r="60" spans="1:18" x14ac:dyDescent="0.3">
      <c r="A60" s="101"/>
      <c r="B60" s="154" t="str">
        <f>B59</f>
        <v>Essential</v>
      </c>
      <c r="C60" s="36" t="s">
        <v>70</v>
      </c>
      <c r="D60" s="14">
        <f t="array" aca="1" ref="D60" ca="1">INDEX(INDIRECT("'"&amp;$B60&amp;"'!$F$23:$AJ$39"),MATCH($C60,INDIRECT("'"&amp;$B60&amp;"'!$F$23:$F$39"),0),MATCH($B$44&amp;$C$44&amp;D$44&amp;"Cost",INDIRECT("'"&amp;$B60&amp;"'!$F$23:$AJ$23")&amp;INDIRECT("'"&amp;$B60&amp;"'!$F$24:$AJ$24")&amp;INDIRECT("'"&amp;$B60&amp;"'!$F$25:$AJ$25")&amp;INDIRECT("'"&amp;$B60&amp;"'!$F$30:$AJ$30"),0))</f>
        <v>429.22</v>
      </c>
      <c r="E60" s="155"/>
      <c r="F60" s="155"/>
      <c r="G60" s="155">
        <f ca="1">ABS($I60-$D60)</f>
        <v>51.480000000000018</v>
      </c>
      <c r="H60" s="155"/>
      <c r="I60" s="14">
        <f t="array" aca="1" ref="I60" ca="1">INDEX(INDIRECT("'"&amp;$B60&amp;"'!$F$23:$AJ$39"),MATCH($C60,INDIRECT("'"&amp;$B60&amp;"'!$F$23:$F$39"),0),MATCH($B$44&amp;$C$44&amp;I$44&amp;"Cost",INDIRECT("'"&amp;$B60&amp;"'!$F$23:$AJ$23")&amp;INDIRECT("'"&amp;$B60&amp;"'!$F$24:$AJ$24")&amp;INDIRECT("'"&amp;$B60&amp;"'!$F$25:$AJ$25")&amp;INDIRECT("'"&amp;$B60&amp;"'!$F$30:$AJ$30"),0))</f>
        <v>377.74</v>
      </c>
      <c r="J60" s="156">
        <f ca="1">I60-D60</f>
        <v>-51.480000000000018</v>
      </c>
      <c r="L60" s="176"/>
    </row>
    <row r="61" spans="1:18" x14ac:dyDescent="0.3">
      <c r="A61" s="101"/>
      <c r="B61" s="154" t="str">
        <f>B60</f>
        <v>Essential</v>
      </c>
      <c r="C61" s="36" t="s">
        <v>71</v>
      </c>
      <c r="D61" s="14">
        <f t="array" aca="1" ref="D61" ca="1">INDEX(INDIRECT("'"&amp;$B61&amp;"'!$F$23:$AJ$39"),MATCH($C61,INDIRECT("'"&amp;$B61&amp;"'!$F$23:$F$39"),0),MATCH($B$44&amp;$C$44&amp;D$44&amp;"Cost",INDIRECT("'"&amp;$B61&amp;"'!$F$23:$AJ$23")&amp;INDIRECT("'"&amp;$B61&amp;"'!$F$24:$AJ$24")&amp;INDIRECT("'"&amp;$B61&amp;"'!$F$25:$AJ$25")&amp;INDIRECT("'"&amp;$B61&amp;"'!$F$30:$AJ$30"),0))</f>
        <v>1841.8164749999987</v>
      </c>
      <c r="E61" s="155"/>
      <c r="F61" s="155"/>
      <c r="G61" s="155"/>
      <c r="H61" s="155">
        <f ca="1">ABS($I61-$D61)</f>
        <v>34.073604787499789</v>
      </c>
      <c r="I61" s="14">
        <f t="array" aca="1" ref="I61" ca="1">INDEX(INDIRECT("'"&amp;$B61&amp;"'!$F$23:$AJ$39"),MATCH($C61,INDIRECT("'"&amp;$B61&amp;"'!$F$23:$F$39"),0),MATCH($B$44&amp;$C$44&amp;I$44&amp;"Cost",INDIRECT("'"&amp;$B61&amp;"'!$F$23:$AJ$23")&amp;INDIRECT("'"&amp;$B61&amp;"'!$F$24:$AJ$24")&amp;INDIRECT("'"&amp;$B61&amp;"'!$F$25:$AJ$25")&amp;INDIRECT("'"&amp;$B61&amp;"'!$F$30:$AJ$30"),0))</f>
        <v>1875.8900797874985</v>
      </c>
      <c r="J61" s="156">
        <f ca="1">I61-D61</f>
        <v>34.073604787499789</v>
      </c>
      <c r="L61" s="176"/>
    </row>
    <row r="62" spans="1:18" x14ac:dyDescent="0.3">
      <c r="A62" s="101"/>
      <c r="B62" s="157" t="str">
        <f>B61</f>
        <v>Essential</v>
      </c>
      <c r="C62" s="158" t="s">
        <v>142</v>
      </c>
      <c r="D62" s="159">
        <f ca="1">SUM(D57:D61)</f>
        <v>8045</v>
      </c>
      <c r="E62" s="159"/>
      <c r="F62" s="159"/>
      <c r="G62" s="159"/>
      <c r="H62" s="159"/>
      <c r="I62" s="159">
        <f ca="1">SUM(I57:I61)</f>
        <v>8080.9964047874992</v>
      </c>
      <c r="J62" s="160"/>
      <c r="L62" s="183" t="b">
        <f ca="1">IF(J61&gt;0,I62=SUM(H57,J61),I62=H57)</f>
        <v>1</v>
      </c>
    </row>
    <row r="63" spans="1:18" x14ac:dyDescent="0.3">
      <c r="A63" s="101" t="str">
        <f>B63&amp;" "&amp;$B$44&amp;" "&amp;$C$44&amp;" $"</f>
        <v>Energex Small Business without CL $</v>
      </c>
      <c r="B63" s="150" t="s">
        <v>0</v>
      </c>
      <c r="C63" s="151" t="s">
        <v>212</v>
      </c>
      <c r="D63" s="152">
        <v>0</v>
      </c>
      <c r="E63" s="152">
        <f ca="1">IF($J64&lt;0,SUM(D63:D67)+$J64,SUM(D63:D67))</f>
        <v>5773.0375750000003</v>
      </c>
      <c r="F63" s="152">
        <f ca="1">IF($J65&lt;0,IF($J64&lt;0,E63+$J65,E63+$J64+$J65),IF($J64&lt;0,E63,E63+$J64))</f>
        <v>5679.0975749999998</v>
      </c>
      <c r="G63" s="152">
        <f ca="1">IF($J66&lt;0,IF($J65&lt;0,F63+$J66,F63+$J65+$J66),IF($J65&lt;0,F63,F63+$J65))</f>
        <v>5623.8775749999995</v>
      </c>
      <c r="H63" s="152">
        <f ca="1">IF($J67&lt;0,IF($J66&lt;0,G63+$J67,G63+$J66+$J67),IF($J66&lt;0,G63,G63+$J66))</f>
        <v>5623.8775749999995</v>
      </c>
      <c r="I63" s="152">
        <v>0</v>
      </c>
      <c r="J63" s="153"/>
      <c r="L63" s="176"/>
    </row>
    <row r="64" spans="1:18" x14ac:dyDescent="0.3">
      <c r="A64" s="101"/>
      <c r="B64" s="154" t="str">
        <f>B63</f>
        <v>Energex</v>
      </c>
      <c r="C64" s="36" t="s">
        <v>68</v>
      </c>
      <c r="D64" s="14">
        <f t="array" aca="1" ref="D64" ca="1">INDEX(INDIRECT("'"&amp;$B64&amp;"'!$F$23:$AJ$39"),MATCH($C64,INDIRECT("'"&amp;$B64&amp;"'!$F$23:$F$39"),0),MATCH($B$44&amp;$C$44&amp;D$44&amp;"Cost",INDIRECT("'"&amp;$B64&amp;"'!$F$23:$AJ$23")&amp;INDIRECT("'"&amp;$B64&amp;"'!$F$24:$AJ$24")&amp;INDIRECT("'"&amp;$B64&amp;"'!$F$25:$AJ$25")&amp;INDIRECT("'"&amp;$B64&amp;"'!$F$30:$AJ$30"),0))</f>
        <v>2241.2074299999999</v>
      </c>
      <c r="E64" s="155">
        <f ca="1">ABS($I64-$D64)</f>
        <v>251.96242499999994</v>
      </c>
      <c r="F64" s="155"/>
      <c r="G64" s="155"/>
      <c r="H64" s="155"/>
      <c r="I64" s="14">
        <f t="array" aca="1" ref="I64" ca="1">INDEX(INDIRECT("'"&amp;$B64&amp;"'!$F$23:$AJ$39"),MATCH($C64,INDIRECT("'"&amp;$B64&amp;"'!$F$23:$F$39"),0),MATCH($B$44&amp;$C$44&amp;I$44&amp;"Cost",INDIRECT("'"&amp;$B64&amp;"'!$F$23:$AJ$23")&amp;INDIRECT("'"&amp;$B64&amp;"'!$F$24:$AJ$24")&amp;INDIRECT("'"&amp;$B64&amp;"'!$F$25:$AJ$25")&amp;INDIRECT("'"&amp;$B64&amp;"'!$F$30:$AJ$30"),0))</f>
        <v>1989.245005</v>
      </c>
      <c r="J64" s="156">
        <f ca="1">I64-D64</f>
        <v>-251.96242499999994</v>
      </c>
      <c r="L64" s="176"/>
    </row>
    <row r="65" spans="1:12" x14ac:dyDescent="0.3">
      <c r="A65" s="101"/>
      <c r="B65" s="154" t="str">
        <f>B64</f>
        <v>Energex</v>
      </c>
      <c r="C65" s="36" t="s">
        <v>69</v>
      </c>
      <c r="D65" s="14">
        <f t="array" aca="1" ref="D65" ca="1">INDEX(INDIRECT("'"&amp;$B65&amp;"'!$F$23:$AJ$39"),MATCH($C65,INDIRECT("'"&amp;$B65&amp;"'!$F$23:$F$39"),0),MATCH($B$44&amp;$C$44&amp;D$44&amp;"Cost",INDIRECT("'"&amp;$B65&amp;"'!$F$23:$AJ$23")&amp;INDIRECT("'"&amp;$B65&amp;"'!$F$24:$AJ$24")&amp;INDIRECT("'"&amp;$B65&amp;"'!$F$25:$AJ$25")&amp;INDIRECT("'"&amp;$B65&amp;"'!$F$30:$AJ$30"),0))</f>
        <v>2163.48</v>
      </c>
      <c r="E65" s="155"/>
      <c r="F65" s="155">
        <f ca="1">ABS($I65-$D65)</f>
        <v>93.940000000000055</v>
      </c>
      <c r="G65" s="155"/>
      <c r="H65" s="155"/>
      <c r="I65" s="14">
        <f t="array" aca="1" ref="I65" ca="1">INDEX(INDIRECT("'"&amp;$B65&amp;"'!$F$23:$AJ$39"),MATCH($C65,INDIRECT("'"&amp;$B65&amp;"'!$F$23:$F$39"),0),MATCH($B$44&amp;$C$44&amp;I$44&amp;"Cost",INDIRECT("'"&amp;$B65&amp;"'!$F$23:$AJ$23")&amp;INDIRECT("'"&amp;$B65&amp;"'!$F$24:$AJ$24")&amp;INDIRECT("'"&amp;$B65&amp;"'!$F$25:$AJ$25")&amp;INDIRECT("'"&amp;$B65&amp;"'!$F$30:$AJ$30"),0))</f>
        <v>2069.54</v>
      </c>
      <c r="J65" s="156">
        <f ca="1">I65-D65</f>
        <v>-93.940000000000055</v>
      </c>
      <c r="L65" s="176"/>
    </row>
    <row r="66" spans="1:12" x14ac:dyDescent="0.3">
      <c r="A66" s="101"/>
      <c r="B66" s="154" t="str">
        <f>B65</f>
        <v>Energex</v>
      </c>
      <c r="C66" s="36" t="s">
        <v>70</v>
      </c>
      <c r="D66" s="14">
        <f t="array" aca="1" ref="D66" ca="1">INDEX(INDIRECT("'"&amp;$B66&amp;"'!$F$23:$AJ$39"),MATCH($C66,INDIRECT("'"&amp;$B66&amp;"'!$F$23:$F$39"),0),MATCH($B$44&amp;$C$44&amp;D$44&amp;"Cost",INDIRECT("'"&amp;$B66&amp;"'!$F$23:$AJ$23")&amp;INDIRECT("'"&amp;$B66&amp;"'!$F$24:$AJ$24")&amp;INDIRECT("'"&amp;$B66&amp;"'!$F$25:$AJ$25")&amp;INDIRECT("'"&amp;$B66&amp;"'!$F$30:$AJ$30"),0))</f>
        <v>389.84</v>
      </c>
      <c r="E66" s="155"/>
      <c r="F66" s="155"/>
      <c r="G66" s="155">
        <f ca="1">ABS($I66-$D66)</f>
        <v>55.21999999999997</v>
      </c>
      <c r="H66" s="155"/>
      <c r="I66" s="14">
        <f t="array" aca="1" ref="I66" ca="1">INDEX(INDIRECT("'"&amp;$B66&amp;"'!$F$23:$AJ$39"),MATCH($C66,INDIRECT("'"&amp;$B66&amp;"'!$F$23:$F$39"),0),MATCH($B$44&amp;$C$44&amp;I$44&amp;"Cost",INDIRECT("'"&amp;$B66&amp;"'!$F$23:$AJ$23")&amp;INDIRECT("'"&amp;$B66&amp;"'!$F$24:$AJ$24")&amp;INDIRECT("'"&amp;$B66&amp;"'!$F$25:$AJ$25")&amp;INDIRECT("'"&amp;$B66&amp;"'!$F$30:$AJ$30"),0))</f>
        <v>334.62</v>
      </c>
      <c r="J66" s="156">
        <f ca="1">I66-D66</f>
        <v>-55.21999999999997</v>
      </c>
      <c r="L66" s="176"/>
    </row>
    <row r="67" spans="1:12" x14ac:dyDescent="0.3">
      <c r="A67" s="101"/>
      <c r="B67" s="154" t="str">
        <f>B66</f>
        <v>Energex</v>
      </c>
      <c r="C67" s="36" t="s">
        <v>71</v>
      </c>
      <c r="D67" s="14">
        <f t="array" aca="1" ref="D67" ca="1">INDEX(INDIRECT("'"&amp;$B67&amp;"'!$F$23:$AJ$39"),MATCH($C67,INDIRECT("'"&amp;$B67&amp;"'!$F$23:$F$39"),0),MATCH($B$44&amp;$C$44&amp;D$44&amp;"Cost",INDIRECT("'"&amp;$B67&amp;"'!$F$23:$AJ$23")&amp;INDIRECT("'"&amp;$B67&amp;"'!$F$24:$AJ$24")&amp;INDIRECT("'"&amp;$B67&amp;"'!$F$25:$AJ$25")&amp;INDIRECT("'"&amp;$B67&amp;"'!$F$30:$AJ$30"),0))</f>
        <v>1230.4725699999999</v>
      </c>
      <c r="E67" s="155"/>
      <c r="F67" s="155"/>
      <c r="G67" s="155"/>
      <c r="H67" s="155">
        <f ca="1">ABS($I67-$D67)</f>
        <v>22.763742545000241</v>
      </c>
      <c r="I67" s="14">
        <f t="array" aca="1" ref="I67" ca="1">INDEX(INDIRECT("'"&amp;$B67&amp;"'!$F$23:$AJ$39"),MATCH($C67,INDIRECT("'"&amp;$B67&amp;"'!$F$23:$F$39"),0),MATCH($B$44&amp;$C$44&amp;I$44&amp;"Cost",INDIRECT("'"&amp;$B67&amp;"'!$F$23:$AJ$23")&amp;INDIRECT("'"&amp;$B67&amp;"'!$F$24:$AJ$24")&amp;INDIRECT("'"&amp;$B67&amp;"'!$F$25:$AJ$25")&amp;INDIRECT("'"&amp;$B67&amp;"'!$F$30:$AJ$30"),0))</f>
        <v>1253.2363125450001</v>
      </c>
      <c r="J67" s="156">
        <f ca="1">I67-D67</f>
        <v>22.763742545000241</v>
      </c>
      <c r="L67" s="176"/>
    </row>
    <row r="68" spans="1:12" x14ac:dyDescent="0.3">
      <c r="A68" s="101"/>
      <c r="B68" s="157" t="str">
        <f>B67</f>
        <v>Energex</v>
      </c>
      <c r="C68" s="158" t="s">
        <v>142</v>
      </c>
      <c r="D68" s="159">
        <f ca="1">SUM(D63:D67)</f>
        <v>6025</v>
      </c>
      <c r="E68" s="159"/>
      <c r="F68" s="159"/>
      <c r="G68" s="159"/>
      <c r="H68" s="159"/>
      <c r="I68" s="159">
        <f ca="1">SUM(I63:I67)</f>
        <v>5646.6413175449998</v>
      </c>
      <c r="J68" s="160"/>
      <c r="L68" s="183" t="b">
        <f ca="1">IF(J67&gt;0,I68=SUM(H63,J67),I68=H63)</f>
        <v>1</v>
      </c>
    </row>
    <row r="69" spans="1:12" x14ac:dyDescent="0.3">
      <c r="A69" s="101" t="str">
        <f>B69&amp;" "&amp;$B$44&amp;" "&amp;$C$44&amp;" $"</f>
        <v>SAPN Small Business without CL $</v>
      </c>
      <c r="B69" s="150" t="s">
        <v>5</v>
      </c>
      <c r="C69" s="151" t="s">
        <v>212</v>
      </c>
      <c r="D69" s="152">
        <v>0</v>
      </c>
      <c r="E69" s="152">
        <f ca="1">IF($J70&lt;0,SUM(D69:D73)+$J70,SUM(D69:D73))</f>
        <v>8615.8078500000011</v>
      </c>
      <c r="F69" s="152">
        <f ca="1">IF($J71&lt;0,IF($J70&lt;0,E69+$J71,E69+$J70+$J71),IF($J70&lt;0,E69,E69+$J70))</f>
        <v>8460.267850000002</v>
      </c>
      <c r="G69" s="152">
        <f ca="1">IF($J72&lt;0,IF($J71&lt;0,F69+$J72,F69+$J71+$J72),IF($J71&lt;0,F69,F69+$J71))</f>
        <v>8402.6278500000026</v>
      </c>
      <c r="H69" s="152">
        <f ca="1">IF($J73&lt;0,IF($J72&lt;0,G69+$J73,G69+$J72+$J73),IF($J72&lt;0,G69,G69+$J72))</f>
        <v>8402.6278500000026</v>
      </c>
      <c r="I69" s="152">
        <v>0</v>
      </c>
      <c r="J69" s="153"/>
      <c r="L69" s="176"/>
    </row>
    <row r="70" spans="1:12" x14ac:dyDescent="0.3">
      <c r="A70" s="101"/>
      <c r="B70" s="154" t="str">
        <f>B69</f>
        <v>SAPN</v>
      </c>
      <c r="C70" s="36" t="s">
        <v>68</v>
      </c>
      <c r="D70" s="14">
        <f t="array" aca="1" ref="D70" ca="1">INDEX(INDIRECT("'"&amp;$B70&amp;"'!$F$23:$AJ$39"),MATCH($C70,INDIRECT("'"&amp;$B70&amp;"'!$F$23:$F$39"),0),MATCH($B$44&amp;$C$44&amp;D$44&amp;"Cost",INDIRECT("'"&amp;$B70&amp;"'!$F$23:$AJ$23")&amp;INDIRECT("'"&amp;$B70&amp;"'!$F$24:$AJ$24")&amp;INDIRECT("'"&amp;$B70&amp;"'!$F$25:$AJ$25")&amp;INDIRECT("'"&amp;$B70&amp;"'!$F$30:$AJ$30"),0))</f>
        <v>3623.40715</v>
      </c>
      <c r="E70" s="155">
        <f ca="1">ABS($I70-$D70)</f>
        <v>504.19214999999986</v>
      </c>
      <c r="F70" s="155"/>
      <c r="G70" s="155"/>
      <c r="H70" s="155"/>
      <c r="I70" s="14">
        <f t="array" aca="1" ref="I70" ca="1">INDEX(INDIRECT("'"&amp;$B70&amp;"'!$F$23:$AJ$39"),MATCH($C70,INDIRECT("'"&amp;$B70&amp;"'!$F$23:$F$39"),0),MATCH($B$44&amp;$C$44&amp;I$44&amp;"Cost",INDIRECT("'"&amp;$B70&amp;"'!$F$23:$AJ$23")&amp;INDIRECT("'"&amp;$B70&amp;"'!$F$24:$AJ$24")&amp;INDIRECT("'"&amp;$B70&amp;"'!$F$25:$AJ$25")&amp;INDIRECT("'"&amp;$B70&amp;"'!$F$30:$AJ$30"),0))</f>
        <v>3119.2150000000001</v>
      </c>
      <c r="J70" s="156">
        <f ca="1">I70-D70</f>
        <v>-504.19214999999986</v>
      </c>
      <c r="L70" s="176"/>
    </row>
    <row r="71" spans="1:12" x14ac:dyDescent="0.3">
      <c r="A71" s="101"/>
      <c r="B71" s="154" t="str">
        <f>B70</f>
        <v>SAPN</v>
      </c>
      <c r="C71" s="36" t="s">
        <v>69</v>
      </c>
      <c r="D71" s="14">
        <f t="array" aca="1" ref="D71" ca="1">INDEX(INDIRECT("'"&amp;$B71&amp;"'!$F$23:$AJ$39"),MATCH($C71,INDIRECT("'"&amp;$B71&amp;"'!$F$23:$F$39"),0),MATCH($B$44&amp;$C$44&amp;D$44&amp;"Cost",INDIRECT("'"&amp;$B71&amp;"'!$F$23:$AJ$23")&amp;INDIRECT("'"&amp;$B71&amp;"'!$F$24:$AJ$24")&amp;INDIRECT("'"&amp;$B71&amp;"'!$F$25:$AJ$25")&amp;INDIRECT("'"&amp;$B71&amp;"'!$F$30:$AJ$30"),0))</f>
        <v>3612.6199999999994</v>
      </c>
      <c r="E71" s="155"/>
      <c r="F71" s="155">
        <f ca="1">ABS($I71-$D71)</f>
        <v>155.53999999999951</v>
      </c>
      <c r="G71" s="155"/>
      <c r="H71" s="155"/>
      <c r="I71" s="14">
        <f t="array" aca="1" ref="I71" ca="1">INDEX(INDIRECT("'"&amp;$B71&amp;"'!$F$23:$AJ$39"),MATCH($C71,INDIRECT("'"&amp;$B71&amp;"'!$F$23:$F$39"),0),MATCH($B$44&amp;$C$44&amp;I$44&amp;"Cost",INDIRECT("'"&amp;$B71&amp;"'!$F$23:$AJ$23")&amp;INDIRECT("'"&amp;$B71&amp;"'!$F$24:$AJ$24")&amp;INDIRECT("'"&amp;$B71&amp;"'!$F$25:$AJ$25")&amp;INDIRECT("'"&amp;$B71&amp;"'!$F$30:$AJ$30"),0))</f>
        <v>3457.08</v>
      </c>
      <c r="J71" s="156">
        <f ca="1">I71-D71</f>
        <v>-155.53999999999951</v>
      </c>
      <c r="L71" s="176"/>
    </row>
    <row r="72" spans="1:12" x14ac:dyDescent="0.3">
      <c r="A72" s="101"/>
      <c r="B72" s="154" t="str">
        <f>B71</f>
        <v>SAPN</v>
      </c>
      <c r="C72" s="36" t="s">
        <v>70</v>
      </c>
      <c r="D72" s="14">
        <f t="array" aca="1" ref="D72" ca="1">INDEX(INDIRECT("'"&amp;$B72&amp;"'!$F$23:$AJ$39"),MATCH($C72,INDIRECT("'"&amp;$B72&amp;"'!$F$23:$F$39"),0),MATCH($B$44&amp;$C$44&amp;D$44&amp;"Cost",INDIRECT("'"&amp;$B72&amp;"'!$F$23:$AJ$23")&amp;INDIRECT("'"&amp;$B72&amp;"'!$F$24:$AJ$24")&amp;INDIRECT("'"&amp;$B72&amp;"'!$F$25:$AJ$25")&amp;INDIRECT("'"&amp;$B72&amp;"'!$F$30:$AJ$30"),0))</f>
        <v>467.5</v>
      </c>
      <c r="E72" s="155"/>
      <c r="F72" s="155"/>
      <c r="G72" s="155">
        <f ca="1">ABS($I72-$D72)</f>
        <v>57.63999999999993</v>
      </c>
      <c r="H72" s="155"/>
      <c r="I72" s="14">
        <f t="array" aca="1" ref="I72" ca="1">INDEX(INDIRECT("'"&amp;$B72&amp;"'!$F$23:$AJ$39"),MATCH($C72,INDIRECT("'"&amp;$B72&amp;"'!$F$23:$F$39"),0),MATCH($B$44&amp;$C$44&amp;I$44&amp;"Cost",INDIRECT("'"&amp;$B72&amp;"'!$F$23:$AJ$23")&amp;INDIRECT("'"&amp;$B72&amp;"'!$F$24:$AJ$24")&amp;INDIRECT("'"&amp;$B72&amp;"'!$F$25:$AJ$25")&amp;INDIRECT("'"&amp;$B72&amp;"'!$F$30:$AJ$30"),0))</f>
        <v>409.86000000000007</v>
      </c>
      <c r="J72" s="156">
        <f ca="1">I72-D72</f>
        <v>-57.63999999999993</v>
      </c>
      <c r="L72" s="176"/>
    </row>
    <row r="73" spans="1:12" x14ac:dyDescent="0.3">
      <c r="A73" s="101"/>
      <c r="B73" s="154" t="str">
        <f>B72</f>
        <v>SAPN</v>
      </c>
      <c r="C73" s="36" t="s">
        <v>71</v>
      </c>
      <c r="D73" s="14">
        <f t="array" aca="1" ref="D73" ca="1">INDEX(INDIRECT("'"&amp;$B73&amp;"'!$F$23:$AJ$39"),MATCH($C73,INDIRECT("'"&amp;$B73&amp;"'!$F$23:$F$39"),0),MATCH($B$44&amp;$C$44&amp;D$44&amp;"Cost",INDIRECT("'"&amp;$B73&amp;"'!$F$23:$AJ$23")&amp;INDIRECT("'"&amp;$B73&amp;"'!$F$24:$AJ$24")&amp;INDIRECT("'"&amp;$B73&amp;"'!$F$25:$AJ$25")&amp;INDIRECT("'"&amp;$B73&amp;"'!$F$30:$AJ$30"),0))</f>
        <v>1416.4728500000001</v>
      </c>
      <c r="E73" s="155"/>
      <c r="F73" s="155"/>
      <c r="G73" s="155"/>
      <c r="H73" s="155">
        <f ca="1">ABS($I73-$D73)</f>
        <v>26.204747725000743</v>
      </c>
      <c r="I73" s="14">
        <f t="array" aca="1" ref="I73" ca="1">INDEX(INDIRECT("'"&amp;$B73&amp;"'!$F$23:$AJ$39"),MATCH($C73,INDIRECT("'"&amp;$B73&amp;"'!$F$23:$F$39"),0),MATCH($B$44&amp;$C$44&amp;I$44&amp;"Cost",INDIRECT("'"&amp;$B73&amp;"'!$F$23:$AJ$23")&amp;INDIRECT("'"&amp;$B73&amp;"'!$F$24:$AJ$24")&amp;INDIRECT("'"&amp;$B73&amp;"'!$F$25:$AJ$25")&amp;INDIRECT("'"&amp;$B73&amp;"'!$F$30:$AJ$30"),0))</f>
        <v>1442.6775977250009</v>
      </c>
      <c r="J73" s="156">
        <f ca="1">I73-D73</f>
        <v>26.204747725000743</v>
      </c>
      <c r="L73" s="176"/>
    </row>
    <row r="74" spans="1:12" x14ac:dyDescent="0.3">
      <c r="A74" s="101"/>
      <c r="B74" s="157" t="str">
        <f>B73</f>
        <v>SAPN</v>
      </c>
      <c r="C74" s="158" t="s">
        <v>142</v>
      </c>
      <c r="D74" s="159">
        <f ca="1">SUM(D69:D73)</f>
        <v>9120</v>
      </c>
      <c r="E74" s="159"/>
      <c r="F74" s="159"/>
      <c r="G74" s="159"/>
      <c r="H74" s="159"/>
      <c r="I74" s="159">
        <f ca="1">SUM(I69:I73)</f>
        <v>8428.8325977250006</v>
      </c>
      <c r="J74" s="160"/>
      <c r="L74" s="183" t="b">
        <f ca="1">IF(J73&gt;0,I74=SUM(H69,J73),I74=H69)</f>
        <v>1</v>
      </c>
    </row>
  </sheetData>
  <sheetProtection algorithmName="SHA-256" hashValue="cZEYh5mj7t2CRtEITyEZYtMUFktrSaDd/pjnqATUFBg=" saltValue="stMPL2x1MhcTYil+9HYmPQ==" spinCount="100000" sheet="1" objects="1" scenarios="1"/>
  <mergeCells count="1">
    <mergeCell ref="A1:B1"/>
  </mergeCells>
  <conditionalFormatting sqref="B45:J74">
    <cfRule type="expression" dxfId="65" priority="3">
      <formula>MOD(ROW(),2)=0</formula>
    </cfRule>
  </conditionalFormatting>
  <conditionalFormatting sqref="L50:L74">
    <cfRule type="cellIs" dxfId="64" priority="1" operator="equal">
      <formula>FALSE</formula>
    </cfRule>
    <cfRule type="cellIs" dxfId="63"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F9:F14"/>
  <sheetViews>
    <sheetView workbookViewId="0">
      <selection activeCell="F10" sqref="F10"/>
    </sheetView>
  </sheetViews>
  <sheetFormatPr defaultColWidth="8.88671875" defaultRowHeight="14.4" x14ac:dyDescent="0.3"/>
  <cols>
    <col min="1" max="16384" width="8.88671875" style="3"/>
  </cols>
  <sheetData>
    <row r="9" spans="6:6" ht="36.6" x14ac:dyDescent="0.3">
      <c r="F9" s="2" t="s">
        <v>209</v>
      </c>
    </row>
    <row r="10" spans="6:6" ht="36.6" x14ac:dyDescent="0.3">
      <c r="F10" s="2" t="str">
        <f>"DMO "&amp;FY</f>
        <v>DMO 2020-21</v>
      </c>
    </row>
    <row r="11" spans="6:6" ht="23.4" x14ac:dyDescent="0.3">
      <c r="F11" s="4" t="s">
        <v>201</v>
      </c>
    </row>
    <row r="12" spans="6:6" ht="23.4" x14ac:dyDescent="0.3">
      <c r="F12" s="4"/>
    </row>
    <row r="13" spans="6:6" x14ac:dyDescent="0.3">
      <c r="F13" s="5"/>
    </row>
    <row r="14" spans="6:6" x14ac:dyDescent="0.3">
      <c r="F14" s="5"/>
    </row>
  </sheetData>
  <sheetProtection algorithmName="SHA-256" hashValue="3+ZKlcA0kpGi0z7Ng3AT8k2JId2yWtdHz4rsm2tFbSg=" saltValue="bKFguzczlY16Kdgzvmw54Q=="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8"/>
  <sheetViews>
    <sheetView zoomScaleNormal="100" workbookViewId="0">
      <selection sqref="A1:B1"/>
    </sheetView>
  </sheetViews>
  <sheetFormatPr defaultColWidth="0" defaultRowHeight="14.4" zeroHeight="1" x14ac:dyDescent="0.3"/>
  <cols>
    <col min="1" max="1" width="1.6640625" style="3" customWidth="1"/>
    <col min="2" max="2" width="33.88671875" style="3" bestFit="1" customWidth="1"/>
    <col min="3" max="5" width="13.33203125" style="3" customWidth="1"/>
    <col min="6" max="6" width="26.6640625" style="3" customWidth="1"/>
    <col min="7" max="7" width="5.88671875" style="3" customWidth="1"/>
    <col min="8" max="10" width="10.6640625" style="3" customWidth="1"/>
    <col min="11" max="11" width="1.6640625" style="3" customWidth="1"/>
    <col min="12" max="12" width="10.6640625" style="3" customWidth="1"/>
    <col min="13" max="13" width="9.44140625" style="3" hidden="1" customWidth="1"/>
    <col min="14" max="14" width="13.33203125" style="3" hidden="1" customWidth="1"/>
    <col min="15" max="15" width="10.6640625" style="3" customWidth="1"/>
    <col min="16" max="16" width="10.6640625" style="3" hidden="1" customWidth="1"/>
    <col min="17" max="17" width="5.6640625" style="3" customWidth="1"/>
    <col min="18" max="20" width="10.6640625" style="3" customWidth="1"/>
    <col min="21" max="21" width="1.6640625" style="3" customWidth="1"/>
    <col min="22" max="22" width="10.6640625" style="3" customWidth="1"/>
    <col min="23" max="23" width="9.33203125" style="3" hidden="1" customWidth="1"/>
    <col min="24" max="24" width="13.33203125" style="3" hidden="1" customWidth="1"/>
    <col min="25" max="25" width="10.6640625" style="3" customWidth="1"/>
    <col min="26" max="26" width="10.6640625" style="3" hidden="1" customWidth="1"/>
    <col min="27" max="27" width="5.6640625" style="3" customWidth="1"/>
    <col min="28" max="30" width="10.6640625" style="3" customWidth="1"/>
    <col min="31" max="31" width="1.6640625" style="3" customWidth="1"/>
    <col min="32" max="32" width="10.6640625" style="3" customWidth="1"/>
    <col min="33" max="34" width="8.88671875" style="3" hidden="1" customWidth="1"/>
    <col min="35" max="35" width="10.6640625" style="3" customWidth="1"/>
    <col min="36" max="36" width="10.6640625" style="3" hidden="1" customWidth="1"/>
    <col min="37" max="37" width="8.88671875" style="3" customWidth="1"/>
    <col min="38" max="16384" width="8.88671875" style="3" hidden="1"/>
  </cols>
  <sheetData>
    <row r="1" spans="1:37" ht="10.199999999999999" customHeight="1" x14ac:dyDescent="0.3">
      <c r="A1" s="246" t="s">
        <v>22</v>
      </c>
      <c r="B1" s="272"/>
    </row>
    <row r="2" spans="1:37" s="15" customFormat="1" ht="22.5" customHeight="1" x14ac:dyDescent="0.3">
      <c r="A2" s="16" t="s">
        <v>2</v>
      </c>
    </row>
    <row r="3" spans="1:37" s="101" customFormat="1" ht="15" thickBot="1" x14ac:dyDescent="0.35">
      <c r="C3" s="101" t="str">
        <f>$A$2&amp;" "&amp;C6&amp;" "&amp;C7</f>
        <v>Ausgrid Residential without CL</v>
      </c>
      <c r="D3" s="101" t="str">
        <f>$A$2&amp;" "&amp;D6&amp;" "&amp;D7</f>
        <v>Ausgrid Residential with CL</v>
      </c>
      <c r="E3" s="101" t="str">
        <f>$A$2&amp;" "&amp;E6&amp;" "&amp;E7</f>
        <v>Ausgrid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ht="15.6" x14ac:dyDescent="0.3">
      <c r="B4" s="38" t="s">
        <v>21</v>
      </c>
      <c r="F4" s="38"/>
      <c r="G4" s="120" t="s">
        <v>105</v>
      </c>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row>
    <row r="5" spans="1:37" ht="4.95" customHeight="1" x14ac:dyDescent="0.3">
      <c r="B5" s="5"/>
      <c r="G5" s="123"/>
      <c r="H5" s="124"/>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125"/>
    </row>
    <row r="6" spans="1:37" ht="19.95" customHeight="1" x14ac:dyDescent="0.3">
      <c r="B6" s="279" t="str">
        <f>A2</f>
        <v>Ausgrid</v>
      </c>
      <c r="C6" s="58" t="s">
        <v>6</v>
      </c>
      <c r="D6" s="58" t="s">
        <v>6</v>
      </c>
      <c r="E6" s="58" t="s">
        <v>85</v>
      </c>
      <c r="G6" s="123"/>
      <c r="H6" s="124"/>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125"/>
    </row>
    <row r="7" spans="1:37" ht="19.95" customHeight="1" x14ac:dyDescent="0.3">
      <c r="B7" s="279"/>
      <c r="C7" s="59" t="s">
        <v>158</v>
      </c>
      <c r="D7" s="59" t="s">
        <v>159</v>
      </c>
      <c r="E7" s="59" t="s">
        <v>158</v>
      </c>
      <c r="G7" s="123"/>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125"/>
    </row>
    <row r="8" spans="1:37" ht="1.95" customHeight="1" x14ac:dyDescent="0.3">
      <c r="B8" s="36"/>
      <c r="C8" s="37"/>
      <c r="D8" s="37"/>
      <c r="E8" s="37"/>
      <c r="G8" s="123"/>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125"/>
    </row>
    <row r="9" spans="1:37" s="56" customFormat="1" ht="30" customHeight="1" x14ac:dyDescent="0.3">
      <c r="B9" s="66" t="str">
        <f>"DMO "&amp;FY&amp;" price ($ pa, inc GST)"</f>
        <v>DMO 2020-21 price ($ pa, inc GST)</v>
      </c>
      <c r="C9" s="245">
        <f ca="1">ROUND(H39,0)</f>
        <v>1483</v>
      </c>
      <c r="D9" s="245">
        <f ca="1">ROUND(R39,0)</f>
        <v>2059</v>
      </c>
      <c r="E9" s="245">
        <f ca="1">ROUND(AB39,0)</f>
        <v>7348</v>
      </c>
      <c r="F9" s="3"/>
      <c r="G9" s="123"/>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126"/>
    </row>
    <row r="10" spans="1:37" ht="1.95" customHeight="1" x14ac:dyDescent="0.3">
      <c r="B10" s="67"/>
      <c r="C10" s="68"/>
      <c r="D10" s="68"/>
      <c r="E10" s="68"/>
      <c r="F10" s="56"/>
      <c r="G10" s="127"/>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5"/>
    </row>
    <row r="11" spans="1:37" ht="19.95" customHeight="1" x14ac:dyDescent="0.3">
      <c r="B11" s="69" t="s">
        <v>50</v>
      </c>
      <c r="C11" s="70">
        <f>SUM(C12:C13)</f>
        <v>3900</v>
      </c>
      <c r="D11" s="70">
        <f>SUM(D12:D13)</f>
        <v>6800</v>
      </c>
      <c r="E11" s="70">
        <f>SUM(E12:E13)</f>
        <v>20000</v>
      </c>
      <c r="G11" s="123"/>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125"/>
    </row>
    <row r="12" spans="1:37" ht="19.95" customHeight="1" x14ac:dyDescent="0.3">
      <c r="B12" s="71" t="s">
        <v>53</v>
      </c>
      <c r="C12" s="72">
        <f t="array" ref="C12">INDEX(Usage!$B$5:$Q$18,MATCH($B6,Usage!$B$5:$B$18,0),MATCH(C$6&amp;C$7&amp;"Flat rate"&amp;"Total",Usage!$B$5:$Q$5&amp;Usage!$B$6:$Q$6&amp;Usage!$B$7:$Q$7&amp;Usage!$B$13:$Q$13,0))</f>
        <v>3900</v>
      </c>
      <c r="D12" s="72">
        <f t="array" ref="D12">INDEX(Usage!$B$5:$Q$18,MATCH($B6,Usage!$B$5:$B$18,0),MATCH(D$6&amp;D$7&amp;"Flat rate"&amp;"Total",Usage!$B$5:$Q$5&amp;Usage!$B$6:$Q$6&amp;Usage!$B$7:$Q$7&amp;Usage!$B$13:$Q$13,0))</f>
        <v>4800</v>
      </c>
      <c r="E12" s="72">
        <f t="array" ref="E12">INDEX(Usage!$B$5:$Q$18,MATCH($B6,Usage!$B$5:$B$18,0),MATCH(E$6&amp;E$7&amp;"Flat rate"&amp;"Total",Usage!$B$5:$Q$5&amp;Usage!$B$6:$Q$6&amp;Usage!$B$7:$Q$7&amp;Usage!$B$13:$Q$13,0))</f>
        <v>20000</v>
      </c>
      <c r="G12" s="123"/>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125"/>
    </row>
    <row r="13" spans="1:37" ht="19.95" customHeight="1" x14ac:dyDescent="0.3">
      <c r="B13" s="71" t="s">
        <v>52</v>
      </c>
      <c r="C13" s="72"/>
      <c r="D13" s="72">
        <f t="array" ref="D13">INDEX(Usage!$B$5:$Q$18,MATCH($B6,Usage!$B$5:$B$18,0),MATCH(D$6&amp;D$7&amp;"CL"&amp;"Total",Usage!$B$5:$Q$5&amp;Usage!$B$6:$Q$6&amp;Usage!$B$7:$Q$7&amp;Usage!$B$13:$Q$13,0))</f>
        <v>2000</v>
      </c>
      <c r="E13" s="72"/>
      <c r="G13" s="123"/>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125"/>
    </row>
    <row r="14" spans="1:37" ht="1.95" customHeight="1" x14ac:dyDescent="0.3">
      <c r="B14" s="73"/>
      <c r="C14" s="73"/>
      <c r="D14" s="73"/>
      <c r="E14" s="73"/>
      <c r="G14" s="123"/>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125"/>
    </row>
    <row r="15" spans="1:37" ht="19.95" customHeight="1" x14ac:dyDescent="0.3">
      <c r="B15" s="71" t="str">
        <f>"Change from DMO "&amp;PY&amp; " price ($)"</f>
        <v>Change from DMO 2019-20 price ($)</v>
      </c>
      <c r="C15" s="192">
        <f ca="1">C9-H33</f>
        <v>16</v>
      </c>
      <c r="D15" s="192">
        <f ca="1">D9-R33</f>
        <v>0</v>
      </c>
      <c r="E15" s="192">
        <f ca="1">E9-AB33</f>
        <v>-23</v>
      </c>
      <c r="G15" s="123"/>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125"/>
    </row>
    <row r="16" spans="1:37" ht="19.95" customHeight="1" thickBot="1" x14ac:dyDescent="0.35">
      <c r="B16" s="74" t="str">
        <f>"Change from DMO "&amp;PY&amp; " price (%)"</f>
        <v>Change from DMO 2019-20 price (%)</v>
      </c>
      <c r="C16" s="146">
        <f ca="1">C9/H33-1</f>
        <v>1.0906612133606108E-2</v>
      </c>
      <c r="D16" s="146">
        <f ca="1">D9/R33-1</f>
        <v>0</v>
      </c>
      <c r="E16" s="146">
        <f ca="1">E9/AB33-1</f>
        <v>-3.1203364536698253E-3</v>
      </c>
      <c r="G16" s="123"/>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125"/>
    </row>
    <row r="17" spans="2:37" ht="15" thickTop="1" x14ac:dyDescent="0.3">
      <c r="B17" s="116" t="s">
        <v>104</v>
      </c>
      <c r="G17" s="123"/>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125"/>
    </row>
    <row r="18" spans="2:37" x14ac:dyDescent="0.3">
      <c r="G18" s="123"/>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125"/>
    </row>
    <row r="19" spans="2:37" x14ac:dyDescent="0.3">
      <c r="G19" s="123"/>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125"/>
    </row>
    <row r="20" spans="2:37" ht="15.6" x14ac:dyDescent="0.3">
      <c r="B20" s="38"/>
      <c r="G20" s="123"/>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125"/>
    </row>
    <row r="21" spans="2:37" ht="15" customHeight="1" thickBot="1" x14ac:dyDescent="0.35">
      <c r="B21" s="36"/>
      <c r="D21" s="36"/>
      <c r="E21" s="36"/>
      <c r="F21" s="38"/>
      <c r="G21" s="129"/>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row>
    <row r="22" spans="2:37" s="39" customFormat="1" ht="15.6" x14ac:dyDescent="0.3">
      <c r="F22" s="38"/>
      <c r="G22" s="3"/>
      <c r="H22" s="36"/>
      <c r="I22" s="36"/>
      <c r="J22" s="36"/>
      <c r="K22" s="3"/>
      <c r="L22" s="3"/>
      <c r="M22" s="3"/>
      <c r="N22" s="36"/>
      <c r="O22" s="36"/>
      <c r="P22" s="36"/>
      <c r="Q22" s="36"/>
      <c r="R22" s="36"/>
      <c r="S22" s="36"/>
      <c r="T22" s="36"/>
      <c r="U22" s="3"/>
      <c r="V22" s="36"/>
      <c r="W22" s="36"/>
      <c r="X22" s="36"/>
      <c r="Y22" s="36"/>
      <c r="Z22" s="36"/>
      <c r="AA22" s="3"/>
      <c r="AB22" s="3"/>
      <c r="AC22" s="3"/>
      <c r="AD22" s="3"/>
      <c r="AE22" s="3"/>
      <c r="AF22" s="3"/>
      <c r="AG22" s="3"/>
      <c r="AH22" s="3"/>
      <c r="AI22" s="3"/>
      <c r="AJ22" s="3"/>
    </row>
    <row r="23" spans="2:37" s="39" customFormat="1" ht="15.6" hidden="1" x14ac:dyDescent="0.3">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t="str">
        <f>$H$27</f>
        <v>Residential</v>
      </c>
      <c r="Q23" s="36"/>
      <c r="R23" s="36" t="str">
        <f>$R$27</f>
        <v>Residential</v>
      </c>
      <c r="S23" s="36" t="str">
        <f>$R$27</f>
        <v>Residential</v>
      </c>
      <c r="T23" s="36" t="str">
        <f>$R$27</f>
        <v>Residential</v>
      </c>
      <c r="U23" s="3"/>
      <c r="V23" s="36" t="str">
        <f>$R$27</f>
        <v>Residential</v>
      </c>
      <c r="W23" s="36" t="str">
        <f>$R$27</f>
        <v>Residential</v>
      </c>
      <c r="X23" s="36" t="str">
        <f>$R$27</f>
        <v>Residential</v>
      </c>
      <c r="Y23" s="36" t="str">
        <f>$R$27</f>
        <v>Residential</v>
      </c>
      <c r="Z23" s="36" t="str">
        <f>$R$27</f>
        <v>Residential</v>
      </c>
      <c r="AA23" s="3"/>
      <c r="AB23" s="3" t="str">
        <f>$AB$27</f>
        <v>Small Business</v>
      </c>
      <c r="AC23" s="3" t="str">
        <f>$AB$27</f>
        <v>Small Business</v>
      </c>
      <c r="AD23" s="3" t="str">
        <f>$AB$27</f>
        <v>Small Business</v>
      </c>
      <c r="AE23" s="3"/>
      <c r="AF23" s="3" t="str">
        <f>$AB$27</f>
        <v>Small Business</v>
      </c>
      <c r="AG23" s="3" t="str">
        <f>$AB$27</f>
        <v>Small Business</v>
      </c>
      <c r="AH23" s="3" t="str">
        <f>$AB$27</f>
        <v>Small Business</v>
      </c>
      <c r="AI23" s="3" t="str">
        <f>$AB$27</f>
        <v>Small Business</v>
      </c>
      <c r="AJ23" s="3" t="str">
        <f>$AB$27</f>
        <v>Small Business</v>
      </c>
    </row>
    <row r="24" spans="2:37" s="39" customFormat="1" ht="15.6" hidden="1" x14ac:dyDescent="0.3">
      <c r="F24" s="38"/>
      <c r="G24" s="3" t="s">
        <v>39</v>
      </c>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t="str">
        <f>$H$28</f>
        <v>without CL</v>
      </c>
      <c r="Q24" s="36"/>
      <c r="R24" s="36" t="str">
        <f>$R$28</f>
        <v>with CL</v>
      </c>
      <c r="S24" s="36" t="str">
        <f>$R$28</f>
        <v>with CL</v>
      </c>
      <c r="T24" s="36" t="str">
        <f>$R$28</f>
        <v>with CL</v>
      </c>
      <c r="U24" s="3"/>
      <c r="V24" s="36" t="str">
        <f>$R$28</f>
        <v>with CL</v>
      </c>
      <c r="W24" s="36" t="str">
        <f>$R$28</f>
        <v>with CL</v>
      </c>
      <c r="X24" s="36" t="str">
        <f>$R$28</f>
        <v>with CL</v>
      </c>
      <c r="Y24" s="36" t="str">
        <f>$R$28</f>
        <v>with CL</v>
      </c>
      <c r="Z24" s="36" t="str">
        <f>$R$28</f>
        <v>with CL</v>
      </c>
      <c r="AA24" s="3"/>
      <c r="AB24" s="3" t="str">
        <f>$AB$28</f>
        <v>without CL</v>
      </c>
      <c r="AC24" s="3" t="str">
        <f>$AB$28</f>
        <v>without CL</v>
      </c>
      <c r="AD24" s="3" t="str">
        <f>$AB$28</f>
        <v>without CL</v>
      </c>
      <c r="AE24" s="3"/>
      <c r="AF24" s="3" t="str">
        <f>$AB$28</f>
        <v>without CL</v>
      </c>
      <c r="AG24" s="3" t="str">
        <f>$AB$28</f>
        <v>without CL</v>
      </c>
      <c r="AH24" s="3" t="str">
        <f>$AB$28</f>
        <v>without CL</v>
      </c>
      <c r="AI24" s="3" t="str">
        <f>$AB$28</f>
        <v>without CL</v>
      </c>
      <c r="AJ24" s="3" t="str">
        <f>$AB$28</f>
        <v>without CL</v>
      </c>
    </row>
    <row r="25" spans="2:37" s="39" customFormat="1" ht="15.6" hidden="1" x14ac:dyDescent="0.3">
      <c r="F25" s="38"/>
      <c r="G25" s="3"/>
      <c r="H25" s="36"/>
      <c r="I25" s="36" t="str">
        <f>$I$29</f>
        <v>2019-20</v>
      </c>
      <c r="J25" s="36" t="str">
        <f>$I$29</f>
        <v>2019-20</v>
      </c>
      <c r="K25" s="3"/>
      <c r="L25" s="36" t="str">
        <f>$L$29</f>
        <v>2020-21</v>
      </c>
      <c r="M25" s="36" t="str">
        <f>$L$29</f>
        <v>2020-21</v>
      </c>
      <c r="N25" s="36" t="str">
        <f>$L$29</f>
        <v>2020-21</v>
      </c>
      <c r="O25" s="36" t="str">
        <f>$L$29</f>
        <v>2020-21</v>
      </c>
      <c r="P25" s="36" t="str">
        <f>$L$29</f>
        <v>2020-21</v>
      </c>
      <c r="Q25" s="36"/>
      <c r="R25" s="36"/>
      <c r="S25" s="36" t="str">
        <f>$S$29</f>
        <v>2019-20</v>
      </c>
      <c r="T25" s="36" t="str">
        <f>$S$29</f>
        <v>2019-20</v>
      </c>
      <c r="U25" s="3"/>
      <c r="V25" s="36" t="str">
        <f>$V$29</f>
        <v>2020-21</v>
      </c>
      <c r="W25" s="36" t="str">
        <f>$V$29</f>
        <v>2020-21</v>
      </c>
      <c r="X25" s="36" t="str">
        <f>$V$29</f>
        <v>2020-21</v>
      </c>
      <c r="Y25" s="36" t="str">
        <f>$V$29</f>
        <v>2020-21</v>
      </c>
      <c r="Z25" s="36" t="str">
        <f>$V$29</f>
        <v>2020-21</v>
      </c>
      <c r="AA25" s="3"/>
      <c r="AB25" s="3"/>
      <c r="AC25" s="3" t="str">
        <f>$AC$29</f>
        <v>2019-20</v>
      </c>
      <c r="AD25" s="3" t="str">
        <f>$AC$29</f>
        <v>2019-20</v>
      </c>
      <c r="AE25" s="3"/>
      <c r="AF25" s="3" t="str">
        <f>$AF$29</f>
        <v>2020-21</v>
      </c>
      <c r="AG25" s="3" t="str">
        <f>$AF$29</f>
        <v>2020-21</v>
      </c>
      <c r="AH25" s="3" t="str">
        <f>$AF$29</f>
        <v>2020-21</v>
      </c>
      <c r="AI25" s="3" t="str">
        <f>$AF$29</f>
        <v>2020-21</v>
      </c>
      <c r="AJ25" s="3" t="str">
        <f>$AF$29</f>
        <v>2020-21</v>
      </c>
    </row>
    <row r="26" spans="2:37" s="39" customFormat="1" ht="15.6" x14ac:dyDescent="0.3">
      <c r="F26" s="38" t="s">
        <v>45</v>
      </c>
      <c r="G26" s="145" t="s">
        <v>160</v>
      </c>
      <c r="H26" s="36"/>
      <c r="I26" s="36"/>
      <c r="J26" s="36"/>
      <c r="K26" s="3"/>
      <c r="L26" s="3"/>
      <c r="M26" s="3"/>
      <c r="N26" s="36"/>
      <c r="O26" s="36"/>
      <c r="P26" s="36"/>
      <c r="Q26" s="36"/>
      <c r="R26" s="36"/>
      <c r="S26" s="36"/>
      <c r="T26" s="36"/>
      <c r="U26" s="3"/>
      <c r="V26" s="36"/>
      <c r="W26" s="36"/>
      <c r="X26" s="36"/>
      <c r="Y26" s="36"/>
      <c r="Z26" s="36"/>
      <c r="AA26" s="3"/>
      <c r="AB26" s="3"/>
      <c r="AC26" s="3"/>
      <c r="AD26" s="3"/>
      <c r="AE26" s="3"/>
      <c r="AF26" s="3"/>
      <c r="AG26" s="3"/>
      <c r="AH26" s="3"/>
      <c r="AI26" s="3"/>
      <c r="AJ26" s="3"/>
    </row>
    <row r="27" spans="2:37" s="39" customFormat="1" x14ac:dyDescent="0.3">
      <c r="F27" s="276" t="s">
        <v>38</v>
      </c>
      <c r="G27" s="117"/>
      <c r="H27" s="275" t="s">
        <v>6</v>
      </c>
      <c r="I27" s="275"/>
      <c r="J27" s="275"/>
      <c r="K27" s="275"/>
      <c r="L27" s="275"/>
      <c r="M27" s="275"/>
      <c r="N27" s="275"/>
      <c r="O27" s="275"/>
      <c r="P27" s="275"/>
      <c r="Q27" s="112"/>
      <c r="R27" s="275" t="s">
        <v>6</v>
      </c>
      <c r="S27" s="275"/>
      <c r="T27" s="275"/>
      <c r="U27" s="275"/>
      <c r="V27" s="275"/>
      <c r="W27" s="275"/>
      <c r="X27" s="275"/>
      <c r="Y27" s="275"/>
      <c r="Z27" s="275"/>
      <c r="AA27" s="52"/>
      <c r="AB27" s="275" t="s">
        <v>85</v>
      </c>
      <c r="AC27" s="275"/>
      <c r="AD27" s="275"/>
      <c r="AE27" s="275"/>
      <c r="AF27" s="275"/>
      <c r="AG27" s="275"/>
      <c r="AH27" s="275"/>
      <c r="AI27" s="275"/>
      <c r="AJ27" s="275"/>
    </row>
    <row r="28" spans="2:37" ht="15" thickBot="1" x14ac:dyDescent="0.35">
      <c r="F28" s="276"/>
      <c r="G28" s="117"/>
      <c r="H28" s="278" t="s">
        <v>158</v>
      </c>
      <c r="I28" s="278"/>
      <c r="J28" s="278"/>
      <c r="K28" s="278"/>
      <c r="L28" s="278"/>
      <c r="M28" s="278"/>
      <c r="N28" s="278"/>
      <c r="O28" s="278"/>
      <c r="P28" s="278"/>
      <c r="Q28" s="112"/>
      <c r="R28" s="278" t="s">
        <v>159</v>
      </c>
      <c r="S28" s="278"/>
      <c r="T28" s="278"/>
      <c r="U28" s="278"/>
      <c r="V28" s="278"/>
      <c r="W28" s="278"/>
      <c r="X28" s="278"/>
      <c r="Y28" s="278"/>
      <c r="Z28" s="278"/>
      <c r="AA28" s="52"/>
      <c r="AB28" s="278" t="s">
        <v>158</v>
      </c>
      <c r="AC28" s="278"/>
      <c r="AD28" s="278"/>
      <c r="AE28" s="278"/>
      <c r="AF28" s="278"/>
      <c r="AG28" s="278"/>
      <c r="AH28" s="278"/>
      <c r="AI28" s="278"/>
      <c r="AJ28" s="278"/>
    </row>
    <row r="29" spans="2:37" ht="15" customHeight="1" thickTop="1" x14ac:dyDescent="0.3">
      <c r="F29" s="276"/>
      <c r="G29" s="118"/>
      <c r="H29" s="52" t="s">
        <v>74</v>
      </c>
      <c r="I29" s="277" t="str">
        <f>PY</f>
        <v>2019-20</v>
      </c>
      <c r="J29" s="277"/>
      <c r="K29" s="52"/>
      <c r="L29" s="277" t="str">
        <f>FY</f>
        <v>2020-21</v>
      </c>
      <c r="M29" s="277"/>
      <c r="N29" s="277"/>
      <c r="O29" s="277"/>
      <c r="P29" s="277"/>
      <c r="Q29" s="54"/>
      <c r="R29" s="52" t="s">
        <v>74</v>
      </c>
      <c r="S29" s="277" t="str">
        <f>PY</f>
        <v>2019-20</v>
      </c>
      <c r="T29" s="277"/>
      <c r="U29" s="52"/>
      <c r="V29" s="277" t="str">
        <f>FY</f>
        <v>2020-21</v>
      </c>
      <c r="W29" s="277"/>
      <c r="X29" s="277"/>
      <c r="Y29" s="277"/>
      <c r="Z29" s="277"/>
      <c r="AA29" s="53"/>
      <c r="AB29" s="52" t="s">
        <v>74</v>
      </c>
      <c r="AC29" s="277" t="str">
        <f>PY</f>
        <v>2019-20</v>
      </c>
      <c r="AD29" s="277"/>
      <c r="AE29" s="52"/>
      <c r="AF29" s="277" t="str">
        <f>FY</f>
        <v>2020-21</v>
      </c>
      <c r="AG29" s="277"/>
      <c r="AH29" s="277"/>
      <c r="AI29" s="277"/>
      <c r="AJ29" s="277"/>
    </row>
    <row r="30" spans="2:37" ht="15" customHeight="1" x14ac:dyDescent="0.3">
      <c r="D30" s="38"/>
      <c r="F30" s="276"/>
      <c r="G30" s="118"/>
      <c r="H30" s="76"/>
      <c r="I30" s="53" t="s">
        <v>26</v>
      </c>
      <c r="J30" s="53" t="s">
        <v>28</v>
      </c>
      <c r="K30" s="52"/>
      <c r="L30" s="53" t="s">
        <v>25</v>
      </c>
      <c r="M30" s="55" t="s">
        <v>51</v>
      </c>
      <c r="N30" s="53" t="s">
        <v>28</v>
      </c>
      <c r="O30" s="54" t="s">
        <v>26</v>
      </c>
      <c r="P30" s="53" t="s">
        <v>75</v>
      </c>
      <c r="Q30" s="54"/>
      <c r="R30" s="52"/>
      <c r="S30" s="53" t="s">
        <v>26</v>
      </c>
      <c r="T30" s="53" t="s">
        <v>28</v>
      </c>
      <c r="U30" s="52"/>
      <c r="V30" s="53" t="s">
        <v>25</v>
      </c>
      <c r="W30" s="55" t="s">
        <v>51</v>
      </c>
      <c r="X30" s="53" t="s">
        <v>28</v>
      </c>
      <c r="Y30" s="54" t="s">
        <v>26</v>
      </c>
      <c r="Z30" s="53" t="s">
        <v>75</v>
      </c>
      <c r="AA30" s="53"/>
      <c r="AB30" s="52" t="s">
        <v>24</v>
      </c>
      <c r="AC30" s="53" t="s">
        <v>26</v>
      </c>
      <c r="AD30" s="53" t="s">
        <v>28</v>
      </c>
      <c r="AE30" s="52"/>
      <c r="AF30" s="53" t="s">
        <v>25</v>
      </c>
      <c r="AG30" s="55" t="s">
        <v>51</v>
      </c>
      <c r="AH30" s="53" t="s">
        <v>28</v>
      </c>
      <c r="AI30" s="54" t="s">
        <v>26</v>
      </c>
      <c r="AJ30" s="53" t="s">
        <v>75</v>
      </c>
    </row>
    <row r="31" spans="2:37" ht="15" customHeight="1" x14ac:dyDescent="0.3">
      <c r="D31" s="38"/>
      <c r="F31" s="276"/>
      <c r="G31" s="118"/>
      <c r="H31" s="76"/>
      <c r="I31" s="54"/>
      <c r="J31" s="54"/>
      <c r="K31" s="227"/>
      <c r="L31" s="54"/>
      <c r="M31" s="55"/>
      <c r="N31" s="54"/>
      <c r="O31" s="54"/>
      <c r="P31" s="54" t="s">
        <v>196</v>
      </c>
      <c r="Q31" s="54"/>
      <c r="R31" s="227"/>
      <c r="S31" s="54"/>
      <c r="T31" s="54"/>
      <c r="U31" s="227"/>
      <c r="V31" s="54"/>
      <c r="W31" s="55"/>
      <c r="X31" s="54"/>
      <c r="Y31" s="54"/>
      <c r="Z31" s="54" t="s">
        <v>196</v>
      </c>
      <c r="AA31" s="54"/>
      <c r="AB31" s="227"/>
      <c r="AC31" s="54"/>
      <c r="AD31" s="54"/>
      <c r="AE31" s="227"/>
      <c r="AF31" s="54"/>
      <c r="AG31" s="55"/>
      <c r="AH31" s="54"/>
      <c r="AI31" s="54"/>
      <c r="AJ31" s="54" t="s">
        <v>196</v>
      </c>
    </row>
    <row r="32" spans="2:37" ht="15" customHeight="1" x14ac:dyDescent="0.3">
      <c r="F32" s="276"/>
      <c r="G32" s="118"/>
      <c r="H32" s="53" t="s">
        <v>76</v>
      </c>
      <c r="I32" s="53" t="s">
        <v>47</v>
      </c>
      <c r="J32" s="53" t="s">
        <v>33</v>
      </c>
      <c r="K32" s="52"/>
      <c r="L32" s="53" t="s">
        <v>33</v>
      </c>
      <c r="M32" s="53" t="s">
        <v>33</v>
      </c>
      <c r="N32" s="53" t="s">
        <v>33</v>
      </c>
      <c r="O32" s="54" t="s">
        <v>47</v>
      </c>
      <c r="P32" s="53" t="s">
        <v>47</v>
      </c>
      <c r="Q32" s="54"/>
      <c r="R32" s="53"/>
      <c r="S32" s="53" t="s">
        <v>47</v>
      </c>
      <c r="T32" s="53" t="s">
        <v>33</v>
      </c>
      <c r="U32" s="52"/>
      <c r="V32" s="53" t="s">
        <v>33</v>
      </c>
      <c r="W32" s="53" t="s">
        <v>33</v>
      </c>
      <c r="X32" s="53" t="s">
        <v>33</v>
      </c>
      <c r="Y32" s="54" t="s">
        <v>47</v>
      </c>
      <c r="Z32" s="53" t="s">
        <v>47</v>
      </c>
      <c r="AA32" s="53"/>
      <c r="AB32" s="53"/>
      <c r="AC32" s="53" t="s">
        <v>47</v>
      </c>
      <c r="AD32" s="53" t="s">
        <v>33</v>
      </c>
      <c r="AE32" s="52"/>
      <c r="AF32" s="53" t="s">
        <v>33</v>
      </c>
      <c r="AG32" s="53" t="s">
        <v>33</v>
      </c>
      <c r="AH32" s="53" t="s">
        <v>33</v>
      </c>
      <c r="AI32" s="54" t="s">
        <v>47</v>
      </c>
      <c r="AJ32" s="53" t="s">
        <v>47</v>
      </c>
    </row>
    <row r="33" spans="2:36" ht="15" customHeight="1" x14ac:dyDescent="0.3">
      <c r="F33" s="60" t="str">
        <f>"DMO "&amp;PY&amp;" price"</f>
        <v>DMO 2019-20 price</v>
      </c>
      <c r="G33" s="60"/>
      <c r="H33" s="61">
        <f t="array" ref="H33">INDEX('Detail inputs'!$B$3:$L$381,MATCH($B$6&amp;H$27&amp;H$28&amp;H$29,'Detail inputs'!$B$3:$B$381&amp;'Detail inputs'!$D$3:$D$381&amp;'Detail inputs'!$E$3:$E$381&amp;'Detail inputs'!$F$3:$F$381&amp;'Detail inputs'!$G$3:$G$381,0),MATCH(I$29,'Detail inputs'!$B$3:$L$3,0))+P33</f>
        <v>1467</v>
      </c>
      <c r="I33" s="62"/>
      <c r="J33" s="62"/>
      <c r="K33" s="62"/>
      <c r="L33" s="62"/>
      <c r="M33" s="62"/>
      <c r="N33" s="62"/>
      <c r="O33" s="62"/>
      <c r="P33" s="61"/>
      <c r="Q33" s="62"/>
      <c r="R33" s="61">
        <f t="array" ref="R33">INDEX('Detail inputs'!$B$3:$L$381,MATCH($B$6&amp;R$27&amp;R$28&amp;R$29,'Detail inputs'!$B$3:$B$381&amp;'Detail inputs'!$D$3:$D$381&amp;'Detail inputs'!$E$3:$E$381&amp;'Detail inputs'!$F$3:$F$381&amp;'Detail inputs'!$G$3:$G$381,0),MATCH(S$29,'Detail inputs'!$B$3:$L$3,0))+Z33</f>
        <v>2059</v>
      </c>
      <c r="S33" s="61"/>
      <c r="T33" s="62"/>
      <c r="U33" s="62"/>
      <c r="V33" s="62"/>
      <c r="W33" s="62"/>
      <c r="X33" s="63"/>
      <c r="Y33" s="63"/>
      <c r="Z33" s="61"/>
      <c r="AA33" s="63"/>
      <c r="AB33" s="61">
        <f t="array" ref="AB33">INDEX('Detail inputs'!$B$3:$L$381,MATCH($B$6&amp;AB$27&amp;AB$28&amp;AB$29,'Detail inputs'!$B$3:$B$381&amp;'Detail inputs'!$D$3:$D$381&amp;'Detail inputs'!$E$3:$E$381&amp;'Detail inputs'!$F$3:$F$381&amp;'Detail inputs'!$G$3:$G$381,0),MATCH(AC$29,'Detail inputs'!$B$3:$L$3,0))+AJ33</f>
        <v>7371</v>
      </c>
      <c r="AC33" s="61"/>
      <c r="AD33" s="62"/>
      <c r="AE33" s="62"/>
      <c r="AF33" s="62"/>
      <c r="AG33" s="62"/>
      <c r="AH33" s="62"/>
      <c r="AI33" s="62"/>
      <c r="AJ33" s="61"/>
    </row>
    <row r="34" spans="2:36" ht="15" customHeight="1" x14ac:dyDescent="0.3">
      <c r="F34" s="64" t="s">
        <v>68</v>
      </c>
      <c r="G34" s="64"/>
      <c r="H34" s="63"/>
      <c r="I34" s="61">
        <f t="array" aca="1" ref="I34" ca="1">INDEX(INDIRECT("'"&amp;$F34&amp;"'!$B$3:$T$300"),MATCH($B$6&amp;H$27&amp;H$28&amp;"Total inc GST",INDIRECT("'"&amp;$F34&amp;"'!$B$3:$B$300")&amp;INDIRECT("'"&amp;$F34&amp;"'!$C$3:$C$300")&amp;INDIRECT("'"&amp;$F34&amp;"'!$D$3:$D$300")&amp;INDIRECT("'"&amp;$F34&amp;"'!$G$3:$G$300"),0),MATCH(I$29&amp;I$30,INDIRECT("'"&amp;$F34&amp;"'!$B$4:$T$4")&amp;INDIRECT("'"&amp;$F34&amp;"'!$B$5:$T$5"),0))</f>
        <v>530.66646600000001</v>
      </c>
      <c r="J34" s="62">
        <f ca="1">I34/H$33</f>
        <v>0.36173583231083845</v>
      </c>
      <c r="K34" s="62"/>
      <c r="L34" s="75">
        <f t="array" aca="1" ref="L34" ca="1">INDEX(INDIRECT("'"&amp;$F34&amp;"'!$B$3:$T$300"),MATCH($B$6&amp;H$27&amp;H$28&amp;"Total inc GST",INDIRECT("'"&amp;$F34&amp;"'!$B$3:$B$300")&amp;INDIRECT("'"&amp;$F34&amp;"'!$C$3:$C$300")&amp;INDIRECT("'"&amp;$F34&amp;"'!$D$3:$D$300")&amp;INDIRECT("'"&amp;$F34&amp;"'!$G$3:$G$300"),0),MATCH(L$29&amp;L$30,INDIRECT("'"&amp;$F34&amp;"'!$B$4:$T$4")&amp;INDIRECT("'"&amp;$F34&amp;"'!$B$5:$T$5"),0))</f>
        <v>1.7809652777268203E-2</v>
      </c>
      <c r="M34" s="62">
        <f ca="1">J34*L34</f>
        <v>6.4423895705521487E-3</v>
      </c>
      <c r="N34" s="62">
        <f ca="1">O34/H$39</f>
        <v>0.36416038097589687</v>
      </c>
      <c r="O34" s="61">
        <f t="array" aca="1" ref="O34" ca="1">INDEX(INDIRECT("'"&amp;$F34&amp;"'!$B$3:$T$300"),MATCH($B$6&amp;H$27&amp;H$28&amp;"Total inc GST",INDIRECT("'"&amp;$F34&amp;"'!$B$3:$B$300")&amp;INDIRECT("'"&amp;$F34&amp;"'!$C$3:$C$300")&amp;INDIRECT("'"&amp;$F34&amp;"'!$D$3:$D$300")&amp;INDIRECT("'"&amp;$F34&amp;"'!$G$3:$G$300"),0),MATCH(L$29&amp;O$30,INDIRECT("'"&amp;$F34&amp;"'!$B$4:$T$4")&amp;INDIRECT("'"&amp;$F34&amp;"'!$B$5:$T$5"),0))</f>
        <v>540.11745150000002</v>
      </c>
      <c r="P34" s="62"/>
      <c r="Q34" s="62"/>
      <c r="R34" s="62"/>
      <c r="S34" s="61">
        <f t="array" aca="1" ref="S34" ca="1">INDEX(INDIRECT("'"&amp;$F34&amp;"'!$B$3:$T$300"),MATCH($B$6&amp;R$27&amp;R$28&amp;"Total inc GST",INDIRECT("'"&amp;$F34&amp;"'!$B$3:$B$300")&amp;INDIRECT("'"&amp;$F34&amp;"'!$C$3:$C$300")&amp;INDIRECT("'"&amp;$F34&amp;"'!$D$3:$D$300")&amp;INDIRECT("'"&amp;$F34&amp;"'!$G$3:$G$300"),0),MATCH(S$29&amp;S$30,INDIRECT("'"&amp;$F34&amp;"'!$B$4:$T$4")&amp;INDIRECT("'"&amp;$F34&amp;"'!$B$5:$T$5"),0))</f>
        <v>697.03167313999995</v>
      </c>
      <c r="T34" s="62">
        <f ca="1">S34/R$33</f>
        <v>0.33852922444876149</v>
      </c>
      <c r="U34" s="62"/>
      <c r="V34" s="75">
        <f t="array" aca="1" ref="V34" ca="1">INDEX(INDIRECT("'"&amp;$F34&amp;"'!$B$3:$T$300"),MATCH($B$6&amp;R$27&amp;R$28&amp;"Total inc GST",INDIRECT("'"&amp;$F34&amp;"'!$B$3:$B$300")&amp;INDIRECT("'"&amp;$F34&amp;"'!$C$3:$C$300")&amp;INDIRECT("'"&amp;$F34&amp;"'!$D$3:$D$300")&amp;INDIRECT("'"&amp;$F34&amp;"'!$G$3:$G$300"),0),MATCH(V$29&amp;V$30,INDIRECT("'"&amp;$F34&amp;"'!$B$4:$T$4")&amp;INDIRECT("'"&amp;$F34&amp;"'!$B$5:$T$5"),0))</f>
        <v>1.9329513003770948E-2</v>
      </c>
      <c r="W34" s="62">
        <f ca="1">T34*V34</f>
        <v>6.5436050461388289E-3</v>
      </c>
      <c r="X34" s="62">
        <f ca="1">Y34/R$39</f>
        <v>0.34508645602771604</v>
      </c>
      <c r="Y34" s="61">
        <f t="array" aca="1" ref="Y34" ca="1">INDEX(INDIRECT("'"&amp;$F34&amp;"'!$B$3:$T$300"),MATCH($B$6&amp;R$27&amp;R$28&amp;"Total inc GST",INDIRECT("'"&amp;$F34&amp;"'!$B$3:$B$300")&amp;INDIRECT("'"&amp;$F34&amp;"'!$C$3:$C$300")&amp;INDIRECT("'"&amp;$F34&amp;"'!$D$3:$D$300")&amp;INDIRECT("'"&amp;$F34&amp;"'!$G$3:$G$300"),0),MATCH(V$29&amp;Y$30,INDIRECT("'"&amp;$F34&amp;"'!$B$4:$T$4")&amp;INDIRECT("'"&amp;$F34&amp;"'!$B$5:$T$5"),0))</f>
        <v>710.50495592999982</v>
      </c>
      <c r="Z34" s="62"/>
      <c r="AA34" s="63"/>
      <c r="AB34" s="63"/>
      <c r="AC34" s="61">
        <f t="array" aca="1" ref="AC34" ca="1">INDEX(INDIRECT("'"&amp;$F34&amp;"'!$B$3:$T$300"),MATCH($B$6&amp;AB$27&amp;AB$28&amp;"Total inc GST",INDIRECT("'"&amp;$F34&amp;"'!$B$3:$B$300")&amp;INDIRECT("'"&amp;$F34&amp;"'!$C$3:$C$300")&amp;INDIRECT("'"&amp;$F34&amp;"'!$D$3:$D$300")&amp;INDIRECT("'"&amp;$F34&amp;"'!$G$3:$G$300"),0),MATCH(AC$29&amp;AC$30,INDIRECT("'"&amp;$F34&amp;"'!$B$4:$T$4")&amp;INDIRECT("'"&amp;$F34&amp;"'!$B$5:$T$5"),0))</f>
        <v>2274.7341649999998</v>
      </c>
      <c r="AD34" s="62">
        <f ca="1">AC34/AB$33</f>
        <v>0.30860591032424362</v>
      </c>
      <c r="AE34" s="62"/>
      <c r="AF34" s="75">
        <f t="array" aca="1" ref="AF34" ca="1">INDEX(INDIRECT("'"&amp;$F34&amp;"'!$B$3:$T$300"),MATCH($B$6&amp;AB$27&amp;AB$28&amp;"Total inc GST",INDIRECT("'"&amp;$F34&amp;"'!$B$3:$B$300")&amp;INDIRECT("'"&amp;$F34&amp;"'!$C$3:$C$300")&amp;INDIRECT("'"&amp;$F34&amp;"'!$D$3:$D$300")&amp;INDIRECT("'"&amp;$F34&amp;"'!$G$3:$G$300"),0),MATCH(AF$29&amp;AF$30,INDIRECT("'"&amp;$F34&amp;"'!$B$4:$T$4")&amp;INDIRECT("'"&amp;$F34&amp;"'!$B$5:$T$5"),0))</f>
        <v>-2.7712714509653513E-2</v>
      </c>
      <c r="AG34" s="62">
        <f ca="1">AD34*AF34</f>
        <v>-8.5523074888074965E-3</v>
      </c>
      <c r="AH34" s="62">
        <f ca="1">AI34/AB$39</f>
        <v>0.30099497433855993</v>
      </c>
      <c r="AI34" s="61">
        <f t="array" aca="1" ref="AI34" ca="1">INDEX(INDIRECT("'"&amp;$F34&amp;"'!$B$3:$T$300"),MATCH($B$6&amp;AB$27&amp;AB$28&amp;"Total inc GST",INDIRECT("'"&amp;$F34&amp;"'!$B$3:$B$300")&amp;INDIRECT("'"&amp;$F34&amp;"'!$C$3:$C$300")&amp;INDIRECT("'"&amp;$F34&amp;"'!$D$3:$D$300")&amp;INDIRECT("'"&amp;$F34&amp;"'!$G$3:$G$300"),0),MATCH(AF$29&amp;AI$30,INDIRECT("'"&amp;$F34&amp;"'!$B$4:$T$4")&amp;INDIRECT("'"&amp;$F34&amp;"'!$B$5:$T$5"),0))</f>
        <v>2211.6951064999998</v>
      </c>
      <c r="AJ34" s="62"/>
    </row>
    <row r="35" spans="2:36" ht="15" customHeight="1" x14ac:dyDescent="0.3">
      <c r="F35" s="64" t="s">
        <v>69</v>
      </c>
      <c r="G35" s="64"/>
      <c r="H35" s="63"/>
      <c r="I35" s="61">
        <f t="array" aca="1" ref="I35" ca="1">INDEX(INDIRECT("'"&amp;$F35&amp;"'!$B$3:$T$300"),MATCH($B$6&amp;H$27&amp;H$28&amp;"Total inc GST",INDIRECT("'"&amp;$F35&amp;"'!$B$3:$B$300")&amp;INDIRECT("'"&amp;$F35&amp;"'!$C$3:$C$300")&amp;INDIRECT("'"&amp;$F35&amp;"'!$D$3:$D$300")&amp;INDIRECT("'"&amp;$F35&amp;"'!$G$3:$G$300"),0),MATCH(I$29&amp;I$30,INDIRECT("'"&amp;$F35&amp;"'!$B$4:$T$4")&amp;INDIRECT("'"&amp;$F35&amp;"'!$B$5:$T$5"),0))</f>
        <v>477.73439999999999</v>
      </c>
      <c r="J35" s="62">
        <f ca="1">I35/H$33</f>
        <v>0.32565398773006132</v>
      </c>
      <c r="K35" s="62"/>
      <c r="L35" s="75">
        <f t="array" aca="1" ref="L35" ca="1">INDEX(INDIRECT("'"&amp;$F35&amp;"'!$B$3:$T$300"),MATCH($B$6&amp;H$27&amp;H$28&amp;"Total inc GST",INDIRECT("'"&amp;$F35&amp;"'!$B$3:$B$300")&amp;INDIRECT("'"&amp;$F35&amp;"'!$C$3:$C$300")&amp;INDIRECT("'"&amp;$F35&amp;"'!$D$3:$D$300")&amp;INDIRECT("'"&amp;$F35&amp;"'!$G$3:$G$300"),0),MATCH(L$29&amp;L$30,INDIRECT("'"&amp;$F35&amp;"'!$B$4:$T$4")&amp;INDIRECT("'"&amp;$F35&amp;"'!$B$5:$T$5"),0))</f>
        <v>1.9037356321839116E-2</v>
      </c>
      <c r="M35" s="62">
        <f ca="1">J35*L35</f>
        <v>6.1995910020450013E-3</v>
      </c>
      <c r="N35" s="62">
        <f ca="1">O35/H$39</f>
        <v>0.32823213997222805</v>
      </c>
      <c r="O35" s="61">
        <f t="array" aca="1" ref="O35" ca="1">INDEX(INDIRECT("'"&amp;$F35&amp;"'!$B$3:$T$300"),MATCH($B$6&amp;H$27&amp;H$28&amp;"Total inc GST",INDIRECT("'"&amp;$F35&amp;"'!$B$3:$B$300")&amp;INDIRECT("'"&amp;$F35&amp;"'!$C$3:$C$300")&amp;INDIRECT("'"&amp;$F35&amp;"'!$D$3:$D$300")&amp;INDIRECT("'"&amp;$F35&amp;"'!$G$3:$G$300"),0),MATCH(L$29&amp;O$30,INDIRECT("'"&amp;$F35&amp;"'!$B$4:$T$4")&amp;INDIRECT("'"&amp;$F35&amp;"'!$B$5:$T$5"),0))</f>
        <v>486.82920000000001</v>
      </c>
      <c r="P35" s="62"/>
      <c r="Q35" s="62"/>
      <c r="R35" s="62"/>
      <c r="S35" s="61">
        <f t="array" aca="1" ref="S35" ca="1">INDEX(INDIRECT("'"&amp;$F35&amp;"'!$B$3:$T$300"),MATCH($B$6&amp;R$27&amp;R$28&amp;"Total inc GST",INDIRECT("'"&amp;$F35&amp;"'!$B$3:$B$300")&amp;INDIRECT("'"&amp;$F35&amp;"'!$C$3:$C$300")&amp;INDIRECT("'"&amp;$F35&amp;"'!$D$3:$D$300")&amp;INDIRECT("'"&amp;$F35&amp;"'!$G$3:$G$300"),0),MATCH(S$29&amp;S$30,INDIRECT("'"&amp;$F35&amp;"'!$B$4:$T$4")&amp;INDIRECT("'"&amp;$F35&amp;"'!$B$5:$T$5"),0))</f>
        <v>769.83654000000001</v>
      </c>
      <c r="T35" s="62">
        <f ca="1">S35/R$33</f>
        <v>0.37388855755220984</v>
      </c>
      <c r="U35" s="62"/>
      <c r="V35" s="75">
        <f t="array" aca="1" ref="V35" ca="1">INDEX(INDIRECT("'"&amp;$F35&amp;"'!$B$3:$T$300"),MATCH($B$6&amp;R$27&amp;R$28&amp;"Total inc GST",INDIRECT("'"&amp;$F35&amp;"'!$B$3:$B$300")&amp;INDIRECT("'"&amp;$F35&amp;"'!$C$3:$C$300")&amp;INDIRECT("'"&amp;$F35&amp;"'!$D$3:$D$300")&amp;INDIRECT("'"&amp;$F35&amp;"'!$G$3:$G$300"),0),MATCH(V$29&amp;V$30,INDIRECT("'"&amp;$F35&amp;"'!$B$4:$T$4")&amp;INDIRECT("'"&amp;$F35&amp;"'!$B$5:$T$5"),0))</f>
        <v>-7.1858111593403606E-3</v>
      </c>
      <c r="W35" s="62">
        <f ca="1">T35*V35</f>
        <v>-2.6866925692083403E-3</v>
      </c>
      <c r="X35" s="62">
        <f ca="1">Y35/R$39</f>
        <v>0.37121652332165378</v>
      </c>
      <c r="Y35" s="61">
        <f t="array" aca="1" ref="Y35" ca="1">INDEX(INDIRECT("'"&amp;$F35&amp;"'!$B$3:$T$300"),MATCH($B$6&amp;R$27&amp;R$28&amp;"Total inc GST",INDIRECT("'"&amp;$F35&amp;"'!$B$3:$B$300")&amp;INDIRECT("'"&amp;$F35&amp;"'!$C$3:$C$300")&amp;INDIRECT("'"&amp;$F35&amp;"'!$D$3:$D$300")&amp;INDIRECT("'"&amp;$F35&amp;"'!$G$3:$G$300"),0),MATCH(V$29&amp;Y$30,INDIRECT("'"&amp;$F35&amp;"'!$B$4:$T$4")&amp;INDIRECT("'"&amp;$F35&amp;"'!$B$5:$T$5"),0))</f>
        <v>764.30464000000006</v>
      </c>
      <c r="Z35" s="62"/>
      <c r="AA35" s="63"/>
      <c r="AB35" s="63"/>
      <c r="AC35" s="61">
        <f t="array" aca="1" ref="AC35" ca="1">INDEX(INDIRECT("'"&amp;$F35&amp;"'!$B$3:$T$300"),MATCH($B$6&amp;AB$27&amp;AB$28&amp;"Total inc GST",INDIRECT("'"&amp;$F35&amp;"'!$B$3:$B$300")&amp;INDIRECT("'"&amp;$F35&amp;"'!$C$3:$C$300")&amp;INDIRECT("'"&amp;$F35&amp;"'!$D$3:$D$300")&amp;INDIRECT("'"&amp;$F35&amp;"'!$G$3:$G$300"),0),MATCH(AC$29&amp;AC$30,INDIRECT("'"&amp;$F35&amp;"'!$B$4:$T$4")&amp;INDIRECT("'"&amp;$F35&amp;"'!$B$5:$T$5"),0))</f>
        <v>2449.9199999999996</v>
      </c>
      <c r="AD35" s="62">
        <f ca="1">AC35/AB$33</f>
        <v>0.3323728123728123</v>
      </c>
      <c r="AE35" s="62"/>
      <c r="AF35" s="75">
        <f t="array" aca="1" ref="AF35" ca="1">INDEX(INDIRECT("'"&amp;$F35&amp;"'!$B$3:$T$300"),MATCH($B$6&amp;AB$27&amp;AB$28&amp;"Total inc GST",INDIRECT("'"&amp;$F35&amp;"'!$B$3:$B$300")&amp;INDIRECT("'"&amp;$F35&amp;"'!$C$3:$C$300")&amp;INDIRECT("'"&amp;$F35&amp;"'!$D$3:$D$300")&amp;INDIRECT("'"&amp;$F35&amp;"'!$G$3:$G$300"),0),MATCH(AF$29&amp;AF$30,INDIRECT("'"&amp;$F35&amp;"'!$B$4:$T$4")&amp;INDIRECT("'"&amp;$F35&amp;"'!$B$5:$T$5"),0))</f>
        <v>1.9037356321839116E-2</v>
      </c>
      <c r="AG35" s="62">
        <f ca="1">AD35*AF35</f>
        <v>6.327499660833005E-3</v>
      </c>
      <c r="AH35" s="62">
        <f ca="1">AI35/AB$39</f>
        <v>0.33976293157506937</v>
      </c>
      <c r="AI35" s="61">
        <f t="array" aca="1" ref="AI35" ca="1">INDEX(INDIRECT("'"&amp;$F35&amp;"'!$B$3:$T$300"),MATCH($B$6&amp;AB$27&amp;AB$28&amp;"Total inc GST",INDIRECT("'"&amp;$F35&amp;"'!$B$3:$B$300")&amp;INDIRECT("'"&amp;$F35&amp;"'!$C$3:$C$300")&amp;INDIRECT("'"&amp;$F35&amp;"'!$D$3:$D$300")&amp;INDIRECT("'"&amp;$F35&amp;"'!$G$3:$G$300"),0),MATCH(AF$29&amp;AI$30,INDIRECT("'"&amp;$F35&amp;"'!$B$4:$T$4")&amp;INDIRECT("'"&amp;$F35&amp;"'!$B$5:$T$5"),0))</f>
        <v>2496.56</v>
      </c>
      <c r="AJ35" s="62"/>
    </row>
    <row r="36" spans="2:36" ht="15" customHeight="1" x14ac:dyDescent="0.3">
      <c r="F36" s="64" t="s">
        <v>70</v>
      </c>
      <c r="G36" s="64"/>
      <c r="H36" s="63"/>
      <c r="I36" s="61">
        <f t="array" aca="1" ref="I36" ca="1">INDEX(INDIRECT("'"&amp;$F36&amp;"'!$B$3:$T$300"),MATCH($B$6&amp;H$27&amp;H$28&amp;"Total inc GST",INDIRECT("'"&amp;$F36&amp;"'!$B$3:$B$300")&amp;INDIRECT("'"&amp;$F36&amp;"'!$C$3:$C$300")&amp;INDIRECT("'"&amp;$F36&amp;"'!$D$3:$D$300")&amp;INDIRECT("'"&amp;$F36&amp;"'!$G$3:$G$300"),0),MATCH(I$29&amp;I$30,INDIRECT("'"&amp;$F36&amp;"'!$B$4:$T$4")&amp;INDIRECT("'"&amp;$F36&amp;"'!$B$5:$T$5"),0))</f>
        <v>82.968600000000009</v>
      </c>
      <c r="J36" s="62">
        <f ca="1">I36/H$33</f>
        <v>5.6556646216768924E-2</v>
      </c>
      <c r="K36" s="62"/>
      <c r="L36" s="75">
        <f t="array" aca="1" ref="L36" ca="1">INDEX(INDIRECT("'"&amp;$F36&amp;"'!$B$3:$T$300"),MATCH($B$6&amp;H$27&amp;H$28&amp;"Total inc GST",INDIRECT("'"&amp;$F36&amp;"'!$B$3:$B$300")&amp;INDIRECT("'"&amp;$F36&amp;"'!$C$3:$C$300")&amp;INDIRECT("'"&amp;$F36&amp;"'!$D$3:$D$300")&amp;INDIRECT("'"&amp;$F36&amp;"'!$G$3:$G$300"),0),MATCH(L$29&amp;L$30,INDIRECT("'"&amp;$F36&amp;"'!$B$4:$T$4")&amp;INDIRECT("'"&amp;$F36&amp;"'!$B$5:$T$5"),0))</f>
        <v>-0.11220268872802508</v>
      </c>
      <c r="M36" s="62">
        <f ca="1">J36*L36</f>
        <v>-6.3458077709611605E-3</v>
      </c>
      <c r="N36" s="62">
        <f ca="1">O36/H$39</f>
        <v>4.9662899571053527E-2</v>
      </c>
      <c r="O36" s="61">
        <f t="array" aca="1" ref="O36" ca="1">INDEX(INDIRECT("'"&amp;$F36&amp;"'!$B$3:$T$300"),MATCH($B$6&amp;H$27&amp;H$28&amp;"Total inc GST",INDIRECT("'"&amp;$F36&amp;"'!$B$3:$B$300")&amp;INDIRECT("'"&amp;$F36&amp;"'!$C$3:$C$300")&amp;INDIRECT("'"&amp;$F36&amp;"'!$D$3:$D$300")&amp;INDIRECT("'"&amp;$F36&amp;"'!$G$3:$G$300"),0),MATCH(L$29&amp;O$30,INDIRECT("'"&amp;$F36&amp;"'!$B$4:$T$4")&amp;INDIRECT("'"&amp;$F36&amp;"'!$B$5:$T$5"),0))</f>
        <v>73.659299999999988</v>
      </c>
      <c r="P36" s="62"/>
      <c r="Q36" s="62"/>
      <c r="R36" s="62"/>
      <c r="S36" s="61">
        <f t="array" aca="1" ref="S36" ca="1">INDEX(INDIRECT("'"&amp;$F36&amp;"'!$B$3:$T$300"),MATCH($B$6&amp;R$27&amp;R$28&amp;"Total inc GST",INDIRECT("'"&amp;$F36&amp;"'!$B$3:$B$300")&amp;INDIRECT("'"&amp;$F36&amp;"'!$C$3:$C$300")&amp;INDIRECT("'"&amp;$F36&amp;"'!$D$3:$D$300")&amp;INDIRECT("'"&amp;$F36&amp;"'!$G$3:$G$300"),0),MATCH(S$29&amp;S$30,INDIRECT("'"&amp;$F36&amp;"'!$B$4:$T$4")&amp;INDIRECT("'"&amp;$F36&amp;"'!$B$5:$T$5"),0))</f>
        <v>144.83920000000001</v>
      </c>
      <c r="T36" s="62">
        <f ca="1">S36/R$33</f>
        <v>7.0344439048081589E-2</v>
      </c>
      <c r="U36" s="62"/>
      <c r="V36" s="75">
        <f t="array" aca="1" ref="V36" ca="1">INDEX(INDIRECT("'"&amp;$F36&amp;"'!$B$3:$T$300"),MATCH($B$6&amp;R$27&amp;R$28&amp;"Total inc GST",INDIRECT("'"&amp;$F36&amp;"'!$B$3:$B$300")&amp;INDIRECT("'"&amp;$F36&amp;"'!$C$3:$C$300")&amp;INDIRECT("'"&amp;$F36&amp;"'!$D$3:$D$300")&amp;INDIRECT("'"&amp;$F36&amp;"'!$G$3:$G$300"),0),MATCH(V$29&amp;V$30,INDIRECT("'"&amp;$F36&amp;"'!$B$4:$T$4")&amp;INDIRECT("'"&amp;$F36&amp;"'!$B$5:$T$5"),0))</f>
        <v>-0.11252202442432702</v>
      </c>
      <c r="W36" s="62">
        <f ca="1">T36*V36</f>
        <v>-7.9152986886838195E-3</v>
      </c>
      <c r="X36" s="62">
        <f ca="1">Y36/R$39</f>
        <v>6.2431605615010648E-2</v>
      </c>
      <c r="Y36" s="61">
        <f t="array" aca="1" ref="Y36" ca="1">INDEX(INDIRECT("'"&amp;$F36&amp;"'!$B$3:$T$300"),MATCH($B$6&amp;R$27&amp;R$28&amp;"Total inc GST",INDIRECT("'"&amp;$F36&amp;"'!$B$3:$B$300")&amp;INDIRECT("'"&amp;$F36&amp;"'!$C$3:$C$300")&amp;INDIRECT("'"&amp;$F36&amp;"'!$D$3:$D$300")&amp;INDIRECT("'"&amp;$F36&amp;"'!$G$3:$G$300"),0),MATCH(V$29&amp;Y$30,INDIRECT("'"&amp;$F36&amp;"'!$B$4:$T$4")&amp;INDIRECT("'"&amp;$F36&amp;"'!$B$5:$T$5"),0))</f>
        <v>128.54160000000002</v>
      </c>
      <c r="Z36" s="62"/>
      <c r="AA36" s="63"/>
      <c r="AB36" s="63"/>
      <c r="AC36" s="61">
        <f t="array" aca="1" ref="AC36" ca="1">INDEX(INDIRECT("'"&amp;$F36&amp;"'!$B$3:$T$300"),MATCH($B$6&amp;AB$27&amp;AB$28&amp;"Total inc GST",INDIRECT("'"&amp;$F36&amp;"'!$B$3:$B$300")&amp;INDIRECT("'"&amp;$F36&amp;"'!$C$3:$C$300")&amp;INDIRECT("'"&amp;$F36&amp;"'!$D$3:$D$300")&amp;INDIRECT("'"&amp;$F36&amp;"'!$G$3:$G$300"),0),MATCH(AC$29&amp;AC$30,INDIRECT("'"&amp;$F36&amp;"'!$B$4:$T$4")&amp;INDIRECT("'"&amp;$F36&amp;"'!$B$5:$T$5"),0))</f>
        <v>425.48</v>
      </c>
      <c r="AD36" s="62">
        <f ca="1">AC36/AB$33</f>
        <v>5.7723511056844395E-2</v>
      </c>
      <c r="AE36" s="62"/>
      <c r="AF36" s="75">
        <f t="array" aca="1" ref="AF36" ca="1">INDEX(INDIRECT("'"&amp;$F36&amp;"'!$B$3:$T$300"),MATCH($B$6&amp;AB$27&amp;AB$28&amp;"Total inc GST",INDIRECT("'"&amp;$F36&amp;"'!$B$3:$B$300")&amp;INDIRECT("'"&amp;$F36&amp;"'!$C$3:$C$300")&amp;INDIRECT("'"&amp;$F36&amp;"'!$D$3:$D$300")&amp;INDIRECT("'"&amp;$F36&amp;"'!$G$3:$G$300"),0),MATCH(AF$29&amp;AF$30,INDIRECT("'"&amp;$F36&amp;"'!$B$4:$T$4")&amp;INDIRECT("'"&amp;$F36&amp;"'!$B$5:$T$5"),0))</f>
        <v>-0.11220268872802486</v>
      </c>
      <c r="AG36" s="62">
        <f ca="1">AD36*AF36</f>
        <v>-6.476733143399813E-3</v>
      </c>
      <c r="AH36" s="62">
        <f ca="1">AI36/AB$39</f>
        <v>5.1407556707295923E-2</v>
      </c>
      <c r="AI36" s="61">
        <f t="array" aca="1" ref="AI36" ca="1">INDEX(INDIRECT("'"&amp;$F36&amp;"'!$B$3:$T$300"),MATCH($B$6&amp;AB$27&amp;AB$28&amp;"Total inc GST",INDIRECT("'"&amp;$F36&amp;"'!$B$3:$B$300")&amp;INDIRECT("'"&amp;$F36&amp;"'!$C$3:$C$300")&amp;INDIRECT("'"&amp;$F36&amp;"'!$D$3:$D$300")&amp;INDIRECT("'"&amp;$F36&amp;"'!$G$3:$G$300"),0),MATCH(AF$29&amp;AI$30,INDIRECT("'"&amp;$F36&amp;"'!$B$4:$T$4")&amp;INDIRECT("'"&amp;$F36&amp;"'!$B$5:$T$5"),0))</f>
        <v>377.74</v>
      </c>
      <c r="AJ36" s="62"/>
    </row>
    <row r="37" spans="2:36" ht="15" customHeight="1" x14ac:dyDescent="0.3">
      <c r="F37" s="64" t="s">
        <v>71</v>
      </c>
      <c r="G37" s="64"/>
      <c r="H37" s="63"/>
      <c r="I37" s="61">
        <f ca="1">H33-SUM(I34:I36)</f>
        <v>375.63053400000013</v>
      </c>
      <c r="J37" s="62">
        <f ca="1">1-SUM(J34:J36)</f>
        <v>0.25605353374233131</v>
      </c>
      <c r="K37" s="62"/>
      <c r="L37" s="62">
        <f>CPI</f>
        <v>1.8500000000000003E-2</v>
      </c>
      <c r="M37" s="62">
        <f ca="1">J37*L37</f>
        <v>4.7369903742331297E-3</v>
      </c>
      <c r="N37" s="62">
        <f ca="1">O37/H$39</f>
        <v>0.25794457948082161</v>
      </c>
      <c r="O37" s="61">
        <f ca="1">H39-SUM(O34:O36)</f>
        <v>382.57969887900003</v>
      </c>
      <c r="P37" s="65">
        <f t="array" ref="P37">INDEX('Detail inputs'!$B$3:$L$211,MATCH($B6&amp;P$30,'Detail inputs'!$B$3:$B$211&amp;'Detail inputs'!$G$3:$G$211,0),MATCH(L$29,'Detail inputs'!$B$3:$L$3,0))</f>
        <v>0</v>
      </c>
      <c r="Q37" s="62"/>
      <c r="R37" s="62"/>
      <c r="S37" s="61">
        <f ca="1">R33-SUM(S34:S36)</f>
        <v>447.29258686000003</v>
      </c>
      <c r="T37" s="62">
        <f ca="1">1-SUM(T34:T36)</f>
        <v>0.21723777895094698</v>
      </c>
      <c r="U37" s="62"/>
      <c r="V37" s="62">
        <f>CPI</f>
        <v>1.8500000000000003E-2</v>
      </c>
      <c r="W37" s="62">
        <f ca="1">T37*V37</f>
        <v>4.0188989105925197E-3</v>
      </c>
      <c r="X37" s="62">
        <f ca="1">Y37/R$39</f>
        <v>0.22126541503561953</v>
      </c>
      <c r="Y37" s="61">
        <f ca="1">R39-SUM(Y34:Y36)</f>
        <v>455.56749971690988</v>
      </c>
      <c r="Z37" s="65">
        <f t="array" ref="Z37">INDEX('Detail inputs'!$B$3:$L$211,MATCH($B6&amp;Z$30,'Detail inputs'!$B$3:$B$211&amp;'Detail inputs'!$G$3:$G$211,0),MATCH(V$29,'Detail inputs'!$B$3:$L$3,0))</f>
        <v>0</v>
      </c>
      <c r="AA37" s="63"/>
      <c r="AB37" s="63"/>
      <c r="AC37" s="61">
        <f ca="1">AB33-SUM(AC34:AC36)</f>
        <v>2220.8658350000005</v>
      </c>
      <c r="AD37" s="62">
        <f ca="1">1-SUM(AD34:AD36)</f>
        <v>0.30129776624609972</v>
      </c>
      <c r="AE37" s="62"/>
      <c r="AF37" s="62">
        <f>CPI</f>
        <v>1.8500000000000003E-2</v>
      </c>
      <c r="AG37" s="62">
        <f ca="1">AD37*AF37</f>
        <v>5.5740086755528455E-3</v>
      </c>
      <c r="AH37" s="62">
        <f ca="1">AI37/AB$39</f>
        <v>0.30783453737907485</v>
      </c>
      <c r="AI37" s="61">
        <f ca="1">AB39-SUM(AI34:AI36)</f>
        <v>2261.9518529475008</v>
      </c>
      <c r="AJ37" s="65">
        <f t="array" ref="AJ37">INDEX('Detail inputs'!$B$3:$L$211,MATCH($B6&amp;AJ$30,'Detail inputs'!$B$3:$B$211&amp;'Detail inputs'!$G$3:$G$211,0),MATCH(AF$29,'Detail inputs'!$B$3:$L$3,0))</f>
        <v>0</v>
      </c>
    </row>
    <row r="38" spans="2:36" s="5" customFormat="1" ht="15" customHeight="1" x14ac:dyDescent="0.3">
      <c r="F38" s="60" t="s">
        <v>77</v>
      </c>
      <c r="G38" s="60"/>
      <c r="H38" s="63"/>
      <c r="I38" s="62"/>
      <c r="J38" s="62">
        <f ca="1">SUM(J34:J37)</f>
        <v>1</v>
      </c>
      <c r="K38" s="62"/>
      <c r="L38" s="62">
        <f ca="1">SUMPRODUCT(J34:J37,L34:L37)</f>
        <v>1.103316317586912E-2</v>
      </c>
      <c r="M38" s="62">
        <f ca="1">SUM(M34:M37)</f>
        <v>1.103316317586912E-2</v>
      </c>
      <c r="N38" s="62">
        <f ca="1">SUM(N34:N37)</f>
        <v>1</v>
      </c>
      <c r="O38" s="62"/>
      <c r="P38" s="3"/>
      <c r="Q38" s="62"/>
      <c r="R38" s="62"/>
      <c r="S38" s="62"/>
      <c r="T38" s="62">
        <f ca="1">SUM(T34:T37)</f>
        <v>1</v>
      </c>
      <c r="U38" s="62"/>
      <c r="V38" s="62">
        <f ca="1">SUMPRODUCT(T34:T37,V34:V37)</f>
        <v>-3.9487301160811075E-5</v>
      </c>
      <c r="W38" s="62">
        <f ca="1">SUM(W34:W37)</f>
        <v>-3.9487301160811075E-5</v>
      </c>
      <c r="X38" s="62">
        <f ca="1">SUM(X34:X37)</f>
        <v>1</v>
      </c>
      <c r="Y38" s="62"/>
      <c r="Z38" s="3"/>
      <c r="AA38" s="63"/>
      <c r="AB38" s="63"/>
      <c r="AC38" s="63"/>
      <c r="AD38" s="62">
        <f ca="1">SUM(AD34:AD37)</f>
        <v>1</v>
      </c>
      <c r="AE38" s="62"/>
      <c r="AF38" s="62">
        <f ca="1">SUMPRODUCT(AD34:AD37,AF34:AF37)</f>
        <v>-3.1275322958214591E-3</v>
      </c>
      <c r="AG38" s="62">
        <f ca="1">SUM(AG34:AG37)</f>
        <v>-3.1275322958214591E-3</v>
      </c>
      <c r="AH38" s="62">
        <f ca="1">SUM(AH34:AH37)</f>
        <v>1</v>
      </c>
      <c r="AI38" s="62"/>
      <c r="AJ38" s="3"/>
    </row>
    <row r="39" spans="2:36" ht="15" thickBot="1" x14ac:dyDescent="0.35">
      <c r="B39" s="116"/>
      <c r="F39" s="108" t="str">
        <f>"DMO "&amp;FY&amp;" price"</f>
        <v>DMO 2020-21 price</v>
      </c>
      <c r="G39" s="108"/>
      <c r="H39" s="109">
        <f ca="1">H33*(1+L38)+P37</f>
        <v>1483.185650379</v>
      </c>
      <c r="I39" s="110"/>
      <c r="J39" s="110"/>
      <c r="K39" s="110"/>
      <c r="L39" s="110"/>
      <c r="M39" s="110"/>
      <c r="N39" s="110"/>
      <c r="O39" s="110"/>
      <c r="P39" s="110"/>
      <c r="Q39" s="110"/>
      <c r="R39" s="109">
        <f ca="1">R33*(1+V38)+Z37</f>
        <v>2058.9186956469098</v>
      </c>
      <c r="S39" s="109"/>
      <c r="T39" s="110"/>
      <c r="U39" s="110"/>
      <c r="V39" s="110"/>
      <c r="W39" s="110"/>
      <c r="X39" s="111"/>
      <c r="Y39" s="111"/>
      <c r="Z39" s="111"/>
      <c r="AA39" s="111"/>
      <c r="AB39" s="109">
        <f ca="1">AB33*(1+AF38)+AJ37</f>
        <v>7347.9469594475004</v>
      </c>
      <c r="AC39" s="109"/>
      <c r="AD39" s="110"/>
      <c r="AE39" s="110"/>
      <c r="AF39" s="110"/>
      <c r="AG39" s="110"/>
      <c r="AH39" s="110"/>
      <c r="AI39" s="110"/>
      <c r="AJ39" s="110"/>
    </row>
    <row r="40" spans="2:36" ht="15" thickTop="1" x14ac:dyDescent="0.3">
      <c r="F40" s="177" t="s">
        <v>197</v>
      </c>
    </row>
    <row r="41" spans="2:36" x14ac:dyDescent="0.3">
      <c r="F41" s="177" t="str">
        <f>"Residual cost for "&amp;FY&amp;" includes step change and any one-off adjustment"</f>
        <v>Residual cost for 2020-21 includes step change and any one-off adjustment</v>
      </c>
    </row>
    <row r="42" spans="2:36" x14ac:dyDescent="0.3">
      <c r="F42" s="145" t="s">
        <v>160</v>
      </c>
    </row>
    <row r="43" spans="2:36" hidden="1" x14ac:dyDescent="0.3">
      <c r="F43" s="177"/>
    </row>
    <row r="44" spans="2:36" s="119" customFormat="1" ht="12" hidden="1" x14ac:dyDescent="0.3">
      <c r="F44" s="143" t="s">
        <v>106</v>
      </c>
      <c r="G44" s="143"/>
      <c r="H44" s="144"/>
      <c r="I44" s="143"/>
      <c r="J44" s="143"/>
      <c r="K44" s="143"/>
      <c r="L44" s="143"/>
      <c r="M44" s="143"/>
      <c r="N44" s="143"/>
      <c r="O44" s="143" t="b">
        <f ca="1">O37=I37*(1+L37)+P37</f>
        <v>1</v>
      </c>
      <c r="P44" s="143"/>
      <c r="Q44" s="143"/>
      <c r="R44" s="143"/>
      <c r="S44" s="143"/>
      <c r="T44" s="143"/>
      <c r="U44" s="143"/>
      <c r="V44" s="143"/>
      <c r="W44" s="143"/>
      <c r="X44" s="143"/>
      <c r="Y44" s="143" t="b">
        <f ca="1">Y37=S37*(1+V37)+Z37</f>
        <v>1</v>
      </c>
      <c r="Z44" s="143"/>
      <c r="AA44" s="143"/>
      <c r="AB44" s="143"/>
      <c r="AC44" s="143"/>
      <c r="AD44" s="143"/>
      <c r="AE44" s="143"/>
      <c r="AF44" s="143"/>
      <c r="AG44" s="143"/>
      <c r="AH44" s="143"/>
      <c r="AI44" s="143" t="b">
        <f ca="1">AI37=AC37*(1+AF37)+AJ37</f>
        <v>1</v>
      </c>
      <c r="AJ44" s="143"/>
    </row>
    <row r="45" spans="2:36" hidden="1" x14ac:dyDescent="0.3"/>
    <row r="46" spans="2:36" hidden="1" x14ac:dyDescent="0.3"/>
    <row r="47" spans="2:36" hidden="1" x14ac:dyDescent="0.3"/>
    <row r="48" spans="2:36" hidden="1" x14ac:dyDescent="0.3">
      <c r="H48" s="114"/>
    </row>
  </sheetData>
  <sheetProtection algorithmName="SHA-256" hashValue="7IYPhYXuldeQoB/lGepO9Xgesqy0Smyu4slgjdgKxNk=" saltValue="/FXjHrxtrQrtcTrDeQwCCw==" spinCount="100000" sheet="1" objects="1" scenarios="1"/>
  <mergeCells count="15">
    <mergeCell ref="A1:B1"/>
    <mergeCell ref="H28:P28"/>
    <mergeCell ref="B6:B7"/>
    <mergeCell ref="H27:P27"/>
    <mergeCell ref="R27:Z27"/>
    <mergeCell ref="AB27:AJ27"/>
    <mergeCell ref="F27:F32"/>
    <mergeCell ref="I29:J29"/>
    <mergeCell ref="S29:T29"/>
    <mergeCell ref="AC29:AD29"/>
    <mergeCell ref="L29:P29"/>
    <mergeCell ref="V29:Z29"/>
    <mergeCell ref="AF29:AJ29"/>
    <mergeCell ref="R28:Z28"/>
    <mergeCell ref="AB28:AJ28"/>
  </mergeCells>
  <conditionalFormatting sqref="F33:AJ36 F38:AJ39 F37:O37 Q37:Y37 AA37:AI37">
    <cfRule type="expression" dxfId="62" priority="12">
      <formula>MOD(ROW(),2)=0</formula>
    </cfRule>
    <cfRule type="expression" dxfId="61" priority="13">
      <formula>AND(MOD(ROW(),2)=0,F$30="Proportion",$F33="Overall change in costs (%)")</formula>
    </cfRule>
    <cfRule type="expression" dxfId="60" priority="14">
      <formula>AND(MOD(ROW(),1)=0,F$30="Proportion",$F33="Overall change in costs (%)")</formula>
    </cfRule>
  </conditionalFormatting>
  <conditionalFormatting sqref="G44:AJ44">
    <cfRule type="cellIs" dxfId="59" priority="10" operator="equal">
      <formula>FALSE</formula>
    </cfRule>
    <cfRule type="cellIs" dxfId="58" priority="11" operator="equal">
      <formula>TRUE</formula>
    </cfRule>
  </conditionalFormatting>
  <conditionalFormatting sqref="P37">
    <cfRule type="expression" dxfId="57" priority="7">
      <formula>MOD(ROW(),2)=0</formula>
    </cfRule>
    <cfRule type="expression" dxfId="56" priority="8">
      <formula>AND(MOD(ROW(),2)=0,P$30="Proportion",$F37="Overall change in costs (%)")</formula>
    </cfRule>
    <cfRule type="expression" dxfId="55" priority="9">
      <formula>AND(MOD(ROW(),1)=0,P$30="Proportion",$F37="Overall change in costs (%)")</formula>
    </cfRule>
  </conditionalFormatting>
  <conditionalFormatting sqref="Z37">
    <cfRule type="expression" dxfId="54" priority="4">
      <formula>MOD(ROW(),2)=0</formula>
    </cfRule>
    <cfRule type="expression" dxfId="53" priority="5">
      <formula>AND(MOD(ROW(),2)=0,Z$30="Proportion",$F37="Overall change in costs (%)")</formula>
    </cfRule>
    <cfRule type="expression" dxfId="52" priority="6">
      <formula>AND(MOD(ROW(),1)=0,Z$30="Proportion",$F37="Overall change in costs (%)")</formula>
    </cfRule>
  </conditionalFormatting>
  <conditionalFormatting sqref="AJ37">
    <cfRule type="expression" dxfId="51" priority="1">
      <formula>MOD(ROW(),2)=0</formula>
    </cfRule>
    <cfRule type="expression" dxfId="50" priority="2">
      <formula>AND(MOD(ROW(),2)=0,AJ$30="Proportion",$F37="Overall change in costs (%)")</formula>
    </cfRule>
    <cfRule type="expression" dxfId="49" priority="3">
      <formula>AND(MOD(ROW(),1)=0,AJ$30="Proportion",$F37="Overall change in costs (%)")</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8"/>
  <sheetViews>
    <sheetView zoomScaleNormal="100" workbookViewId="0">
      <selection sqref="A1:B1"/>
    </sheetView>
  </sheetViews>
  <sheetFormatPr defaultColWidth="0" defaultRowHeight="14.4" zeroHeight="1" x14ac:dyDescent="0.3"/>
  <cols>
    <col min="1" max="1" width="1.6640625" style="3" customWidth="1"/>
    <col min="2" max="2" width="33.88671875" style="3" bestFit="1" customWidth="1"/>
    <col min="3" max="5" width="13.33203125" style="3" customWidth="1"/>
    <col min="6" max="6" width="26.6640625" style="3" customWidth="1"/>
    <col min="7" max="7" width="5.88671875" style="3" customWidth="1"/>
    <col min="8" max="10" width="10.6640625" style="3" customWidth="1"/>
    <col min="11" max="11" width="1.6640625" style="3" customWidth="1"/>
    <col min="12" max="12" width="10.6640625" style="3" customWidth="1"/>
    <col min="13" max="13" width="9.44140625" style="3" hidden="1" customWidth="1"/>
    <col min="14" max="14" width="13.33203125" style="3" hidden="1" customWidth="1"/>
    <col min="15" max="15" width="10.6640625" style="3" customWidth="1"/>
    <col min="16" max="16" width="10.6640625" style="3" hidden="1" customWidth="1"/>
    <col min="17" max="17" width="5.6640625" style="3" customWidth="1"/>
    <col min="18" max="20" width="10.6640625" style="3" customWidth="1"/>
    <col min="21" max="21" width="1.6640625" style="3" customWidth="1"/>
    <col min="22" max="22" width="10.6640625" style="3" customWidth="1"/>
    <col min="23" max="23" width="9.33203125" style="3" hidden="1" customWidth="1"/>
    <col min="24" max="24" width="13.33203125" style="3" hidden="1" customWidth="1"/>
    <col min="25" max="25" width="10.6640625" style="3" customWidth="1"/>
    <col min="26" max="26" width="10.6640625" style="3" hidden="1" customWidth="1"/>
    <col min="27" max="27" width="5.6640625" style="3" customWidth="1"/>
    <col min="28" max="30" width="10.6640625" style="3" customWidth="1"/>
    <col min="31" max="31" width="1.6640625" style="3" customWidth="1"/>
    <col min="32" max="32" width="10.6640625" style="3" customWidth="1"/>
    <col min="33" max="34" width="0" style="3" hidden="1" customWidth="1"/>
    <col min="35" max="35" width="10.6640625" style="3" customWidth="1"/>
    <col min="36" max="36" width="10.6640625" style="3" hidden="1" customWidth="1"/>
    <col min="37" max="37" width="8.88671875" style="3" customWidth="1"/>
    <col min="38" max="16384" width="8.88671875" style="3" hidden="1"/>
  </cols>
  <sheetData>
    <row r="1" spans="1:37" ht="10.199999999999999" customHeight="1" x14ac:dyDescent="0.3">
      <c r="A1" s="246" t="s">
        <v>22</v>
      </c>
      <c r="B1" s="272"/>
    </row>
    <row r="2" spans="1:37" s="15" customFormat="1" ht="22.5" customHeight="1" x14ac:dyDescent="0.3">
      <c r="A2" s="16" t="s">
        <v>4</v>
      </c>
    </row>
    <row r="3" spans="1:37" s="101" customFormat="1" ht="15" thickBot="1" x14ac:dyDescent="0.35">
      <c r="C3" s="101" t="str">
        <f>$A$2&amp;" "&amp;C6&amp;" "&amp;C7</f>
        <v>Endeavour Residential without CL</v>
      </c>
      <c r="D3" s="101" t="str">
        <f>$A$2&amp;" "&amp;D6&amp;" "&amp;D7</f>
        <v>Endeavour Residential with CL</v>
      </c>
      <c r="E3" s="101" t="str">
        <f>$A$2&amp;" "&amp;E6&amp;" "&amp;E7</f>
        <v>Endeavour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ht="15.6" x14ac:dyDescent="0.3">
      <c r="B4" s="38" t="s">
        <v>21</v>
      </c>
      <c r="F4" s="38"/>
      <c r="G4" s="120" t="s">
        <v>105</v>
      </c>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row>
    <row r="5" spans="1:37" ht="4.95" customHeight="1" x14ac:dyDescent="0.3">
      <c r="B5" s="5"/>
      <c r="G5" s="123"/>
      <c r="H5" s="124"/>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125"/>
    </row>
    <row r="6" spans="1:37" ht="19.95" customHeight="1" x14ac:dyDescent="0.3">
      <c r="B6" s="279" t="str">
        <f>A2</f>
        <v>Endeavour</v>
      </c>
      <c r="C6" s="58" t="s">
        <v>6</v>
      </c>
      <c r="D6" s="58" t="s">
        <v>6</v>
      </c>
      <c r="E6" s="58" t="s">
        <v>85</v>
      </c>
      <c r="G6" s="123"/>
      <c r="H6" s="124"/>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125"/>
    </row>
    <row r="7" spans="1:37" ht="19.95" customHeight="1" x14ac:dyDescent="0.3">
      <c r="B7" s="279"/>
      <c r="C7" s="59" t="s">
        <v>158</v>
      </c>
      <c r="D7" s="59" t="s">
        <v>159</v>
      </c>
      <c r="E7" s="59" t="s">
        <v>158</v>
      </c>
      <c r="G7" s="123"/>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125"/>
    </row>
    <row r="8" spans="1:37" ht="1.95" customHeight="1" x14ac:dyDescent="0.3">
      <c r="B8" s="36"/>
      <c r="C8" s="37"/>
      <c r="D8" s="37"/>
      <c r="E8" s="37"/>
      <c r="G8" s="123"/>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125"/>
    </row>
    <row r="9" spans="1:37" s="56" customFormat="1" ht="30" customHeight="1" x14ac:dyDescent="0.3">
      <c r="B9" s="66" t="str">
        <f>"DMO "&amp;FY&amp;" price ($ pa, inc GST)"</f>
        <v>DMO 2020-21 price ($ pa, inc GST)</v>
      </c>
      <c r="C9" s="245">
        <f ca="1">ROUND(H39,0)</f>
        <v>1729</v>
      </c>
      <c r="D9" s="245">
        <f ca="1">ROUND(R39,0)</f>
        <v>2193</v>
      </c>
      <c r="E9" s="245">
        <f ca="1">ROUND(AB39,0)</f>
        <v>6250</v>
      </c>
      <c r="F9" s="3"/>
      <c r="G9" s="123"/>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126"/>
    </row>
    <row r="10" spans="1:37" ht="1.95" customHeight="1" x14ac:dyDescent="0.3">
      <c r="B10" s="67"/>
      <c r="C10" s="68"/>
      <c r="D10" s="68"/>
      <c r="E10" s="68"/>
      <c r="F10" s="56"/>
      <c r="G10" s="127"/>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5"/>
    </row>
    <row r="11" spans="1:37" ht="19.95" customHeight="1" x14ac:dyDescent="0.3">
      <c r="B11" s="69" t="s">
        <v>50</v>
      </c>
      <c r="C11" s="70">
        <f>SUM(C12:C13)</f>
        <v>4900</v>
      </c>
      <c r="D11" s="70">
        <f>SUM(D12:D13)</f>
        <v>7400</v>
      </c>
      <c r="E11" s="70">
        <f>SUM(E12:E13)</f>
        <v>20000</v>
      </c>
      <c r="G11" s="123"/>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125"/>
    </row>
    <row r="12" spans="1:37" ht="19.95" customHeight="1" x14ac:dyDescent="0.3">
      <c r="B12" s="71" t="s">
        <v>53</v>
      </c>
      <c r="C12" s="72">
        <f t="array" ref="C12">INDEX(Usage!$B$5:$Q$18,MATCH($B6,Usage!$B$5:$B$18,0),MATCH(C$6&amp;C$7&amp;"Flat rate"&amp;"Total",Usage!$B$5:$Q$5&amp;Usage!$B$6:$Q$6&amp;Usage!$B$7:$Q$7&amp;Usage!$B$13:$Q$13,0))</f>
        <v>4900</v>
      </c>
      <c r="D12" s="72">
        <f t="array" ref="D12">INDEX(Usage!$B$5:$Q$18,MATCH($B6,Usage!$B$5:$B$18,0),MATCH(D$6&amp;D$7&amp;"Flat rate"&amp;"Total",Usage!$B$5:$Q$5&amp;Usage!$B$6:$Q$6&amp;Usage!$B$7:$Q$7&amp;Usage!$B$13:$Q$13,0))</f>
        <v>5200</v>
      </c>
      <c r="E12" s="72">
        <f t="array" ref="E12">INDEX(Usage!$B$5:$Q$18,MATCH($B6,Usage!$B$5:$B$18,0),MATCH(E$6&amp;E$7&amp;"Flat rate"&amp;"Total",Usage!$B$5:$Q$5&amp;Usage!$B$6:$Q$6&amp;Usage!$B$7:$Q$7&amp;Usage!$B$13:$Q$13,0))</f>
        <v>20000</v>
      </c>
      <c r="G12" s="123"/>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125"/>
    </row>
    <row r="13" spans="1:37" ht="19.95" customHeight="1" x14ac:dyDescent="0.3">
      <c r="B13" s="71" t="s">
        <v>52</v>
      </c>
      <c r="C13" s="72"/>
      <c r="D13" s="72">
        <f t="array" ref="D13">INDEX(Usage!$B$5:$Q$18,MATCH($B6,Usage!$B$5:$B$18,0),MATCH(D$6&amp;D$7&amp;"CL"&amp;"Total",Usage!$B$5:$Q$5&amp;Usage!$B$6:$Q$6&amp;Usage!$B$7:$Q$7&amp;Usage!$B$13:$Q$13,0))</f>
        <v>2200</v>
      </c>
      <c r="E13" s="72"/>
      <c r="G13" s="123"/>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125"/>
    </row>
    <row r="14" spans="1:37" ht="1.95" customHeight="1" x14ac:dyDescent="0.3">
      <c r="B14" s="73"/>
      <c r="C14" s="73"/>
      <c r="D14" s="73"/>
      <c r="E14" s="73"/>
      <c r="G14" s="123"/>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125"/>
    </row>
    <row r="15" spans="1:37" ht="19.95" customHeight="1" x14ac:dyDescent="0.3">
      <c r="B15" s="71" t="str">
        <f>"Change from DMO "&amp;PY&amp; " price ($)"</f>
        <v>Change from DMO 2019-20 price ($)</v>
      </c>
      <c r="C15" s="192">
        <f ca="1">C9-H33</f>
        <v>9</v>
      </c>
      <c r="D15" s="192">
        <f ca="1">D9-R33</f>
        <v>27</v>
      </c>
      <c r="E15" s="192">
        <f ca="1">E9-AB33</f>
        <v>46</v>
      </c>
      <c r="G15" s="123"/>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125"/>
    </row>
    <row r="16" spans="1:37" ht="19.95" customHeight="1" thickBot="1" x14ac:dyDescent="0.35">
      <c r="B16" s="74" t="str">
        <f>"Change from DMO "&amp;PY&amp; " price (%)"</f>
        <v>Change from DMO 2019-20 price (%)</v>
      </c>
      <c r="C16" s="146">
        <f ca="1">C9/H33-1</f>
        <v>5.2325581395349374E-3</v>
      </c>
      <c r="D16" s="146">
        <f ca="1">D9/R33-1</f>
        <v>1.2465373961218829E-2</v>
      </c>
      <c r="E16" s="146">
        <f ca="1">E9/AB33-1</f>
        <v>7.4145712443585143E-3</v>
      </c>
      <c r="G16" s="123"/>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125"/>
    </row>
    <row r="17" spans="2:37" ht="15" thickTop="1" x14ac:dyDescent="0.3">
      <c r="B17" s="116" t="s">
        <v>104</v>
      </c>
      <c r="G17" s="123"/>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125"/>
    </row>
    <row r="18" spans="2:37" x14ac:dyDescent="0.3">
      <c r="G18" s="123"/>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125"/>
    </row>
    <row r="19" spans="2:37" x14ac:dyDescent="0.3">
      <c r="G19" s="123"/>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125"/>
    </row>
    <row r="20" spans="2:37" ht="15.6" x14ac:dyDescent="0.3">
      <c r="B20" s="38"/>
      <c r="G20" s="123"/>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125"/>
    </row>
    <row r="21" spans="2:37" ht="15" customHeight="1" thickBot="1" x14ac:dyDescent="0.35">
      <c r="B21" s="36"/>
      <c r="D21" s="36"/>
      <c r="E21" s="36"/>
      <c r="F21" s="38"/>
      <c r="G21" s="129"/>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row>
    <row r="22" spans="2:37" s="39" customFormat="1" ht="15.6" x14ac:dyDescent="0.3">
      <c r="F22" s="38"/>
      <c r="G22" s="3"/>
      <c r="H22" s="36"/>
      <c r="I22" s="36"/>
      <c r="J22" s="36"/>
      <c r="K22" s="3"/>
      <c r="L22" s="3"/>
      <c r="M22" s="3"/>
      <c r="N22" s="36"/>
      <c r="O22" s="36"/>
      <c r="P22" s="36"/>
      <c r="Q22" s="36"/>
      <c r="R22" s="36"/>
      <c r="S22" s="36"/>
      <c r="T22" s="36"/>
      <c r="U22" s="3"/>
      <c r="V22" s="36"/>
      <c r="W22" s="36"/>
      <c r="X22" s="36"/>
      <c r="Y22" s="36"/>
      <c r="Z22" s="36"/>
      <c r="AA22" s="3"/>
      <c r="AB22" s="3"/>
      <c r="AC22" s="3"/>
      <c r="AD22" s="3"/>
      <c r="AE22" s="3"/>
      <c r="AF22" s="3"/>
      <c r="AG22" s="3"/>
      <c r="AH22" s="3"/>
      <c r="AI22" s="3"/>
      <c r="AJ22" s="3"/>
    </row>
    <row r="23" spans="2:37" s="39" customFormat="1" ht="15.6" hidden="1" x14ac:dyDescent="0.3">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t="str">
        <f>$H$27</f>
        <v>Residential</v>
      </c>
      <c r="Q23" s="36"/>
      <c r="R23" s="36" t="str">
        <f>$R$27</f>
        <v>Residential</v>
      </c>
      <c r="S23" s="36" t="str">
        <f>$R$27</f>
        <v>Residential</v>
      </c>
      <c r="T23" s="36" t="str">
        <f>$R$27</f>
        <v>Residential</v>
      </c>
      <c r="U23" s="3"/>
      <c r="V23" s="36" t="str">
        <f>$R$27</f>
        <v>Residential</v>
      </c>
      <c r="W23" s="36" t="str">
        <f>$R$27</f>
        <v>Residential</v>
      </c>
      <c r="X23" s="36" t="str">
        <f>$R$27</f>
        <v>Residential</v>
      </c>
      <c r="Y23" s="36" t="str">
        <f>$R$27</f>
        <v>Residential</v>
      </c>
      <c r="Z23" s="36" t="str">
        <f>$R$27</f>
        <v>Residential</v>
      </c>
      <c r="AA23" s="3"/>
      <c r="AB23" s="3" t="str">
        <f>$AB$27</f>
        <v>Small Business</v>
      </c>
      <c r="AC23" s="3" t="str">
        <f>$AB$27</f>
        <v>Small Business</v>
      </c>
      <c r="AD23" s="3" t="str">
        <f>$AB$27</f>
        <v>Small Business</v>
      </c>
      <c r="AE23" s="3"/>
      <c r="AF23" s="3" t="str">
        <f>$AB$27</f>
        <v>Small Business</v>
      </c>
      <c r="AG23" s="3" t="str">
        <f>$AB$27</f>
        <v>Small Business</v>
      </c>
      <c r="AH23" s="3" t="str">
        <f>$AB$27</f>
        <v>Small Business</v>
      </c>
      <c r="AI23" s="3" t="str">
        <f>$AB$27</f>
        <v>Small Business</v>
      </c>
      <c r="AJ23" s="3" t="str">
        <f>$AB$27</f>
        <v>Small Business</v>
      </c>
    </row>
    <row r="24" spans="2:37" s="39" customFormat="1" ht="15.6" hidden="1" x14ac:dyDescent="0.3">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t="str">
        <f>$H$28</f>
        <v>without CL</v>
      </c>
      <c r="Q24" s="36"/>
      <c r="R24" s="36" t="str">
        <f>$R$28</f>
        <v>with CL</v>
      </c>
      <c r="S24" s="36" t="str">
        <f>$R$28</f>
        <v>with CL</v>
      </c>
      <c r="T24" s="36" t="str">
        <f>$R$28</f>
        <v>with CL</v>
      </c>
      <c r="U24" s="3"/>
      <c r="V24" s="36" t="str">
        <f>$R$28</f>
        <v>with CL</v>
      </c>
      <c r="W24" s="36" t="str">
        <f>$R$28</f>
        <v>with CL</v>
      </c>
      <c r="X24" s="36" t="str">
        <f>$R$28</f>
        <v>with CL</v>
      </c>
      <c r="Y24" s="36" t="str">
        <f>$R$28</f>
        <v>with CL</v>
      </c>
      <c r="Z24" s="36" t="str">
        <f>$R$28</f>
        <v>with CL</v>
      </c>
      <c r="AA24" s="3"/>
      <c r="AB24" s="3" t="str">
        <f>$AB$28</f>
        <v>without CL</v>
      </c>
      <c r="AC24" s="3" t="str">
        <f>$AB$28</f>
        <v>without CL</v>
      </c>
      <c r="AD24" s="3" t="str">
        <f>$AB$28</f>
        <v>without CL</v>
      </c>
      <c r="AE24" s="3"/>
      <c r="AF24" s="3" t="str">
        <f>$AB$28</f>
        <v>without CL</v>
      </c>
      <c r="AG24" s="3" t="str">
        <f>$AB$28</f>
        <v>without CL</v>
      </c>
      <c r="AH24" s="3" t="str">
        <f>$AB$28</f>
        <v>without CL</v>
      </c>
      <c r="AI24" s="3" t="str">
        <f>$AB$28</f>
        <v>without CL</v>
      </c>
      <c r="AJ24" s="3" t="str">
        <f>$AB$28</f>
        <v>without CL</v>
      </c>
    </row>
    <row r="25" spans="2:37" s="39" customFormat="1" ht="15.6" hidden="1" x14ac:dyDescent="0.3">
      <c r="F25" s="38"/>
      <c r="G25" s="3"/>
      <c r="H25" s="36"/>
      <c r="I25" s="36" t="str">
        <f>$I$29</f>
        <v>2019-20</v>
      </c>
      <c r="J25" s="36" t="str">
        <f>$I$29</f>
        <v>2019-20</v>
      </c>
      <c r="K25" s="3"/>
      <c r="L25" s="36" t="str">
        <f>$L$29</f>
        <v>2020-21</v>
      </c>
      <c r="M25" s="36" t="str">
        <f>$L$29</f>
        <v>2020-21</v>
      </c>
      <c r="N25" s="36" t="str">
        <f>$L$29</f>
        <v>2020-21</v>
      </c>
      <c r="O25" s="36" t="str">
        <f>$L$29</f>
        <v>2020-21</v>
      </c>
      <c r="P25" s="36" t="str">
        <f>$L$29</f>
        <v>2020-21</v>
      </c>
      <c r="Q25" s="36"/>
      <c r="R25" s="36"/>
      <c r="S25" s="36" t="str">
        <f>$S$29</f>
        <v>2019-20</v>
      </c>
      <c r="T25" s="36" t="str">
        <f>$S$29</f>
        <v>2019-20</v>
      </c>
      <c r="U25" s="3"/>
      <c r="V25" s="36" t="str">
        <f>$V$29</f>
        <v>2020-21</v>
      </c>
      <c r="W25" s="36" t="str">
        <f>$V$29</f>
        <v>2020-21</v>
      </c>
      <c r="X25" s="36" t="str">
        <f>$V$29</f>
        <v>2020-21</v>
      </c>
      <c r="Y25" s="36" t="str">
        <f>$V$29</f>
        <v>2020-21</v>
      </c>
      <c r="Z25" s="36" t="str">
        <f>$V$29</f>
        <v>2020-21</v>
      </c>
      <c r="AA25" s="3"/>
      <c r="AB25" s="3"/>
      <c r="AC25" s="3" t="str">
        <f>$AC$29</f>
        <v>2019-20</v>
      </c>
      <c r="AD25" s="3" t="str">
        <f>$AC$29</f>
        <v>2019-20</v>
      </c>
      <c r="AE25" s="3"/>
      <c r="AF25" s="3" t="str">
        <f>$AF$29</f>
        <v>2020-21</v>
      </c>
      <c r="AG25" s="3" t="str">
        <f>$AF$29</f>
        <v>2020-21</v>
      </c>
      <c r="AH25" s="3" t="str">
        <f>$AF$29</f>
        <v>2020-21</v>
      </c>
      <c r="AI25" s="3" t="str">
        <f>$AF$29</f>
        <v>2020-21</v>
      </c>
      <c r="AJ25" s="3" t="str">
        <f>$AF$29</f>
        <v>2020-21</v>
      </c>
    </row>
    <row r="26" spans="2:37" s="39" customFormat="1" ht="15.6" x14ac:dyDescent="0.3">
      <c r="F26" s="38" t="s">
        <v>45</v>
      </c>
      <c r="G26" s="145" t="s">
        <v>160</v>
      </c>
      <c r="H26" s="36"/>
      <c r="I26" s="36"/>
      <c r="J26" s="36"/>
      <c r="K26" s="3"/>
      <c r="L26" s="3"/>
      <c r="M26" s="3"/>
      <c r="N26" s="36"/>
      <c r="O26" s="36"/>
      <c r="P26" s="36"/>
      <c r="Q26" s="36"/>
      <c r="R26" s="36"/>
      <c r="S26" s="36"/>
      <c r="T26" s="36"/>
      <c r="U26" s="3"/>
      <c r="V26" s="36"/>
      <c r="W26" s="36"/>
      <c r="X26" s="36"/>
      <c r="Y26" s="36"/>
      <c r="Z26" s="36"/>
      <c r="AA26" s="3"/>
      <c r="AB26" s="3"/>
      <c r="AC26" s="3"/>
      <c r="AD26" s="3"/>
      <c r="AE26" s="3"/>
      <c r="AF26" s="3"/>
      <c r="AG26" s="3"/>
      <c r="AH26" s="3"/>
      <c r="AI26" s="3"/>
      <c r="AJ26" s="3"/>
    </row>
    <row r="27" spans="2:37" s="39" customFormat="1" x14ac:dyDescent="0.3">
      <c r="F27" s="276" t="s">
        <v>38</v>
      </c>
      <c r="G27" s="117"/>
      <c r="H27" s="275" t="s">
        <v>6</v>
      </c>
      <c r="I27" s="275"/>
      <c r="J27" s="275"/>
      <c r="K27" s="275"/>
      <c r="L27" s="275"/>
      <c r="M27" s="275"/>
      <c r="N27" s="275"/>
      <c r="O27" s="275"/>
      <c r="P27" s="275"/>
      <c r="Q27" s="112"/>
      <c r="R27" s="275" t="s">
        <v>6</v>
      </c>
      <c r="S27" s="275"/>
      <c r="T27" s="275"/>
      <c r="U27" s="275"/>
      <c r="V27" s="275"/>
      <c r="W27" s="275"/>
      <c r="X27" s="275"/>
      <c r="Y27" s="275"/>
      <c r="Z27" s="275"/>
      <c r="AA27" s="112"/>
      <c r="AB27" s="275" t="s">
        <v>85</v>
      </c>
      <c r="AC27" s="275"/>
      <c r="AD27" s="275"/>
      <c r="AE27" s="275"/>
      <c r="AF27" s="275"/>
      <c r="AG27" s="275"/>
      <c r="AH27" s="275"/>
      <c r="AI27" s="275"/>
      <c r="AJ27" s="275"/>
    </row>
    <row r="28" spans="2:37" ht="15" thickBot="1" x14ac:dyDescent="0.35">
      <c r="F28" s="276"/>
      <c r="G28" s="117"/>
      <c r="H28" s="278" t="s">
        <v>158</v>
      </c>
      <c r="I28" s="278"/>
      <c r="J28" s="278"/>
      <c r="K28" s="278"/>
      <c r="L28" s="278"/>
      <c r="M28" s="278"/>
      <c r="N28" s="278"/>
      <c r="O28" s="278"/>
      <c r="P28" s="278"/>
      <c r="Q28" s="112"/>
      <c r="R28" s="278" t="s">
        <v>159</v>
      </c>
      <c r="S28" s="278"/>
      <c r="T28" s="278"/>
      <c r="U28" s="278"/>
      <c r="V28" s="278"/>
      <c r="W28" s="278"/>
      <c r="X28" s="278"/>
      <c r="Y28" s="278"/>
      <c r="Z28" s="278"/>
      <c r="AA28" s="112"/>
      <c r="AB28" s="278" t="s">
        <v>158</v>
      </c>
      <c r="AC28" s="278"/>
      <c r="AD28" s="278"/>
      <c r="AE28" s="278"/>
      <c r="AF28" s="278"/>
      <c r="AG28" s="278"/>
      <c r="AH28" s="278"/>
      <c r="AI28" s="278"/>
      <c r="AJ28" s="278"/>
    </row>
    <row r="29" spans="2:37" ht="15" customHeight="1" thickTop="1" x14ac:dyDescent="0.3">
      <c r="F29" s="276"/>
      <c r="G29" s="118"/>
      <c r="H29" s="112" t="s">
        <v>74</v>
      </c>
      <c r="I29" s="277" t="str">
        <f>PY</f>
        <v>2019-20</v>
      </c>
      <c r="J29" s="277"/>
      <c r="K29" s="112"/>
      <c r="L29" s="277" t="str">
        <f>FY</f>
        <v>2020-21</v>
      </c>
      <c r="M29" s="277"/>
      <c r="N29" s="277"/>
      <c r="O29" s="277"/>
      <c r="P29" s="277"/>
      <c r="Q29" s="54"/>
      <c r="R29" s="112" t="s">
        <v>74</v>
      </c>
      <c r="S29" s="277" t="str">
        <f>PY</f>
        <v>2019-20</v>
      </c>
      <c r="T29" s="277"/>
      <c r="U29" s="112"/>
      <c r="V29" s="277" t="str">
        <f>FY</f>
        <v>2020-21</v>
      </c>
      <c r="W29" s="277"/>
      <c r="X29" s="277"/>
      <c r="Y29" s="277"/>
      <c r="Z29" s="277"/>
      <c r="AA29" s="54"/>
      <c r="AB29" s="112" t="s">
        <v>74</v>
      </c>
      <c r="AC29" s="277" t="str">
        <f>PY</f>
        <v>2019-20</v>
      </c>
      <c r="AD29" s="277"/>
      <c r="AE29" s="112"/>
      <c r="AF29" s="277" t="str">
        <f>FY</f>
        <v>2020-21</v>
      </c>
      <c r="AG29" s="277"/>
      <c r="AH29" s="277"/>
      <c r="AI29" s="277"/>
      <c r="AJ29" s="277"/>
    </row>
    <row r="30" spans="2:37" ht="15" customHeight="1" x14ac:dyDescent="0.3">
      <c r="F30" s="276"/>
      <c r="G30" s="118"/>
      <c r="H30" s="76"/>
      <c r="I30" s="54" t="s">
        <v>26</v>
      </c>
      <c r="J30" s="54" t="s">
        <v>28</v>
      </c>
      <c r="K30" s="112"/>
      <c r="L30" s="54" t="s">
        <v>25</v>
      </c>
      <c r="M30" s="55" t="s">
        <v>51</v>
      </c>
      <c r="N30" s="54" t="s">
        <v>28</v>
      </c>
      <c r="O30" s="54" t="s">
        <v>26</v>
      </c>
      <c r="P30" s="54" t="s">
        <v>75</v>
      </c>
      <c r="Q30" s="54"/>
      <c r="R30" s="112"/>
      <c r="S30" s="54" t="s">
        <v>26</v>
      </c>
      <c r="T30" s="54" t="s">
        <v>28</v>
      </c>
      <c r="U30" s="112"/>
      <c r="V30" s="54" t="s">
        <v>25</v>
      </c>
      <c r="W30" s="55" t="s">
        <v>51</v>
      </c>
      <c r="X30" s="54" t="s">
        <v>28</v>
      </c>
      <c r="Y30" s="54" t="s">
        <v>26</v>
      </c>
      <c r="Z30" s="54" t="s">
        <v>75</v>
      </c>
      <c r="AA30" s="54"/>
      <c r="AB30" s="112" t="s">
        <v>24</v>
      </c>
      <c r="AC30" s="54" t="s">
        <v>26</v>
      </c>
      <c r="AD30" s="54" t="s">
        <v>28</v>
      </c>
      <c r="AE30" s="112"/>
      <c r="AF30" s="54" t="s">
        <v>25</v>
      </c>
      <c r="AG30" s="55" t="s">
        <v>51</v>
      </c>
      <c r="AH30" s="54" t="s">
        <v>28</v>
      </c>
      <c r="AI30" s="54" t="s">
        <v>26</v>
      </c>
      <c r="AJ30" s="54" t="s">
        <v>75</v>
      </c>
    </row>
    <row r="31" spans="2:37" ht="15" customHeight="1" x14ac:dyDescent="0.3">
      <c r="F31" s="276"/>
      <c r="G31" s="118"/>
      <c r="H31" s="76"/>
      <c r="I31" s="54"/>
      <c r="J31" s="54"/>
      <c r="K31" s="227"/>
      <c r="L31" s="54"/>
      <c r="M31" s="55"/>
      <c r="N31" s="54"/>
      <c r="O31" s="54"/>
      <c r="P31" s="54" t="s">
        <v>196</v>
      </c>
      <c r="Q31" s="54"/>
      <c r="R31" s="227"/>
      <c r="S31" s="54"/>
      <c r="T31" s="54"/>
      <c r="U31" s="227"/>
      <c r="V31" s="54"/>
      <c r="W31" s="55"/>
      <c r="X31" s="54"/>
      <c r="Y31" s="54"/>
      <c r="Z31" s="54" t="s">
        <v>196</v>
      </c>
      <c r="AA31" s="54"/>
      <c r="AB31" s="227"/>
      <c r="AC31" s="54"/>
      <c r="AD31" s="54"/>
      <c r="AE31" s="227"/>
      <c r="AF31" s="54"/>
      <c r="AG31" s="55"/>
      <c r="AH31" s="54"/>
      <c r="AI31" s="54"/>
      <c r="AJ31" s="54" t="s">
        <v>196</v>
      </c>
    </row>
    <row r="32" spans="2:37" ht="15" customHeight="1" x14ac:dyDescent="0.3">
      <c r="F32" s="276"/>
      <c r="G32" s="118"/>
      <c r="H32" s="54" t="s">
        <v>76</v>
      </c>
      <c r="I32" s="54" t="s">
        <v>47</v>
      </c>
      <c r="J32" s="54" t="s">
        <v>33</v>
      </c>
      <c r="K32" s="112"/>
      <c r="L32" s="54" t="s">
        <v>33</v>
      </c>
      <c r="M32" s="54" t="s">
        <v>33</v>
      </c>
      <c r="N32" s="54" t="s">
        <v>33</v>
      </c>
      <c r="O32" s="54" t="s">
        <v>47</v>
      </c>
      <c r="P32" s="54" t="s">
        <v>47</v>
      </c>
      <c r="Q32" s="54"/>
      <c r="R32" s="54"/>
      <c r="S32" s="54" t="s">
        <v>47</v>
      </c>
      <c r="T32" s="54" t="s">
        <v>33</v>
      </c>
      <c r="U32" s="112"/>
      <c r="V32" s="54" t="s">
        <v>33</v>
      </c>
      <c r="W32" s="54" t="s">
        <v>33</v>
      </c>
      <c r="X32" s="54" t="s">
        <v>33</v>
      </c>
      <c r="Y32" s="54" t="s">
        <v>47</v>
      </c>
      <c r="Z32" s="54" t="s">
        <v>47</v>
      </c>
      <c r="AA32" s="54"/>
      <c r="AB32" s="54"/>
      <c r="AC32" s="54" t="s">
        <v>47</v>
      </c>
      <c r="AD32" s="54" t="s">
        <v>33</v>
      </c>
      <c r="AE32" s="112"/>
      <c r="AF32" s="54" t="s">
        <v>33</v>
      </c>
      <c r="AG32" s="54" t="s">
        <v>33</v>
      </c>
      <c r="AH32" s="54" t="s">
        <v>33</v>
      </c>
      <c r="AI32" s="54" t="s">
        <v>47</v>
      </c>
      <c r="AJ32" s="54" t="s">
        <v>47</v>
      </c>
    </row>
    <row r="33" spans="2:36" ht="15" customHeight="1" x14ac:dyDescent="0.3">
      <c r="F33" s="60" t="str">
        <f>"DMO "&amp;PY&amp;" price"</f>
        <v>DMO 2019-20 price</v>
      </c>
      <c r="G33" s="60"/>
      <c r="H33" s="61">
        <f t="array" ref="H33">INDEX('Detail inputs'!$B$3:$L$381,MATCH($B$6&amp;H$27&amp;H$28&amp;H$29,'Detail inputs'!$B$3:$B$381&amp;'Detail inputs'!$D$3:$D$381&amp;'Detail inputs'!$E$3:$E$381&amp;'Detail inputs'!$F$3:$F$381&amp;'Detail inputs'!$G$3:$G$381,0),MATCH(I$29,'Detail inputs'!$B$3:$L$3,0))</f>
        <v>1720</v>
      </c>
      <c r="I33" s="62"/>
      <c r="J33" s="62"/>
      <c r="K33" s="62"/>
      <c r="L33" s="62"/>
      <c r="M33" s="62"/>
      <c r="N33" s="62"/>
      <c r="O33" s="62"/>
      <c r="P33" s="62"/>
      <c r="Q33" s="62"/>
      <c r="R33" s="61">
        <f t="array" ref="R33">INDEX('Detail inputs'!$B$3:$L$381,MATCH($B$6&amp;R$27&amp;R$28&amp;R$29,'Detail inputs'!$B$3:$B$381&amp;'Detail inputs'!$D$3:$D$381&amp;'Detail inputs'!$E$3:$E$381&amp;'Detail inputs'!$F$3:$F$381&amp;'Detail inputs'!$G$3:$G$381,0),MATCH(S$29,'Detail inputs'!$B$3:$L$3,0))</f>
        <v>2166</v>
      </c>
      <c r="S33" s="61"/>
      <c r="T33" s="62"/>
      <c r="U33" s="62"/>
      <c r="V33" s="62"/>
      <c r="W33" s="62"/>
      <c r="X33" s="63"/>
      <c r="Y33" s="63"/>
      <c r="Z33" s="63"/>
      <c r="AA33" s="63"/>
      <c r="AB33" s="61">
        <f t="array" ref="AB33">INDEX('Detail inputs'!$B$3:$L$381,MATCH($B$6&amp;AB$27&amp;AB$28&amp;AB$29,'Detail inputs'!$B$3:$B$381&amp;'Detail inputs'!$D$3:$D$381&amp;'Detail inputs'!$E$3:$E$381&amp;'Detail inputs'!$F$3:$F$381&amp;'Detail inputs'!$G$3:$G$381,0),MATCH(AC$29,'Detail inputs'!$B$3:$L$3,0))</f>
        <v>6204</v>
      </c>
      <c r="AC33" s="61"/>
      <c r="AD33" s="62"/>
      <c r="AE33" s="62"/>
      <c r="AF33" s="62"/>
      <c r="AG33" s="62"/>
      <c r="AH33" s="62"/>
      <c r="AI33" s="62"/>
      <c r="AJ33" s="62"/>
    </row>
    <row r="34" spans="2:36" ht="15" customHeight="1" x14ac:dyDescent="0.3">
      <c r="F34" s="64" t="s">
        <v>68</v>
      </c>
      <c r="G34" s="64"/>
      <c r="H34" s="63"/>
      <c r="I34" s="61">
        <f t="array" aca="1" ref="I34" ca="1">INDEX(INDIRECT("'"&amp;$F34&amp;"'!$B$3:$T$300"),MATCH($B$6&amp;H$27&amp;H$28&amp;"Total inc GST",INDIRECT("'"&amp;$F34&amp;"'!$B$3:$B$300")&amp;INDIRECT("'"&amp;$F34&amp;"'!$C$3:$C$300")&amp;INDIRECT("'"&amp;$F34&amp;"'!$D$3:$D$300")&amp;INDIRECT("'"&amp;$F34&amp;"'!$G$3:$G$300"),0),MATCH(I$29&amp;I$30,INDIRECT("'"&amp;$F34&amp;"'!$B$4:$T$4")&amp;INDIRECT("'"&amp;$F34&amp;"'!$B$5:$T$5"),0))</f>
        <v>623.53731000000005</v>
      </c>
      <c r="J34" s="62">
        <f ca="1">I34/H$33</f>
        <v>0.36252169186046512</v>
      </c>
      <c r="K34" s="62"/>
      <c r="L34" s="75">
        <f t="array" aca="1" ref="L34" ca="1">INDEX(INDIRECT("'"&amp;$F34&amp;"'!$B$3:$T$300"),MATCH($B$6&amp;H$27&amp;H$28&amp;"Total inc GST",INDIRECT("'"&amp;$F34&amp;"'!$B$3:$B$300")&amp;INDIRECT("'"&amp;$F34&amp;"'!$C$3:$C$300")&amp;INDIRECT("'"&amp;$F34&amp;"'!$D$3:$D$300")&amp;INDIRECT("'"&amp;$F34&amp;"'!$G$3:$G$300"),0),MATCH(L$29&amp;L$30,INDIRECT("'"&amp;$F34&amp;"'!$B$4:$T$4")&amp;INDIRECT("'"&amp;$F34&amp;"'!$B$5:$T$5"),0))</f>
        <v>-1.9301683807822156E-2</v>
      </c>
      <c r="M34" s="62">
        <f ca="1">J34*L34</f>
        <v>-6.9972790697674326E-3</v>
      </c>
      <c r="N34" s="62">
        <f ca="1">O34/H$39</f>
        <v>0.35373819186942868</v>
      </c>
      <c r="O34" s="61">
        <f t="array" aca="1" ref="O34" ca="1">INDEX(INDIRECT("'"&amp;$F34&amp;"'!$B$3:$T$300"),MATCH($B$6&amp;H$27&amp;H$28&amp;"Total inc GST",INDIRECT("'"&amp;$F34&amp;"'!$B$3:$B$300")&amp;INDIRECT("'"&amp;$F34&amp;"'!$C$3:$C$300")&amp;INDIRECT("'"&amp;$F34&amp;"'!$D$3:$D$300")&amp;INDIRECT("'"&amp;$F34&amp;"'!$G$3:$G$300"),0),MATCH(L$29&amp;O$30,INDIRECT("'"&amp;$F34&amp;"'!$B$4:$T$4")&amp;INDIRECT("'"&amp;$F34&amp;"'!$B$5:$T$5"),0))</f>
        <v>611.50199000000009</v>
      </c>
      <c r="P34" s="62"/>
      <c r="Q34" s="62"/>
      <c r="R34" s="62"/>
      <c r="S34" s="61">
        <f t="array" aca="1" ref="S34" ca="1">INDEX(INDIRECT("'"&amp;$F34&amp;"'!$B$3:$T$300"),MATCH($B$6&amp;R$27&amp;R$28&amp;"Total inc GST",INDIRECT("'"&amp;$F34&amp;"'!$B$3:$B$300")&amp;INDIRECT("'"&amp;$F34&amp;"'!$C$3:$C$300")&amp;INDIRECT("'"&amp;$F34&amp;"'!$D$3:$D$300")&amp;INDIRECT("'"&amp;$F34&amp;"'!$G$3:$G$300"),0),MATCH(S$29&amp;S$30,INDIRECT("'"&amp;$F34&amp;"'!$B$4:$T$4")&amp;INDIRECT("'"&amp;$F34&amp;"'!$B$5:$T$5"),0))</f>
        <v>719.72343080000019</v>
      </c>
      <c r="T34" s="62">
        <f ca="1">S34/R$33</f>
        <v>0.33228228568790408</v>
      </c>
      <c r="U34" s="62"/>
      <c r="V34" s="75">
        <f t="array" aca="1" ref="V34" ca="1">INDEX(INDIRECT("'"&amp;$F34&amp;"'!$B$3:$T$300"),MATCH($B$6&amp;R$27&amp;R$28&amp;"Total inc GST",INDIRECT("'"&amp;$F34&amp;"'!$B$3:$B$300")&amp;INDIRECT("'"&amp;$F34&amp;"'!$C$3:$C$300")&amp;INDIRECT("'"&amp;$F34&amp;"'!$D$3:$D$300")&amp;INDIRECT("'"&amp;$F34&amp;"'!$G$3:$G$300"),0),MATCH(V$29&amp;V$30,INDIRECT("'"&amp;$F34&amp;"'!$B$4:$T$4")&amp;INDIRECT("'"&amp;$F34&amp;"'!$B$5:$T$5"),0))</f>
        <v>-8.0917351732271436E-3</v>
      </c>
      <c r="W34" s="62">
        <f ca="1">T34*V34</f>
        <v>-2.6887402585411236E-3</v>
      </c>
      <c r="X34" s="62">
        <f ca="1">Y34/R$39</f>
        <v>0.3255283864461555</v>
      </c>
      <c r="Y34" s="61">
        <f t="array" aca="1" ref="Y34" ca="1">INDEX(INDIRECT("'"&amp;$F34&amp;"'!$B$3:$T$300"),MATCH($B$6&amp;R$27&amp;R$28&amp;"Total inc GST",INDIRECT("'"&amp;$F34&amp;"'!$B$3:$B$300")&amp;INDIRECT("'"&amp;$F34&amp;"'!$C$3:$C$300")&amp;INDIRECT("'"&amp;$F34&amp;"'!$D$3:$D$300")&amp;INDIRECT("'"&amp;$F34&amp;"'!$G$3:$G$300"),0),MATCH(V$29&amp;Y$30,INDIRECT("'"&amp;$F34&amp;"'!$B$4:$T$4")&amp;INDIRECT("'"&amp;$F34&amp;"'!$B$5:$T$5"),0))</f>
        <v>713.89961940000012</v>
      </c>
      <c r="Z34" s="62"/>
      <c r="AA34" s="63"/>
      <c r="AB34" s="63"/>
      <c r="AC34" s="61">
        <f t="array" aca="1" ref="AC34" ca="1">INDEX(INDIRECT("'"&amp;$F34&amp;"'!$B$3:$T$300"),MATCH($B$6&amp;AB$27&amp;AB$28&amp;"Total inc GST",INDIRECT("'"&amp;$F34&amp;"'!$B$3:$B$300")&amp;INDIRECT("'"&amp;$F34&amp;"'!$C$3:$C$300")&amp;INDIRECT("'"&amp;$F34&amp;"'!$D$3:$D$300")&amp;INDIRECT("'"&amp;$F34&amp;"'!$G$3:$G$300"),0),MATCH(AC$29&amp;AC$30,INDIRECT("'"&amp;$F34&amp;"'!$B$4:$T$4")&amp;INDIRECT("'"&amp;$F34&amp;"'!$B$5:$T$5"),0))</f>
        <v>2136.8842</v>
      </c>
      <c r="AD34" s="62">
        <f ca="1">AC34/AB$33</f>
        <v>0.34443652482269504</v>
      </c>
      <c r="AE34" s="62"/>
      <c r="AF34" s="75">
        <f t="array" aca="1" ref="AF34" ca="1">INDEX(INDIRECT("'"&amp;$F34&amp;"'!$B$3:$T$300"),MATCH($B$6&amp;AB$27&amp;AB$28&amp;"Total inc GST",INDIRECT("'"&amp;$F34&amp;"'!$B$3:$B$300")&amp;INDIRECT("'"&amp;$F34&amp;"'!$C$3:$C$300")&amp;INDIRECT("'"&amp;$F34&amp;"'!$D$3:$D$300")&amp;INDIRECT("'"&amp;$F34&amp;"'!$G$3:$G$300"),0),MATCH(AF$29&amp;AF$30,INDIRECT("'"&amp;$F34&amp;"'!$B$4:$T$4")&amp;INDIRECT("'"&amp;$F34&amp;"'!$B$5:$T$5"),0))</f>
        <v>-1.4306952150238139E-2</v>
      </c>
      <c r="AG34" s="62">
        <f ca="1">AD34*AF34</f>
        <v>-4.9278368794326089E-3</v>
      </c>
      <c r="AH34" s="62">
        <f ca="1">AI34/AB$39</f>
        <v>0.33698569913678017</v>
      </c>
      <c r="AI34" s="61">
        <f t="array" aca="1" ref="AI34" ca="1">INDEX(INDIRECT("'"&amp;$F34&amp;"'!$B$3:$T$300"),MATCH($B$6&amp;AB$27&amp;AB$28&amp;"Total inc GST",INDIRECT("'"&amp;$F34&amp;"'!$B$3:$B$300")&amp;INDIRECT("'"&amp;$F34&amp;"'!$C$3:$C$300")&amp;INDIRECT("'"&amp;$F34&amp;"'!$D$3:$D$300")&amp;INDIRECT("'"&amp;$F34&amp;"'!$G$3:$G$300"),0),MATCH(AF$29&amp;AI$30,INDIRECT("'"&amp;$F34&amp;"'!$B$4:$T$4")&amp;INDIRECT("'"&amp;$F34&amp;"'!$B$5:$T$5"),0))</f>
        <v>2106.3119000000002</v>
      </c>
      <c r="AJ34" s="62"/>
    </row>
    <row r="35" spans="2:36" ht="15" customHeight="1" x14ac:dyDescent="0.3">
      <c r="F35" s="64" t="s">
        <v>69</v>
      </c>
      <c r="G35" s="64"/>
      <c r="H35" s="63"/>
      <c r="I35" s="61">
        <f t="array" aca="1" ref="I35" ca="1">INDEX(INDIRECT("'"&amp;$F35&amp;"'!$B$3:$T$300"),MATCH($B$6&amp;H$27&amp;H$28&amp;"Total inc GST",INDIRECT("'"&amp;$F35&amp;"'!$B$3:$B$300")&amp;INDIRECT("'"&amp;$F35&amp;"'!$C$3:$C$300")&amp;INDIRECT("'"&amp;$F35&amp;"'!$D$3:$D$300")&amp;INDIRECT("'"&amp;$F35&amp;"'!$G$3:$G$300"),0),MATCH(I$29&amp;I$30,INDIRECT("'"&amp;$F35&amp;"'!$B$4:$T$4")&amp;INDIRECT("'"&amp;$F35&amp;"'!$B$5:$T$5"),0))</f>
        <v>585.40789999999993</v>
      </c>
      <c r="J35" s="62">
        <f ca="1">I35/H$33</f>
        <v>0.3403534302325581</v>
      </c>
      <c r="K35" s="62"/>
      <c r="L35" s="75">
        <f t="array" aca="1" ref="L35" ca="1">INDEX(INDIRECT("'"&amp;$F35&amp;"'!$B$3:$T$300"),MATCH($B$6&amp;H$27&amp;H$28&amp;"Total inc GST",INDIRECT("'"&amp;$F35&amp;"'!$B$3:$B$300")&amp;INDIRECT("'"&amp;$F35&amp;"'!$C$3:$C$300")&amp;INDIRECT("'"&amp;$F35&amp;"'!$D$3:$D$300")&amp;INDIRECT("'"&amp;$F35&amp;"'!$G$3:$G$300"),0),MATCH(L$29&amp;L$30,INDIRECT("'"&amp;$F35&amp;"'!$B$4:$T$4")&amp;INDIRECT("'"&amp;$F35&amp;"'!$B$5:$T$5"),0))</f>
        <v>4.3366172543964687E-2</v>
      </c>
      <c r="M35" s="62">
        <f ca="1">J35*L35</f>
        <v>1.4759825581395361E-2</v>
      </c>
      <c r="N35" s="62">
        <f ca="1">O35/H$39</f>
        <v>0.35332910062197714</v>
      </c>
      <c r="O35" s="61">
        <f t="array" aca="1" ref="O35" ca="1">INDEX(INDIRECT("'"&amp;$F35&amp;"'!$B$3:$T$300"),MATCH($B$6&amp;H$27&amp;H$28&amp;"Total inc GST",INDIRECT("'"&amp;$F35&amp;"'!$B$3:$B$300")&amp;INDIRECT("'"&amp;$F35&amp;"'!$C$3:$C$300")&amp;INDIRECT("'"&amp;$F35&amp;"'!$D$3:$D$300")&amp;INDIRECT("'"&amp;$F35&amp;"'!$G$3:$G$300"),0),MATCH(L$29&amp;O$30,INDIRECT("'"&amp;$F35&amp;"'!$B$4:$T$4")&amp;INDIRECT("'"&amp;$F35&amp;"'!$B$5:$T$5"),0))</f>
        <v>610.79480000000001</v>
      </c>
      <c r="P35" s="62"/>
      <c r="Q35" s="62"/>
      <c r="R35" s="62"/>
      <c r="S35" s="61">
        <f t="array" aca="1" ref="S35" ca="1">INDEX(INDIRECT("'"&amp;$F35&amp;"'!$B$3:$T$300"),MATCH($B$6&amp;R$27&amp;R$28&amp;"Total inc GST",INDIRECT("'"&amp;$F35&amp;"'!$B$3:$B$300")&amp;INDIRECT("'"&amp;$F35&amp;"'!$C$3:$C$300")&amp;INDIRECT("'"&amp;$F35&amp;"'!$D$3:$D$300")&amp;INDIRECT("'"&amp;$F35&amp;"'!$G$3:$G$300"),0),MATCH(S$29&amp;S$30,INDIRECT("'"&amp;$F35&amp;"'!$B$4:$T$4")&amp;INDIRECT("'"&amp;$F35&amp;"'!$B$5:$T$5"),0))</f>
        <v>859.83699999999999</v>
      </c>
      <c r="T35" s="62">
        <f ca="1">S35/R$33</f>
        <v>0.39696999076638967</v>
      </c>
      <c r="U35" s="62"/>
      <c r="V35" s="75">
        <f t="array" aca="1" ref="V35" ca="1">INDEX(INDIRECT("'"&amp;$F35&amp;"'!$B$3:$T$300"),MATCH($B$6&amp;R$27&amp;R$28&amp;"Total inc GST",INDIRECT("'"&amp;$F35&amp;"'!$B$3:$B$300")&amp;INDIRECT("'"&amp;$F35&amp;"'!$C$3:$C$300")&amp;INDIRECT("'"&amp;$F35&amp;"'!$D$3:$D$300")&amp;INDIRECT("'"&amp;$F35&amp;"'!$G$3:$G$300"),0),MATCH(V$29&amp;V$30,INDIRECT("'"&amp;$F35&amp;"'!$B$4:$T$4")&amp;INDIRECT("'"&amp;$F35&amp;"'!$B$5:$T$5"),0))</f>
        <v>5.041513682244414E-2</v>
      </c>
      <c r="W35" s="62">
        <f ca="1">T35*V35</f>
        <v>2.0013296398891923E-2</v>
      </c>
      <c r="X35" s="62">
        <f ca="1">Y35/R$39</f>
        <v>0.41184027578300741</v>
      </c>
      <c r="Y35" s="61">
        <f t="array" aca="1" ref="Y35" ca="1">INDEX(INDIRECT("'"&amp;$F35&amp;"'!$B$3:$T$300"),MATCH($B$6&amp;R$27&amp;R$28&amp;"Total inc GST",INDIRECT("'"&amp;$F35&amp;"'!$B$3:$B$300")&amp;INDIRECT("'"&amp;$F35&amp;"'!$C$3:$C$300")&amp;INDIRECT("'"&amp;$F35&amp;"'!$D$3:$D$300")&amp;INDIRECT("'"&amp;$F35&amp;"'!$G$3:$G$300"),0),MATCH(V$29&amp;Y$30,INDIRECT("'"&amp;$F35&amp;"'!$B$4:$T$4")&amp;INDIRECT("'"&amp;$F35&amp;"'!$B$5:$T$5"),0))</f>
        <v>903.18579999999997</v>
      </c>
      <c r="Z35" s="62"/>
      <c r="AA35" s="63"/>
      <c r="AB35" s="63"/>
      <c r="AC35" s="61">
        <f t="array" aca="1" ref="AC35" ca="1">INDEX(INDIRECT("'"&amp;$F35&amp;"'!$B$3:$T$300"),MATCH($B$6&amp;AB$27&amp;AB$28&amp;"Total inc GST",INDIRECT("'"&amp;$F35&amp;"'!$B$3:$B$300")&amp;INDIRECT("'"&amp;$F35&amp;"'!$C$3:$C$300")&amp;INDIRECT("'"&amp;$F35&amp;"'!$D$3:$D$300")&amp;INDIRECT("'"&amp;$F35&amp;"'!$G$3:$G$300"),0),MATCH(AC$29&amp;AC$30,INDIRECT("'"&amp;$F35&amp;"'!$B$4:$T$4")&amp;INDIRECT("'"&amp;$F35&amp;"'!$B$5:$T$5"),0))</f>
        <v>2389.4199999999996</v>
      </c>
      <c r="AD35" s="62">
        <f ca="1">AC35/AB$33</f>
        <v>0.38514184397163115</v>
      </c>
      <c r="AE35" s="62"/>
      <c r="AF35" s="75">
        <f t="array" aca="1" ref="AF35" ca="1">INDEX(INDIRECT("'"&amp;$F35&amp;"'!$B$3:$T$300"),MATCH($B$6&amp;AB$27&amp;AB$28&amp;"Total inc GST",INDIRECT("'"&amp;$F35&amp;"'!$B$3:$B$300")&amp;INDIRECT("'"&amp;$F35&amp;"'!$C$3:$C$300")&amp;INDIRECT("'"&amp;$F35&amp;"'!$D$3:$D$300")&amp;INDIRECT("'"&amp;$F35&amp;"'!$G$3:$G$300"),0),MATCH(AF$29&amp;AF$30,INDIRECT("'"&amp;$F35&amp;"'!$B$4:$T$4")&amp;INDIRECT("'"&amp;$F35&amp;"'!$B$5:$T$5"),0))</f>
        <v>4.3366172543964687E-2</v>
      </c>
      <c r="AG35" s="62">
        <f ca="1">AD35*AF35</f>
        <v>1.6702127659574482E-2</v>
      </c>
      <c r="AH35" s="62">
        <f ca="1">AI35/AB$39</f>
        <v>0.39885775101776638</v>
      </c>
      <c r="AI35" s="61">
        <f t="array" aca="1" ref="AI35" ca="1">INDEX(INDIRECT("'"&amp;$F35&amp;"'!$B$3:$T$300"),MATCH($B$6&amp;AB$27&amp;AB$28&amp;"Total inc GST",INDIRECT("'"&amp;$F35&amp;"'!$B$3:$B$300")&amp;INDIRECT("'"&amp;$F35&amp;"'!$C$3:$C$300")&amp;INDIRECT("'"&amp;$F35&amp;"'!$D$3:$D$300")&amp;INDIRECT("'"&amp;$F35&amp;"'!$G$3:$G$300"),0),MATCH(AF$29&amp;AI$30,INDIRECT("'"&amp;$F35&amp;"'!$B$4:$T$4")&amp;INDIRECT("'"&amp;$F35&amp;"'!$B$5:$T$5"),0))</f>
        <v>2493.04</v>
      </c>
      <c r="AJ35" s="62"/>
    </row>
    <row r="36" spans="2:36" ht="15" customHeight="1" x14ac:dyDescent="0.3">
      <c r="F36" s="64" t="s">
        <v>70</v>
      </c>
      <c r="G36" s="64"/>
      <c r="H36" s="63"/>
      <c r="I36" s="61">
        <f t="array" aca="1" ref="I36" ca="1">INDEX(INDIRECT("'"&amp;$F36&amp;"'!$B$3:$T$300"),MATCH($B$6&amp;H$27&amp;H$28&amp;"Total inc GST",INDIRECT("'"&amp;$F36&amp;"'!$B$3:$B$300")&amp;INDIRECT("'"&amp;$F36&amp;"'!$C$3:$C$300")&amp;INDIRECT("'"&amp;$F36&amp;"'!$D$3:$D$300")&amp;INDIRECT("'"&amp;$F36&amp;"'!$G$3:$G$300"),0),MATCH(I$29&amp;I$30,INDIRECT("'"&amp;$F36&amp;"'!$B$4:$T$4")&amp;INDIRECT("'"&amp;$F36&amp;"'!$B$5:$T$5"),0))</f>
        <v>104.83550000000001</v>
      </c>
      <c r="J36" s="62">
        <f ca="1">I36/H$33</f>
        <v>6.0950872093023259E-2</v>
      </c>
      <c r="K36" s="62"/>
      <c r="L36" s="75">
        <f t="array" aca="1" ref="L36" ca="1">INDEX(INDIRECT("'"&amp;$F36&amp;"'!$B$3:$T$300"),MATCH($B$6&amp;H$27&amp;H$28&amp;"Total inc GST",INDIRECT("'"&amp;$F36&amp;"'!$B$3:$B$300")&amp;INDIRECT("'"&amp;$F36&amp;"'!$C$3:$C$300")&amp;INDIRECT("'"&amp;$F36&amp;"'!$D$3:$D$300")&amp;INDIRECT("'"&amp;$F36&amp;"'!$G$3:$G$300"),0),MATCH(L$29&amp;L$30,INDIRECT("'"&amp;$F36&amp;"'!$B$4:$T$4")&amp;INDIRECT("'"&amp;$F36&amp;"'!$B$5:$T$5"),0))</f>
        <v>-0.11619537275064273</v>
      </c>
      <c r="M36" s="62">
        <f ca="1">J36*L36</f>
        <v>-7.0822093023255855E-3</v>
      </c>
      <c r="N36" s="62">
        <f ca="1">O36/H$39</f>
        <v>5.359801658746724E-2</v>
      </c>
      <c r="O36" s="61">
        <f t="array" aca="1" ref="O36" ca="1">INDEX(INDIRECT("'"&amp;$F36&amp;"'!$B$3:$T$300"),MATCH($B$6&amp;H$27&amp;H$28&amp;"Total inc GST",INDIRECT("'"&amp;$F36&amp;"'!$B$3:$B$300")&amp;INDIRECT("'"&amp;$F36&amp;"'!$C$3:$C$300")&amp;INDIRECT("'"&amp;$F36&amp;"'!$D$3:$D$300")&amp;INDIRECT("'"&amp;$F36&amp;"'!$G$3:$G$300"),0),MATCH(L$29&amp;O$30,INDIRECT("'"&amp;$F36&amp;"'!$B$4:$T$4")&amp;INDIRECT("'"&amp;$F36&amp;"'!$B$5:$T$5"),0))</f>
        <v>92.6541</v>
      </c>
      <c r="P36" s="62"/>
      <c r="Q36" s="62"/>
      <c r="R36" s="62"/>
      <c r="S36" s="61">
        <f t="array" aca="1" ref="S36" ca="1">INDEX(INDIRECT("'"&amp;$F36&amp;"'!$B$3:$T$300"),MATCH($B$6&amp;R$27&amp;R$28&amp;"Total inc GST",INDIRECT("'"&amp;$F36&amp;"'!$B$3:$B$300")&amp;INDIRECT("'"&amp;$F36&amp;"'!$C$3:$C$300")&amp;INDIRECT("'"&amp;$F36&amp;"'!$D$3:$D$300")&amp;INDIRECT("'"&amp;$F36&amp;"'!$G$3:$G$300"),0),MATCH(S$29&amp;S$30,INDIRECT("'"&amp;$F36&amp;"'!$B$4:$T$4")&amp;INDIRECT("'"&amp;$F36&amp;"'!$B$5:$T$5"),0))</f>
        <v>158.32300000000001</v>
      </c>
      <c r="T36" s="62">
        <f ca="1">S36/R$33</f>
        <v>7.3094644506001852E-2</v>
      </c>
      <c r="U36" s="62"/>
      <c r="V36" s="75">
        <f t="array" aca="1" ref="V36" ca="1">INDEX(INDIRECT("'"&amp;$F36&amp;"'!$B$3:$T$300"),MATCH($B$6&amp;R$27&amp;R$28&amp;"Total inc GST",INDIRECT("'"&amp;$F36&amp;"'!$B$3:$B$300")&amp;INDIRECT("'"&amp;$F36&amp;"'!$C$3:$C$300")&amp;INDIRECT("'"&amp;$F36&amp;"'!$D$3:$D$300")&amp;INDIRECT("'"&amp;$F36&amp;"'!$G$3:$G$300"),0),MATCH(V$29&amp;V$30,INDIRECT("'"&amp;$F36&amp;"'!$B$4:$T$4")&amp;INDIRECT("'"&amp;$F36&amp;"'!$B$5:$T$5"),0))</f>
        <v>-0.11619537275064262</v>
      </c>
      <c r="W36" s="62">
        <f ca="1">T36*V36</f>
        <v>-8.4932594644505973E-3</v>
      </c>
      <c r="X36" s="62">
        <f ca="1">Y36/R$39</f>
        <v>6.3804600928600269E-2</v>
      </c>
      <c r="Y36" s="61">
        <f t="array" aca="1" ref="Y36" ca="1">INDEX(INDIRECT("'"&amp;$F36&amp;"'!$B$3:$T$300"),MATCH($B$6&amp;R$27&amp;R$28&amp;"Total inc GST",INDIRECT("'"&amp;$F36&amp;"'!$B$3:$B$300")&amp;INDIRECT("'"&amp;$F36&amp;"'!$C$3:$C$300")&amp;INDIRECT("'"&amp;$F36&amp;"'!$D$3:$D$300")&amp;INDIRECT("'"&amp;$F36&amp;"'!$G$3:$G$300"),0),MATCH(V$29&amp;Y$30,INDIRECT("'"&amp;$F36&amp;"'!$B$4:$T$4")&amp;INDIRECT("'"&amp;$F36&amp;"'!$B$5:$T$5"),0))</f>
        <v>139.92660000000001</v>
      </c>
      <c r="Z36" s="62"/>
      <c r="AA36" s="63"/>
      <c r="AB36" s="63"/>
      <c r="AC36" s="61">
        <f t="array" aca="1" ref="AC36" ca="1">INDEX(INDIRECT("'"&amp;$F36&amp;"'!$B$3:$T$300"),MATCH($B$6&amp;AB$27&amp;AB$28&amp;"Total inc GST",INDIRECT("'"&amp;$F36&amp;"'!$B$3:$B$300")&amp;INDIRECT("'"&amp;$F36&amp;"'!$C$3:$C$300")&amp;INDIRECT("'"&amp;$F36&amp;"'!$D$3:$D$300")&amp;INDIRECT("'"&amp;$F36&amp;"'!$G$3:$G$300"),0),MATCH(AC$29&amp;AC$30,INDIRECT("'"&amp;$F36&amp;"'!$B$4:$T$4")&amp;INDIRECT("'"&amp;$F36&amp;"'!$B$5:$T$5"),0))</f>
        <v>427.9</v>
      </c>
      <c r="AD36" s="62">
        <f ca="1">AC36/AB$33</f>
        <v>6.8971631205673761E-2</v>
      </c>
      <c r="AE36" s="62"/>
      <c r="AF36" s="75">
        <f t="array" aca="1" ref="AF36" ca="1">INDEX(INDIRECT("'"&amp;$F36&amp;"'!$B$3:$T$300"),MATCH($B$6&amp;AB$27&amp;AB$28&amp;"Total inc GST",INDIRECT("'"&amp;$F36&amp;"'!$B$3:$B$300")&amp;INDIRECT("'"&amp;$F36&amp;"'!$C$3:$C$300")&amp;INDIRECT("'"&amp;$F36&amp;"'!$D$3:$D$300")&amp;INDIRECT("'"&amp;$F36&amp;"'!$G$3:$G$300"),0),MATCH(AF$29&amp;AF$30,INDIRECT("'"&amp;$F36&amp;"'!$B$4:$T$4")&amp;INDIRECT("'"&amp;$F36&amp;"'!$B$5:$T$5"),0))</f>
        <v>-0.11619537275064262</v>
      </c>
      <c r="AG36" s="62">
        <f ca="1">AD36*AF36</f>
        <v>-8.0141843971631172E-3</v>
      </c>
      <c r="AH36" s="62">
        <f ca="1">AI36/AB$39</f>
        <v>6.0504454112207944E-2</v>
      </c>
      <c r="AI36" s="61">
        <f t="array" aca="1" ref="AI36" ca="1">INDEX(INDIRECT("'"&amp;$F36&amp;"'!$B$3:$T$300"),MATCH($B$6&amp;AB$27&amp;AB$28&amp;"Total inc GST",INDIRECT("'"&amp;$F36&amp;"'!$B$3:$B$300")&amp;INDIRECT("'"&amp;$F36&amp;"'!$C$3:$C$300")&amp;INDIRECT("'"&amp;$F36&amp;"'!$D$3:$D$300")&amp;INDIRECT("'"&amp;$F36&amp;"'!$G$3:$G$300"),0),MATCH(AF$29&amp;AI$30,INDIRECT("'"&amp;$F36&amp;"'!$B$4:$T$4")&amp;INDIRECT("'"&amp;$F36&amp;"'!$B$5:$T$5"),0))</f>
        <v>378.18</v>
      </c>
      <c r="AJ36" s="62"/>
    </row>
    <row r="37" spans="2:36" ht="15" customHeight="1" x14ac:dyDescent="0.3">
      <c r="F37" s="64" t="s">
        <v>71</v>
      </c>
      <c r="G37" s="64"/>
      <c r="H37" s="63"/>
      <c r="I37" s="61">
        <f ca="1">H33-SUM(I34:I36)</f>
        <v>406.21929000000023</v>
      </c>
      <c r="J37" s="62">
        <f ca="1">1-SUM(J34:J36)</f>
        <v>0.23617400581395354</v>
      </c>
      <c r="K37" s="62"/>
      <c r="L37" s="62">
        <f>CPI</f>
        <v>1.8500000000000003E-2</v>
      </c>
      <c r="M37" s="62">
        <f ca="1">J37*L37</f>
        <v>4.3692191075581409E-3</v>
      </c>
      <c r="N37" s="62">
        <f ca="1">O37/H$39</f>
        <v>0.23933469092112694</v>
      </c>
      <c r="O37" s="61">
        <f ca="1">H39-SUM(O34:O36)</f>
        <v>413.73434686499991</v>
      </c>
      <c r="P37" s="65">
        <f t="array" ref="P37">INDEX('Detail inputs'!$B$3:$L$211,MATCH($B6&amp;P$30,'Detail inputs'!$B$3:$B$211&amp;'Detail inputs'!$G$3:$G$211,0),MATCH(L$29,'Detail inputs'!$B$3:$L$3,0))</f>
        <v>0</v>
      </c>
      <c r="Q37" s="62"/>
      <c r="R37" s="62"/>
      <c r="S37" s="61">
        <f ca="1">R33-SUM(S34:S36)</f>
        <v>428.11656919999973</v>
      </c>
      <c r="T37" s="62">
        <f ca="1">1-SUM(T34:T36)</f>
        <v>0.19765307903970442</v>
      </c>
      <c r="U37" s="62"/>
      <c r="V37" s="62">
        <f>CPI</f>
        <v>1.8500000000000003E-2</v>
      </c>
      <c r="W37" s="62">
        <f ca="1">T37*V37</f>
        <v>3.6565819622345324E-3</v>
      </c>
      <c r="X37" s="62">
        <f ca="1">Y37/R$39</f>
        <v>0.19882673684223684</v>
      </c>
      <c r="Y37" s="61">
        <f ca="1">R39-SUM(Y34:Y36)</f>
        <v>436.03672573020003</v>
      </c>
      <c r="Z37" s="65">
        <f t="array" ref="Z37">INDEX('Detail inputs'!$B$3:$L$211,MATCH($B6&amp;Z$30,'Detail inputs'!$B$3:$B$211&amp;'Detail inputs'!$G$3:$G$211,0),MATCH(V$29,'Detail inputs'!$B$3:$L$3,0))</f>
        <v>0</v>
      </c>
      <c r="AA37" s="63"/>
      <c r="AB37" s="63"/>
      <c r="AC37" s="61">
        <f ca="1">AB33-SUM(AC34:AC36)</f>
        <v>1249.7958000000008</v>
      </c>
      <c r="AD37" s="62">
        <f ca="1">1-SUM(AD34:AD36)</f>
        <v>0.20145000000000002</v>
      </c>
      <c r="AE37" s="62"/>
      <c r="AF37" s="62">
        <f>CPI</f>
        <v>1.8500000000000003E-2</v>
      </c>
      <c r="AG37" s="62">
        <f ca="1">AD37*AF37</f>
        <v>3.7268250000000009E-3</v>
      </c>
      <c r="AH37" s="62">
        <f ca="1">AI37/AB$39</f>
        <v>0.2036520957332455</v>
      </c>
      <c r="AI37" s="61">
        <f ca="1">AB39-SUM(AI34:AI36)</f>
        <v>1272.917022300001</v>
      </c>
      <c r="AJ37" s="65">
        <f t="array" ref="AJ37">INDEX('Detail inputs'!$B$3:$L$211,MATCH($B6&amp;AJ$30,'Detail inputs'!$B$3:$B$211&amp;'Detail inputs'!$G$3:$G$211,0),MATCH(AF$29,'Detail inputs'!$B$3:$L$3,0))</f>
        <v>0</v>
      </c>
    </row>
    <row r="38" spans="2:36" s="5" customFormat="1" ht="15" customHeight="1" x14ac:dyDescent="0.3">
      <c r="F38" s="60" t="s">
        <v>77</v>
      </c>
      <c r="G38" s="60"/>
      <c r="H38" s="63"/>
      <c r="I38" s="62"/>
      <c r="J38" s="62">
        <f ca="1">SUM(J34:J37)</f>
        <v>1</v>
      </c>
      <c r="K38" s="62"/>
      <c r="L38" s="62">
        <f ca="1">SUMPRODUCT(J34:J37,L34:L37)</f>
        <v>5.0495563168604842E-3</v>
      </c>
      <c r="M38" s="62">
        <f ca="1">SUM(M34:M37)</f>
        <v>5.0495563168604842E-3</v>
      </c>
      <c r="N38" s="62">
        <f ca="1">SUM(N34:N37)</f>
        <v>1</v>
      </c>
      <c r="O38" s="62"/>
      <c r="P38" s="3"/>
      <c r="Q38" s="62"/>
      <c r="R38" s="62"/>
      <c r="S38" s="62"/>
      <c r="T38" s="62">
        <f ca="1">SUM(T34:T37)</f>
        <v>1</v>
      </c>
      <c r="U38" s="62"/>
      <c r="V38" s="62">
        <f ca="1">SUMPRODUCT(T34:T37,V34:V37)</f>
        <v>1.2487878638134733E-2</v>
      </c>
      <c r="W38" s="62">
        <f ca="1">SUM(W34:W37)</f>
        <v>1.2487878638134733E-2</v>
      </c>
      <c r="X38" s="62">
        <f ca="1">SUM(X34:X37)</f>
        <v>1</v>
      </c>
      <c r="Y38" s="62"/>
      <c r="Z38" s="3"/>
      <c r="AA38" s="63"/>
      <c r="AB38" s="63"/>
      <c r="AC38" s="63"/>
      <c r="AD38" s="62">
        <f ca="1">SUM(AD34:AD37)</f>
        <v>1</v>
      </c>
      <c r="AE38" s="62"/>
      <c r="AF38" s="62">
        <f ca="1">SUMPRODUCT(AD34:AD37,AF34:AF37)</f>
        <v>7.4869313829787586E-3</v>
      </c>
      <c r="AG38" s="62">
        <f ca="1">SUM(AG34:AG37)</f>
        <v>7.4869313829787586E-3</v>
      </c>
      <c r="AH38" s="62">
        <f ca="1">SUM(AH34:AH37)</f>
        <v>1</v>
      </c>
      <c r="AI38" s="62"/>
      <c r="AJ38" s="3"/>
    </row>
    <row r="39" spans="2:36" ht="15" thickBot="1" x14ac:dyDescent="0.35">
      <c r="B39" s="116"/>
      <c r="F39" s="108" t="str">
        <f>"DMO "&amp;FY&amp;" price"</f>
        <v>DMO 2020-21 price</v>
      </c>
      <c r="G39" s="108"/>
      <c r="H39" s="109">
        <f ca="1">H33*(1+L38)+P37</f>
        <v>1728.685236865</v>
      </c>
      <c r="I39" s="110"/>
      <c r="J39" s="110"/>
      <c r="K39" s="110"/>
      <c r="L39" s="110"/>
      <c r="M39" s="110"/>
      <c r="N39" s="110"/>
      <c r="O39" s="110"/>
      <c r="P39" s="110"/>
      <c r="Q39" s="110"/>
      <c r="R39" s="109">
        <f ca="1">R33*(1+V38)+Z37</f>
        <v>2193.0487451302001</v>
      </c>
      <c r="S39" s="109"/>
      <c r="T39" s="110"/>
      <c r="U39" s="110"/>
      <c r="V39" s="110"/>
      <c r="W39" s="110"/>
      <c r="X39" s="111"/>
      <c r="Y39" s="111"/>
      <c r="Z39" s="111"/>
      <c r="AA39" s="111"/>
      <c r="AB39" s="109">
        <f ca="1">AB33*(1+AF38)+AJ37</f>
        <v>6250.448922300001</v>
      </c>
      <c r="AC39" s="109"/>
      <c r="AD39" s="110"/>
      <c r="AE39" s="110"/>
      <c r="AF39" s="110"/>
      <c r="AG39" s="110"/>
      <c r="AH39" s="110"/>
      <c r="AI39" s="110"/>
      <c r="AJ39" s="110"/>
    </row>
    <row r="40" spans="2:36" ht="15" thickTop="1" x14ac:dyDescent="0.3">
      <c r="F40" s="177" t="s">
        <v>197</v>
      </c>
    </row>
    <row r="41" spans="2:36" x14ac:dyDescent="0.3">
      <c r="F41" s="177" t="str">
        <f>"Residual cost for "&amp;FY&amp;" includes step change and any one-off adjustment"</f>
        <v>Residual cost for 2020-21 includes step change and any one-off adjustment</v>
      </c>
      <c r="L41" s="233"/>
    </row>
    <row r="42" spans="2:36" x14ac:dyDescent="0.3">
      <c r="F42" s="145" t="s">
        <v>160</v>
      </c>
    </row>
    <row r="43" spans="2:36" hidden="1" x14ac:dyDescent="0.3">
      <c r="F43" s="177"/>
    </row>
    <row r="44" spans="2:36" s="119" customFormat="1" ht="12" hidden="1" x14ac:dyDescent="0.3">
      <c r="F44" s="143" t="s">
        <v>106</v>
      </c>
      <c r="G44" s="143"/>
      <c r="H44" s="144"/>
      <c r="I44" s="143"/>
      <c r="J44" s="143"/>
      <c r="K44" s="143"/>
      <c r="L44" s="143"/>
      <c r="M44" s="143"/>
      <c r="N44" s="143"/>
      <c r="O44" s="143" t="b">
        <f ca="1">O37=I37*(1+L37)+P37</f>
        <v>1</v>
      </c>
      <c r="P44" s="143"/>
      <c r="Q44" s="143"/>
      <c r="R44" s="143"/>
      <c r="S44" s="143"/>
      <c r="T44" s="143"/>
      <c r="U44" s="143"/>
      <c r="V44" s="143"/>
      <c r="W44" s="143"/>
      <c r="X44" s="143"/>
      <c r="Y44" s="143" t="b">
        <f ca="1">Y37=S37*(1+V37)+Z37</f>
        <v>1</v>
      </c>
      <c r="Z44" s="143"/>
      <c r="AA44" s="143"/>
      <c r="AB44" s="143"/>
      <c r="AC44" s="143"/>
      <c r="AD44" s="143"/>
      <c r="AE44" s="143"/>
      <c r="AF44" s="143"/>
      <c r="AG44" s="143"/>
      <c r="AH44" s="143"/>
      <c r="AI44" s="143" t="b">
        <f ca="1">AI37=AC37*(1+AF37)+AJ37</f>
        <v>1</v>
      </c>
      <c r="AJ44" s="143"/>
    </row>
    <row r="45" spans="2:36" hidden="1" x14ac:dyDescent="0.3"/>
    <row r="46" spans="2:36" hidden="1" x14ac:dyDescent="0.3"/>
    <row r="47" spans="2:36" hidden="1" x14ac:dyDescent="0.3"/>
    <row r="48" spans="2:36" hidden="1" x14ac:dyDescent="0.3">
      <c r="H48" s="114"/>
    </row>
  </sheetData>
  <sheetProtection algorithmName="SHA-256" hashValue="F/YxO5ii08FnhXd4lM7NcHqtHGA8tm5WvKfThQ0tCJs=" saltValue="8K/MjjBN6X5I3Bc0OwwMHg==" spinCount="100000" sheet="1" objects="1" scenarios="1"/>
  <mergeCells count="15">
    <mergeCell ref="A1:B1"/>
    <mergeCell ref="S29:T29"/>
    <mergeCell ref="V29:Z29"/>
    <mergeCell ref="AC29:AD29"/>
    <mergeCell ref="AF29:AJ29"/>
    <mergeCell ref="B6:B7"/>
    <mergeCell ref="F27:F32"/>
    <mergeCell ref="H27:P27"/>
    <mergeCell ref="R27:Z27"/>
    <mergeCell ref="AB27:AJ27"/>
    <mergeCell ref="H28:P28"/>
    <mergeCell ref="R28:Z28"/>
    <mergeCell ref="AB28:AJ28"/>
    <mergeCell ref="I29:J29"/>
    <mergeCell ref="L29:P29"/>
  </mergeCells>
  <conditionalFormatting sqref="F33:AJ39">
    <cfRule type="expression" dxfId="48" priority="3">
      <formula>MOD(ROW(),2)=0</formula>
    </cfRule>
    <cfRule type="expression" dxfId="47" priority="4">
      <formula>AND(MOD(ROW(),2)=0,F$30="Proportion",$F33="Overall change in costs (%)")</formula>
    </cfRule>
    <cfRule type="expression" dxfId="46" priority="5">
      <formula>AND(MOD(ROW(),1)=0,F$30="Proportion",$F33="Overall change in costs (%)")</formula>
    </cfRule>
  </conditionalFormatting>
  <conditionalFormatting sqref="G44:AJ44">
    <cfRule type="cellIs" dxfId="45" priority="1" operator="equal">
      <formula>FALSE</formula>
    </cfRule>
    <cfRule type="cellIs" dxfId="44"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8"/>
  <sheetViews>
    <sheetView zoomScaleNormal="100" workbookViewId="0">
      <selection sqref="A1:B1"/>
    </sheetView>
  </sheetViews>
  <sheetFormatPr defaultColWidth="0" defaultRowHeight="14.4" zeroHeight="1" x14ac:dyDescent="0.3"/>
  <cols>
    <col min="1" max="1" width="1.6640625" style="3" customWidth="1"/>
    <col min="2" max="2" width="33.88671875" style="3" bestFit="1" customWidth="1"/>
    <col min="3" max="5" width="13.33203125" style="3" customWidth="1"/>
    <col min="6" max="6" width="26.6640625" style="3" customWidth="1"/>
    <col min="7" max="7" width="5.88671875" style="3" customWidth="1"/>
    <col min="8" max="10" width="10.6640625" style="3" customWidth="1"/>
    <col min="11" max="11" width="1.6640625" style="3" customWidth="1"/>
    <col min="12" max="12" width="10.6640625" style="3" customWidth="1"/>
    <col min="13" max="13" width="9.44140625" style="3" hidden="1" customWidth="1"/>
    <col min="14" max="14" width="13.33203125" style="3" hidden="1" customWidth="1"/>
    <col min="15" max="15" width="10.6640625" style="3" customWidth="1"/>
    <col min="16" max="16" width="10.6640625" style="3" hidden="1" customWidth="1"/>
    <col min="17" max="17" width="5.6640625" style="3" customWidth="1"/>
    <col min="18" max="20" width="10.6640625" style="3" customWidth="1"/>
    <col min="21" max="21" width="1.6640625" style="3" customWidth="1"/>
    <col min="22" max="22" width="10.6640625" style="3" customWidth="1"/>
    <col min="23" max="23" width="9.33203125" style="3" hidden="1" customWidth="1"/>
    <col min="24" max="24" width="13.33203125" style="3" hidden="1" customWidth="1"/>
    <col min="25" max="25" width="10.6640625" style="3" customWidth="1"/>
    <col min="26" max="26" width="10.6640625" style="3" hidden="1" customWidth="1"/>
    <col min="27" max="27" width="5.6640625" style="3" customWidth="1"/>
    <col min="28" max="30" width="10.6640625" style="3" customWidth="1"/>
    <col min="31" max="31" width="1.6640625" style="3" customWidth="1"/>
    <col min="32" max="32" width="10.6640625" style="3" customWidth="1"/>
    <col min="33" max="34" width="0" style="3" hidden="1" customWidth="1"/>
    <col min="35" max="36" width="10.6640625" style="3" customWidth="1"/>
    <col min="37" max="37" width="8.88671875" style="3" customWidth="1"/>
    <col min="38" max="16384" width="8.88671875" style="3" hidden="1"/>
  </cols>
  <sheetData>
    <row r="1" spans="1:37" ht="10.199999999999999" customHeight="1" x14ac:dyDescent="0.3">
      <c r="A1" s="246" t="s">
        <v>22</v>
      </c>
      <c r="B1" s="272"/>
    </row>
    <row r="2" spans="1:37" s="15" customFormat="1" ht="22.5" customHeight="1" x14ac:dyDescent="0.3">
      <c r="A2" s="16" t="s">
        <v>3</v>
      </c>
    </row>
    <row r="3" spans="1:37" s="101" customFormat="1" ht="15" thickBot="1" x14ac:dyDescent="0.35">
      <c r="C3" s="101" t="str">
        <f>$A$2&amp;" "&amp;C6&amp;" "&amp;C7</f>
        <v>Essential Residential without CL</v>
      </c>
      <c r="D3" s="101" t="str">
        <f>$A$2&amp;" "&amp;D6&amp;" "&amp;D7</f>
        <v>Essential Residential with CL</v>
      </c>
      <c r="E3" s="101" t="str">
        <f>$A$2&amp;" "&amp;E6&amp;" "&amp;E7</f>
        <v>Essential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ht="15.6" x14ac:dyDescent="0.3">
      <c r="B4" s="38" t="s">
        <v>21</v>
      </c>
      <c r="F4" s="38"/>
      <c r="G4" s="120" t="s">
        <v>105</v>
      </c>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row>
    <row r="5" spans="1:37" ht="4.95" customHeight="1" x14ac:dyDescent="0.3">
      <c r="B5" s="5"/>
      <c r="G5" s="123"/>
      <c r="H5" s="124"/>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125"/>
    </row>
    <row r="6" spans="1:37" ht="19.95" customHeight="1" x14ac:dyDescent="0.3">
      <c r="B6" s="279" t="str">
        <f>A2</f>
        <v>Essential</v>
      </c>
      <c r="C6" s="58" t="s">
        <v>6</v>
      </c>
      <c r="D6" s="58" t="s">
        <v>6</v>
      </c>
      <c r="E6" s="58" t="s">
        <v>85</v>
      </c>
      <c r="G6" s="123"/>
      <c r="H6" s="124"/>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125"/>
    </row>
    <row r="7" spans="1:37" ht="19.95" customHeight="1" x14ac:dyDescent="0.3">
      <c r="B7" s="279"/>
      <c r="C7" s="59" t="s">
        <v>158</v>
      </c>
      <c r="D7" s="59" t="s">
        <v>159</v>
      </c>
      <c r="E7" s="59" t="s">
        <v>158</v>
      </c>
      <c r="G7" s="123"/>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125"/>
    </row>
    <row r="8" spans="1:37" ht="1.95" customHeight="1" x14ac:dyDescent="0.3">
      <c r="B8" s="36"/>
      <c r="C8" s="37"/>
      <c r="D8" s="37"/>
      <c r="E8" s="37"/>
      <c r="G8" s="123"/>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125"/>
    </row>
    <row r="9" spans="1:37" s="56" customFormat="1" ht="30" customHeight="1" x14ac:dyDescent="0.3">
      <c r="B9" s="66" t="str">
        <f>"DMO "&amp;FY&amp;" price ($ pa, inc GST)"</f>
        <v>DMO 2020-21 price ($ pa, inc GST)</v>
      </c>
      <c r="C9" s="245">
        <f ca="1">ROUND(H39,0)</f>
        <v>1967</v>
      </c>
      <c r="D9" s="245">
        <f ca="1">ROUND(R39,0)</f>
        <v>2383</v>
      </c>
      <c r="E9" s="245">
        <f ca="1">ROUND(AB39,0)</f>
        <v>8081</v>
      </c>
      <c r="F9" s="3"/>
      <c r="G9" s="123"/>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126"/>
    </row>
    <row r="10" spans="1:37" ht="1.95" customHeight="1" x14ac:dyDescent="0.3">
      <c r="B10" s="67"/>
      <c r="C10" s="68"/>
      <c r="D10" s="68"/>
      <c r="E10" s="68"/>
      <c r="F10" s="56"/>
      <c r="G10" s="127"/>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5"/>
    </row>
    <row r="11" spans="1:37" ht="19.95" customHeight="1" x14ac:dyDescent="0.3">
      <c r="B11" s="69" t="s">
        <v>50</v>
      </c>
      <c r="C11" s="70">
        <f>SUM(C12:C13)</f>
        <v>4600</v>
      </c>
      <c r="D11" s="70">
        <f>SUM(D12:D13)</f>
        <v>6600</v>
      </c>
      <c r="E11" s="70">
        <f>SUM(E12:E13)</f>
        <v>20000</v>
      </c>
      <c r="G11" s="123"/>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125"/>
    </row>
    <row r="12" spans="1:37" ht="19.95" customHeight="1" x14ac:dyDescent="0.3">
      <c r="B12" s="71" t="s">
        <v>53</v>
      </c>
      <c r="C12" s="72">
        <f t="array" ref="C12">INDEX(Usage!$B$5:$Q$18,MATCH($B6,Usage!$B$5:$B$18,0),MATCH(C$6&amp;C$7&amp;"Flat rate"&amp;"Total",Usage!$B$5:$Q$5&amp;Usage!$B$6:$Q$6&amp;Usage!$B$7:$Q$7&amp;Usage!$B$13:$Q$13,0))</f>
        <v>4600</v>
      </c>
      <c r="D12" s="72">
        <f t="array" ref="D12">INDEX(Usage!$B$5:$Q$18,MATCH($B6,Usage!$B$5:$B$18,0),MATCH(D$6&amp;D$7&amp;"Flat rate"&amp;"Total",Usage!$B$5:$Q$5&amp;Usage!$B$6:$Q$6&amp;Usage!$B$7:$Q$7&amp;Usage!$B$13:$Q$13,0))</f>
        <v>4600</v>
      </c>
      <c r="E12" s="72">
        <f t="array" ref="E12">INDEX(Usage!$B$5:$Q$18,MATCH($B6,Usage!$B$5:$B$18,0),MATCH(E$6&amp;E$7&amp;"Flat rate"&amp;"Total",Usage!$B$5:$Q$5&amp;Usage!$B$6:$Q$6&amp;Usage!$B$7:$Q$7&amp;Usage!$B$13:$Q$13,0))</f>
        <v>20000</v>
      </c>
      <c r="G12" s="123"/>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125"/>
    </row>
    <row r="13" spans="1:37" ht="19.95" customHeight="1" x14ac:dyDescent="0.3">
      <c r="B13" s="71" t="s">
        <v>52</v>
      </c>
      <c r="C13" s="72"/>
      <c r="D13" s="72">
        <f t="array" ref="D13">INDEX(Usage!$B$5:$Q$18,MATCH($B6,Usage!$B$5:$B$18,0),MATCH(D$6&amp;D$7&amp;"CL"&amp;"Total",Usage!$B$5:$Q$5&amp;Usage!$B$6:$Q$6&amp;Usage!$B$7:$Q$7&amp;Usage!$B$13:$Q$13,0))</f>
        <v>2000</v>
      </c>
      <c r="E13" s="72"/>
      <c r="G13" s="123"/>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125"/>
    </row>
    <row r="14" spans="1:37" ht="1.95" customHeight="1" x14ac:dyDescent="0.3">
      <c r="B14" s="73"/>
      <c r="C14" s="73"/>
      <c r="D14" s="73"/>
      <c r="E14" s="73"/>
      <c r="G14" s="123"/>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125"/>
    </row>
    <row r="15" spans="1:37" ht="19.95" customHeight="1" x14ac:dyDescent="0.3">
      <c r="B15" s="71" t="str">
        <f>"Change from DMO "&amp;PY&amp; " price ($)"</f>
        <v>Change from DMO 2019-20 price ($)</v>
      </c>
      <c r="C15" s="192">
        <f ca="1">C9-H33</f>
        <v>10</v>
      </c>
      <c r="D15" s="192">
        <f ca="1">D9-R33</f>
        <v>8</v>
      </c>
      <c r="E15" s="192">
        <f ca="1">E9-AB33</f>
        <v>36</v>
      </c>
      <c r="G15" s="123"/>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125"/>
    </row>
    <row r="16" spans="1:37" ht="19.95" customHeight="1" thickBot="1" x14ac:dyDescent="0.35">
      <c r="B16" s="74" t="str">
        <f>"Change from DMO "&amp;PY&amp; " price (%)"</f>
        <v>Change from DMO 2019-20 price (%)</v>
      </c>
      <c r="C16" s="146">
        <f ca="1">C9/H33-1</f>
        <v>5.1098620337250988E-3</v>
      </c>
      <c r="D16" s="146">
        <f ca="1">D9/R33-1</f>
        <v>3.3684210526316871E-3</v>
      </c>
      <c r="E16" s="146">
        <f ca="1">E9/AB33-1</f>
        <v>4.474829086388965E-3</v>
      </c>
      <c r="G16" s="123"/>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125"/>
    </row>
    <row r="17" spans="2:37" ht="15" thickTop="1" x14ac:dyDescent="0.3">
      <c r="B17" s="116" t="s">
        <v>104</v>
      </c>
      <c r="G17" s="123"/>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125"/>
    </row>
    <row r="18" spans="2:37" x14ac:dyDescent="0.3">
      <c r="G18" s="123"/>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125"/>
    </row>
    <row r="19" spans="2:37" x14ac:dyDescent="0.3">
      <c r="G19" s="123"/>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125"/>
    </row>
    <row r="20" spans="2:37" ht="15.6" x14ac:dyDescent="0.3">
      <c r="B20" s="38"/>
      <c r="G20" s="123"/>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125"/>
    </row>
    <row r="21" spans="2:37" ht="15" customHeight="1" thickBot="1" x14ac:dyDescent="0.35">
      <c r="B21" s="36"/>
      <c r="D21" s="36"/>
      <c r="E21" s="36"/>
      <c r="F21" s="38"/>
      <c r="G21" s="129"/>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row>
    <row r="22" spans="2:37" s="39" customFormat="1" ht="15.6" x14ac:dyDescent="0.3">
      <c r="F22" s="38"/>
      <c r="G22" s="3"/>
      <c r="H22" s="36"/>
      <c r="I22" s="36"/>
      <c r="J22" s="36"/>
      <c r="K22" s="3"/>
      <c r="L22" s="3"/>
      <c r="M22" s="3"/>
      <c r="N22" s="36"/>
      <c r="O22" s="36"/>
      <c r="P22" s="36"/>
      <c r="Q22" s="36"/>
      <c r="R22" s="36"/>
      <c r="S22" s="36"/>
      <c r="T22" s="36"/>
      <c r="U22" s="3"/>
      <c r="V22" s="36"/>
      <c r="W22" s="36"/>
      <c r="X22" s="36"/>
      <c r="Y22" s="36"/>
      <c r="Z22" s="36"/>
      <c r="AA22" s="3"/>
      <c r="AB22" s="3"/>
      <c r="AC22" s="3"/>
      <c r="AD22" s="3"/>
      <c r="AE22" s="3"/>
      <c r="AF22" s="3"/>
      <c r="AG22" s="3"/>
      <c r="AH22" s="3"/>
      <c r="AI22" s="3"/>
      <c r="AJ22" s="3"/>
    </row>
    <row r="23" spans="2:37" s="39" customFormat="1" ht="15.6" hidden="1" x14ac:dyDescent="0.3">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t="str">
        <f>$H$27</f>
        <v>Residential</v>
      </c>
      <c r="Q23" s="36"/>
      <c r="R23" s="36" t="str">
        <f>$R$27</f>
        <v>Residential</v>
      </c>
      <c r="S23" s="36" t="str">
        <f>$R$27</f>
        <v>Residential</v>
      </c>
      <c r="T23" s="36" t="str">
        <f>$R$27</f>
        <v>Residential</v>
      </c>
      <c r="U23" s="3"/>
      <c r="V23" s="36" t="str">
        <f>$R$27</f>
        <v>Residential</v>
      </c>
      <c r="W23" s="36" t="str">
        <f>$R$27</f>
        <v>Residential</v>
      </c>
      <c r="X23" s="36" t="str">
        <f>$R$27</f>
        <v>Residential</v>
      </c>
      <c r="Y23" s="36" t="str">
        <f>$R$27</f>
        <v>Residential</v>
      </c>
      <c r="Z23" s="36" t="str">
        <f>$R$27</f>
        <v>Residential</v>
      </c>
      <c r="AA23" s="3"/>
      <c r="AB23" s="3" t="str">
        <f>$AB$27</f>
        <v>Small Business</v>
      </c>
      <c r="AC23" s="3" t="str">
        <f>$AB$27</f>
        <v>Small Business</v>
      </c>
      <c r="AD23" s="3" t="str">
        <f>$AB$27</f>
        <v>Small Business</v>
      </c>
      <c r="AE23" s="3"/>
      <c r="AF23" s="3" t="str">
        <f>$AB$27</f>
        <v>Small Business</v>
      </c>
      <c r="AG23" s="3" t="str">
        <f>$AB$27</f>
        <v>Small Business</v>
      </c>
      <c r="AH23" s="3" t="str">
        <f>$AB$27</f>
        <v>Small Business</v>
      </c>
      <c r="AI23" s="3" t="str">
        <f>$AB$27</f>
        <v>Small Business</v>
      </c>
      <c r="AJ23" s="3" t="str">
        <f>$AB$27</f>
        <v>Small Business</v>
      </c>
    </row>
    <row r="24" spans="2:37" s="39" customFormat="1" ht="15.6" hidden="1" x14ac:dyDescent="0.3">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t="str">
        <f>$H$28</f>
        <v>without CL</v>
      </c>
      <c r="Q24" s="36"/>
      <c r="R24" s="36" t="str">
        <f>$R$28</f>
        <v>with CL</v>
      </c>
      <c r="S24" s="36" t="str">
        <f>$R$28</f>
        <v>with CL</v>
      </c>
      <c r="T24" s="36" t="str">
        <f>$R$28</f>
        <v>with CL</v>
      </c>
      <c r="U24" s="3"/>
      <c r="V24" s="36" t="str">
        <f>$R$28</f>
        <v>with CL</v>
      </c>
      <c r="W24" s="36" t="str">
        <f>$R$28</f>
        <v>with CL</v>
      </c>
      <c r="X24" s="36" t="str">
        <f>$R$28</f>
        <v>with CL</v>
      </c>
      <c r="Y24" s="36" t="str">
        <f>$R$28</f>
        <v>with CL</v>
      </c>
      <c r="Z24" s="36" t="str">
        <f>$R$28</f>
        <v>with CL</v>
      </c>
      <c r="AA24" s="3"/>
      <c r="AB24" s="3" t="str">
        <f>$AB$28</f>
        <v>without CL</v>
      </c>
      <c r="AC24" s="3" t="str">
        <f>$AB$28</f>
        <v>without CL</v>
      </c>
      <c r="AD24" s="3" t="str">
        <f>$AB$28</f>
        <v>without CL</v>
      </c>
      <c r="AE24" s="3"/>
      <c r="AF24" s="3" t="str">
        <f>$AB$28</f>
        <v>without CL</v>
      </c>
      <c r="AG24" s="3" t="str">
        <f>$AB$28</f>
        <v>without CL</v>
      </c>
      <c r="AH24" s="3" t="str">
        <f>$AB$28</f>
        <v>without CL</v>
      </c>
      <c r="AI24" s="3" t="str">
        <f>$AB$28</f>
        <v>without CL</v>
      </c>
      <c r="AJ24" s="3" t="str">
        <f>$AB$28</f>
        <v>without CL</v>
      </c>
    </row>
    <row r="25" spans="2:37" s="39" customFormat="1" ht="15.6" hidden="1" x14ac:dyDescent="0.3">
      <c r="F25" s="38"/>
      <c r="G25" s="3"/>
      <c r="H25" s="36"/>
      <c r="I25" s="36" t="str">
        <f>$I$29</f>
        <v>2019-20</v>
      </c>
      <c r="J25" s="36" t="str">
        <f>$I$29</f>
        <v>2019-20</v>
      </c>
      <c r="K25" s="3"/>
      <c r="L25" s="36" t="str">
        <f>$L$29</f>
        <v>2020-21</v>
      </c>
      <c r="M25" s="36" t="str">
        <f>$L$29</f>
        <v>2020-21</v>
      </c>
      <c r="N25" s="36" t="str">
        <f>$L$29</f>
        <v>2020-21</v>
      </c>
      <c r="O25" s="36" t="str">
        <f>$L$29</f>
        <v>2020-21</v>
      </c>
      <c r="P25" s="36" t="str">
        <f>$L$29</f>
        <v>2020-21</v>
      </c>
      <c r="Q25" s="36"/>
      <c r="R25" s="36"/>
      <c r="S25" s="36" t="str">
        <f>$S$29</f>
        <v>2019-20</v>
      </c>
      <c r="T25" s="36" t="str">
        <f>$S$29</f>
        <v>2019-20</v>
      </c>
      <c r="U25" s="3"/>
      <c r="V25" s="36" t="str">
        <f>$V$29</f>
        <v>2020-21</v>
      </c>
      <c r="W25" s="36" t="str">
        <f>$V$29</f>
        <v>2020-21</v>
      </c>
      <c r="X25" s="36" t="str">
        <f>$V$29</f>
        <v>2020-21</v>
      </c>
      <c r="Y25" s="36" t="str">
        <f>$V$29</f>
        <v>2020-21</v>
      </c>
      <c r="Z25" s="36" t="str">
        <f>$V$29</f>
        <v>2020-21</v>
      </c>
      <c r="AA25" s="3"/>
      <c r="AB25" s="3"/>
      <c r="AC25" s="3" t="str">
        <f>$AC$29</f>
        <v>2019-20</v>
      </c>
      <c r="AD25" s="3" t="str">
        <f>$AC$29</f>
        <v>2019-20</v>
      </c>
      <c r="AE25" s="3"/>
      <c r="AF25" s="3" t="str">
        <f>$AF$29</f>
        <v>2020-21</v>
      </c>
      <c r="AG25" s="3" t="str">
        <f>$AF$29</f>
        <v>2020-21</v>
      </c>
      <c r="AH25" s="3" t="str">
        <f>$AF$29</f>
        <v>2020-21</v>
      </c>
      <c r="AI25" s="3" t="str">
        <f>$AF$29</f>
        <v>2020-21</v>
      </c>
      <c r="AJ25" s="3" t="str">
        <f>$AF$29</f>
        <v>2020-21</v>
      </c>
    </row>
    <row r="26" spans="2:37" s="39" customFormat="1" ht="15.6" x14ac:dyDescent="0.3">
      <c r="F26" s="38" t="s">
        <v>45</v>
      </c>
      <c r="G26" s="145" t="s">
        <v>160</v>
      </c>
      <c r="H26" s="36"/>
      <c r="I26" s="36"/>
      <c r="J26" s="36"/>
      <c r="K26" s="3"/>
      <c r="L26" s="3"/>
      <c r="M26" s="3"/>
      <c r="N26" s="36"/>
      <c r="O26" s="36"/>
      <c r="P26" s="36"/>
      <c r="Q26" s="36"/>
      <c r="R26" s="36"/>
      <c r="S26" s="36"/>
      <c r="T26" s="36"/>
      <c r="U26" s="3"/>
      <c r="V26" s="36"/>
      <c r="W26" s="36"/>
      <c r="X26" s="36"/>
      <c r="Y26" s="36"/>
      <c r="Z26" s="36"/>
      <c r="AA26" s="3"/>
      <c r="AB26" s="3"/>
      <c r="AC26" s="3"/>
      <c r="AD26" s="3"/>
      <c r="AE26" s="3"/>
      <c r="AF26" s="3"/>
      <c r="AG26" s="3"/>
      <c r="AH26" s="3"/>
      <c r="AI26" s="3"/>
      <c r="AJ26" s="3"/>
    </row>
    <row r="27" spans="2:37" s="39" customFormat="1" x14ac:dyDescent="0.3">
      <c r="F27" s="276" t="s">
        <v>38</v>
      </c>
      <c r="G27" s="117"/>
      <c r="H27" s="275" t="s">
        <v>6</v>
      </c>
      <c r="I27" s="275"/>
      <c r="J27" s="275"/>
      <c r="K27" s="275"/>
      <c r="L27" s="275"/>
      <c r="M27" s="275"/>
      <c r="N27" s="275"/>
      <c r="O27" s="275"/>
      <c r="P27" s="275"/>
      <c r="Q27" s="112"/>
      <c r="R27" s="275" t="s">
        <v>6</v>
      </c>
      <c r="S27" s="275"/>
      <c r="T27" s="275"/>
      <c r="U27" s="275"/>
      <c r="V27" s="275"/>
      <c r="W27" s="275"/>
      <c r="X27" s="275"/>
      <c r="Y27" s="275"/>
      <c r="Z27" s="275"/>
      <c r="AA27" s="112"/>
      <c r="AB27" s="275" t="s">
        <v>85</v>
      </c>
      <c r="AC27" s="275"/>
      <c r="AD27" s="275"/>
      <c r="AE27" s="275"/>
      <c r="AF27" s="275"/>
      <c r="AG27" s="275"/>
      <c r="AH27" s="275"/>
      <c r="AI27" s="275"/>
      <c r="AJ27" s="275"/>
    </row>
    <row r="28" spans="2:37" ht="15" thickBot="1" x14ac:dyDescent="0.35">
      <c r="F28" s="276"/>
      <c r="G28" s="117"/>
      <c r="H28" s="278" t="s">
        <v>158</v>
      </c>
      <c r="I28" s="278"/>
      <c r="J28" s="278"/>
      <c r="K28" s="278"/>
      <c r="L28" s="278"/>
      <c r="M28" s="278"/>
      <c r="N28" s="278"/>
      <c r="O28" s="278"/>
      <c r="P28" s="278"/>
      <c r="Q28" s="112"/>
      <c r="R28" s="278" t="s">
        <v>159</v>
      </c>
      <c r="S28" s="278"/>
      <c r="T28" s="278"/>
      <c r="U28" s="278"/>
      <c r="V28" s="278"/>
      <c r="W28" s="278"/>
      <c r="X28" s="278"/>
      <c r="Y28" s="278"/>
      <c r="Z28" s="278"/>
      <c r="AA28" s="112"/>
      <c r="AB28" s="278" t="s">
        <v>158</v>
      </c>
      <c r="AC28" s="278"/>
      <c r="AD28" s="278"/>
      <c r="AE28" s="278"/>
      <c r="AF28" s="278"/>
      <c r="AG28" s="278"/>
      <c r="AH28" s="278"/>
      <c r="AI28" s="278"/>
      <c r="AJ28" s="278"/>
    </row>
    <row r="29" spans="2:37" ht="15" customHeight="1" thickTop="1" x14ac:dyDescent="0.3">
      <c r="F29" s="276"/>
      <c r="G29" s="118"/>
      <c r="H29" s="112" t="s">
        <v>74</v>
      </c>
      <c r="I29" s="277" t="str">
        <f>PY</f>
        <v>2019-20</v>
      </c>
      <c r="J29" s="277"/>
      <c r="K29" s="112"/>
      <c r="L29" s="277" t="str">
        <f>FY</f>
        <v>2020-21</v>
      </c>
      <c r="M29" s="277"/>
      <c r="N29" s="277"/>
      <c r="O29" s="277"/>
      <c r="P29" s="277"/>
      <c r="Q29" s="54"/>
      <c r="R29" s="112" t="s">
        <v>74</v>
      </c>
      <c r="S29" s="277" t="str">
        <f>PY</f>
        <v>2019-20</v>
      </c>
      <c r="T29" s="277"/>
      <c r="U29" s="112"/>
      <c r="V29" s="277" t="str">
        <f>FY</f>
        <v>2020-21</v>
      </c>
      <c r="W29" s="277"/>
      <c r="X29" s="277"/>
      <c r="Y29" s="277"/>
      <c r="Z29" s="277"/>
      <c r="AA29" s="54"/>
      <c r="AB29" s="112" t="s">
        <v>74</v>
      </c>
      <c r="AC29" s="277" t="str">
        <f>PY</f>
        <v>2019-20</v>
      </c>
      <c r="AD29" s="277"/>
      <c r="AE29" s="112"/>
      <c r="AF29" s="277" t="str">
        <f>FY</f>
        <v>2020-21</v>
      </c>
      <c r="AG29" s="277"/>
      <c r="AH29" s="277"/>
      <c r="AI29" s="277"/>
      <c r="AJ29" s="277"/>
    </row>
    <row r="30" spans="2:37" ht="15" customHeight="1" x14ac:dyDescent="0.3">
      <c r="F30" s="276"/>
      <c r="G30" s="118"/>
      <c r="H30" s="76"/>
      <c r="I30" s="54" t="s">
        <v>26</v>
      </c>
      <c r="J30" s="54" t="s">
        <v>28</v>
      </c>
      <c r="K30" s="112"/>
      <c r="L30" s="54" t="s">
        <v>25</v>
      </c>
      <c r="M30" s="55" t="s">
        <v>51</v>
      </c>
      <c r="N30" s="54" t="s">
        <v>28</v>
      </c>
      <c r="O30" s="54" t="s">
        <v>26</v>
      </c>
      <c r="P30" s="54" t="s">
        <v>75</v>
      </c>
      <c r="Q30" s="54"/>
      <c r="R30" s="112"/>
      <c r="S30" s="54" t="s">
        <v>26</v>
      </c>
      <c r="T30" s="54" t="s">
        <v>28</v>
      </c>
      <c r="U30" s="112"/>
      <c r="V30" s="54" t="s">
        <v>25</v>
      </c>
      <c r="W30" s="55" t="s">
        <v>51</v>
      </c>
      <c r="X30" s="54" t="s">
        <v>28</v>
      </c>
      <c r="Y30" s="54" t="s">
        <v>26</v>
      </c>
      <c r="Z30" s="54" t="s">
        <v>75</v>
      </c>
      <c r="AA30" s="54"/>
      <c r="AB30" s="112" t="s">
        <v>24</v>
      </c>
      <c r="AC30" s="54" t="s">
        <v>26</v>
      </c>
      <c r="AD30" s="54" t="s">
        <v>28</v>
      </c>
      <c r="AE30" s="112"/>
      <c r="AF30" s="54" t="s">
        <v>25</v>
      </c>
      <c r="AG30" s="55" t="s">
        <v>51</v>
      </c>
      <c r="AH30" s="54" t="s">
        <v>28</v>
      </c>
      <c r="AI30" s="54" t="s">
        <v>26</v>
      </c>
      <c r="AJ30" s="54" t="s">
        <v>75</v>
      </c>
    </row>
    <row r="31" spans="2:37" ht="15" customHeight="1" x14ac:dyDescent="0.3">
      <c r="F31" s="276"/>
      <c r="G31" s="118"/>
      <c r="H31" s="76"/>
      <c r="I31" s="54"/>
      <c r="J31" s="54"/>
      <c r="K31" s="227"/>
      <c r="L31" s="54"/>
      <c r="M31" s="55"/>
      <c r="N31" s="54"/>
      <c r="O31" s="54"/>
      <c r="P31" s="54" t="s">
        <v>196</v>
      </c>
      <c r="Q31" s="54"/>
      <c r="R31" s="227"/>
      <c r="S31" s="54"/>
      <c r="T31" s="54"/>
      <c r="U31" s="227"/>
      <c r="V31" s="54"/>
      <c r="W31" s="55"/>
      <c r="X31" s="54"/>
      <c r="Y31" s="54"/>
      <c r="Z31" s="54" t="s">
        <v>196</v>
      </c>
      <c r="AA31" s="54"/>
      <c r="AB31" s="227"/>
      <c r="AC31" s="54"/>
      <c r="AD31" s="54"/>
      <c r="AE31" s="227"/>
      <c r="AF31" s="54"/>
      <c r="AG31" s="55"/>
      <c r="AH31" s="54"/>
      <c r="AI31" s="54"/>
      <c r="AJ31" s="54" t="s">
        <v>196</v>
      </c>
    </row>
    <row r="32" spans="2:37" ht="15" customHeight="1" x14ac:dyDescent="0.3">
      <c r="F32" s="276"/>
      <c r="G32" s="118"/>
      <c r="H32" s="54" t="s">
        <v>76</v>
      </c>
      <c r="I32" s="54" t="s">
        <v>47</v>
      </c>
      <c r="J32" s="54" t="s">
        <v>33</v>
      </c>
      <c r="K32" s="112"/>
      <c r="L32" s="54" t="s">
        <v>33</v>
      </c>
      <c r="M32" s="54" t="s">
        <v>33</v>
      </c>
      <c r="N32" s="54" t="s">
        <v>33</v>
      </c>
      <c r="O32" s="54" t="s">
        <v>47</v>
      </c>
      <c r="P32" s="54" t="s">
        <v>47</v>
      </c>
      <c r="Q32" s="54"/>
      <c r="R32" s="54"/>
      <c r="S32" s="54" t="s">
        <v>47</v>
      </c>
      <c r="T32" s="54" t="s">
        <v>33</v>
      </c>
      <c r="U32" s="112"/>
      <c r="V32" s="54" t="s">
        <v>33</v>
      </c>
      <c r="W32" s="54" t="s">
        <v>33</v>
      </c>
      <c r="X32" s="54" t="s">
        <v>33</v>
      </c>
      <c r="Y32" s="54" t="s">
        <v>47</v>
      </c>
      <c r="Z32" s="54" t="s">
        <v>47</v>
      </c>
      <c r="AA32" s="54"/>
      <c r="AB32" s="54"/>
      <c r="AC32" s="54" t="s">
        <v>47</v>
      </c>
      <c r="AD32" s="54" t="s">
        <v>33</v>
      </c>
      <c r="AE32" s="112"/>
      <c r="AF32" s="54" t="s">
        <v>33</v>
      </c>
      <c r="AG32" s="54" t="s">
        <v>33</v>
      </c>
      <c r="AH32" s="54" t="s">
        <v>33</v>
      </c>
      <c r="AI32" s="54" t="s">
        <v>47</v>
      </c>
      <c r="AJ32" s="54" t="s">
        <v>47</v>
      </c>
    </row>
    <row r="33" spans="2:36" ht="15" customHeight="1" x14ac:dyDescent="0.3">
      <c r="F33" s="60" t="str">
        <f>"DMO "&amp;PY&amp;" price"</f>
        <v>DMO 2019-20 price</v>
      </c>
      <c r="G33" s="60"/>
      <c r="H33" s="61">
        <f t="array" ref="H33">INDEX('Detail inputs'!$B$3:$L$381,MATCH($B$6&amp;H$27&amp;H$28&amp;H$29,'Detail inputs'!$B$3:$B$381&amp;'Detail inputs'!$D$3:$D$381&amp;'Detail inputs'!$E$3:$E$381&amp;'Detail inputs'!$F$3:$F$381&amp;'Detail inputs'!$G$3:$G$381,0),MATCH(I$29,'Detail inputs'!$B$3:$L$3,0))</f>
        <v>1957</v>
      </c>
      <c r="I33" s="62"/>
      <c r="J33" s="62"/>
      <c r="K33" s="62"/>
      <c r="L33" s="62"/>
      <c r="M33" s="62"/>
      <c r="N33" s="62"/>
      <c r="O33" s="62"/>
      <c r="P33" s="62"/>
      <c r="Q33" s="62"/>
      <c r="R33" s="61">
        <f t="array" ref="R33">INDEX('Detail inputs'!$B$3:$L$381,MATCH($B$6&amp;R$27&amp;R$28&amp;R$29,'Detail inputs'!$B$3:$B$381&amp;'Detail inputs'!$D$3:$D$381&amp;'Detail inputs'!$E$3:$E$381&amp;'Detail inputs'!$F$3:$F$381&amp;'Detail inputs'!$G$3:$G$381,0),MATCH(S$29,'Detail inputs'!$B$3:$L$3,0))</f>
        <v>2375</v>
      </c>
      <c r="S33" s="61"/>
      <c r="T33" s="62"/>
      <c r="U33" s="62"/>
      <c r="V33" s="62"/>
      <c r="W33" s="62"/>
      <c r="X33" s="63"/>
      <c r="Y33" s="63"/>
      <c r="Z33" s="63"/>
      <c r="AA33" s="63"/>
      <c r="AB33" s="61">
        <f t="array" ref="AB33">INDEX('Detail inputs'!$B$3:$L$381,MATCH($B$6&amp;AB$27&amp;AB$28&amp;AB$29,'Detail inputs'!$B$3:$B$381&amp;'Detail inputs'!$D$3:$D$381&amp;'Detail inputs'!$E$3:$E$381&amp;'Detail inputs'!$F$3:$F$381&amp;'Detail inputs'!$G$3:$G$381,0),MATCH(AC$29,'Detail inputs'!$B$3:$L$3,0))</f>
        <v>8045</v>
      </c>
      <c r="AC33" s="61"/>
      <c r="AD33" s="62"/>
      <c r="AE33" s="62"/>
      <c r="AF33" s="62"/>
      <c r="AG33" s="62"/>
      <c r="AH33" s="62"/>
      <c r="AI33" s="62"/>
      <c r="AJ33" s="62"/>
    </row>
    <row r="34" spans="2:36" ht="15" customHeight="1" x14ac:dyDescent="0.3">
      <c r="F34" s="64" t="s">
        <v>68</v>
      </c>
      <c r="G34" s="64"/>
      <c r="H34" s="63"/>
      <c r="I34" s="61">
        <f t="array" aca="1" ref="I34" ca="1">INDEX(INDIRECT("'"&amp;$F34&amp;"'!$B$3:$T$300"),MATCH($B$6&amp;H$27&amp;H$28&amp;"Total inc GST",INDIRECT("'"&amp;$F34&amp;"'!$B$3:$B$300")&amp;INDIRECT("'"&amp;$F34&amp;"'!$C$3:$C$300")&amp;INDIRECT("'"&amp;$F34&amp;"'!$D$3:$D$300")&amp;INDIRECT("'"&amp;$F34&amp;"'!$G$3:$G$300"),0),MATCH(I$29&amp;I$30,INDIRECT("'"&amp;$F34&amp;"'!$B$4:$T$4")&amp;INDIRECT("'"&amp;$F34&amp;"'!$B$5:$T$5"),0))</f>
        <v>885.97822499999984</v>
      </c>
      <c r="J34" s="62">
        <f ca="1">I34/H$33</f>
        <v>0.45272264946346441</v>
      </c>
      <c r="K34" s="62"/>
      <c r="L34" s="75">
        <f t="array" aca="1" ref="L34" ca="1">INDEX(INDIRECT("'"&amp;$F34&amp;"'!$B$3:$T$300"),MATCH($B$6&amp;H$27&amp;H$28&amp;"Total inc GST",INDIRECT("'"&amp;$F34&amp;"'!$B$3:$B$300")&amp;INDIRECT("'"&amp;$F34&amp;"'!$C$3:$C$300")&amp;INDIRECT("'"&amp;$F34&amp;"'!$D$3:$D$300")&amp;INDIRECT("'"&amp;$F34&amp;"'!$G$3:$G$300"),0),MATCH(L$29&amp;L$30,INDIRECT("'"&amp;$F34&amp;"'!$B$4:$T$4")&amp;INDIRECT("'"&amp;$F34&amp;"'!$B$5:$T$5"),0))</f>
        <v>2.7170419453594885E-3</v>
      </c>
      <c r="M34" s="62">
        <f ca="1">J34*L34</f>
        <v>1.2300664282065131E-3</v>
      </c>
      <c r="N34" s="62">
        <f ca="1">O34/H$39</f>
        <v>0.45175450018410834</v>
      </c>
      <c r="O34" s="61">
        <f t="array" aca="1" ref="O34" ca="1">INDEX(INDIRECT("'"&amp;$F34&amp;"'!$B$3:$T$300"),MATCH($B$6&amp;H$27&amp;H$28&amp;"Total inc GST",INDIRECT("'"&amp;$F34&amp;"'!$B$3:$B$300")&amp;INDIRECT("'"&amp;$F34&amp;"'!$C$3:$C$300")&amp;INDIRECT("'"&amp;$F34&amp;"'!$D$3:$D$300")&amp;INDIRECT("'"&amp;$F34&amp;"'!$G$3:$G$300"),0),MATCH(L$29&amp;O$30,INDIRECT("'"&amp;$F34&amp;"'!$B$4:$T$4")&amp;INDIRECT("'"&amp;$F34&amp;"'!$B$5:$T$5"),0))</f>
        <v>888.38546500000007</v>
      </c>
      <c r="P34" s="62"/>
      <c r="Q34" s="62"/>
      <c r="R34" s="62"/>
      <c r="S34" s="61">
        <f t="array" aca="1" ref="S34" ca="1">INDEX(INDIRECT("'"&amp;$F34&amp;"'!$B$3:$T$300"),MATCH($B$6&amp;R$27&amp;R$28&amp;"Total inc GST",INDIRECT("'"&amp;$F34&amp;"'!$B$3:$B$300")&amp;INDIRECT("'"&amp;$F34&amp;"'!$C$3:$C$300")&amp;INDIRECT("'"&amp;$F34&amp;"'!$D$3:$D$300")&amp;INDIRECT("'"&amp;$F34&amp;"'!$G$3:$G$300"),0),MATCH(S$29&amp;S$30,INDIRECT("'"&amp;$F34&amp;"'!$B$4:$T$4")&amp;INDIRECT("'"&amp;$F34&amp;"'!$B$5:$T$5"),0))</f>
        <v>992.84057399999983</v>
      </c>
      <c r="T34" s="62">
        <f ca="1">S34/R$33</f>
        <v>0.41803813642105259</v>
      </c>
      <c r="U34" s="62"/>
      <c r="V34" s="75">
        <f t="array" aca="1" ref="V34" ca="1">INDEX(INDIRECT("'"&amp;$F34&amp;"'!$B$3:$T$300"),MATCH($B$6&amp;R$27&amp;R$28&amp;"Total inc GST",INDIRECT("'"&amp;$F34&amp;"'!$B$3:$B$300")&amp;INDIRECT("'"&amp;$F34&amp;"'!$C$3:$C$300")&amp;INDIRECT("'"&amp;$F34&amp;"'!$D$3:$D$300")&amp;INDIRECT("'"&amp;$F34&amp;"'!$G$3:$G$300"),0),MATCH(V$29&amp;V$30,INDIRECT("'"&amp;$F34&amp;"'!$B$4:$T$4")&amp;INDIRECT("'"&amp;$F34&amp;"'!$B$5:$T$5"),0))</f>
        <v>1.5632933832940177E-2</v>
      </c>
      <c r="W34" s="62">
        <f ca="1">T34*V34</f>
        <v>6.5351625263159342E-3</v>
      </c>
      <c r="X34" s="62">
        <f ca="1">Y34/R$39</f>
        <v>0.42317185149122261</v>
      </c>
      <c r="Y34" s="61">
        <f t="array" aca="1" ref="Y34" ca="1">INDEX(INDIRECT("'"&amp;$F34&amp;"'!$B$3:$T$300"),MATCH($B$6&amp;R$27&amp;R$28&amp;"Total inc GST",INDIRECT("'"&amp;$F34&amp;"'!$B$3:$B$300")&amp;INDIRECT("'"&amp;$F34&amp;"'!$C$3:$C$300")&amp;INDIRECT("'"&amp;$F34&amp;"'!$D$3:$D$300")&amp;INDIRECT("'"&amp;$F34&amp;"'!$G$3:$G$300"),0),MATCH(V$29&amp;Y$30,INDIRECT("'"&amp;$F34&amp;"'!$B$4:$T$4")&amp;INDIRECT("'"&amp;$F34&amp;"'!$B$5:$T$5"),0))</f>
        <v>1008.3615850000001</v>
      </c>
      <c r="Z34" s="62"/>
      <c r="AA34" s="63"/>
      <c r="AB34" s="63"/>
      <c r="AC34" s="61">
        <f t="array" aca="1" ref="AC34" ca="1">INDEX(INDIRECT("'"&amp;$F34&amp;"'!$B$3:$T$300"),MATCH($B$6&amp;AB$27&amp;AB$28&amp;"Total inc GST",INDIRECT("'"&amp;$F34&amp;"'!$B$3:$B$300")&amp;INDIRECT("'"&amp;$F34&amp;"'!$C$3:$C$300")&amp;INDIRECT("'"&amp;$F34&amp;"'!$D$3:$D$300")&amp;INDIRECT("'"&amp;$F34&amp;"'!$G$3:$G$300"),0),MATCH(AC$29&amp;AC$30,INDIRECT("'"&amp;$F34&amp;"'!$B$4:$T$4")&amp;INDIRECT("'"&amp;$F34&amp;"'!$B$5:$T$5"),0))</f>
        <v>3504.2235250000003</v>
      </c>
      <c r="AD34" s="62">
        <f ca="1">AC34/AB$33</f>
        <v>0.43557781541330021</v>
      </c>
      <c r="AE34" s="62"/>
      <c r="AF34" s="75">
        <f t="array" aca="1" ref="AF34" ca="1">INDEX(INDIRECT("'"&amp;$F34&amp;"'!$B$3:$T$300"),MATCH($B$6&amp;AB$27&amp;AB$28&amp;"Total inc GST",INDIRECT("'"&amp;$F34&amp;"'!$B$3:$B$300")&amp;INDIRECT("'"&amp;$F34&amp;"'!$C$3:$C$300")&amp;INDIRECT("'"&amp;$F34&amp;"'!$D$3:$D$300")&amp;INDIRECT("'"&amp;$F34&amp;"'!$G$3:$G$300"),0),MATCH(AF$29&amp;AF$30,INDIRECT("'"&amp;$F34&amp;"'!$B$4:$T$4")&amp;INDIRECT("'"&amp;$F34&amp;"'!$B$5:$T$5"),0))</f>
        <v>2.0554624865147808E-3</v>
      </c>
      <c r="AG34" s="62">
        <f ca="1">AD34*AF34</f>
        <v>8.9531385954009829E-4</v>
      </c>
      <c r="AH34" s="62">
        <f ca="1">AI34/AB$39</f>
        <v>0.43452888098300524</v>
      </c>
      <c r="AI34" s="61">
        <f t="array" aca="1" ref="AI34" ca="1">INDEX(INDIRECT("'"&amp;$F34&amp;"'!$B$3:$T$300"),MATCH($B$6&amp;AB$27&amp;AB$28&amp;"Total inc GST",INDIRECT("'"&amp;$F34&amp;"'!$B$3:$B$300")&amp;INDIRECT("'"&amp;$F34&amp;"'!$C$3:$C$300")&amp;INDIRECT("'"&amp;$F34&amp;"'!$D$3:$D$300")&amp;INDIRECT("'"&amp;$F34&amp;"'!$G$3:$G$300"),0),MATCH(AF$29&amp;AI$30,INDIRECT("'"&amp;$F34&amp;"'!$B$4:$T$4")&amp;INDIRECT("'"&amp;$F34&amp;"'!$B$5:$T$5"),0))</f>
        <v>3511.4263250000004</v>
      </c>
      <c r="AJ34" s="62"/>
    </row>
    <row r="35" spans="2:36" ht="15" customHeight="1" x14ac:dyDescent="0.3">
      <c r="F35" s="64" t="s">
        <v>69</v>
      </c>
      <c r="G35" s="64"/>
      <c r="H35" s="63"/>
      <c r="I35" s="61">
        <f t="array" aca="1" ref="I35" ca="1">INDEX(INDIRECT("'"&amp;$F35&amp;"'!$B$3:$T$300"),MATCH($B$6&amp;H$27&amp;H$28&amp;"Total inc GST",INDIRECT("'"&amp;$F35&amp;"'!$B$3:$B$300")&amp;INDIRECT("'"&amp;$F35&amp;"'!$C$3:$C$300")&amp;INDIRECT("'"&amp;$F35&amp;"'!$D$3:$D$300")&amp;INDIRECT("'"&amp;$F35&amp;"'!$G$3:$G$300"),0),MATCH(I$29&amp;I$30,INDIRECT("'"&amp;$F35&amp;"'!$B$4:$T$4")&amp;INDIRECT("'"&amp;$F35&amp;"'!$B$5:$T$5"),0))</f>
        <v>522.04020000000003</v>
      </c>
      <c r="J35" s="62">
        <f ca="1">I35/H$33</f>
        <v>0.26675533980582528</v>
      </c>
      <c r="K35" s="62"/>
      <c r="L35" s="75">
        <f t="array" aca="1" ref="L35" ca="1">INDEX(INDIRECT("'"&amp;$F35&amp;"'!$B$3:$T$300"),MATCH($B$6&amp;H$27&amp;H$28&amp;"Total inc GST",INDIRECT("'"&amp;$F35&amp;"'!$B$3:$B$300")&amp;INDIRECT("'"&amp;$F35&amp;"'!$C$3:$C$300")&amp;INDIRECT("'"&amp;$F35&amp;"'!$D$3:$D$300")&amp;INDIRECT("'"&amp;$F35&amp;"'!$G$3:$G$300"),0),MATCH(L$29&amp;L$30,INDIRECT("'"&amp;$F35&amp;"'!$B$4:$T$4")&amp;INDIRECT("'"&amp;$F35&amp;"'!$B$5:$T$5"),0))</f>
        <v>2.0354754289037658E-2</v>
      </c>
      <c r="M35" s="62">
        <f ca="1">J35*L35</f>
        <v>5.4297393970363199E-3</v>
      </c>
      <c r="N35" s="62">
        <f ca="1">O35/H$39</f>
        <v>0.27086705312762893</v>
      </c>
      <c r="O35" s="61">
        <f t="array" aca="1" ref="O35" ca="1">INDEX(INDIRECT("'"&amp;$F35&amp;"'!$B$3:$T$300"),MATCH($B$6&amp;H$27&amp;H$28&amp;"Total inc GST",INDIRECT("'"&amp;$F35&amp;"'!$B$3:$B$300")&amp;INDIRECT("'"&amp;$F35&amp;"'!$C$3:$C$300")&amp;INDIRECT("'"&amp;$F35&amp;"'!$D$3:$D$300")&amp;INDIRECT("'"&amp;$F35&amp;"'!$G$3:$G$300"),0),MATCH(L$29&amp;O$30,INDIRECT("'"&amp;$F35&amp;"'!$B$4:$T$4")&amp;INDIRECT("'"&amp;$F35&amp;"'!$B$5:$T$5"),0))</f>
        <v>532.66620000000012</v>
      </c>
      <c r="P35" s="62"/>
      <c r="Q35" s="62"/>
      <c r="R35" s="62"/>
      <c r="S35" s="61">
        <f t="array" aca="1" ref="S35" ca="1">INDEX(INDIRECT("'"&amp;$F35&amp;"'!$B$3:$T$300"),MATCH($B$6&amp;R$27&amp;R$28&amp;"Total inc GST",INDIRECT("'"&amp;$F35&amp;"'!$B$3:$B$300")&amp;INDIRECT("'"&amp;$F35&amp;"'!$C$3:$C$300")&amp;INDIRECT("'"&amp;$F35&amp;"'!$D$3:$D$300")&amp;INDIRECT("'"&amp;$F35&amp;"'!$G$3:$G$300"),0),MATCH(S$29&amp;S$30,INDIRECT("'"&amp;$F35&amp;"'!$B$4:$T$4")&amp;INDIRECT("'"&amp;$F35&amp;"'!$B$5:$T$5"),0))</f>
        <v>731.28219999999999</v>
      </c>
      <c r="T35" s="62">
        <f ca="1">S35/R$33</f>
        <v>0.30790829473684211</v>
      </c>
      <c r="U35" s="62"/>
      <c r="V35" s="75">
        <f t="array" aca="1" ref="V35" ca="1">INDEX(INDIRECT("'"&amp;$F35&amp;"'!$B$3:$T$300"),MATCH($B$6&amp;R$27&amp;R$28&amp;"Total inc GST",INDIRECT("'"&amp;$F35&amp;"'!$B$3:$B$300")&amp;INDIRECT("'"&amp;$F35&amp;"'!$C$3:$C$300")&amp;INDIRECT("'"&amp;$F35&amp;"'!$D$3:$D$300")&amp;INDIRECT("'"&amp;$F35&amp;"'!$G$3:$G$300"),0),MATCH(V$29&amp;V$30,INDIRECT("'"&amp;$F35&amp;"'!$B$4:$T$4")&amp;INDIRECT("'"&amp;$F35&amp;"'!$B$5:$T$5"),0))</f>
        <v>-1.2033658141807901E-4</v>
      </c>
      <c r="W35" s="62">
        <f ca="1">T35*V35</f>
        <v>-3.7052631578901872E-5</v>
      </c>
      <c r="X35" s="62">
        <f ca="1">Y35/R$39</f>
        <v>0.30685500917177772</v>
      </c>
      <c r="Y35" s="61">
        <f t="array" aca="1" ref="Y35" ca="1">INDEX(INDIRECT("'"&amp;$F35&amp;"'!$B$3:$T$300"),MATCH($B$6&amp;R$27&amp;R$28&amp;"Total inc GST",INDIRECT("'"&amp;$F35&amp;"'!$B$3:$B$300")&amp;INDIRECT("'"&amp;$F35&amp;"'!$C$3:$C$300")&amp;INDIRECT("'"&amp;$F35&amp;"'!$D$3:$D$300")&amp;INDIRECT("'"&amp;$F35&amp;"'!$G$3:$G$300"),0),MATCH(V$29&amp;Y$30,INDIRECT("'"&amp;$F35&amp;"'!$B$4:$T$4")&amp;INDIRECT("'"&amp;$F35&amp;"'!$B$5:$T$5"),0))</f>
        <v>731.19420000000014</v>
      </c>
      <c r="Z35" s="62"/>
      <c r="AA35" s="63"/>
      <c r="AB35" s="63"/>
      <c r="AC35" s="61">
        <f t="array" aca="1" ref="AC35" ca="1">INDEX(INDIRECT("'"&amp;$F35&amp;"'!$B$3:$T$300"),MATCH($B$6&amp;AB$27&amp;AB$28&amp;"Total inc GST",INDIRECT("'"&amp;$F35&amp;"'!$B$3:$B$300")&amp;INDIRECT("'"&amp;$F35&amp;"'!$C$3:$C$300")&amp;INDIRECT("'"&amp;$F35&amp;"'!$D$3:$D$300")&amp;INDIRECT("'"&amp;$F35&amp;"'!$G$3:$G$300"),0),MATCH(AC$29&amp;AC$30,INDIRECT("'"&amp;$F35&amp;"'!$B$4:$T$4")&amp;INDIRECT("'"&amp;$F35&amp;"'!$B$5:$T$5"),0))</f>
        <v>2269.7400000000002</v>
      </c>
      <c r="AD35" s="62">
        <f ca="1">AC35/AB$33</f>
        <v>0.28213051584835303</v>
      </c>
      <c r="AE35" s="62"/>
      <c r="AF35" s="75">
        <f t="array" aca="1" ref="AF35" ca="1">INDEX(INDIRECT("'"&amp;$F35&amp;"'!$B$3:$T$300"),MATCH($B$6&amp;AB$27&amp;AB$28&amp;"Total inc GST",INDIRECT("'"&amp;$F35&amp;"'!$B$3:$B$300")&amp;INDIRECT("'"&amp;$F35&amp;"'!$C$3:$C$300")&amp;INDIRECT("'"&amp;$F35&amp;"'!$D$3:$D$300")&amp;INDIRECT("'"&amp;$F35&amp;"'!$G$3:$G$300"),0),MATCH(AF$29&amp;AF$30,INDIRECT("'"&amp;$F35&amp;"'!$B$4:$T$4")&amp;INDIRECT("'"&amp;$F35&amp;"'!$B$5:$T$5"),0))</f>
        <v>2.0354754289037436E-2</v>
      </c>
      <c r="AG35" s="62">
        <f ca="1">AD35*AF35</f>
        <v>5.7426973275326075E-3</v>
      </c>
      <c r="AH35" s="62">
        <f ca="1">AI35/AB$39</f>
        <v>0.28659089597267318</v>
      </c>
      <c r="AI35" s="61">
        <f t="array" aca="1" ref="AI35" ca="1">INDEX(INDIRECT("'"&amp;$F35&amp;"'!$B$3:$T$300"),MATCH($B$6&amp;AB$27&amp;AB$28&amp;"Total inc GST",INDIRECT("'"&amp;$F35&amp;"'!$B$3:$B$300")&amp;INDIRECT("'"&amp;$F35&amp;"'!$C$3:$C$300")&amp;INDIRECT("'"&amp;$F35&amp;"'!$D$3:$D$300")&amp;INDIRECT("'"&amp;$F35&amp;"'!$G$3:$G$300"),0),MATCH(AF$29&amp;AI$30,INDIRECT("'"&amp;$F35&amp;"'!$B$4:$T$4")&amp;INDIRECT("'"&amp;$F35&amp;"'!$B$5:$T$5"),0))</f>
        <v>2315.94</v>
      </c>
      <c r="AJ35" s="62"/>
    </row>
    <row r="36" spans="2:36" ht="15" customHeight="1" x14ac:dyDescent="0.3">
      <c r="F36" s="64" t="s">
        <v>70</v>
      </c>
      <c r="G36" s="64"/>
      <c r="H36" s="63"/>
      <c r="I36" s="61">
        <f t="array" aca="1" ref="I36" ca="1">INDEX(INDIRECT("'"&amp;$F36&amp;"'!$B$3:$T$300"),MATCH($B$6&amp;H$27&amp;H$28&amp;"Total inc GST",INDIRECT("'"&amp;$F36&amp;"'!$B$3:$B$300")&amp;INDIRECT("'"&amp;$F36&amp;"'!$C$3:$C$300")&amp;INDIRECT("'"&amp;$F36&amp;"'!$D$3:$D$300")&amp;INDIRECT("'"&amp;$F36&amp;"'!$G$3:$G$300"),0),MATCH(I$29&amp;I$30,INDIRECT("'"&amp;$F36&amp;"'!$B$4:$T$4")&amp;INDIRECT("'"&amp;$F36&amp;"'!$B$5:$T$5"),0))</f>
        <v>98.72059999999999</v>
      </c>
      <c r="J36" s="62">
        <f ca="1">I36/H$33</f>
        <v>5.0444864588656102E-2</v>
      </c>
      <c r="K36" s="62"/>
      <c r="L36" s="75">
        <f t="array" aca="1" ref="L36" ca="1">INDEX(INDIRECT("'"&amp;$F36&amp;"'!$B$3:$T$300"),MATCH($B$6&amp;H$27&amp;H$28&amp;"Total inc GST",INDIRECT("'"&amp;$F36&amp;"'!$B$3:$B$300")&amp;INDIRECT("'"&amp;$F36&amp;"'!$C$3:$C$300")&amp;INDIRECT("'"&amp;$F36&amp;"'!$D$3:$D$300")&amp;INDIRECT("'"&amp;$F36&amp;"'!$G$3:$G$300"),0),MATCH(L$29&amp;L$30,INDIRECT("'"&amp;$F36&amp;"'!$B$4:$T$4")&amp;INDIRECT("'"&amp;$F36&amp;"'!$B$5:$T$5"),0))</f>
        <v>-0.11993849308047133</v>
      </c>
      <c r="M36" s="62">
        <f ca="1">J36*L36</f>
        <v>-6.0502810424118434E-3</v>
      </c>
      <c r="N36" s="62">
        <f ca="1">O36/H$39</f>
        <v>4.4179607696412923E-2</v>
      </c>
      <c r="O36" s="61">
        <f t="array" aca="1" ref="O36" ca="1">INDEX(INDIRECT("'"&amp;$F36&amp;"'!$B$3:$T$300"),MATCH($B$6&amp;H$27&amp;H$28&amp;"Total inc GST",INDIRECT("'"&amp;$F36&amp;"'!$B$3:$B$300")&amp;INDIRECT("'"&amp;$F36&amp;"'!$C$3:$C$300")&amp;INDIRECT("'"&amp;$F36&amp;"'!$D$3:$D$300")&amp;INDIRECT("'"&amp;$F36&amp;"'!$G$3:$G$300"),0),MATCH(L$29&amp;O$30,INDIRECT("'"&amp;$F36&amp;"'!$B$4:$T$4")&amp;INDIRECT("'"&amp;$F36&amp;"'!$B$5:$T$5"),0))</f>
        <v>86.880200000000016</v>
      </c>
      <c r="P36" s="62"/>
      <c r="Q36" s="62"/>
      <c r="R36" s="62"/>
      <c r="S36" s="61">
        <f t="array" aca="1" ref="S36" ca="1">INDEX(INDIRECT("'"&amp;$F36&amp;"'!$B$3:$T$300"),MATCH($B$6&amp;R$27&amp;R$28&amp;"Total inc GST",INDIRECT("'"&amp;$F36&amp;"'!$B$3:$B$300")&amp;INDIRECT("'"&amp;$F36&amp;"'!$C$3:$C$300")&amp;INDIRECT("'"&amp;$F36&amp;"'!$D$3:$D$300")&amp;INDIRECT("'"&amp;$F36&amp;"'!$G$3:$G$300"),0),MATCH(S$29&amp;S$30,INDIRECT("'"&amp;$F36&amp;"'!$B$4:$T$4")&amp;INDIRECT("'"&amp;$F36&amp;"'!$B$5:$T$5"),0))</f>
        <v>141.64259999999999</v>
      </c>
      <c r="T36" s="62">
        <f ca="1">S36/R$33</f>
        <v>5.9638989473684206E-2</v>
      </c>
      <c r="U36" s="62"/>
      <c r="V36" s="75">
        <f t="array" aca="1" ref="V36" ca="1">INDEX(INDIRECT("'"&amp;$F36&amp;"'!$B$3:$T$300"),MATCH($B$6&amp;R$27&amp;R$28&amp;"Total inc GST",INDIRECT("'"&amp;$F36&amp;"'!$B$3:$B$300")&amp;INDIRECT("'"&amp;$F36&amp;"'!$C$3:$C$300")&amp;INDIRECT("'"&amp;$F36&amp;"'!$D$3:$D$300")&amp;INDIRECT("'"&amp;$F36&amp;"'!$G$3:$G$300"),0),MATCH(V$29&amp;V$30,INDIRECT("'"&amp;$F36&amp;"'!$B$4:$T$4")&amp;INDIRECT("'"&amp;$F36&amp;"'!$B$5:$T$5"),0))</f>
        <v>-0.11993849308047133</v>
      </c>
      <c r="W36" s="62">
        <f ca="1">T36*V36</f>
        <v>-7.1530105263157761E-3</v>
      </c>
      <c r="X36" s="62">
        <f ca="1">Y36/R$39</f>
        <v>5.2312731261135025E-2</v>
      </c>
      <c r="Y36" s="61">
        <f t="array" aca="1" ref="Y36" ca="1">INDEX(INDIRECT("'"&amp;$F36&amp;"'!$B$3:$T$300"),MATCH($B$6&amp;R$27&amp;R$28&amp;"Total inc GST",INDIRECT("'"&amp;$F36&amp;"'!$B$3:$B$300")&amp;INDIRECT("'"&amp;$F36&amp;"'!$C$3:$C$300")&amp;INDIRECT("'"&amp;$F36&amp;"'!$D$3:$D$300")&amp;INDIRECT("'"&amp;$F36&amp;"'!$G$3:$G$300"),0),MATCH(V$29&amp;Y$30,INDIRECT("'"&amp;$F36&amp;"'!$B$4:$T$4")&amp;INDIRECT("'"&amp;$F36&amp;"'!$B$5:$T$5"),0))</f>
        <v>124.65420000000002</v>
      </c>
      <c r="Z36" s="62"/>
      <c r="AA36" s="63"/>
      <c r="AB36" s="63"/>
      <c r="AC36" s="61">
        <f t="array" aca="1" ref="AC36" ca="1">INDEX(INDIRECT("'"&amp;$F36&amp;"'!$B$3:$T$300"),MATCH($B$6&amp;AB$27&amp;AB$28&amp;"Total inc GST",INDIRECT("'"&amp;$F36&amp;"'!$B$3:$B$300")&amp;INDIRECT("'"&amp;$F36&amp;"'!$C$3:$C$300")&amp;INDIRECT("'"&amp;$F36&amp;"'!$D$3:$D$300")&amp;INDIRECT("'"&amp;$F36&amp;"'!$G$3:$G$300"),0),MATCH(AC$29&amp;AC$30,INDIRECT("'"&amp;$F36&amp;"'!$B$4:$T$4")&amp;INDIRECT("'"&amp;$F36&amp;"'!$B$5:$T$5"),0))</f>
        <v>429.22</v>
      </c>
      <c r="AD36" s="62">
        <f ca="1">AC36/AB$33</f>
        <v>5.3352392790553142E-2</v>
      </c>
      <c r="AE36" s="62"/>
      <c r="AF36" s="75">
        <f t="array" aca="1" ref="AF36" ca="1">INDEX(INDIRECT("'"&amp;$F36&amp;"'!$B$3:$T$300"),MATCH($B$6&amp;AB$27&amp;AB$28&amp;"Total inc GST",INDIRECT("'"&amp;$F36&amp;"'!$B$3:$B$300")&amp;INDIRECT("'"&amp;$F36&amp;"'!$C$3:$C$300")&amp;INDIRECT("'"&amp;$F36&amp;"'!$D$3:$D$300")&amp;INDIRECT("'"&amp;$F36&amp;"'!$G$3:$G$300"),0),MATCH(AF$29&amp;AF$30,INDIRECT("'"&amp;$F36&amp;"'!$B$4:$T$4")&amp;INDIRECT("'"&amp;$F36&amp;"'!$B$5:$T$5"),0))</f>
        <v>-0.11993849308047155</v>
      </c>
      <c r="AG36" s="62">
        <f ca="1">AD36*AF36</f>
        <v>-6.3990055935363582E-3</v>
      </c>
      <c r="AH36" s="62">
        <f ca="1">AI36/AB$39</f>
        <v>4.6744235621267199E-2</v>
      </c>
      <c r="AI36" s="61">
        <f t="array" aca="1" ref="AI36" ca="1">INDEX(INDIRECT("'"&amp;$F36&amp;"'!$B$3:$T$300"),MATCH($B$6&amp;AB$27&amp;AB$28&amp;"Total inc GST",INDIRECT("'"&amp;$F36&amp;"'!$B$3:$B$300")&amp;INDIRECT("'"&amp;$F36&amp;"'!$C$3:$C$300")&amp;INDIRECT("'"&amp;$F36&amp;"'!$D$3:$D$300")&amp;INDIRECT("'"&amp;$F36&amp;"'!$G$3:$G$300"),0),MATCH(AF$29&amp;AI$30,INDIRECT("'"&amp;$F36&amp;"'!$B$4:$T$4")&amp;INDIRECT("'"&amp;$F36&amp;"'!$B$5:$T$5"),0))</f>
        <v>377.74</v>
      </c>
      <c r="AJ36" s="62"/>
    </row>
    <row r="37" spans="2:36" ht="15" customHeight="1" x14ac:dyDescent="0.3">
      <c r="F37" s="64" t="s">
        <v>71</v>
      </c>
      <c r="G37" s="64"/>
      <c r="H37" s="63"/>
      <c r="I37" s="61">
        <f ca="1">H33-SUM(I34:I36)</f>
        <v>450.26097500000014</v>
      </c>
      <c r="J37" s="62">
        <f ca="1">1-SUM(J34:J36)</f>
        <v>0.2300771461420541</v>
      </c>
      <c r="K37" s="62"/>
      <c r="L37" s="62">
        <f>CPI</f>
        <v>1.8500000000000003E-2</v>
      </c>
      <c r="M37" s="62">
        <f ca="1">J37*L37</f>
        <v>4.2564272036280017E-3</v>
      </c>
      <c r="N37" s="62">
        <f ca="1">O37/H$39</f>
        <v>0.23319883899184979</v>
      </c>
      <c r="O37" s="61">
        <f ca="1">H39-SUM(O34:O36)</f>
        <v>458.59080303749988</v>
      </c>
      <c r="P37" s="65">
        <f t="array" ref="P37">INDEX('Detail inputs'!$B$3:$L$211,MATCH($B6&amp;P$30,'Detail inputs'!$B$3:$B$211&amp;'Detail inputs'!$G$3:$G$211,0),MATCH(L$29,'Detail inputs'!$B$3:$L$3,0))</f>
        <v>0</v>
      </c>
      <c r="Q37" s="62"/>
      <c r="R37" s="62"/>
      <c r="S37" s="61">
        <f ca="1">R33-SUM(S34:S36)</f>
        <v>509.23462600000016</v>
      </c>
      <c r="T37" s="62">
        <f ca="1">1-SUM(T34:T36)</f>
        <v>0.21441457936842112</v>
      </c>
      <c r="U37" s="62"/>
      <c r="V37" s="62">
        <f>CPI</f>
        <v>1.8500000000000003E-2</v>
      </c>
      <c r="W37" s="62">
        <f ca="1">T37*V37</f>
        <v>3.9666697183157913E-3</v>
      </c>
      <c r="X37" s="62">
        <f ca="1">Y37/R$39</f>
        <v>0.2176604080758647</v>
      </c>
      <c r="Y37" s="61">
        <f ca="1">R39-SUM(Y34:Y36)</f>
        <v>518.65546658100016</v>
      </c>
      <c r="Z37" s="65">
        <f t="array" ref="Z37">INDEX('Detail inputs'!$B$3:$L$211,MATCH($B6&amp;Z$30,'Detail inputs'!$B$3:$B$211&amp;'Detail inputs'!$G$3:$G$211,0),MATCH(V$29,'Detail inputs'!$B$3:$L$3,0))</f>
        <v>0</v>
      </c>
      <c r="AA37" s="63"/>
      <c r="AB37" s="63"/>
      <c r="AC37" s="61">
        <f ca="1">AB33-SUM(AC34:AC36)</f>
        <v>1841.8164749999987</v>
      </c>
      <c r="AD37" s="62">
        <f ca="1">1-SUM(AD34:AD36)</f>
        <v>0.22893927594779362</v>
      </c>
      <c r="AE37" s="62"/>
      <c r="AF37" s="62">
        <f>CPI</f>
        <v>1.8500000000000003E-2</v>
      </c>
      <c r="AG37" s="62">
        <f ca="1">AD37*AF37</f>
        <v>4.2353766050341824E-3</v>
      </c>
      <c r="AH37" s="62">
        <f ca="1">AI37/AB$39</f>
        <v>0.23213598742305439</v>
      </c>
      <c r="AI37" s="61">
        <f ca="1">AB39-SUM(AI34:AI36)</f>
        <v>1875.8900797874985</v>
      </c>
      <c r="AJ37" s="65">
        <f t="array" ref="AJ37">INDEX('Detail inputs'!$B$3:$L$211,MATCH($B6&amp;AJ$30,'Detail inputs'!$B$3:$B$211&amp;'Detail inputs'!$G$3:$G$211,0),MATCH(AF$29,'Detail inputs'!$B$3:$L$3,0))</f>
        <v>0</v>
      </c>
    </row>
    <row r="38" spans="2:36" s="5" customFormat="1" ht="15" customHeight="1" x14ac:dyDescent="0.3">
      <c r="F38" s="60" t="s">
        <v>77</v>
      </c>
      <c r="G38" s="60"/>
      <c r="H38" s="63"/>
      <c r="I38" s="62"/>
      <c r="J38" s="62">
        <f ca="1">SUM(J34:J37)</f>
        <v>1</v>
      </c>
      <c r="K38" s="62"/>
      <c r="L38" s="62">
        <f ca="1">SUMPRODUCT(J34:J37,L34:L37)</f>
        <v>4.8659519864589912E-3</v>
      </c>
      <c r="M38" s="62">
        <f ca="1">SUM(M34:M37)</f>
        <v>4.8659519864589912E-3</v>
      </c>
      <c r="N38" s="62">
        <f ca="1">SUM(N34:N37)</f>
        <v>1</v>
      </c>
      <c r="O38" s="62"/>
      <c r="P38" s="3"/>
      <c r="Q38" s="62"/>
      <c r="R38" s="62"/>
      <c r="S38" s="62"/>
      <c r="T38" s="62">
        <f ca="1">SUM(T34:T37)</f>
        <v>1</v>
      </c>
      <c r="U38" s="62"/>
      <c r="V38" s="62">
        <f ca="1">SUMPRODUCT(T34:T37,V34:V37)</f>
        <v>3.3117690867370472E-3</v>
      </c>
      <c r="W38" s="62">
        <f ca="1">SUM(W34:W37)</f>
        <v>3.3117690867370472E-3</v>
      </c>
      <c r="X38" s="62">
        <f ca="1">SUM(X34:X37)</f>
        <v>1</v>
      </c>
      <c r="Y38" s="62"/>
      <c r="Z38" s="3"/>
      <c r="AA38" s="63"/>
      <c r="AB38" s="63"/>
      <c r="AC38" s="63"/>
      <c r="AD38" s="62">
        <f ca="1">SUM(AD34:AD37)</f>
        <v>1</v>
      </c>
      <c r="AE38" s="62"/>
      <c r="AF38" s="62">
        <f ca="1">SUMPRODUCT(AD34:AD37,AF34:AF37)</f>
        <v>4.4743821985705296E-3</v>
      </c>
      <c r="AG38" s="62">
        <f ca="1">SUM(AG34:AG37)</f>
        <v>4.4743821985705296E-3</v>
      </c>
      <c r="AH38" s="62">
        <f ca="1">SUM(AH34:AH37)</f>
        <v>1</v>
      </c>
      <c r="AI38" s="62"/>
      <c r="AJ38" s="3"/>
    </row>
    <row r="39" spans="2:36" ht="15" thickBot="1" x14ac:dyDescent="0.35">
      <c r="B39" s="116"/>
      <c r="F39" s="108" t="str">
        <f>"DMO "&amp;FY&amp;" price"</f>
        <v>DMO 2020-21 price</v>
      </c>
      <c r="G39" s="108"/>
      <c r="H39" s="109">
        <f ca="1">H33*(1+L38)+P37</f>
        <v>1966.5226680375001</v>
      </c>
      <c r="I39" s="110"/>
      <c r="J39" s="110"/>
      <c r="K39" s="110"/>
      <c r="L39" s="110"/>
      <c r="M39" s="110"/>
      <c r="N39" s="110"/>
      <c r="O39" s="110"/>
      <c r="P39" s="110"/>
      <c r="Q39" s="110"/>
      <c r="R39" s="109">
        <f ca="1">R33*(1+V38)+Z37</f>
        <v>2382.8654515810003</v>
      </c>
      <c r="S39" s="109"/>
      <c r="T39" s="110"/>
      <c r="U39" s="110"/>
      <c r="V39" s="110"/>
      <c r="W39" s="110"/>
      <c r="X39" s="111"/>
      <c r="Y39" s="111"/>
      <c r="Z39" s="111"/>
      <c r="AA39" s="111"/>
      <c r="AB39" s="109">
        <f ca="1">AB33*(1+AF38)+AJ37</f>
        <v>8080.9964047874992</v>
      </c>
      <c r="AC39" s="109"/>
      <c r="AD39" s="110"/>
      <c r="AE39" s="110"/>
      <c r="AF39" s="110"/>
      <c r="AG39" s="110"/>
      <c r="AH39" s="110"/>
      <c r="AI39" s="110"/>
      <c r="AJ39" s="110"/>
    </row>
    <row r="40" spans="2:36" ht="15" thickTop="1" x14ac:dyDescent="0.3">
      <c r="F40" s="177" t="s">
        <v>197</v>
      </c>
    </row>
    <row r="41" spans="2:36" x14ac:dyDescent="0.3">
      <c r="F41" s="177" t="str">
        <f>"Residual cost for "&amp;FY&amp;" includes step change and any one-off adjustment"</f>
        <v>Residual cost for 2020-21 includes step change and any one-off adjustment</v>
      </c>
    </row>
    <row r="42" spans="2:36" x14ac:dyDescent="0.3">
      <c r="F42" s="145" t="s">
        <v>160</v>
      </c>
    </row>
    <row r="43" spans="2:36" hidden="1" x14ac:dyDescent="0.3">
      <c r="F43" s="177"/>
    </row>
    <row r="44" spans="2:36" s="119" customFormat="1" ht="12" hidden="1" x14ac:dyDescent="0.3">
      <c r="F44" s="143" t="s">
        <v>106</v>
      </c>
      <c r="G44" s="143"/>
      <c r="H44" s="144"/>
      <c r="I44" s="143"/>
      <c r="J44" s="143"/>
      <c r="K44" s="143"/>
      <c r="L44" s="143"/>
      <c r="M44" s="143"/>
      <c r="N44" s="143"/>
      <c r="O44" s="143" t="b">
        <f ca="1">O37=I37*(1+L37)+P37</f>
        <v>1</v>
      </c>
      <c r="P44" s="143"/>
      <c r="Q44" s="143"/>
      <c r="R44" s="143"/>
      <c r="S44" s="143"/>
      <c r="T44" s="143"/>
      <c r="U44" s="143"/>
      <c r="V44" s="143"/>
      <c r="W44" s="143"/>
      <c r="X44" s="143"/>
      <c r="Y44" s="143" t="b">
        <f ca="1">Y37=S37*(1+V37)+Z37</f>
        <v>1</v>
      </c>
      <c r="Z44" s="143"/>
      <c r="AA44" s="143"/>
      <c r="AB44" s="143"/>
      <c r="AC44" s="143"/>
      <c r="AD44" s="143"/>
      <c r="AE44" s="143"/>
      <c r="AF44" s="143"/>
      <c r="AG44" s="143"/>
      <c r="AH44" s="143"/>
      <c r="AI44" s="143" t="b">
        <f ca="1">AI37=AC37*(1+AF37)+AJ37</f>
        <v>1</v>
      </c>
      <c r="AJ44" s="143"/>
    </row>
    <row r="45" spans="2:36" hidden="1" x14ac:dyDescent="0.3"/>
    <row r="46" spans="2:36" hidden="1" x14ac:dyDescent="0.3"/>
    <row r="47" spans="2:36" hidden="1" x14ac:dyDescent="0.3"/>
    <row r="48" spans="2:36" hidden="1" x14ac:dyDescent="0.3">
      <c r="H48" s="114"/>
    </row>
  </sheetData>
  <sheetProtection algorithmName="SHA-256" hashValue="HjsiRiI9AeFM9zEl8t20dDJbQDUfAtovnnHXn+g8RgM=" saltValue="f8zIbJk2bbFoRn0P3qlEvg==" spinCount="100000" sheet="1" objects="1" scenarios="1"/>
  <mergeCells count="15">
    <mergeCell ref="A1:B1"/>
    <mergeCell ref="S29:T29"/>
    <mergeCell ref="V29:Z29"/>
    <mergeCell ref="AC29:AD29"/>
    <mergeCell ref="AF29:AJ29"/>
    <mergeCell ref="B6:B7"/>
    <mergeCell ref="F27:F32"/>
    <mergeCell ref="H27:P27"/>
    <mergeCell ref="R27:Z27"/>
    <mergeCell ref="AB27:AJ27"/>
    <mergeCell ref="H28:P28"/>
    <mergeCell ref="R28:Z28"/>
    <mergeCell ref="AB28:AJ28"/>
    <mergeCell ref="I29:J29"/>
    <mergeCell ref="L29:P29"/>
  </mergeCells>
  <conditionalFormatting sqref="F33:AJ39">
    <cfRule type="expression" dxfId="43" priority="3">
      <formula>MOD(ROW(),2)=0</formula>
    </cfRule>
    <cfRule type="expression" dxfId="42" priority="4">
      <formula>AND(MOD(ROW(),2)=0,F$30="Proportion",$F33="Overall change in costs (%)")</formula>
    </cfRule>
    <cfRule type="expression" dxfId="41" priority="5">
      <formula>AND(MOD(ROW(),1)=0,F$30="Proportion",$F33="Overall change in costs (%)")</formula>
    </cfRule>
  </conditionalFormatting>
  <conditionalFormatting sqref="G44:AJ44">
    <cfRule type="cellIs" dxfId="40" priority="1" operator="equal">
      <formula>FALSE</formula>
    </cfRule>
    <cfRule type="cellIs" dxfId="39"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8"/>
  <sheetViews>
    <sheetView zoomScaleNormal="100" workbookViewId="0">
      <selection sqref="A1:B1"/>
    </sheetView>
  </sheetViews>
  <sheetFormatPr defaultColWidth="0" defaultRowHeight="14.4" zeroHeight="1" x14ac:dyDescent="0.3"/>
  <cols>
    <col min="1" max="1" width="1.6640625" style="3" customWidth="1"/>
    <col min="2" max="2" width="33.88671875" style="3" bestFit="1" customWidth="1"/>
    <col min="3" max="5" width="13.33203125" style="3" customWidth="1"/>
    <col min="6" max="6" width="26.6640625" style="3" customWidth="1"/>
    <col min="7" max="7" width="5.88671875" style="3" customWidth="1"/>
    <col min="8" max="10" width="10.6640625" style="3" customWidth="1"/>
    <col min="11" max="11" width="1.6640625" style="3" customWidth="1"/>
    <col min="12" max="12" width="10.6640625" style="3" customWidth="1"/>
    <col min="13" max="13" width="9.44140625" style="3" hidden="1" customWidth="1"/>
    <col min="14" max="14" width="13.33203125" style="3" hidden="1" customWidth="1"/>
    <col min="15" max="15" width="10.6640625" style="3" customWidth="1"/>
    <col min="16" max="16" width="10.6640625" style="3" hidden="1" customWidth="1"/>
    <col min="17" max="17" width="5.6640625" style="3" customWidth="1"/>
    <col min="18" max="20" width="10.6640625" style="3" customWidth="1"/>
    <col min="21" max="21" width="1.6640625" style="3" customWidth="1"/>
    <col min="22" max="22" width="10.6640625" style="3" customWidth="1"/>
    <col min="23" max="23" width="9.33203125" style="3" hidden="1" customWidth="1"/>
    <col min="24" max="24" width="13.33203125" style="3" hidden="1" customWidth="1"/>
    <col min="25" max="25" width="10.6640625" style="3" customWidth="1"/>
    <col min="26" max="26" width="10.6640625" style="3" hidden="1" customWidth="1"/>
    <col min="27" max="27" width="5.6640625" style="3" customWidth="1"/>
    <col min="28" max="30" width="10.6640625" style="3" customWidth="1"/>
    <col min="31" max="31" width="1.6640625" style="3" customWidth="1"/>
    <col min="32" max="32" width="10.6640625" style="3" customWidth="1"/>
    <col min="33" max="34" width="0" style="3" hidden="1" customWidth="1"/>
    <col min="35" max="36" width="10.6640625" style="3" customWidth="1"/>
    <col min="37" max="37" width="8.88671875" style="3" customWidth="1"/>
    <col min="38" max="16384" width="8.88671875" style="3" hidden="1"/>
  </cols>
  <sheetData>
    <row r="1" spans="1:37" ht="10.199999999999999" customHeight="1" x14ac:dyDescent="0.3">
      <c r="A1" s="246" t="s">
        <v>22</v>
      </c>
      <c r="B1" s="272"/>
    </row>
    <row r="2" spans="1:37" s="15" customFormat="1" ht="22.5" customHeight="1" x14ac:dyDescent="0.3">
      <c r="A2" s="16" t="s">
        <v>0</v>
      </c>
    </row>
    <row r="3" spans="1:37" s="101" customFormat="1" ht="15" thickBot="1" x14ac:dyDescent="0.35">
      <c r="C3" s="101" t="str">
        <f>$A$2&amp;" "&amp;C6&amp;" "&amp;C7</f>
        <v>Energex Residential without CL</v>
      </c>
      <c r="D3" s="101" t="str">
        <f>$A$2&amp;" "&amp;D6&amp;" "&amp;D7</f>
        <v>Energex Residential with CL</v>
      </c>
      <c r="E3" s="101" t="str">
        <f>$A$2&amp;" "&amp;E6&amp;" "&amp;E7</f>
        <v>Energex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ht="15.6" x14ac:dyDescent="0.3">
      <c r="B4" s="38" t="s">
        <v>21</v>
      </c>
      <c r="F4" s="38"/>
      <c r="G4" s="120" t="s">
        <v>105</v>
      </c>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row>
    <row r="5" spans="1:37" ht="4.95" customHeight="1" x14ac:dyDescent="0.3">
      <c r="B5" s="5"/>
      <c r="G5" s="123"/>
      <c r="H5" s="124"/>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125"/>
    </row>
    <row r="6" spans="1:37" ht="19.95" customHeight="1" x14ac:dyDescent="0.3">
      <c r="B6" s="279" t="str">
        <f>A2</f>
        <v>Energex</v>
      </c>
      <c r="C6" s="58" t="s">
        <v>6</v>
      </c>
      <c r="D6" s="58" t="s">
        <v>6</v>
      </c>
      <c r="E6" s="58" t="s">
        <v>85</v>
      </c>
      <c r="G6" s="123"/>
      <c r="H6" s="124"/>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125"/>
    </row>
    <row r="7" spans="1:37" ht="19.95" customHeight="1" x14ac:dyDescent="0.3">
      <c r="B7" s="279"/>
      <c r="C7" s="59" t="s">
        <v>158</v>
      </c>
      <c r="D7" s="59" t="s">
        <v>159</v>
      </c>
      <c r="E7" s="59" t="s">
        <v>158</v>
      </c>
      <c r="G7" s="123"/>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125"/>
    </row>
    <row r="8" spans="1:37" ht="1.95" customHeight="1" x14ac:dyDescent="0.3">
      <c r="B8" s="36"/>
      <c r="C8" s="37"/>
      <c r="D8" s="37"/>
      <c r="E8" s="37"/>
      <c r="G8" s="123"/>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125"/>
    </row>
    <row r="9" spans="1:37" s="56" customFormat="1" ht="30" customHeight="1" x14ac:dyDescent="0.3">
      <c r="B9" s="66" t="str">
        <f>"DMO "&amp;FY&amp;" price ($ pa, inc GST)"</f>
        <v>DMO 2020-21 price ($ pa, inc GST)</v>
      </c>
      <c r="C9" s="245">
        <f ca="1">ROUND(H39,0)</f>
        <v>1484</v>
      </c>
      <c r="D9" s="245">
        <f ca="1">ROUND(R39,0)</f>
        <v>1780</v>
      </c>
      <c r="E9" s="245">
        <f ca="1">ROUND(AB39,0)</f>
        <v>5647</v>
      </c>
      <c r="F9" s="3"/>
      <c r="G9" s="123"/>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126"/>
    </row>
    <row r="10" spans="1:37" ht="1.95" customHeight="1" x14ac:dyDescent="0.3">
      <c r="B10" s="67"/>
      <c r="C10" s="68"/>
      <c r="D10" s="68"/>
      <c r="E10" s="68"/>
      <c r="F10" s="56"/>
      <c r="G10" s="127"/>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5"/>
    </row>
    <row r="11" spans="1:37" ht="19.95" customHeight="1" x14ac:dyDescent="0.3">
      <c r="B11" s="69" t="s">
        <v>50</v>
      </c>
      <c r="C11" s="70">
        <f>SUM(C12:C13)</f>
        <v>4600</v>
      </c>
      <c r="D11" s="70">
        <f>SUM(D12:D13)</f>
        <v>6300</v>
      </c>
      <c r="E11" s="70">
        <f>SUM(E12:E13)</f>
        <v>20000</v>
      </c>
      <c r="G11" s="123"/>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125"/>
    </row>
    <row r="12" spans="1:37" ht="19.95" customHeight="1" x14ac:dyDescent="0.3">
      <c r="B12" s="71" t="s">
        <v>53</v>
      </c>
      <c r="C12" s="72">
        <f t="array" ref="C12">INDEX(Usage!$B$5:$Q$18,MATCH($B6,Usage!$B$5:$B$18,0),MATCH(C$6&amp;C$7&amp;"Flat rate"&amp;"Total",Usage!$B$5:$Q$5&amp;Usage!$B$6:$Q$6&amp;Usage!$B$7:$Q$7&amp;Usage!$B$13:$Q$13,0))</f>
        <v>4600</v>
      </c>
      <c r="D12" s="72">
        <f t="array" ref="D12">INDEX(Usage!$B$5:$Q$18,MATCH($B6,Usage!$B$5:$B$18,0),MATCH(D$6&amp;D$7&amp;"Flat rate"&amp;"Total",Usage!$B$5:$Q$5&amp;Usage!$B$6:$Q$6&amp;Usage!$B$7:$Q$7&amp;Usage!$B$13:$Q$13,0))</f>
        <v>4400</v>
      </c>
      <c r="E12" s="72">
        <f t="array" ref="E12">INDEX(Usage!$B$5:$Q$18,MATCH($B6,Usage!$B$5:$B$18,0),MATCH(E$6&amp;E$7&amp;"Flat rate"&amp;"Total",Usage!$B$5:$Q$5&amp;Usage!$B$6:$Q$6&amp;Usage!$B$7:$Q$7&amp;Usage!$B$13:$Q$13,0))</f>
        <v>20000</v>
      </c>
      <c r="G12" s="123"/>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125"/>
    </row>
    <row r="13" spans="1:37" ht="19.95" customHeight="1" x14ac:dyDescent="0.3">
      <c r="B13" s="71" t="s">
        <v>52</v>
      </c>
      <c r="C13" s="72"/>
      <c r="D13" s="72">
        <f t="array" ref="D13">INDEX(Usage!$B$5:$Q$18,MATCH($B6,Usage!$B$5:$B$18,0),MATCH(D$6&amp;D$7&amp;"CL"&amp;"Total",Usage!$B$5:$Q$5&amp;Usage!$B$6:$Q$6&amp;Usage!$B$7:$Q$7&amp;Usage!$B$13:$Q$13,0))</f>
        <v>1900</v>
      </c>
      <c r="E13" s="72"/>
      <c r="G13" s="123"/>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125"/>
    </row>
    <row r="14" spans="1:37" ht="1.95" customHeight="1" x14ac:dyDescent="0.3">
      <c r="B14" s="73"/>
      <c r="C14" s="73"/>
      <c r="D14" s="73"/>
      <c r="E14" s="73"/>
      <c r="G14" s="123"/>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125"/>
    </row>
    <row r="15" spans="1:37" ht="19.95" customHeight="1" x14ac:dyDescent="0.3">
      <c r="B15" s="71" t="str">
        <f>"Change from DMO "&amp;PY&amp; " price ($)"</f>
        <v>Change from DMO 2019-20 price ($)</v>
      </c>
      <c r="C15" s="192">
        <f ca="1">C9-H33</f>
        <v>-86</v>
      </c>
      <c r="D15" s="192">
        <f ca="1">D9-R33</f>
        <v>-147</v>
      </c>
      <c r="E15" s="192">
        <f ca="1">E9-AB33</f>
        <v>-378</v>
      </c>
      <c r="G15" s="123"/>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125"/>
    </row>
    <row r="16" spans="1:37" ht="19.95" customHeight="1" thickBot="1" x14ac:dyDescent="0.35">
      <c r="B16" s="74" t="str">
        <f>"Change from DMO "&amp;PY&amp; " price (%)"</f>
        <v>Change from DMO 2019-20 price (%)</v>
      </c>
      <c r="C16" s="146">
        <f ca="1">C9/H33-1</f>
        <v>-5.4777070063694255E-2</v>
      </c>
      <c r="D16" s="146">
        <f ca="1">D9/R33-1</f>
        <v>-7.6284379865075191E-2</v>
      </c>
      <c r="E16" s="146">
        <f ca="1">E9/AB33-1</f>
        <v>-6.2738589211618234E-2</v>
      </c>
      <c r="G16" s="123"/>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125"/>
    </row>
    <row r="17" spans="2:37" ht="15" thickTop="1" x14ac:dyDescent="0.3">
      <c r="B17" s="116" t="s">
        <v>104</v>
      </c>
      <c r="G17" s="123"/>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125"/>
    </row>
    <row r="18" spans="2:37" x14ac:dyDescent="0.3">
      <c r="G18" s="123"/>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125"/>
    </row>
    <row r="19" spans="2:37" x14ac:dyDescent="0.3">
      <c r="G19" s="123"/>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125"/>
    </row>
    <row r="20" spans="2:37" ht="15.6" x14ac:dyDescent="0.3">
      <c r="B20" s="38"/>
      <c r="G20" s="123"/>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125"/>
    </row>
    <row r="21" spans="2:37" ht="15" customHeight="1" thickBot="1" x14ac:dyDescent="0.35">
      <c r="B21" s="36"/>
      <c r="D21" s="36"/>
      <c r="E21" s="36"/>
      <c r="F21" s="38"/>
      <c r="G21" s="129"/>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row>
    <row r="22" spans="2:37" s="39" customFormat="1" ht="15.6" x14ac:dyDescent="0.3">
      <c r="F22" s="38"/>
      <c r="G22" s="3"/>
      <c r="H22" s="36"/>
      <c r="I22" s="36"/>
      <c r="J22" s="36"/>
      <c r="K22" s="3"/>
      <c r="L22" s="3"/>
      <c r="M22" s="3"/>
      <c r="N22" s="36"/>
      <c r="O22" s="36"/>
      <c r="P22" s="36"/>
      <c r="Q22" s="36"/>
      <c r="R22" s="36"/>
      <c r="S22" s="36"/>
      <c r="T22" s="36"/>
      <c r="U22" s="3"/>
      <c r="V22" s="36"/>
      <c r="W22" s="36"/>
      <c r="X22" s="36"/>
      <c r="Y22" s="36"/>
      <c r="Z22" s="36"/>
      <c r="AA22" s="3"/>
      <c r="AB22" s="3"/>
      <c r="AC22" s="3"/>
      <c r="AD22" s="3"/>
      <c r="AE22" s="3"/>
      <c r="AF22" s="3"/>
      <c r="AG22" s="3"/>
      <c r="AH22" s="3"/>
      <c r="AI22" s="3"/>
      <c r="AJ22" s="3"/>
    </row>
    <row r="23" spans="2:37" s="39" customFormat="1" ht="15.6" hidden="1" x14ac:dyDescent="0.3">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t="str">
        <f>$H$27</f>
        <v>Residential</v>
      </c>
      <c r="Q23" s="36"/>
      <c r="R23" s="36" t="str">
        <f>$R$27</f>
        <v>Residential</v>
      </c>
      <c r="S23" s="36" t="str">
        <f>$R$27</f>
        <v>Residential</v>
      </c>
      <c r="T23" s="36" t="str">
        <f>$R$27</f>
        <v>Residential</v>
      </c>
      <c r="U23" s="3"/>
      <c r="V23" s="36" t="str">
        <f>$R$27</f>
        <v>Residential</v>
      </c>
      <c r="W23" s="36" t="str">
        <f>$R$27</f>
        <v>Residential</v>
      </c>
      <c r="X23" s="36" t="str">
        <f>$R$27</f>
        <v>Residential</v>
      </c>
      <c r="Y23" s="36" t="str">
        <f>$R$27</f>
        <v>Residential</v>
      </c>
      <c r="Z23" s="36" t="str">
        <f>$R$27</f>
        <v>Residential</v>
      </c>
      <c r="AA23" s="3"/>
      <c r="AB23" s="3" t="str">
        <f>$AB$27</f>
        <v>Small Business</v>
      </c>
      <c r="AC23" s="3" t="str">
        <f>$AB$27</f>
        <v>Small Business</v>
      </c>
      <c r="AD23" s="3" t="str">
        <f>$AB$27</f>
        <v>Small Business</v>
      </c>
      <c r="AE23" s="3"/>
      <c r="AF23" s="3" t="str">
        <f>$AB$27</f>
        <v>Small Business</v>
      </c>
      <c r="AG23" s="3" t="str">
        <f>$AB$27</f>
        <v>Small Business</v>
      </c>
      <c r="AH23" s="3" t="str">
        <f>$AB$27</f>
        <v>Small Business</v>
      </c>
      <c r="AI23" s="3" t="str">
        <f>$AB$27</f>
        <v>Small Business</v>
      </c>
      <c r="AJ23" s="3" t="str">
        <f>$AB$27</f>
        <v>Small Business</v>
      </c>
    </row>
    <row r="24" spans="2:37" s="39" customFormat="1" ht="15.6" hidden="1" x14ac:dyDescent="0.3">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t="str">
        <f>$H$28</f>
        <v>without CL</v>
      </c>
      <c r="Q24" s="36"/>
      <c r="R24" s="36" t="str">
        <f>$R$28</f>
        <v>with CL</v>
      </c>
      <c r="S24" s="36" t="str">
        <f>$R$28</f>
        <v>with CL</v>
      </c>
      <c r="T24" s="36" t="str">
        <f>$R$28</f>
        <v>with CL</v>
      </c>
      <c r="U24" s="3"/>
      <c r="V24" s="36" t="str">
        <f>$R$28</f>
        <v>with CL</v>
      </c>
      <c r="W24" s="36" t="str">
        <f>$R$28</f>
        <v>with CL</v>
      </c>
      <c r="X24" s="36" t="str">
        <f>$R$28</f>
        <v>with CL</v>
      </c>
      <c r="Y24" s="36" t="str">
        <f>$R$28</f>
        <v>with CL</v>
      </c>
      <c r="Z24" s="36" t="str">
        <f>$R$28</f>
        <v>with CL</v>
      </c>
      <c r="AA24" s="3"/>
      <c r="AB24" s="3" t="str">
        <f>$AB$28</f>
        <v>without CL</v>
      </c>
      <c r="AC24" s="3" t="str">
        <f>$AB$28</f>
        <v>without CL</v>
      </c>
      <c r="AD24" s="3" t="str">
        <f>$AB$28</f>
        <v>without CL</v>
      </c>
      <c r="AE24" s="3"/>
      <c r="AF24" s="3" t="str">
        <f>$AB$28</f>
        <v>without CL</v>
      </c>
      <c r="AG24" s="3" t="str">
        <f>$AB$28</f>
        <v>without CL</v>
      </c>
      <c r="AH24" s="3" t="str">
        <f>$AB$28</f>
        <v>without CL</v>
      </c>
      <c r="AI24" s="3" t="str">
        <f>$AB$28</f>
        <v>without CL</v>
      </c>
      <c r="AJ24" s="3" t="str">
        <f>$AB$28</f>
        <v>without CL</v>
      </c>
    </row>
    <row r="25" spans="2:37" s="39" customFormat="1" ht="15.6" hidden="1" x14ac:dyDescent="0.3">
      <c r="F25" s="38"/>
      <c r="G25" s="3"/>
      <c r="H25" s="36"/>
      <c r="I25" s="36" t="str">
        <f>$I$29</f>
        <v>2019-20</v>
      </c>
      <c r="J25" s="36" t="str">
        <f>$I$29</f>
        <v>2019-20</v>
      </c>
      <c r="K25" s="3"/>
      <c r="L25" s="36" t="str">
        <f>$L$29</f>
        <v>2020-21</v>
      </c>
      <c r="M25" s="36" t="str">
        <f>$L$29</f>
        <v>2020-21</v>
      </c>
      <c r="N25" s="36" t="str">
        <f>$L$29</f>
        <v>2020-21</v>
      </c>
      <c r="O25" s="36" t="str">
        <f>$L$29</f>
        <v>2020-21</v>
      </c>
      <c r="P25" s="36" t="str">
        <f>$L$29</f>
        <v>2020-21</v>
      </c>
      <c r="Q25" s="36"/>
      <c r="R25" s="36"/>
      <c r="S25" s="36" t="str">
        <f>$S$29</f>
        <v>2019-20</v>
      </c>
      <c r="T25" s="36" t="str">
        <f>$S$29</f>
        <v>2019-20</v>
      </c>
      <c r="U25" s="3"/>
      <c r="V25" s="36" t="str">
        <f>$V$29</f>
        <v>2020-21</v>
      </c>
      <c r="W25" s="36" t="str">
        <f>$V$29</f>
        <v>2020-21</v>
      </c>
      <c r="X25" s="36" t="str">
        <f>$V$29</f>
        <v>2020-21</v>
      </c>
      <c r="Y25" s="36" t="str">
        <f>$V$29</f>
        <v>2020-21</v>
      </c>
      <c r="Z25" s="36" t="str">
        <f>$V$29</f>
        <v>2020-21</v>
      </c>
      <c r="AA25" s="3"/>
      <c r="AB25" s="3"/>
      <c r="AC25" s="3" t="str">
        <f>$AC$29</f>
        <v>2019-20</v>
      </c>
      <c r="AD25" s="3" t="str">
        <f>$AC$29</f>
        <v>2019-20</v>
      </c>
      <c r="AE25" s="3"/>
      <c r="AF25" s="3" t="str">
        <f>$AF$29</f>
        <v>2020-21</v>
      </c>
      <c r="AG25" s="3" t="str">
        <f>$AF$29</f>
        <v>2020-21</v>
      </c>
      <c r="AH25" s="3" t="str">
        <f>$AF$29</f>
        <v>2020-21</v>
      </c>
      <c r="AI25" s="3" t="str">
        <f>$AF$29</f>
        <v>2020-21</v>
      </c>
      <c r="AJ25" s="3" t="str">
        <f>$AF$29</f>
        <v>2020-21</v>
      </c>
    </row>
    <row r="26" spans="2:37" s="39" customFormat="1" ht="15.6" x14ac:dyDescent="0.3">
      <c r="F26" s="38" t="s">
        <v>45</v>
      </c>
      <c r="G26" s="145" t="s">
        <v>160</v>
      </c>
      <c r="H26" s="36"/>
      <c r="I26" s="36"/>
      <c r="J26" s="36"/>
      <c r="K26" s="3"/>
      <c r="L26" s="3"/>
      <c r="M26" s="3"/>
      <c r="N26" s="36"/>
      <c r="O26" s="36"/>
      <c r="P26" s="36"/>
      <c r="Q26" s="36"/>
      <c r="R26" s="36"/>
      <c r="S26" s="36"/>
      <c r="T26" s="36"/>
      <c r="U26" s="3"/>
      <c r="V26" s="36"/>
      <c r="W26" s="36"/>
      <c r="X26" s="36"/>
      <c r="Y26" s="36"/>
      <c r="Z26" s="36"/>
      <c r="AA26" s="3"/>
      <c r="AB26" s="3"/>
      <c r="AC26" s="3"/>
      <c r="AD26" s="3"/>
      <c r="AE26" s="3"/>
      <c r="AF26" s="3"/>
      <c r="AG26" s="3"/>
      <c r="AH26" s="3"/>
      <c r="AI26" s="3"/>
      <c r="AJ26" s="3"/>
    </row>
    <row r="27" spans="2:37" s="39" customFormat="1" x14ac:dyDescent="0.3">
      <c r="F27" s="276" t="s">
        <v>38</v>
      </c>
      <c r="G27" s="117"/>
      <c r="H27" s="275" t="s">
        <v>6</v>
      </c>
      <c r="I27" s="275"/>
      <c r="J27" s="275"/>
      <c r="K27" s="275"/>
      <c r="L27" s="275"/>
      <c r="M27" s="275"/>
      <c r="N27" s="275"/>
      <c r="O27" s="275"/>
      <c r="P27" s="275"/>
      <c r="Q27" s="112"/>
      <c r="R27" s="275" t="s">
        <v>6</v>
      </c>
      <c r="S27" s="275"/>
      <c r="T27" s="275"/>
      <c r="U27" s="275"/>
      <c r="V27" s="275"/>
      <c r="W27" s="275"/>
      <c r="X27" s="275"/>
      <c r="Y27" s="275"/>
      <c r="Z27" s="275"/>
      <c r="AA27" s="112"/>
      <c r="AB27" s="275" t="s">
        <v>85</v>
      </c>
      <c r="AC27" s="275"/>
      <c r="AD27" s="275"/>
      <c r="AE27" s="275"/>
      <c r="AF27" s="275"/>
      <c r="AG27" s="275"/>
      <c r="AH27" s="275"/>
      <c r="AI27" s="275"/>
      <c r="AJ27" s="275"/>
    </row>
    <row r="28" spans="2:37" ht="15" thickBot="1" x14ac:dyDescent="0.35">
      <c r="F28" s="276"/>
      <c r="G28" s="117"/>
      <c r="H28" s="278" t="s">
        <v>158</v>
      </c>
      <c r="I28" s="278"/>
      <c r="J28" s="278"/>
      <c r="K28" s="278"/>
      <c r="L28" s="278"/>
      <c r="M28" s="278"/>
      <c r="N28" s="278"/>
      <c r="O28" s="278"/>
      <c r="P28" s="278"/>
      <c r="Q28" s="112"/>
      <c r="R28" s="278" t="s">
        <v>159</v>
      </c>
      <c r="S28" s="278"/>
      <c r="T28" s="278"/>
      <c r="U28" s="278"/>
      <c r="V28" s="278"/>
      <c r="W28" s="278"/>
      <c r="X28" s="278"/>
      <c r="Y28" s="278"/>
      <c r="Z28" s="278"/>
      <c r="AA28" s="112"/>
      <c r="AB28" s="278" t="s">
        <v>158</v>
      </c>
      <c r="AC28" s="278"/>
      <c r="AD28" s="278"/>
      <c r="AE28" s="278"/>
      <c r="AF28" s="278"/>
      <c r="AG28" s="278"/>
      <c r="AH28" s="278"/>
      <c r="AI28" s="278"/>
      <c r="AJ28" s="278"/>
    </row>
    <row r="29" spans="2:37" ht="15" customHeight="1" thickTop="1" x14ac:dyDescent="0.3">
      <c r="F29" s="276"/>
      <c r="G29" s="118"/>
      <c r="H29" s="112" t="s">
        <v>74</v>
      </c>
      <c r="I29" s="277" t="str">
        <f>PY</f>
        <v>2019-20</v>
      </c>
      <c r="J29" s="277"/>
      <c r="K29" s="112"/>
      <c r="L29" s="277" t="str">
        <f>FY</f>
        <v>2020-21</v>
      </c>
      <c r="M29" s="277"/>
      <c r="N29" s="277"/>
      <c r="O29" s="277"/>
      <c r="P29" s="277"/>
      <c r="Q29" s="54"/>
      <c r="R29" s="112" t="s">
        <v>74</v>
      </c>
      <c r="S29" s="277" t="str">
        <f>PY</f>
        <v>2019-20</v>
      </c>
      <c r="T29" s="277"/>
      <c r="U29" s="112"/>
      <c r="V29" s="277" t="str">
        <f>FY</f>
        <v>2020-21</v>
      </c>
      <c r="W29" s="277"/>
      <c r="X29" s="277"/>
      <c r="Y29" s="277"/>
      <c r="Z29" s="277"/>
      <c r="AA29" s="54"/>
      <c r="AB29" s="112" t="s">
        <v>74</v>
      </c>
      <c r="AC29" s="277" t="str">
        <f>PY</f>
        <v>2019-20</v>
      </c>
      <c r="AD29" s="277"/>
      <c r="AE29" s="112"/>
      <c r="AF29" s="277" t="str">
        <f>FY</f>
        <v>2020-21</v>
      </c>
      <c r="AG29" s="277"/>
      <c r="AH29" s="277"/>
      <c r="AI29" s="277"/>
      <c r="AJ29" s="277"/>
    </row>
    <row r="30" spans="2:37" ht="15" customHeight="1" x14ac:dyDescent="0.3">
      <c r="F30" s="276"/>
      <c r="G30" s="118"/>
      <c r="H30" s="76"/>
      <c r="I30" s="54" t="s">
        <v>26</v>
      </c>
      <c r="J30" s="54" t="s">
        <v>28</v>
      </c>
      <c r="K30" s="112"/>
      <c r="L30" s="54" t="s">
        <v>25</v>
      </c>
      <c r="M30" s="55" t="s">
        <v>51</v>
      </c>
      <c r="N30" s="54" t="s">
        <v>28</v>
      </c>
      <c r="O30" s="54" t="s">
        <v>26</v>
      </c>
      <c r="P30" s="54" t="s">
        <v>75</v>
      </c>
      <c r="Q30" s="54"/>
      <c r="R30" s="112"/>
      <c r="S30" s="54" t="s">
        <v>26</v>
      </c>
      <c r="T30" s="54" t="s">
        <v>28</v>
      </c>
      <c r="U30" s="112"/>
      <c r="V30" s="54" t="s">
        <v>25</v>
      </c>
      <c r="W30" s="55" t="s">
        <v>51</v>
      </c>
      <c r="X30" s="54" t="s">
        <v>28</v>
      </c>
      <c r="Y30" s="54" t="s">
        <v>26</v>
      </c>
      <c r="Z30" s="54" t="s">
        <v>75</v>
      </c>
      <c r="AA30" s="54"/>
      <c r="AB30" s="112" t="s">
        <v>24</v>
      </c>
      <c r="AC30" s="54" t="s">
        <v>26</v>
      </c>
      <c r="AD30" s="54" t="s">
        <v>28</v>
      </c>
      <c r="AE30" s="112"/>
      <c r="AF30" s="54" t="s">
        <v>25</v>
      </c>
      <c r="AG30" s="55" t="s">
        <v>51</v>
      </c>
      <c r="AH30" s="54" t="s">
        <v>28</v>
      </c>
      <c r="AI30" s="54" t="s">
        <v>26</v>
      </c>
      <c r="AJ30" s="54" t="s">
        <v>75</v>
      </c>
    </row>
    <row r="31" spans="2:37" ht="15" customHeight="1" x14ac:dyDescent="0.3">
      <c r="F31" s="276"/>
      <c r="G31" s="118"/>
      <c r="H31" s="76"/>
      <c r="I31" s="54"/>
      <c r="J31" s="54"/>
      <c r="K31" s="227"/>
      <c r="L31" s="54"/>
      <c r="M31" s="55"/>
      <c r="N31" s="54"/>
      <c r="O31" s="54"/>
      <c r="P31" s="54" t="s">
        <v>196</v>
      </c>
      <c r="Q31" s="54"/>
      <c r="R31" s="227"/>
      <c r="S31" s="54"/>
      <c r="T31" s="54"/>
      <c r="U31" s="227"/>
      <c r="V31" s="54"/>
      <c r="W31" s="55"/>
      <c r="X31" s="54"/>
      <c r="Y31" s="54"/>
      <c r="Z31" s="54" t="s">
        <v>196</v>
      </c>
      <c r="AA31" s="54"/>
      <c r="AB31" s="227"/>
      <c r="AC31" s="54"/>
      <c r="AD31" s="54"/>
      <c r="AE31" s="227"/>
      <c r="AF31" s="54"/>
      <c r="AG31" s="55"/>
      <c r="AH31" s="54"/>
      <c r="AI31" s="54"/>
      <c r="AJ31" s="54" t="s">
        <v>196</v>
      </c>
    </row>
    <row r="32" spans="2:37" ht="15" customHeight="1" x14ac:dyDescent="0.3">
      <c r="F32" s="276"/>
      <c r="G32" s="118"/>
      <c r="H32" s="54" t="s">
        <v>76</v>
      </c>
      <c r="I32" s="54" t="s">
        <v>47</v>
      </c>
      <c r="J32" s="54" t="s">
        <v>33</v>
      </c>
      <c r="K32" s="112"/>
      <c r="L32" s="54" t="s">
        <v>33</v>
      </c>
      <c r="M32" s="54" t="s">
        <v>33</v>
      </c>
      <c r="N32" s="54" t="s">
        <v>33</v>
      </c>
      <c r="O32" s="54" t="s">
        <v>47</v>
      </c>
      <c r="P32" s="54" t="s">
        <v>47</v>
      </c>
      <c r="Q32" s="54"/>
      <c r="R32" s="54"/>
      <c r="S32" s="54" t="s">
        <v>47</v>
      </c>
      <c r="T32" s="54" t="s">
        <v>33</v>
      </c>
      <c r="U32" s="112"/>
      <c r="V32" s="54" t="s">
        <v>33</v>
      </c>
      <c r="W32" s="54" t="s">
        <v>33</v>
      </c>
      <c r="X32" s="54" t="s">
        <v>33</v>
      </c>
      <c r="Y32" s="54" t="s">
        <v>47</v>
      </c>
      <c r="Z32" s="54" t="s">
        <v>47</v>
      </c>
      <c r="AA32" s="54"/>
      <c r="AB32" s="54"/>
      <c r="AC32" s="54" t="s">
        <v>47</v>
      </c>
      <c r="AD32" s="54" t="s">
        <v>33</v>
      </c>
      <c r="AE32" s="112"/>
      <c r="AF32" s="54" t="s">
        <v>33</v>
      </c>
      <c r="AG32" s="54" t="s">
        <v>33</v>
      </c>
      <c r="AH32" s="54" t="s">
        <v>33</v>
      </c>
      <c r="AI32" s="54" t="s">
        <v>47</v>
      </c>
      <c r="AJ32" s="54" t="s">
        <v>47</v>
      </c>
    </row>
    <row r="33" spans="2:36" ht="15" customHeight="1" x14ac:dyDescent="0.3">
      <c r="F33" s="60" t="str">
        <f>"DMO "&amp;PY&amp;" price"</f>
        <v>DMO 2019-20 price</v>
      </c>
      <c r="G33" s="60"/>
      <c r="H33" s="61">
        <f t="array" ref="H33">INDEX('Detail inputs'!$B$3:$L$381,MATCH($B$6&amp;H$27&amp;H$28&amp;H$29,'Detail inputs'!$B$3:$B$381&amp;'Detail inputs'!$D$3:$D$381&amp;'Detail inputs'!$E$3:$E$381&amp;'Detail inputs'!$F$3:$F$381&amp;'Detail inputs'!$G$3:$G$381,0),MATCH(I$29,'Detail inputs'!$B$3:$L$3,0))</f>
        <v>1570</v>
      </c>
      <c r="I33" s="62"/>
      <c r="J33" s="62"/>
      <c r="K33" s="62"/>
      <c r="L33" s="62"/>
      <c r="M33" s="62"/>
      <c r="N33" s="62"/>
      <c r="O33" s="62"/>
      <c r="P33" s="62"/>
      <c r="Q33" s="62"/>
      <c r="R33" s="61">
        <f t="array" ref="R33">INDEX('Detail inputs'!$B$3:$L$381,MATCH($B$6&amp;R$27&amp;R$28&amp;R$29,'Detail inputs'!$B$3:$B$381&amp;'Detail inputs'!$D$3:$D$381&amp;'Detail inputs'!$E$3:$E$381&amp;'Detail inputs'!$F$3:$F$381&amp;'Detail inputs'!$G$3:$G$381,0),MATCH(S$29,'Detail inputs'!$B$3:$L$3,0))</f>
        <v>1927</v>
      </c>
      <c r="S33" s="61"/>
      <c r="T33" s="62"/>
      <c r="U33" s="62"/>
      <c r="V33" s="62"/>
      <c r="W33" s="62"/>
      <c r="X33" s="63"/>
      <c r="Y33" s="63"/>
      <c r="Z33" s="63"/>
      <c r="AA33" s="63"/>
      <c r="AB33" s="61">
        <f t="array" ref="AB33">INDEX('Detail inputs'!$B$3:$L$381,MATCH($B$6&amp;AB$27&amp;AB$28&amp;AB$29,'Detail inputs'!$B$3:$B$381&amp;'Detail inputs'!$D$3:$D$381&amp;'Detail inputs'!$E$3:$E$381&amp;'Detail inputs'!$F$3:$F$381&amp;'Detail inputs'!$G$3:$G$381,0),MATCH(AC$29,'Detail inputs'!$B$3:$L$3,0))</f>
        <v>6025</v>
      </c>
      <c r="AC33" s="61"/>
      <c r="AD33" s="62"/>
      <c r="AE33" s="62"/>
      <c r="AF33" s="62"/>
      <c r="AG33" s="62"/>
      <c r="AH33" s="62"/>
      <c r="AI33" s="62"/>
      <c r="AJ33" s="62"/>
    </row>
    <row r="34" spans="2:36" ht="15" customHeight="1" x14ac:dyDescent="0.3">
      <c r="F34" s="64" t="s">
        <v>68</v>
      </c>
      <c r="G34" s="64"/>
      <c r="H34" s="63"/>
      <c r="I34" s="61">
        <f t="array" aca="1" ref="I34" ca="1">INDEX(INDIRECT("'"&amp;$F34&amp;"'!$B$3:$T$300"),MATCH($B$6&amp;H$27&amp;H$28&amp;"Total inc GST",INDIRECT("'"&amp;$F34&amp;"'!$B$3:$B$300")&amp;INDIRECT("'"&amp;$F34&amp;"'!$C$3:$C$300")&amp;INDIRECT("'"&amp;$F34&amp;"'!$D$3:$D$300")&amp;INDIRECT("'"&amp;$F34&amp;"'!$G$3:$G$300"),0),MATCH(I$29&amp;I$30,INDIRECT("'"&amp;$F34&amp;"'!$B$4:$T$4")&amp;INDIRECT("'"&amp;$F34&amp;"'!$B$5:$T$5"),0))</f>
        <v>661.38083000000006</v>
      </c>
      <c r="J34" s="62">
        <f ca="1">I34/H$33</f>
        <v>0.42126167515923568</v>
      </c>
      <c r="K34" s="62"/>
      <c r="L34" s="75">
        <f t="array" aca="1" ref="L34" ca="1">INDEX(INDIRECT("'"&amp;$F34&amp;"'!$B$3:$T$300"),MATCH($B$6&amp;H$27&amp;H$28&amp;"Total inc GST",INDIRECT("'"&amp;$F34&amp;"'!$B$3:$B$300")&amp;INDIRECT("'"&amp;$F34&amp;"'!$C$3:$C$300")&amp;INDIRECT("'"&amp;$F34&amp;"'!$D$3:$D$300")&amp;INDIRECT("'"&amp;$F34&amp;"'!$G$3:$G$300"),0),MATCH(L$29&amp;L$30,INDIRECT("'"&amp;$F34&amp;"'!$B$4:$T$4")&amp;INDIRECT("'"&amp;$F34&amp;"'!$B$5:$T$5"),0))</f>
        <v>-8.7597980425286992E-2</v>
      </c>
      <c r="M34" s="62">
        <f ca="1">J34*L34</f>
        <v>-3.6901671974522335E-2</v>
      </c>
      <c r="N34" s="62">
        <f ca="1">O34/H$39</f>
        <v>0.40671572822327351</v>
      </c>
      <c r="O34" s="61">
        <f t="array" aca="1" ref="O34" ca="1">INDEX(INDIRECT("'"&amp;$F34&amp;"'!$B$3:$T$300"),MATCH($B$6&amp;H$27&amp;H$28&amp;"Total inc GST",INDIRECT("'"&amp;$F34&amp;"'!$B$3:$B$300")&amp;INDIRECT("'"&amp;$F34&amp;"'!$C$3:$C$300")&amp;INDIRECT("'"&amp;$F34&amp;"'!$D$3:$D$300")&amp;INDIRECT("'"&amp;$F34&amp;"'!$G$3:$G$300"),0),MATCH(L$29&amp;O$30,INDIRECT("'"&amp;$F34&amp;"'!$B$4:$T$4")&amp;INDIRECT("'"&amp;$F34&amp;"'!$B$5:$T$5"),0))</f>
        <v>603.44520499999999</v>
      </c>
      <c r="P34" s="62"/>
      <c r="Q34" s="62"/>
      <c r="R34" s="62"/>
      <c r="S34" s="61">
        <f t="array" aca="1" ref="S34" ca="1">INDEX(INDIRECT("'"&amp;$F34&amp;"'!$B$3:$T$300"),MATCH($B$6&amp;R$27&amp;R$28&amp;"Total inc GST",INDIRECT("'"&amp;$F34&amp;"'!$B$3:$B$300")&amp;INDIRECT("'"&amp;$F34&amp;"'!$C$3:$C$300")&amp;INDIRECT("'"&amp;$F34&amp;"'!$D$3:$D$300")&amp;INDIRECT("'"&amp;$F34&amp;"'!$G$3:$G$300"),0),MATCH(S$29&amp;S$30,INDIRECT("'"&amp;$F34&amp;"'!$B$4:$T$4")&amp;INDIRECT("'"&amp;$F34&amp;"'!$B$5:$T$5"),0))</f>
        <v>786.48571099999992</v>
      </c>
      <c r="T34" s="62">
        <f ca="1">S34/R$33</f>
        <v>0.40813996419304616</v>
      </c>
      <c r="U34" s="62"/>
      <c r="V34" s="75">
        <f t="array" aca="1" ref="V34" ca="1">INDEX(INDIRECT("'"&amp;$F34&amp;"'!$B$3:$T$300"),MATCH($B$6&amp;R$27&amp;R$28&amp;"Total inc GST",INDIRECT("'"&amp;$F34&amp;"'!$B$3:$B$300")&amp;INDIRECT("'"&amp;$F34&amp;"'!$C$3:$C$300")&amp;INDIRECT("'"&amp;$F34&amp;"'!$D$3:$D$300")&amp;INDIRECT("'"&amp;$F34&amp;"'!$G$3:$G$300"),0),MATCH(V$29&amp;V$30,INDIRECT("'"&amp;$F34&amp;"'!$B$4:$T$4")&amp;INDIRECT("'"&amp;$F34&amp;"'!$B$5:$T$5"),0))</f>
        <v>-0.13772762109342362</v>
      </c>
      <c r="W34" s="62">
        <f ca="1">T34*V34</f>
        <v>-5.6212146341463348E-2</v>
      </c>
      <c r="X34" s="62">
        <f ca="1">Y34/R$39</f>
        <v>0.38107053042443473</v>
      </c>
      <c r="Y34" s="61">
        <f t="array" aca="1" ref="Y34" ca="1">INDEX(INDIRECT("'"&amp;$F34&amp;"'!$B$3:$T$300"),MATCH($B$6&amp;R$27&amp;R$28&amp;"Total inc GST",INDIRECT("'"&amp;$F34&amp;"'!$B$3:$B$300")&amp;INDIRECT("'"&amp;$F34&amp;"'!$C$3:$C$300")&amp;INDIRECT("'"&amp;$F34&amp;"'!$D$3:$D$300")&amp;INDIRECT("'"&amp;$F34&amp;"'!$G$3:$G$300"),0),MATCH(V$29&amp;Y$30,INDIRECT("'"&amp;$F34&amp;"'!$B$4:$T$4")&amp;INDIRECT("'"&amp;$F34&amp;"'!$B$5:$T$5"),0))</f>
        <v>678.16490500000009</v>
      </c>
      <c r="Z34" s="62"/>
      <c r="AA34" s="63"/>
      <c r="AB34" s="63"/>
      <c r="AC34" s="61">
        <f t="array" aca="1" ref="AC34" ca="1">INDEX(INDIRECT("'"&amp;$F34&amp;"'!$B$3:$T$300"),MATCH($B$6&amp;AB$27&amp;AB$28&amp;"Total inc GST",INDIRECT("'"&amp;$F34&amp;"'!$B$3:$B$300")&amp;INDIRECT("'"&amp;$F34&amp;"'!$C$3:$C$300")&amp;INDIRECT("'"&amp;$F34&amp;"'!$D$3:$D$300")&amp;INDIRECT("'"&amp;$F34&amp;"'!$G$3:$G$300"),0),MATCH(AC$29&amp;AC$30,INDIRECT("'"&amp;$F34&amp;"'!$B$4:$T$4")&amp;INDIRECT("'"&amp;$F34&amp;"'!$B$5:$T$5"),0))</f>
        <v>2241.2074299999999</v>
      </c>
      <c r="AD34" s="62">
        <f ca="1">AC34/AB$33</f>
        <v>0.37198463568464729</v>
      </c>
      <c r="AE34" s="62"/>
      <c r="AF34" s="75">
        <f t="array" aca="1" ref="AF34" ca="1">INDEX(INDIRECT("'"&amp;$F34&amp;"'!$B$3:$T$300"),MATCH($B$6&amp;AB$27&amp;AB$28&amp;"Total inc GST",INDIRECT("'"&amp;$F34&amp;"'!$B$3:$B$300")&amp;INDIRECT("'"&amp;$F34&amp;"'!$C$3:$C$300")&amp;INDIRECT("'"&amp;$F34&amp;"'!$D$3:$D$300")&amp;INDIRECT("'"&amp;$F34&amp;"'!$G$3:$G$300"),0),MATCH(AF$29&amp;AF$30,INDIRECT("'"&amp;$F34&amp;"'!$B$4:$T$4")&amp;INDIRECT("'"&amp;$F34&amp;"'!$B$5:$T$5"),0))</f>
        <v>-0.11242262613773324</v>
      </c>
      <c r="AG34" s="62">
        <f ca="1">AD34*AF34</f>
        <v>-4.1819489626556003E-2</v>
      </c>
      <c r="AH34" s="62">
        <f ca="1">AI34/AB$39</f>
        <v>0.35228818214805036</v>
      </c>
      <c r="AI34" s="61">
        <f t="array" aca="1" ref="AI34" ca="1">INDEX(INDIRECT("'"&amp;$F34&amp;"'!$B$3:$T$300"),MATCH($B$6&amp;AB$27&amp;AB$28&amp;"Total inc GST",INDIRECT("'"&amp;$F34&amp;"'!$B$3:$B$300")&amp;INDIRECT("'"&amp;$F34&amp;"'!$C$3:$C$300")&amp;INDIRECT("'"&amp;$F34&amp;"'!$D$3:$D$300")&amp;INDIRECT("'"&amp;$F34&amp;"'!$G$3:$G$300"),0),MATCH(AF$29&amp;AI$30,INDIRECT("'"&amp;$F34&amp;"'!$B$4:$T$4")&amp;INDIRECT("'"&amp;$F34&amp;"'!$B$5:$T$5"),0))</f>
        <v>1989.245005</v>
      </c>
      <c r="AJ34" s="62"/>
    </row>
    <row r="35" spans="2:36" ht="15" customHeight="1" x14ac:dyDescent="0.3">
      <c r="F35" s="64" t="s">
        <v>69</v>
      </c>
      <c r="G35" s="64"/>
      <c r="H35" s="63"/>
      <c r="I35" s="61">
        <f t="array" aca="1" ref="I35" ca="1">INDEX(INDIRECT("'"&amp;$F35&amp;"'!$B$3:$T$300"),MATCH($B$6&amp;H$27&amp;H$28&amp;"Total inc GST",INDIRECT("'"&amp;$F35&amp;"'!$B$3:$B$300")&amp;INDIRECT("'"&amp;$F35&amp;"'!$C$3:$C$300")&amp;INDIRECT("'"&amp;$F35&amp;"'!$D$3:$D$300")&amp;INDIRECT("'"&amp;$F35&amp;"'!$G$3:$G$300"),0),MATCH(I$29&amp;I$30,INDIRECT("'"&amp;$F35&amp;"'!$B$4:$T$4")&amp;INDIRECT("'"&amp;$F35&amp;"'!$B$5:$T$5"),0))</f>
        <v>497.60039999999998</v>
      </c>
      <c r="J35" s="62">
        <f ca="1">I35/H$33</f>
        <v>0.31694292993630574</v>
      </c>
      <c r="K35" s="62"/>
      <c r="L35" s="75">
        <f t="array" aca="1" ref="L35" ca="1">INDEX(INDIRECT("'"&amp;$F35&amp;"'!$B$3:$T$300"),MATCH($B$6&amp;H$27&amp;H$28&amp;"Total inc GST",INDIRECT("'"&amp;$F35&amp;"'!$B$3:$B$300")&amp;INDIRECT("'"&amp;$F35&amp;"'!$C$3:$C$300")&amp;INDIRECT("'"&amp;$F35&amp;"'!$D$3:$D$300")&amp;INDIRECT("'"&amp;$F35&amp;"'!$G$3:$G$300"),0),MATCH(L$29&amp;L$30,INDIRECT("'"&amp;$F35&amp;"'!$B$4:$T$4")&amp;INDIRECT("'"&amp;$F35&amp;"'!$B$5:$T$5"),0))</f>
        <v>-4.3420785031523357E-2</v>
      </c>
      <c r="M35" s="62">
        <f ca="1">J35*L35</f>
        <v>-1.3761910828025501E-2</v>
      </c>
      <c r="N35" s="62">
        <f ca="1">O35/H$39</f>
        <v>0.32081508988550911</v>
      </c>
      <c r="O35" s="61">
        <f t="array" aca="1" ref="O35" ca="1">INDEX(INDIRECT("'"&amp;$F35&amp;"'!$B$3:$T$300"),MATCH($B$6&amp;H$27&amp;H$28&amp;"Total inc GST",INDIRECT("'"&amp;$F35&amp;"'!$B$3:$B$300")&amp;INDIRECT("'"&amp;$F35&amp;"'!$C$3:$C$300")&amp;INDIRECT("'"&amp;$F35&amp;"'!$D$3:$D$300")&amp;INDIRECT("'"&amp;$F35&amp;"'!$G$3:$G$300"),0),MATCH(L$29&amp;O$30,INDIRECT("'"&amp;$F35&amp;"'!$B$4:$T$4")&amp;INDIRECT("'"&amp;$F35&amp;"'!$B$5:$T$5"),0))</f>
        <v>475.99419999999992</v>
      </c>
      <c r="P35" s="62"/>
      <c r="Q35" s="62"/>
      <c r="R35" s="62"/>
      <c r="S35" s="61">
        <f t="array" aca="1" ref="S35" ca="1">INDEX(INDIRECT("'"&amp;$F35&amp;"'!$B$3:$T$300"),MATCH($B$6&amp;R$27&amp;R$28&amp;"Total inc GST",INDIRECT("'"&amp;$F35&amp;"'!$B$3:$B$300")&amp;INDIRECT("'"&amp;$F35&amp;"'!$C$3:$C$300")&amp;INDIRECT("'"&amp;$F35&amp;"'!$D$3:$D$300")&amp;INDIRECT("'"&amp;$F35&amp;"'!$G$3:$G$300"),0),MATCH(S$29&amp;S$30,INDIRECT("'"&amp;$F35&amp;"'!$B$4:$T$4")&amp;INDIRECT("'"&amp;$F35&amp;"'!$B$5:$T$5"),0))</f>
        <v>640.07135500000004</v>
      </c>
      <c r="T35" s="62">
        <f ca="1">S35/R$33</f>
        <v>0.33215949922158799</v>
      </c>
      <c r="U35" s="62"/>
      <c r="V35" s="75">
        <f t="array" aca="1" ref="V35" ca="1">INDEX(INDIRECT("'"&amp;$F35&amp;"'!$B$3:$T$300"),MATCH($B$6&amp;R$27&amp;R$28&amp;"Total inc GST",INDIRECT("'"&amp;$F35&amp;"'!$B$3:$B$300")&amp;INDIRECT("'"&amp;$F35&amp;"'!$C$3:$C$300")&amp;INDIRECT("'"&amp;$F35&amp;"'!$D$3:$D$300")&amp;INDIRECT("'"&amp;$F35&amp;"'!$G$3:$G$300"),0),MATCH(V$29&amp;V$30,INDIRECT("'"&amp;$F35&amp;"'!$B$4:$T$4")&amp;INDIRECT("'"&amp;$F35&amp;"'!$B$5:$T$5"),0))</f>
        <v>-4.4745572155779789E-2</v>
      </c>
      <c r="W35" s="62">
        <f ca="1">T35*V35</f>
        <v>-1.4862666839647246E-2</v>
      </c>
      <c r="X35" s="62">
        <f ca="1">Y35/R$39</f>
        <v>0.3435717953639319</v>
      </c>
      <c r="Y35" s="61">
        <f t="array" aca="1" ref="Y35" ca="1">INDEX(INDIRECT("'"&amp;$F35&amp;"'!$B$3:$T$300"),MATCH($B$6&amp;R$27&amp;R$28&amp;"Total inc GST",INDIRECT("'"&amp;$F35&amp;"'!$B$3:$B$300")&amp;INDIRECT("'"&amp;$F35&amp;"'!$C$3:$C$300")&amp;INDIRECT("'"&amp;$F35&amp;"'!$D$3:$D$300")&amp;INDIRECT("'"&amp;$F35&amp;"'!$G$3:$G$300"),0),MATCH(V$29&amp;Y$30,INDIRECT("'"&amp;$F35&amp;"'!$B$4:$T$4")&amp;INDIRECT("'"&amp;$F35&amp;"'!$B$5:$T$5"),0))</f>
        <v>611.43099599999982</v>
      </c>
      <c r="Z35" s="62"/>
      <c r="AA35" s="63"/>
      <c r="AB35" s="63"/>
      <c r="AC35" s="61">
        <f t="array" aca="1" ref="AC35" ca="1">INDEX(INDIRECT("'"&amp;$F35&amp;"'!$B$3:$T$300"),MATCH($B$6&amp;AB$27&amp;AB$28&amp;"Total inc GST",INDIRECT("'"&amp;$F35&amp;"'!$B$3:$B$300")&amp;INDIRECT("'"&amp;$F35&amp;"'!$C$3:$C$300")&amp;INDIRECT("'"&amp;$F35&amp;"'!$D$3:$D$300")&amp;INDIRECT("'"&amp;$F35&amp;"'!$G$3:$G$300"),0),MATCH(AC$29&amp;AC$30,INDIRECT("'"&amp;$F35&amp;"'!$B$4:$T$4")&amp;INDIRECT("'"&amp;$F35&amp;"'!$B$5:$T$5"),0))</f>
        <v>2163.48</v>
      </c>
      <c r="AD35" s="62">
        <f ca="1">AC35/AB$33</f>
        <v>0.35908381742738588</v>
      </c>
      <c r="AE35" s="62"/>
      <c r="AF35" s="75">
        <f t="array" aca="1" ref="AF35" ca="1">INDEX(INDIRECT("'"&amp;$F35&amp;"'!$B$3:$T$300"),MATCH($B$6&amp;AB$27&amp;AB$28&amp;"Total inc GST",INDIRECT("'"&amp;$F35&amp;"'!$B$3:$B$300")&amp;INDIRECT("'"&amp;$F35&amp;"'!$C$3:$C$300")&amp;INDIRECT("'"&amp;$F35&amp;"'!$D$3:$D$300")&amp;INDIRECT("'"&amp;$F35&amp;"'!$G$3:$G$300"),0),MATCH(AF$29&amp;AF$30,INDIRECT("'"&amp;$F35&amp;"'!$B$4:$T$4")&amp;INDIRECT("'"&amp;$F35&amp;"'!$B$5:$T$5"),0))</f>
        <v>-4.3420785031523357E-2</v>
      </c>
      <c r="AG35" s="62">
        <f ca="1">AD35*AF35</f>
        <v>-1.5591701244813303E-2</v>
      </c>
      <c r="AH35" s="62">
        <f ca="1">AI35/AB$39</f>
        <v>0.36650813884168892</v>
      </c>
      <c r="AI35" s="61">
        <f t="array" aca="1" ref="AI35" ca="1">INDEX(INDIRECT("'"&amp;$F35&amp;"'!$B$3:$T$300"),MATCH($B$6&amp;AB$27&amp;AB$28&amp;"Total inc GST",INDIRECT("'"&amp;$F35&amp;"'!$B$3:$B$300")&amp;INDIRECT("'"&amp;$F35&amp;"'!$C$3:$C$300")&amp;INDIRECT("'"&amp;$F35&amp;"'!$D$3:$D$300")&amp;INDIRECT("'"&amp;$F35&amp;"'!$G$3:$G$300"),0),MATCH(AF$29&amp;AI$30,INDIRECT("'"&amp;$F35&amp;"'!$B$4:$T$4")&amp;INDIRECT("'"&amp;$F35&amp;"'!$B$5:$T$5"),0))</f>
        <v>2069.54</v>
      </c>
      <c r="AJ35" s="62"/>
    </row>
    <row r="36" spans="2:36" ht="15" customHeight="1" x14ac:dyDescent="0.3">
      <c r="F36" s="64" t="s">
        <v>70</v>
      </c>
      <c r="G36" s="64"/>
      <c r="H36" s="63"/>
      <c r="I36" s="61">
        <f t="array" aca="1" ref="I36" ca="1">INDEX(INDIRECT("'"&amp;$F36&amp;"'!$B$3:$T$300"),MATCH($B$6&amp;H$27&amp;H$28&amp;"Total inc GST",INDIRECT("'"&amp;$F36&amp;"'!$B$3:$B$300")&amp;INDIRECT("'"&amp;$F36&amp;"'!$C$3:$C$300")&amp;INDIRECT("'"&amp;$F36&amp;"'!$D$3:$D$300")&amp;INDIRECT("'"&amp;$F36&amp;"'!$G$3:$G$300"),0),MATCH(I$29&amp;I$30,INDIRECT("'"&amp;$F36&amp;"'!$B$4:$T$4")&amp;INDIRECT("'"&amp;$F36&amp;"'!$B$5:$T$5"),0))</f>
        <v>89.663200000000003</v>
      </c>
      <c r="J36" s="62">
        <f ca="1">I36/H$33</f>
        <v>5.711031847133758E-2</v>
      </c>
      <c r="K36" s="62"/>
      <c r="L36" s="75">
        <f t="array" aca="1" ref="L36" ca="1">INDEX(INDIRECT("'"&amp;$F36&amp;"'!$B$3:$T$300"),MATCH($B$6&amp;H$27&amp;H$28&amp;"Total inc GST",INDIRECT("'"&amp;$F36&amp;"'!$B$3:$B$300")&amp;INDIRECT("'"&amp;$F36&amp;"'!$C$3:$C$300")&amp;INDIRECT("'"&amp;$F36&amp;"'!$D$3:$D$300")&amp;INDIRECT("'"&amp;$F36&amp;"'!$G$3:$G$300"),0),MATCH(L$29&amp;L$30,INDIRECT("'"&amp;$F36&amp;"'!$B$4:$T$4")&amp;INDIRECT("'"&amp;$F36&amp;"'!$B$5:$T$5"),0))</f>
        <v>-0.1416478555304741</v>
      </c>
      <c r="M36" s="62">
        <f ca="1">J36*L36</f>
        <v>-8.0895541401273911E-3</v>
      </c>
      <c r="N36" s="62">
        <f ca="1">O36/H$39</f>
        <v>5.1871983811614689E-2</v>
      </c>
      <c r="O36" s="61">
        <f t="array" aca="1" ref="O36" ca="1">INDEX(INDIRECT("'"&amp;$F36&amp;"'!$B$3:$T$300"),MATCH($B$6&amp;H$27&amp;H$28&amp;"Total inc GST",INDIRECT("'"&amp;$F36&amp;"'!$B$3:$B$300")&amp;INDIRECT("'"&amp;$F36&amp;"'!$C$3:$C$300")&amp;INDIRECT("'"&amp;$F36&amp;"'!$D$3:$D$300")&amp;INDIRECT("'"&amp;$F36&amp;"'!$G$3:$G$300"),0),MATCH(L$29&amp;O$30,INDIRECT("'"&amp;$F36&amp;"'!$B$4:$T$4")&amp;INDIRECT("'"&amp;$F36&amp;"'!$B$5:$T$5"),0))</f>
        <v>76.962599999999995</v>
      </c>
      <c r="P36" s="62"/>
      <c r="Q36" s="62"/>
      <c r="R36" s="62"/>
      <c r="S36" s="61">
        <f t="array" aca="1" ref="S36" ca="1">INDEX(INDIRECT("'"&amp;$F36&amp;"'!$B$3:$T$300"),MATCH($B$6&amp;R$27&amp;R$28&amp;"Total inc GST",INDIRECT("'"&amp;$F36&amp;"'!$B$3:$B$300")&amp;INDIRECT("'"&amp;$F36&amp;"'!$C$3:$C$300")&amp;INDIRECT("'"&amp;$F36&amp;"'!$D$3:$D$300")&amp;INDIRECT("'"&amp;$F36&amp;"'!$G$3:$G$300"),0),MATCH(S$29&amp;S$30,INDIRECT("'"&amp;$F36&amp;"'!$B$4:$T$4")&amp;INDIRECT("'"&amp;$F36&amp;"'!$B$5:$T$5"),0))</f>
        <v>122.7996</v>
      </c>
      <c r="T36" s="62">
        <f ca="1">S36/R$33</f>
        <v>6.3725791385573424E-2</v>
      </c>
      <c r="U36" s="62"/>
      <c r="V36" s="75">
        <f t="array" aca="1" ref="V36" ca="1">INDEX(INDIRECT("'"&amp;$F36&amp;"'!$B$3:$T$300"),MATCH($B$6&amp;R$27&amp;R$28&amp;"Total inc GST",INDIRECT("'"&amp;$F36&amp;"'!$B$3:$B$300")&amp;INDIRECT("'"&amp;$F36&amp;"'!$C$3:$C$300")&amp;INDIRECT("'"&amp;$F36&amp;"'!$D$3:$D$300")&amp;INDIRECT("'"&amp;$F36&amp;"'!$G$3:$G$300"),0),MATCH(V$29&amp;V$30,INDIRECT("'"&amp;$F36&amp;"'!$B$4:$T$4")&amp;INDIRECT("'"&amp;$F36&amp;"'!$B$5:$T$5"),0))</f>
        <v>-0.14164785553047399</v>
      </c>
      <c r="W36" s="62">
        <f ca="1">T36*V36</f>
        <v>-9.0266216917488287E-3</v>
      </c>
      <c r="X36" s="62">
        <f ca="1">Y36/R$39</f>
        <v>5.922874109881382E-2</v>
      </c>
      <c r="Y36" s="61">
        <f t="array" aca="1" ref="Y36" ca="1">INDEX(INDIRECT("'"&amp;$F36&amp;"'!$B$3:$T$300"),MATCH($B$6&amp;R$27&amp;R$28&amp;"Total inc GST",INDIRECT("'"&amp;$F36&amp;"'!$B$3:$B$300")&amp;INDIRECT("'"&amp;$F36&amp;"'!$C$3:$C$300")&amp;INDIRECT("'"&amp;$F36&amp;"'!$D$3:$D$300")&amp;INDIRECT("'"&amp;$F36&amp;"'!$G$3:$G$300"),0),MATCH(V$29&amp;Y$30,INDIRECT("'"&amp;$F36&amp;"'!$B$4:$T$4")&amp;INDIRECT("'"&amp;$F36&amp;"'!$B$5:$T$5"),0))</f>
        <v>105.40530000000001</v>
      </c>
      <c r="Z36" s="62"/>
      <c r="AA36" s="63"/>
      <c r="AB36" s="63"/>
      <c r="AC36" s="61">
        <f t="array" aca="1" ref="AC36" ca="1">INDEX(INDIRECT("'"&amp;$F36&amp;"'!$B$3:$T$300"),MATCH($B$6&amp;AB$27&amp;AB$28&amp;"Total inc GST",INDIRECT("'"&amp;$F36&amp;"'!$B$3:$B$300")&amp;INDIRECT("'"&amp;$F36&amp;"'!$C$3:$C$300")&amp;INDIRECT("'"&amp;$F36&amp;"'!$D$3:$D$300")&amp;INDIRECT("'"&amp;$F36&amp;"'!$G$3:$G$300"),0),MATCH(AC$29&amp;AC$30,INDIRECT("'"&amp;$F36&amp;"'!$B$4:$T$4")&amp;INDIRECT("'"&amp;$F36&amp;"'!$B$5:$T$5"),0))</f>
        <v>389.84</v>
      </c>
      <c r="AD36" s="62">
        <f ca="1">AC36/AB$33</f>
        <v>6.4703734439834015E-2</v>
      </c>
      <c r="AE36" s="62"/>
      <c r="AF36" s="75">
        <f t="array" aca="1" ref="AF36" ca="1">INDEX(INDIRECT("'"&amp;$F36&amp;"'!$B$3:$T$300"),MATCH($B$6&amp;AB$27&amp;AB$28&amp;"Total inc GST",INDIRECT("'"&amp;$F36&amp;"'!$B$3:$B$300")&amp;INDIRECT("'"&amp;$F36&amp;"'!$C$3:$C$300")&amp;INDIRECT("'"&amp;$F36&amp;"'!$D$3:$D$300")&amp;INDIRECT("'"&amp;$F36&amp;"'!$G$3:$G$300"),0),MATCH(AF$29&amp;AF$30,INDIRECT("'"&amp;$F36&amp;"'!$B$4:$T$4")&amp;INDIRECT("'"&amp;$F36&amp;"'!$B$5:$T$5"),0))</f>
        <v>-0.14164785553047399</v>
      </c>
      <c r="AG36" s="62">
        <f ca="1">AD36*AF36</f>
        <v>-9.1651452282157635E-3</v>
      </c>
      <c r="AH36" s="62">
        <f ca="1">AI36/AB$39</f>
        <v>5.9260006290869444E-2</v>
      </c>
      <c r="AI36" s="61">
        <f t="array" aca="1" ref="AI36" ca="1">INDEX(INDIRECT("'"&amp;$F36&amp;"'!$B$3:$T$300"),MATCH($B$6&amp;AB$27&amp;AB$28&amp;"Total inc GST",INDIRECT("'"&amp;$F36&amp;"'!$B$3:$B$300")&amp;INDIRECT("'"&amp;$F36&amp;"'!$C$3:$C$300")&amp;INDIRECT("'"&amp;$F36&amp;"'!$D$3:$D$300")&amp;INDIRECT("'"&amp;$F36&amp;"'!$G$3:$G$300"),0),MATCH(AF$29&amp;AI$30,INDIRECT("'"&amp;$F36&amp;"'!$B$4:$T$4")&amp;INDIRECT("'"&amp;$F36&amp;"'!$B$5:$T$5"),0))</f>
        <v>334.62</v>
      </c>
      <c r="AJ36" s="62"/>
    </row>
    <row r="37" spans="2:36" ht="15" customHeight="1" x14ac:dyDescent="0.3">
      <c r="F37" s="64" t="s">
        <v>71</v>
      </c>
      <c r="G37" s="64"/>
      <c r="H37" s="63"/>
      <c r="I37" s="61">
        <f ca="1">H33-SUM(I34:I36)</f>
        <v>321.35556999999994</v>
      </c>
      <c r="J37" s="62">
        <f ca="1">1-SUM(J34:J36)</f>
        <v>0.20468507643312095</v>
      </c>
      <c r="K37" s="62"/>
      <c r="L37" s="62">
        <f>CPI</f>
        <v>1.8500000000000003E-2</v>
      </c>
      <c r="M37" s="62">
        <f ca="1">J37*L37</f>
        <v>3.7866739140127383E-3</v>
      </c>
      <c r="N37" s="62">
        <f ca="1">O37/H$39</f>
        <v>0.22059719807960271</v>
      </c>
      <c r="O37" s="61">
        <f ca="1">H39-SUM(O34:O36)</f>
        <v>327.30064804499989</v>
      </c>
      <c r="P37" s="65">
        <f t="array" ref="P37">INDEX('Detail inputs'!$B$3:$L$211,MATCH($B6&amp;P$30,'Detail inputs'!$B$3:$B$211&amp;'Detail inputs'!$G$3:$G$211,0),MATCH(L$29,'Detail inputs'!$B$3:$L$3,0))</f>
        <v>0</v>
      </c>
      <c r="Q37" s="62"/>
      <c r="R37" s="62"/>
      <c r="S37" s="61">
        <f ca="1">R33-SUM(S34:S36)</f>
        <v>377.6433340000001</v>
      </c>
      <c r="T37" s="62">
        <f ca="1">1-SUM(T34:T36)</f>
        <v>0.19597474519979241</v>
      </c>
      <c r="U37" s="62"/>
      <c r="V37" s="62">
        <f>CPI</f>
        <v>1.8500000000000003E-2</v>
      </c>
      <c r="W37" s="62">
        <f ca="1">T37*V37</f>
        <v>3.6255327861961601E-3</v>
      </c>
      <c r="X37" s="62">
        <f ca="1">Y37/R$39</f>
        <v>0.21612893311281947</v>
      </c>
      <c r="Y37" s="61">
        <f ca="1">R39-SUM(Y34:Y36)</f>
        <v>384.62973567899985</v>
      </c>
      <c r="Z37" s="65">
        <f t="array" ref="Z37">INDEX('Detail inputs'!$B$3:$L$211,MATCH($B6&amp;Z$30,'Detail inputs'!$B$3:$B$211&amp;'Detail inputs'!$G$3:$G$211,0),MATCH(V$29,'Detail inputs'!$B$3:$L$3,0))</f>
        <v>0</v>
      </c>
      <c r="AA37" s="63"/>
      <c r="AB37" s="63"/>
      <c r="AC37" s="61">
        <f ca="1">AB33-SUM(AC34:AC36)</f>
        <v>1230.4725699999999</v>
      </c>
      <c r="AD37" s="62">
        <f ca="1">1-SUM(AD34:AD36)</f>
        <v>0.20422781244813282</v>
      </c>
      <c r="AE37" s="62"/>
      <c r="AF37" s="62">
        <f>CPI</f>
        <v>1.8500000000000003E-2</v>
      </c>
      <c r="AG37" s="62">
        <f ca="1">AD37*AF37</f>
        <v>3.7782145302904576E-3</v>
      </c>
      <c r="AH37" s="62">
        <f ca="1">AI37/AB$39</f>
        <v>0.22194367271939133</v>
      </c>
      <c r="AI37" s="61">
        <f ca="1">AB39-SUM(AI34:AI36)</f>
        <v>1253.2363125450001</v>
      </c>
      <c r="AJ37" s="65">
        <f t="array" ref="AJ37">INDEX('Detail inputs'!$B$3:$L$211,MATCH($B6&amp;AJ$30,'Detail inputs'!$B$3:$B$211&amp;'Detail inputs'!$G$3:$G$211,0),MATCH(AF$29,'Detail inputs'!$B$3:$L$3,0))</f>
        <v>0</v>
      </c>
    </row>
    <row r="38" spans="2:36" s="5" customFormat="1" ht="15" customHeight="1" x14ac:dyDescent="0.3">
      <c r="F38" s="60" t="s">
        <v>77</v>
      </c>
      <c r="G38" s="60"/>
      <c r="H38" s="63"/>
      <c r="I38" s="62"/>
      <c r="J38" s="62">
        <f ca="1">SUM(J34:J37)</f>
        <v>1</v>
      </c>
      <c r="K38" s="62"/>
      <c r="L38" s="62">
        <f ca="1">SUMPRODUCT(J34:J37,L34:L37)</f>
        <v>-5.4966463028662489E-2</v>
      </c>
      <c r="M38" s="62">
        <f ca="1">SUM(M34:M37)</f>
        <v>-5.4966463028662489E-2</v>
      </c>
      <c r="N38" s="62">
        <f ca="1">SUM(N34:N37)</f>
        <v>1</v>
      </c>
      <c r="O38" s="62"/>
      <c r="P38" s="3"/>
      <c r="Q38" s="62"/>
      <c r="R38" s="62"/>
      <c r="S38" s="62"/>
      <c r="T38" s="62">
        <f ca="1">SUM(T34:T37)</f>
        <v>1</v>
      </c>
      <c r="U38" s="62"/>
      <c r="V38" s="62">
        <f ca="1">SUMPRODUCT(T34:T37,V34:V37)</f>
        <v>-7.6475902086663258E-2</v>
      </c>
      <c r="W38" s="62">
        <f ca="1">SUM(W34:W37)</f>
        <v>-7.6475902086663258E-2</v>
      </c>
      <c r="X38" s="62">
        <f ca="1">SUM(X34:X37)</f>
        <v>0.99999999999999989</v>
      </c>
      <c r="Y38" s="62"/>
      <c r="Z38" s="3"/>
      <c r="AA38" s="63"/>
      <c r="AB38" s="63"/>
      <c r="AC38" s="63"/>
      <c r="AD38" s="62">
        <f ca="1">SUM(AD34:AD37)</f>
        <v>1</v>
      </c>
      <c r="AE38" s="62"/>
      <c r="AF38" s="62">
        <f ca="1">SUMPRODUCT(AD34:AD37,AF34:AF37)</f>
        <v>-6.279812156929461E-2</v>
      </c>
      <c r="AG38" s="62">
        <f ca="1">SUM(AG34:AG37)</f>
        <v>-6.279812156929461E-2</v>
      </c>
      <c r="AH38" s="62">
        <f ca="1">SUM(AH34:AH37)</f>
        <v>1</v>
      </c>
      <c r="AI38" s="62"/>
      <c r="AJ38" s="3"/>
    </row>
    <row r="39" spans="2:36" ht="15" thickBot="1" x14ac:dyDescent="0.35">
      <c r="B39" s="116"/>
      <c r="F39" s="108" t="str">
        <f>"DMO "&amp;FY&amp;" price"</f>
        <v>DMO 2020-21 price</v>
      </c>
      <c r="G39" s="108"/>
      <c r="H39" s="109">
        <f ca="1">H33*(1+L38)+P37</f>
        <v>1483.7026530449998</v>
      </c>
      <c r="I39" s="110"/>
      <c r="J39" s="110"/>
      <c r="K39" s="110"/>
      <c r="L39" s="110"/>
      <c r="M39" s="110"/>
      <c r="N39" s="110"/>
      <c r="O39" s="110"/>
      <c r="P39" s="110"/>
      <c r="Q39" s="110"/>
      <c r="R39" s="109">
        <f ca="1">R33*(1+V38)+Z37</f>
        <v>1779.6309366789999</v>
      </c>
      <c r="S39" s="109"/>
      <c r="T39" s="110"/>
      <c r="U39" s="110"/>
      <c r="V39" s="110"/>
      <c r="W39" s="110"/>
      <c r="X39" s="111"/>
      <c r="Y39" s="111"/>
      <c r="Z39" s="111"/>
      <c r="AA39" s="111"/>
      <c r="AB39" s="109">
        <f ca="1">AB33*(1+AF38)+AJ37</f>
        <v>5646.6413175449998</v>
      </c>
      <c r="AC39" s="109"/>
      <c r="AD39" s="110"/>
      <c r="AE39" s="110"/>
      <c r="AF39" s="110"/>
      <c r="AG39" s="110"/>
      <c r="AH39" s="110"/>
      <c r="AI39" s="110"/>
      <c r="AJ39" s="110"/>
    </row>
    <row r="40" spans="2:36" ht="15" thickTop="1" x14ac:dyDescent="0.3">
      <c r="F40" s="177" t="s">
        <v>197</v>
      </c>
    </row>
    <row r="41" spans="2:36" x14ac:dyDescent="0.3">
      <c r="F41" s="177" t="str">
        <f>"Residual cost for "&amp;FY&amp;" includes step change and any one-off adjustment"</f>
        <v>Residual cost for 2020-21 includes step change and any one-off adjustment</v>
      </c>
    </row>
    <row r="42" spans="2:36" x14ac:dyDescent="0.3">
      <c r="F42" s="145" t="s">
        <v>160</v>
      </c>
    </row>
    <row r="43" spans="2:36" hidden="1" x14ac:dyDescent="0.3">
      <c r="F43" s="177"/>
    </row>
    <row r="44" spans="2:36" s="119" customFormat="1" ht="12" hidden="1" x14ac:dyDescent="0.3">
      <c r="F44" s="143" t="s">
        <v>106</v>
      </c>
      <c r="G44" s="143"/>
      <c r="H44" s="144"/>
      <c r="I44" s="143"/>
      <c r="J44" s="143"/>
      <c r="K44" s="143"/>
      <c r="L44" s="143"/>
      <c r="M44" s="143"/>
      <c r="N44" s="143"/>
      <c r="O44" s="143" t="b">
        <f ca="1">O37=I37*(1+L37)+P37</f>
        <v>1</v>
      </c>
      <c r="P44" s="143"/>
      <c r="Q44" s="143"/>
      <c r="R44" s="143"/>
      <c r="S44" s="143"/>
      <c r="T44" s="143"/>
      <c r="U44" s="143"/>
      <c r="V44" s="143"/>
      <c r="W44" s="143"/>
      <c r="X44" s="143"/>
      <c r="Y44" s="143" t="b">
        <f ca="1">Y37=S37*(1+V37)+Z37</f>
        <v>1</v>
      </c>
      <c r="Z44" s="143"/>
      <c r="AA44" s="143"/>
      <c r="AB44" s="143"/>
      <c r="AC44" s="143"/>
      <c r="AD44" s="143"/>
      <c r="AE44" s="143"/>
      <c r="AF44" s="143"/>
      <c r="AG44" s="143"/>
      <c r="AH44" s="143"/>
      <c r="AI44" s="143" t="b">
        <f ca="1">AI37=AC37*(1+AF37)+AJ37</f>
        <v>1</v>
      </c>
      <c r="AJ44" s="143"/>
    </row>
    <row r="45" spans="2:36" hidden="1" x14ac:dyDescent="0.3"/>
    <row r="46" spans="2:36" hidden="1" x14ac:dyDescent="0.3"/>
    <row r="47" spans="2:36" hidden="1" x14ac:dyDescent="0.3"/>
    <row r="48" spans="2:36" hidden="1" x14ac:dyDescent="0.3">
      <c r="H48" s="114"/>
    </row>
  </sheetData>
  <sheetProtection algorithmName="SHA-256" hashValue="xfGjREMUxmUYXteQDGhiu3m9OPUDXzUBHx+8Tnt9JOc=" saltValue="nsoSa2UBX7BBpl/s8yA4VQ==" spinCount="100000" sheet="1" objects="1" scenarios="1"/>
  <mergeCells count="15">
    <mergeCell ref="A1:B1"/>
    <mergeCell ref="S29:T29"/>
    <mergeCell ref="V29:Z29"/>
    <mergeCell ref="AC29:AD29"/>
    <mergeCell ref="AF29:AJ29"/>
    <mergeCell ref="B6:B7"/>
    <mergeCell ref="F27:F32"/>
    <mergeCell ref="H27:P27"/>
    <mergeCell ref="R27:Z27"/>
    <mergeCell ref="AB27:AJ27"/>
    <mergeCell ref="H28:P28"/>
    <mergeCell ref="R28:Z28"/>
    <mergeCell ref="AB28:AJ28"/>
    <mergeCell ref="I29:J29"/>
    <mergeCell ref="L29:P29"/>
  </mergeCells>
  <conditionalFormatting sqref="F33:AJ39">
    <cfRule type="expression" dxfId="38" priority="3">
      <formula>MOD(ROW(),2)=0</formula>
    </cfRule>
    <cfRule type="expression" dxfId="37" priority="4">
      <formula>AND(MOD(ROW(),2)=0,F$30="Proportion",$F33="Overall change in costs (%)")</formula>
    </cfRule>
    <cfRule type="expression" dxfId="36" priority="5">
      <formula>AND(MOD(ROW(),1)=0,F$30="Proportion",$F33="Overall change in costs (%)")</formula>
    </cfRule>
  </conditionalFormatting>
  <conditionalFormatting sqref="G44:AJ44">
    <cfRule type="cellIs" dxfId="35" priority="1" operator="equal">
      <formula>FALSE</formula>
    </cfRule>
    <cfRule type="cellIs" dxfId="34"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8"/>
  <sheetViews>
    <sheetView zoomScaleNormal="100" workbookViewId="0">
      <selection sqref="A1:B1"/>
    </sheetView>
  </sheetViews>
  <sheetFormatPr defaultColWidth="0" defaultRowHeight="14.4" zeroHeight="1" x14ac:dyDescent="0.3"/>
  <cols>
    <col min="1" max="1" width="1.6640625" style="3" customWidth="1"/>
    <col min="2" max="2" width="33.88671875" style="3" bestFit="1" customWidth="1"/>
    <col min="3" max="5" width="13.33203125" style="3" customWidth="1"/>
    <col min="6" max="6" width="26.6640625" style="3" customWidth="1"/>
    <col min="7" max="7" width="5.88671875" style="3" customWidth="1"/>
    <col min="8" max="10" width="10.6640625" style="3" customWidth="1"/>
    <col min="11" max="11" width="1.6640625" style="3" customWidth="1"/>
    <col min="12" max="12" width="10.6640625" style="3" customWidth="1"/>
    <col min="13" max="13" width="9.44140625" style="3" hidden="1" customWidth="1"/>
    <col min="14" max="14" width="13.33203125" style="3" hidden="1" customWidth="1"/>
    <col min="15" max="15" width="10.6640625" style="3" customWidth="1"/>
    <col min="16" max="16" width="10.6640625" style="3" hidden="1" customWidth="1"/>
    <col min="17" max="17" width="5.6640625" style="3" customWidth="1"/>
    <col min="18" max="20" width="10.6640625" style="3" customWidth="1"/>
    <col min="21" max="21" width="1.6640625" style="3" customWidth="1"/>
    <col min="22" max="22" width="10.6640625" style="3" customWidth="1"/>
    <col min="23" max="23" width="9.33203125" style="3" hidden="1" customWidth="1"/>
    <col min="24" max="24" width="13.33203125" style="3" hidden="1" customWidth="1"/>
    <col min="25" max="25" width="10.6640625" style="3" customWidth="1"/>
    <col min="26" max="26" width="10.6640625" style="3" hidden="1" customWidth="1"/>
    <col min="27" max="27" width="5.6640625" style="3" customWidth="1"/>
    <col min="28" max="30" width="10.6640625" style="3" customWidth="1"/>
    <col min="31" max="31" width="1.6640625" style="3" customWidth="1"/>
    <col min="32" max="32" width="10.6640625" style="3" customWidth="1"/>
    <col min="33" max="34" width="0" style="3" hidden="1" customWidth="1"/>
    <col min="35" max="36" width="10.6640625" style="3" customWidth="1"/>
    <col min="37" max="37" width="8.88671875" style="3" customWidth="1"/>
    <col min="38" max="16384" width="8.88671875" style="3" hidden="1"/>
  </cols>
  <sheetData>
    <row r="1" spans="1:37" ht="10.199999999999999" customHeight="1" x14ac:dyDescent="0.3">
      <c r="A1" s="246" t="s">
        <v>22</v>
      </c>
      <c r="B1" s="272"/>
    </row>
    <row r="2" spans="1:37" s="15" customFormat="1" ht="22.5" customHeight="1" x14ac:dyDescent="0.3">
      <c r="A2" s="16" t="s">
        <v>5</v>
      </c>
    </row>
    <row r="3" spans="1:37" s="101" customFormat="1" ht="15" thickBot="1" x14ac:dyDescent="0.35">
      <c r="C3" s="101" t="str">
        <f>$A$2&amp;" "&amp;C6&amp;" "&amp;C7</f>
        <v>SAPN Residential without CL</v>
      </c>
      <c r="D3" s="101" t="str">
        <f>$A$2&amp;" "&amp;D6&amp;" "&amp;D7</f>
        <v>SAPN Residential with CL</v>
      </c>
      <c r="E3" s="101" t="str">
        <f>$A$2&amp;" "&amp;E6&amp;" "&amp;E7</f>
        <v>SAPN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ht="15.6" x14ac:dyDescent="0.3">
      <c r="B4" s="38" t="s">
        <v>21</v>
      </c>
      <c r="F4" s="38"/>
      <c r="G4" s="120" t="s">
        <v>105</v>
      </c>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row>
    <row r="5" spans="1:37" ht="4.95" customHeight="1" x14ac:dyDescent="0.3">
      <c r="B5" s="5"/>
      <c r="G5" s="123"/>
      <c r="H5" s="124"/>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125"/>
    </row>
    <row r="6" spans="1:37" ht="19.95" customHeight="1" x14ac:dyDescent="0.3">
      <c r="B6" s="279" t="str">
        <f>A2</f>
        <v>SAPN</v>
      </c>
      <c r="C6" s="58" t="s">
        <v>6</v>
      </c>
      <c r="D6" s="58" t="s">
        <v>6</v>
      </c>
      <c r="E6" s="58" t="s">
        <v>85</v>
      </c>
      <c r="G6" s="123"/>
      <c r="H6" s="124"/>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125"/>
    </row>
    <row r="7" spans="1:37" ht="19.95" customHeight="1" x14ac:dyDescent="0.3">
      <c r="B7" s="279"/>
      <c r="C7" s="59" t="s">
        <v>158</v>
      </c>
      <c r="D7" s="59" t="s">
        <v>159</v>
      </c>
      <c r="E7" s="59" t="s">
        <v>158</v>
      </c>
      <c r="G7" s="123"/>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125"/>
    </row>
    <row r="8" spans="1:37" ht="1.95" customHeight="1" x14ac:dyDescent="0.3">
      <c r="B8" s="36"/>
      <c r="C8" s="37"/>
      <c r="D8" s="37"/>
      <c r="E8" s="37"/>
      <c r="G8" s="123"/>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125"/>
    </row>
    <row r="9" spans="1:37" s="56" customFormat="1" ht="30" customHeight="1" x14ac:dyDescent="0.3">
      <c r="B9" s="66" t="str">
        <f>"DMO "&amp;FY&amp;" price ($ pa, inc GST)"</f>
        <v>DMO 2020-21 price ($ pa, inc GST)</v>
      </c>
      <c r="C9" s="245">
        <f ca="1">ROUND(H39,0)</f>
        <v>1856</v>
      </c>
      <c r="D9" s="245">
        <f ca="1">ROUND(R39,0)</f>
        <v>2282</v>
      </c>
      <c r="E9" s="245">
        <f ca="1">ROUND(AB39,0)</f>
        <v>8429</v>
      </c>
      <c r="F9" s="3"/>
      <c r="G9" s="123"/>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126"/>
    </row>
    <row r="10" spans="1:37" ht="1.95" customHeight="1" x14ac:dyDescent="0.3">
      <c r="B10" s="67"/>
      <c r="C10" s="68"/>
      <c r="D10" s="68"/>
      <c r="E10" s="68"/>
      <c r="F10" s="56"/>
      <c r="G10" s="127"/>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5"/>
    </row>
    <row r="11" spans="1:37" ht="19.95" customHeight="1" x14ac:dyDescent="0.3">
      <c r="B11" s="69" t="s">
        <v>50</v>
      </c>
      <c r="C11" s="70">
        <f>SUM(C12:C13)</f>
        <v>4000</v>
      </c>
      <c r="D11" s="70">
        <f>SUM(D12:D13)</f>
        <v>6000</v>
      </c>
      <c r="E11" s="70">
        <f>SUM(E12:E13)</f>
        <v>20000</v>
      </c>
      <c r="G11" s="123"/>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125"/>
    </row>
    <row r="12" spans="1:37" ht="19.95" customHeight="1" x14ac:dyDescent="0.3">
      <c r="B12" s="71" t="s">
        <v>53</v>
      </c>
      <c r="C12" s="72">
        <f t="array" ref="C12">INDEX(Usage!$B$5:$Q$18,MATCH($B6,Usage!$B$5:$B$18,0),MATCH(C$6&amp;C$7&amp;"Flat rate"&amp;"Total",Usage!$B$5:$Q$5&amp;Usage!$B$6:$Q$6&amp;Usage!$B$7:$Q$7&amp;Usage!$B$13:$Q$13,0))</f>
        <v>4000</v>
      </c>
      <c r="D12" s="72">
        <f t="array" ref="D12">INDEX(Usage!$B$5:$Q$18,MATCH($B6,Usage!$B$5:$B$18,0),MATCH(D$6&amp;D$7&amp;"Flat rate"&amp;"Total",Usage!$B$5:$Q$5&amp;Usage!$B$6:$Q$6&amp;Usage!$B$7:$Q$7&amp;Usage!$B$13:$Q$13,0))</f>
        <v>4200</v>
      </c>
      <c r="E12" s="72">
        <f t="array" ref="E12">INDEX(Usage!$B$5:$Q$18,MATCH($B6,Usage!$B$5:$B$18,0),MATCH(E$6&amp;E$7&amp;"Flat rate"&amp;"Total",Usage!$B$5:$Q$5&amp;Usage!$B$6:$Q$6&amp;Usage!$B$7:$Q$7&amp;Usage!$B$13:$Q$13,0))</f>
        <v>20000</v>
      </c>
      <c r="G12" s="123"/>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125"/>
    </row>
    <row r="13" spans="1:37" ht="19.95" customHeight="1" x14ac:dyDescent="0.3">
      <c r="B13" s="71" t="s">
        <v>52</v>
      </c>
      <c r="C13" s="72"/>
      <c r="D13" s="72">
        <f t="array" ref="D13">INDEX(Usage!$B$5:$Q$18,MATCH($B6,Usage!$B$5:$B$18,0),MATCH(D$6&amp;D$7&amp;"CL"&amp;"Total",Usage!$B$5:$Q$5&amp;Usage!$B$6:$Q$6&amp;Usage!$B$7:$Q$7&amp;Usage!$B$13:$Q$13,0))</f>
        <v>1800</v>
      </c>
      <c r="E13" s="72"/>
      <c r="G13" s="123"/>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125"/>
    </row>
    <row r="14" spans="1:37" ht="1.95" customHeight="1" x14ac:dyDescent="0.3">
      <c r="B14" s="73"/>
      <c r="C14" s="73"/>
      <c r="D14" s="73"/>
      <c r="E14" s="73"/>
      <c r="G14" s="123"/>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125"/>
    </row>
    <row r="15" spans="1:37" ht="19.95" customHeight="1" x14ac:dyDescent="0.3">
      <c r="B15" s="71" t="str">
        <f>"Change from DMO "&amp;PY&amp; " price ($)"</f>
        <v>Change from DMO 2019-20 price ($)</v>
      </c>
      <c r="C15" s="192">
        <f ca="1">C9-H33</f>
        <v>-85</v>
      </c>
      <c r="D15" s="192">
        <f ca="1">D9-R33</f>
        <v>-138</v>
      </c>
      <c r="E15" s="192">
        <f ca="1">E9-AB33</f>
        <v>-691</v>
      </c>
      <c r="G15" s="123"/>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125"/>
    </row>
    <row r="16" spans="1:37" ht="19.95" customHeight="1" thickBot="1" x14ac:dyDescent="0.35">
      <c r="B16" s="74" t="str">
        <f>"Change from DMO "&amp;PY&amp; " price (%)"</f>
        <v>Change from DMO 2019-20 price (%)</v>
      </c>
      <c r="C16" s="146">
        <f ca="1">C9/H33-1</f>
        <v>-4.3791859866048388E-2</v>
      </c>
      <c r="D16" s="146">
        <f ca="1">D9/R33-1</f>
        <v>-5.7024793388429806E-2</v>
      </c>
      <c r="E16" s="146">
        <f ca="1">E9/AB33-1</f>
        <v>-7.5767543859649122E-2</v>
      </c>
      <c r="G16" s="123"/>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125"/>
    </row>
    <row r="17" spans="2:37" ht="15" thickTop="1" x14ac:dyDescent="0.3">
      <c r="B17" s="116" t="s">
        <v>104</v>
      </c>
      <c r="G17" s="123"/>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125"/>
    </row>
    <row r="18" spans="2:37" x14ac:dyDescent="0.3">
      <c r="G18" s="123"/>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125"/>
    </row>
    <row r="19" spans="2:37" x14ac:dyDescent="0.3">
      <c r="G19" s="123"/>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125"/>
    </row>
    <row r="20" spans="2:37" ht="15.6" x14ac:dyDescent="0.3">
      <c r="B20" s="38"/>
      <c r="G20" s="123"/>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125"/>
    </row>
    <row r="21" spans="2:37" ht="15" customHeight="1" thickBot="1" x14ac:dyDescent="0.35">
      <c r="B21" s="36"/>
      <c r="D21" s="36"/>
      <c r="E21" s="36"/>
      <c r="F21" s="38"/>
      <c r="G21" s="129"/>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row>
    <row r="22" spans="2:37" s="39" customFormat="1" ht="15.6" x14ac:dyDescent="0.3">
      <c r="F22" s="38"/>
      <c r="G22" s="3"/>
      <c r="H22" s="36"/>
      <c r="I22" s="36"/>
      <c r="J22" s="36"/>
      <c r="K22" s="3"/>
      <c r="L22" s="3"/>
      <c r="M22" s="3"/>
      <c r="N22" s="36"/>
      <c r="O22" s="36"/>
      <c r="P22" s="36"/>
      <c r="Q22" s="36"/>
      <c r="R22" s="36"/>
      <c r="S22" s="36"/>
      <c r="T22" s="36"/>
      <c r="U22" s="3"/>
      <c r="V22" s="36"/>
      <c r="W22" s="36"/>
      <c r="X22" s="36"/>
      <c r="Y22" s="36"/>
      <c r="Z22" s="36"/>
      <c r="AA22" s="3"/>
      <c r="AB22" s="3"/>
      <c r="AC22" s="3"/>
      <c r="AD22" s="3"/>
      <c r="AE22" s="3"/>
      <c r="AF22" s="3"/>
      <c r="AG22" s="3"/>
      <c r="AH22" s="3"/>
      <c r="AI22" s="3"/>
      <c r="AJ22" s="3"/>
    </row>
    <row r="23" spans="2:37" s="39" customFormat="1" ht="15.6" hidden="1" x14ac:dyDescent="0.3">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t="str">
        <f>$H$27</f>
        <v>Residential</v>
      </c>
      <c r="Q23" s="36"/>
      <c r="R23" s="36" t="str">
        <f>$R$27</f>
        <v>Residential</v>
      </c>
      <c r="S23" s="36" t="str">
        <f>$R$27</f>
        <v>Residential</v>
      </c>
      <c r="T23" s="36" t="str">
        <f>$R$27</f>
        <v>Residential</v>
      </c>
      <c r="U23" s="3"/>
      <c r="V23" s="36" t="str">
        <f>$R$27</f>
        <v>Residential</v>
      </c>
      <c r="W23" s="36" t="str">
        <f>$R$27</f>
        <v>Residential</v>
      </c>
      <c r="X23" s="36" t="str">
        <f>$R$27</f>
        <v>Residential</v>
      </c>
      <c r="Y23" s="36" t="str">
        <f>$R$27</f>
        <v>Residential</v>
      </c>
      <c r="Z23" s="36" t="str">
        <f>$R$27</f>
        <v>Residential</v>
      </c>
      <c r="AA23" s="3"/>
      <c r="AB23" s="3" t="str">
        <f>$AB$27</f>
        <v>Small Business</v>
      </c>
      <c r="AC23" s="3" t="str">
        <f>$AB$27</f>
        <v>Small Business</v>
      </c>
      <c r="AD23" s="3" t="str">
        <f>$AB$27</f>
        <v>Small Business</v>
      </c>
      <c r="AE23" s="3"/>
      <c r="AF23" s="3" t="str">
        <f>$AB$27</f>
        <v>Small Business</v>
      </c>
      <c r="AG23" s="3" t="str">
        <f>$AB$27</f>
        <v>Small Business</v>
      </c>
      <c r="AH23" s="3" t="str">
        <f>$AB$27</f>
        <v>Small Business</v>
      </c>
      <c r="AI23" s="3" t="str">
        <f>$AB$27</f>
        <v>Small Business</v>
      </c>
      <c r="AJ23" s="3" t="str">
        <f>$AB$27</f>
        <v>Small Business</v>
      </c>
    </row>
    <row r="24" spans="2:37" s="39" customFormat="1" ht="15.6" hidden="1" x14ac:dyDescent="0.3">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t="str">
        <f>$H$28</f>
        <v>without CL</v>
      </c>
      <c r="Q24" s="36"/>
      <c r="R24" s="36" t="str">
        <f>$R$28</f>
        <v>with CL</v>
      </c>
      <c r="S24" s="36" t="str">
        <f>$R$28</f>
        <v>with CL</v>
      </c>
      <c r="T24" s="36" t="str">
        <f>$R$28</f>
        <v>with CL</v>
      </c>
      <c r="U24" s="3"/>
      <c r="V24" s="36" t="str">
        <f>$R$28</f>
        <v>with CL</v>
      </c>
      <c r="W24" s="36" t="str">
        <f>$R$28</f>
        <v>with CL</v>
      </c>
      <c r="X24" s="36" t="str">
        <f>$R$28</f>
        <v>with CL</v>
      </c>
      <c r="Y24" s="36" t="str">
        <f>$R$28</f>
        <v>with CL</v>
      </c>
      <c r="Z24" s="36" t="str">
        <f>$R$28</f>
        <v>with CL</v>
      </c>
      <c r="AA24" s="3"/>
      <c r="AB24" s="3" t="str">
        <f>$AB$28</f>
        <v>without CL</v>
      </c>
      <c r="AC24" s="3" t="str">
        <f>$AB$28</f>
        <v>without CL</v>
      </c>
      <c r="AD24" s="3" t="str">
        <f>$AB$28</f>
        <v>without CL</v>
      </c>
      <c r="AE24" s="3"/>
      <c r="AF24" s="3" t="str">
        <f>$AB$28</f>
        <v>without CL</v>
      </c>
      <c r="AG24" s="3" t="str">
        <f>$AB$28</f>
        <v>without CL</v>
      </c>
      <c r="AH24" s="3" t="str">
        <f>$AB$28</f>
        <v>without CL</v>
      </c>
      <c r="AI24" s="3" t="str">
        <f>$AB$28</f>
        <v>without CL</v>
      </c>
      <c r="AJ24" s="3" t="str">
        <f>$AB$28</f>
        <v>without CL</v>
      </c>
    </row>
    <row r="25" spans="2:37" s="39" customFormat="1" ht="15.6" hidden="1" x14ac:dyDescent="0.3">
      <c r="F25" s="38"/>
      <c r="G25" s="3"/>
      <c r="H25" s="36"/>
      <c r="I25" s="36" t="str">
        <f>$I$29</f>
        <v>2019-20</v>
      </c>
      <c r="J25" s="36" t="str">
        <f>$I$29</f>
        <v>2019-20</v>
      </c>
      <c r="K25" s="3"/>
      <c r="L25" s="36" t="str">
        <f>$L$29</f>
        <v>2020-21</v>
      </c>
      <c r="M25" s="36" t="str">
        <f>$L$29</f>
        <v>2020-21</v>
      </c>
      <c r="N25" s="36" t="str">
        <f>$L$29</f>
        <v>2020-21</v>
      </c>
      <c r="O25" s="36" t="str">
        <f>$L$29</f>
        <v>2020-21</v>
      </c>
      <c r="P25" s="36" t="str">
        <f>$L$29</f>
        <v>2020-21</v>
      </c>
      <c r="Q25" s="36"/>
      <c r="R25" s="36"/>
      <c r="S25" s="36" t="str">
        <f>$S$29</f>
        <v>2019-20</v>
      </c>
      <c r="T25" s="36" t="str">
        <f>$S$29</f>
        <v>2019-20</v>
      </c>
      <c r="U25" s="3"/>
      <c r="V25" s="36" t="str">
        <f>$V$29</f>
        <v>2020-21</v>
      </c>
      <c r="W25" s="36" t="str">
        <f>$V$29</f>
        <v>2020-21</v>
      </c>
      <c r="X25" s="36" t="str">
        <f>$V$29</f>
        <v>2020-21</v>
      </c>
      <c r="Y25" s="36" t="str">
        <f>$V$29</f>
        <v>2020-21</v>
      </c>
      <c r="Z25" s="36" t="str">
        <f>$V$29</f>
        <v>2020-21</v>
      </c>
      <c r="AA25" s="3"/>
      <c r="AB25" s="3"/>
      <c r="AC25" s="3" t="str">
        <f>$AC$29</f>
        <v>2019-20</v>
      </c>
      <c r="AD25" s="3" t="str">
        <f>$AC$29</f>
        <v>2019-20</v>
      </c>
      <c r="AE25" s="3"/>
      <c r="AF25" s="3" t="str">
        <f>$AF$29</f>
        <v>2020-21</v>
      </c>
      <c r="AG25" s="3" t="str">
        <f>$AF$29</f>
        <v>2020-21</v>
      </c>
      <c r="AH25" s="3" t="str">
        <f>$AF$29</f>
        <v>2020-21</v>
      </c>
      <c r="AI25" s="3" t="str">
        <f>$AF$29</f>
        <v>2020-21</v>
      </c>
      <c r="AJ25" s="3" t="str">
        <f>$AF$29</f>
        <v>2020-21</v>
      </c>
    </row>
    <row r="26" spans="2:37" s="39" customFormat="1" ht="15.6" x14ac:dyDescent="0.3">
      <c r="F26" s="38" t="s">
        <v>45</v>
      </c>
      <c r="G26" s="145" t="s">
        <v>160</v>
      </c>
      <c r="H26" s="36"/>
      <c r="I26" s="36"/>
      <c r="J26" s="36"/>
      <c r="K26" s="3"/>
      <c r="L26" s="3"/>
      <c r="M26" s="3"/>
      <c r="N26" s="36"/>
      <c r="O26" s="36"/>
      <c r="P26" s="36"/>
      <c r="Q26" s="36"/>
      <c r="R26" s="36"/>
      <c r="S26" s="36"/>
      <c r="T26" s="36"/>
      <c r="U26" s="3"/>
      <c r="V26" s="36"/>
      <c r="W26" s="36"/>
      <c r="X26" s="36"/>
      <c r="Y26" s="36"/>
      <c r="Z26" s="36"/>
      <c r="AA26" s="3"/>
      <c r="AB26" s="3"/>
      <c r="AC26" s="3"/>
      <c r="AD26" s="3"/>
      <c r="AE26" s="3"/>
      <c r="AF26" s="3"/>
      <c r="AG26" s="3"/>
      <c r="AH26" s="3"/>
      <c r="AI26" s="3"/>
      <c r="AJ26" s="3"/>
    </row>
    <row r="27" spans="2:37" s="39" customFormat="1" x14ac:dyDescent="0.3">
      <c r="F27" s="276" t="s">
        <v>38</v>
      </c>
      <c r="G27" s="117"/>
      <c r="H27" s="275" t="s">
        <v>6</v>
      </c>
      <c r="I27" s="275"/>
      <c r="J27" s="275"/>
      <c r="K27" s="275"/>
      <c r="L27" s="275"/>
      <c r="M27" s="275"/>
      <c r="N27" s="275"/>
      <c r="O27" s="275"/>
      <c r="P27" s="275"/>
      <c r="Q27" s="112"/>
      <c r="R27" s="275" t="s">
        <v>6</v>
      </c>
      <c r="S27" s="275"/>
      <c r="T27" s="275"/>
      <c r="U27" s="275"/>
      <c r="V27" s="275"/>
      <c r="W27" s="275"/>
      <c r="X27" s="275"/>
      <c r="Y27" s="275"/>
      <c r="Z27" s="275"/>
      <c r="AA27" s="112"/>
      <c r="AB27" s="275" t="s">
        <v>85</v>
      </c>
      <c r="AC27" s="275"/>
      <c r="AD27" s="275"/>
      <c r="AE27" s="275"/>
      <c r="AF27" s="275"/>
      <c r="AG27" s="275"/>
      <c r="AH27" s="275"/>
      <c r="AI27" s="275"/>
      <c r="AJ27" s="275"/>
    </row>
    <row r="28" spans="2:37" ht="15" thickBot="1" x14ac:dyDescent="0.35">
      <c r="F28" s="276"/>
      <c r="G28" s="117"/>
      <c r="H28" s="278" t="s">
        <v>158</v>
      </c>
      <c r="I28" s="278"/>
      <c r="J28" s="278"/>
      <c r="K28" s="278"/>
      <c r="L28" s="278"/>
      <c r="M28" s="278"/>
      <c r="N28" s="278"/>
      <c r="O28" s="278"/>
      <c r="P28" s="278"/>
      <c r="Q28" s="112"/>
      <c r="R28" s="278" t="s">
        <v>159</v>
      </c>
      <c r="S28" s="278"/>
      <c r="T28" s="278"/>
      <c r="U28" s="278"/>
      <c r="V28" s="278"/>
      <c r="W28" s="278"/>
      <c r="X28" s="278"/>
      <c r="Y28" s="278"/>
      <c r="Z28" s="278"/>
      <c r="AA28" s="112"/>
      <c r="AB28" s="278" t="s">
        <v>158</v>
      </c>
      <c r="AC28" s="278"/>
      <c r="AD28" s="278"/>
      <c r="AE28" s="278"/>
      <c r="AF28" s="278"/>
      <c r="AG28" s="278"/>
      <c r="AH28" s="278"/>
      <c r="AI28" s="278"/>
      <c r="AJ28" s="278"/>
    </row>
    <row r="29" spans="2:37" ht="15" customHeight="1" thickTop="1" x14ac:dyDescent="0.3">
      <c r="F29" s="276"/>
      <c r="G29" s="118"/>
      <c r="H29" s="112" t="s">
        <v>74</v>
      </c>
      <c r="I29" s="277" t="str">
        <f>PY</f>
        <v>2019-20</v>
      </c>
      <c r="J29" s="277"/>
      <c r="K29" s="112"/>
      <c r="L29" s="277" t="str">
        <f>FY</f>
        <v>2020-21</v>
      </c>
      <c r="M29" s="277"/>
      <c r="N29" s="277"/>
      <c r="O29" s="277"/>
      <c r="P29" s="277"/>
      <c r="Q29" s="54"/>
      <c r="R29" s="112" t="s">
        <v>74</v>
      </c>
      <c r="S29" s="277" t="str">
        <f>PY</f>
        <v>2019-20</v>
      </c>
      <c r="T29" s="277"/>
      <c r="U29" s="112"/>
      <c r="V29" s="277" t="str">
        <f>FY</f>
        <v>2020-21</v>
      </c>
      <c r="W29" s="277"/>
      <c r="X29" s="277"/>
      <c r="Y29" s="277"/>
      <c r="Z29" s="277"/>
      <c r="AA29" s="54"/>
      <c r="AB29" s="112" t="s">
        <v>74</v>
      </c>
      <c r="AC29" s="277" t="str">
        <f>PY</f>
        <v>2019-20</v>
      </c>
      <c r="AD29" s="277"/>
      <c r="AE29" s="112"/>
      <c r="AF29" s="277" t="str">
        <f>FY</f>
        <v>2020-21</v>
      </c>
      <c r="AG29" s="277"/>
      <c r="AH29" s="277"/>
      <c r="AI29" s="277"/>
      <c r="AJ29" s="277"/>
    </row>
    <row r="30" spans="2:37" ht="15" customHeight="1" x14ac:dyDescent="0.3">
      <c r="F30" s="276"/>
      <c r="G30" s="118"/>
      <c r="H30" s="76"/>
      <c r="I30" s="54" t="s">
        <v>26</v>
      </c>
      <c r="J30" s="54" t="s">
        <v>28</v>
      </c>
      <c r="K30" s="112"/>
      <c r="L30" s="54" t="s">
        <v>25</v>
      </c>
      <c r="M30" s="55" t="s">
        <v>51</v>
      </c>
      <c r="N30" s="54" t="s">
        <v>28</v>
      </c>
      <c r="O30" s="54" t="s">
        <v>26</v>
      </c>
      <c r="P30" s="54" t="s">
        <v>75</v>
      </c>
      <c r="Q30" s="54"/>
      <c r="R30" s="112"/>
      <c r="S30" s="54" t="s">
        <v>26</v>
      </c>
      <c r="T30" s="54" t="s">
        <v>28</v>
      </c>
      <c r="U30" s="112"/>
      <c r="V30" s="54" t="s">
        <v>25</v>
      </c>
      <c r="W30" s="55" t="s">
        <v>51</v>
      </c>
      <c r="X30" s="54" t="s">
        <v>28</v>
      </c>
      <c r="Y30" s="54" t="s">
        <v>26</v>
      </c>
      <c r="Z30" s="54" t="s">
        <v>75</v>
      </c>
      <c r="AA30" s="54"/>
      <c r="AB30" s="112" t="s">
        <v>24</v>
      </c>
      <c r="AC30" s="54" t="s">
        <v>26</v>
      </c>
      <c r="AD30" s="54" t="s">
        <v>28</v>
      </c>
      <c r="AE30" s="112"/>
      <c r="AF30" s="54" t="s">
        <v>25</v>
      </c>
      <c r="AG30" s="55" t="s">
        <v>51</v>
      </c>
      <c r="AH30" s="54" t="s">
        <v>28</v>
      </c>
      <c r="AI30" s="54" t="s">
        <v>26</v>
      </c>
      <c r="AJ30" s="54" t="s">
        <v>75</v>
      </c>
    </row>
    <row r="31" spans="2:37" ht="15" customHeight="1" x14ac:dyDescent="0.3">
      <c r="F31" s="276"/>
      <c r="G31" s="118"/>
      <c r="H31" s="76"/>
      <c r="I31" s="54"/>
      <c r="J31" s="54"/>
      <c r="K31" s="227"/>
      <c r="L31" s="54"/>
      <c r="M31" s="55"/>
      <c r="N31" s="54"/>
      <c r="O31" s="54"/>
      <c r="P31" s="54" t="s">
        <v>196</v>
      </c>
      <c r="Q31" s="54"/>
      <c r="R31" s="227"/>
      <c r="S31" s="54"/>
      <c r="T31" s="54"/>
      <c r="U31" s="227"/>
      <c r="V31" s="54"/>
      <c r="W31" s="55"/>
      <c r="X31" s="54"/>
      <c r="Y31" s="54"/>
      <c r="Z31" s="54" t="s">
        <v>196</v>
      </c>
      <c r="AA31" s="54"/>
      <c r="AB31" s="227"/>
      <c r="AC31" s="54"/>
      <c r="AD31" s="54"/>
      <c r="AE31" s="227"/>
      <c r="AF31" s="54"/>
      <c r="AG31" s="55"/>
      <c r="AH31" s="54"/>
      <c r="AI31" s="54"/>
      <c r="AJ31" s="54" t="s">
        <v>196</v>
      </c>
    </row>
    <row r="32" spans="2:37" ht="15" customHeight="1" x14ac:dyDescent="0.3">
      <c r="F32" s="276"/>
      <c r="G32" s="118"/>
      <c r="H32" s="54" t="s">
        <v>76</v>
      </c>
      <c r="I32" s="54" t="s">
        <v>47</v>
      </c>
      <c r="J32" s="54" t="s">
        <v>33</v>
      </c>
      <c r="K32" s="112"/>
      <c r="L32" s="54" t="s">
        <v>33</v>
      </c>
      <c r="M32" s="54" t="s">
        <v>33</v>
      </c>
      <c r="N32" s="54" t="s">
        <v>33</v>
      </c>
      <c r="O32" s="54" t="s">
        <v>47</v>
      </c>
      <c r="P32" s="54" t="s">
        <v>47</v>
      </c>
      <c r="Q32" s="54"/>
      <c r="R32" s="54"/>
      <c r="S32" s="54" t="s">
        <v>47</v>
      </c>
      <c r="T32" s="54" t="s">
        <v>33</v>
      </c>
      <c r="U32" s="112"/>
      <c r="V32" s="54" t="s">
        <v>33</v>
      </c>
      <c r="W32" s="54" t="s">
        <v>33</v>
      </c>
      <c r="X32" s="54" t="s">
        <v>33</v>
      </c>
      <c r="Y32" s="54" t="s">
        <v>47</v>
      </c>
      <c r="Z32" s="54" t="s">
        <v>47</v>
      </c>
      <c r="AA32" s="54"/>
      <c r="AB32" s="54"/>
      <c r="AC32" s="54" t="s">
        <v>47</v>
      </c>
      <c r="AD32" s="54" t="s">
        <v>33</v>
      </c>
      <c r="AE32" s="112"/>
      <c r="AF32" s="54" t="s">
        <v>33</v>
      </c>
      <c r="AG32" s="54" t="s">
        <v>33</v>
      </c>
      <c r="AH32" s="54" t="s">
        <v>33</v>
      </c>
      <c r="AI32" s="54" t="s">
        <v>47</v>
      </c>
      <c r="AJ32" s="54" t="s">
        <v>47</v>
      </c>
    </row>
    <row r="33" spans="2:36" ht="15" customHeight="1" x14ac:dyDescent="0.3">
      <c r="F33" s="60" t="str">
        <f>"DMO "&amp;PY&amp;" price"</f>
        <v>DMO 2019-20 price</v>
      </c>
      <c r="G33" s="60"/>
      <c r="H33" s="61">
        <f t="array" ref="H33">INDEX('Detail inputs'!$B$3:$L$381,MATCH($B$6&amp;H$27&amp;H$28&amp;H$29,'Detail inputs'!$B$3:$B$381&amp;'Detail inputs'!$D$3:$D$381&amp;'Detail inputs'!$E$3:$E$381&amp;'Detail inputs'!$F$3:$F$381&amp;'Detail inputs'!$G$3:$G$381,0),MATCH(I$29,'Detail inputs'!$B$3:$L$3,0))</f>
        <v>1941</v>
      </c>
      <c r="I33" s="62"/>
      <c r="J33" s="62"/>
      <c r="K33" s="62"/>
      <c r="L33" s="62"/>
      <c r="M33" s="62"/>
      <c r="N33" s="62"/>
      <c r="O33" s="62"/>
      <c r="P33" s="62"/>
      <c r="Q33" s="62"/>
      <c r="R33" s="61">
        <f t="array" ref="R33">INDEX('Detail inputs'!$B$3:$L$381,MATCH($B$6&amp;R$27&amp;R$28&amp;R$29,'Detail inputs'!$B$3:$B$381&amp;'Detail inputs'!$D$3:$D$381&amp;'Detail inputs'!$E$3:$E$381&amp;'Detail inputs'!$F$3:$F$381&amp;'Detail inputs'!$G$3:$G$381,0),MATCH(S$29,'Detail inputs'!$B$3:$L$3,0))</f>
        <v>2420</v>
      </c>
      <c r="S33" s="61"/>
      <c r="T33" s="62"/>
      <c r="U33" s="62"/>
      <c r="V33" s="62"/>
      <c r="W33" s="62"/>
      <c r="X33" s="63"/>
      <c r="Y33" s="63"/>
      <c r="Z33" s="63"/>
      <c r="AA33" s="63"/>
      <c r="AB33" s="61">
        <f t="array" ref="AB33">INDEX('Detail inputs'!$B$3:$L$381,MATCH($B$6&amp;AB$27&amp;AB$28&amp;AB$29,'Detail inputs'!$B$3:$B$381&amp;'Detail inputs'!$D$3:$D$381&amp;'Detail inputs'!$E$3:$E$381&amp;'Detail inputs'!$F$3:$F$381&amp;'Detail inputs'!$G$3:$G$381,0),MATCH(AC$29,'Detail inputs'!$B$3:$L$3,0))</f>
        <v>9120</v>
      </c>
      <c r="AC33" s="61"/>
      <c r="AD33" s="62"/>
      <c r="AE33" s="62"/>
      <c r="AF33" s="62"/>
      <c r="AG33" s="62"/>
      <c r="AH33" s="62"/>
      <c r="AI33" s="62"/>
      <c r="AJ33" s="62"/>
    </row>
    <row r="34" spans="2:36" ht="15" customHeight="1" x14ac:dyDescent="0.3">
      <c r="F34" s="64" t="s">
        <v>68</v>
      </c>
      <c r="G34" s="64"/>
      <c r="H34" s="63"/>
      <c r="I34" s="61">
        <f t="array" aca="1" ref="I34" ca="1">INDEX(INDIRECT("'"&amp;$F34&amp;"'!$B$3:$T$300"),MATCH($B$6&amp;H$27&amp;H$28&amp;"Total inc GST",INDIRECT("'"&amp;$F34&amp;"'!$B$3:$B$300")&amp;INDIRECT("'"&amp;$F34&amp;"'!$C$3:$C$300")&amp;INDIRECT("'"&amp;$F34&amp;"'!$D$3:$D$300")&amp;INDIRECT("'"&amp;$F34&amp;"'!$G$3:$G$300"),0),MATCH(I$29&amp;I$30,INDIRECT("'"&amp;$F34&amp;"'!$B$4:$T$4")&amp;INDIRECT("'"&amp;$F34&amp;"'!$B$5:$T$5"),0))</f>
        <v>841.50000000000011</v>
      </c>
      <c r="J34" s="62">
        <f ca="1">I34/H$33</f>
        <v>0.43353941267387952</v>
      </c>
      <c r="K34" s="62"/>
      <c r="L34" s="75">
        <f t="array" aca="1" ref="L34" ca="1">INDEX(INDIRECT("'"&amp;$F34&amp;"'!$B$3:$T$300"),MATCH($B$6&amp;H$27&amp;H$28&amp;"Total inc GST",INDIRECT("'"&amp;$F34&amp;"'!$B$3:$B$300")&amp;INDIRECT("'"&amp;$F34&amp;"'!$C$3:$C$300")&amp;INDIRECT("'"&amp;$F34&amp;"'!$D$3:$D$300")&amp;INDIRECT("'"&amp;$F34&amp;"'!$G$3:$G$300"),0),MATCH(L$29&amp;L$30,INDIRECT("'"&amp;$F34&amp;"'!$B$4:$T$4")&amp;INDIRECT("'"&amp;$F34&amp;"'!$B$5:$T$5"),0))</f>
        <v>-5.6405228758170001E-2</v>
      </c>
      <c r="M34" s="62">
        <f ca="1">J34*L34</f>
        <v>-2.4453889747552842E-2</v>
      </c>
      <c r="N34" s="62">
        <f ca="1">O34/H$39</f>
        <v>0.42778755144243158</v>
      </c>
      <c r="O34" s="61">
        <f t="array" aca="1" ref="O34" ca="1">INDEX(INDIRECT("'"&amp;$F34&amp;"'!$B$3:$T$300"),MATCH($B$6&amp;H$27&amp;H$28&amp;"Total inc GST",INDIRECT("'"&amp;$F34&amp;"'!$B$3:$B$300")&amp;INDIRECT("'"&amp;$F34&amp;"'!$C$3:$C$300")&amp;INDIRECT("'"&amp;$F34&amp;"'!$D$3:$D$300")&amp;INDIRECT("'"&amp;$F34&amp;"'!$G$3:$G$300"),0),MATCH(L$29&amp;O$30,INDIRECT("'"&amp;$F34&amp;"'!$B$4:$T$4")&amp;INDIRECT("'"&amp;$F34&amp;"'!$B$5:$T$5"),0))</f>
        <v>794.03500000000008</v>
      </c>
      <c r="P34" s="62"/>
      <c r="Q34" s="62"/>
      <c r="R34" s="62"/>
      <c r="S34" s="61">
        <f t="array" aca="1" ref="S34" ca="1">INDEX(INDIRECT("'"&amp;$F34&amp;"'!$B$3:$T$300"),MATCH($B$6&amp;R$27&amp;R$28&amp;"Total inc GST",INDIRECT("'"&amp;$F34&amp;"'!$B$3:$B$300")&amp;INDIRECT("'"&amp;$F34&amp;"'!$C$3:$C$300")&amp;INDIRECT("'"&amp;$F34&amp;"'!$D$3:$D$300")&amp;INDIRECT("'"&amp;$F34&amp;"'!$G$3:$G$300"),0),MATCH(S$29&amp;S$30,INDIRECT("'"&amp;$F34&amp;"'!$B$4:$T$4")&amp;INDIRECT("'"&amp;$F34&amp;"'!$B$5:$T$5"),0))</f>
        <v>1057.0889999999999</v>
      </c>
      <c r="T34" s="62">
        <f ca="1">S34/R$33</f>
        <v>0.43681363636363635</v>
      </c>
      <c r="U34" s="62"/>
      <c r="V34" s="75">
        <f t="array" aca="1" ref="V34" ca="1">INDEX(INDIRECT("'"&amp;$F34&amp;"'!$B$3:$T$300"),MATCH($B$6&amp;R$27&amp;R$28&amp;"Total inc GST",INDIRECT("'"&amp;$F34&amp;"'!$B$3:$B$300")&amp;INDIRECT("'"&amp;$F34&amp;"'!$C$3:$C$300")&amp;INDIRECT("'"&amp;$F34&amp;"'!$D$3:$D$300")&amp;INDIRECT("'"&amp;$F34&amp;"'!$G$3:$G$300"),0),MATCH(V$29&amp;V$30,INDIRECT("'"&amp;$F34&amp;"'!$B$4:$T$4")&amp;INDIRECT("'"&amp;$F34&amp;"'!$B$5:$T$5"),0))</f>
        <v>-6.3632295861559274E-2</v>
      </c>
      <c r="W34" s="62">
        <f ca="1">T34*V34</f>
        <v>-2.7795454545454474E-2</v>
      </c>
      <c r="X34" s="62">
        <f ca="1">Y34/R$39</f>
        <v>0.43367319840446217</v>
      </c>
      <c r="Y34" s="61">
        <f t="array" aca="1" ref="Y34" ca="1">INDEX(INDIRECT("'"&amp;$F34&amp;"'!$B$3:$T$300"),MATCH($B$6&amp;R$27&amp;R$28&amp;"Total inc GST",INDIRECT("'"&amp;$F34&amp;"'!$B$3:$B$300")&amp;INDIRECT("'"&amp;$F34&amp;"'!$C$3:$C$300")&amp;INDIRECT("'"&amp;$F34&amp;"'!$D$3:$D$300")&amp;INDIRECT("'"&amp;$F34&amp;"'!$G$3:$G$300"),0),MATCH(V$29&amp;Y$30,INDIRECT("'"&amp;$F34&amp;"'!$B$4:$T$4")&amp;INDIRECT("'"&amp;$F34&amp;"'!$B$5:$T$5"),0))</f>
        <v>989.82400000000007</v>
      </c>
      <c r="Z34" s="62"/>
      <c r="AA34" s="63"/>
      <c r="AB34" s="63"/>
      <c r="AC34" s="61">
        <f t="array" aca="1" ref="AC34" ca="1">INDEX(INDIRECT("'"&amp;$F34&amp;"'!$B$3:$T$300"),MATCH($B$6&amp;AB$27&amp;AB$28&amp;"Total inc GST",INDIRECT("'"&amp;$F34&amp;"'!$B$3:$B$300")&amp;INDIRECT("'"&amp;$F34&amp;"'!$C$3:$C$300")&amp;INDIRECT("'"&amp;$F34&amp;"'!$D$3:$D$300")&amp;INDIRECT("'"&amp;$F34&amp;"'!$G$3:$G$300"),0),MATCH(AC$29&amp;AC$30,INDIRECT("'"&amp;$F34&amp;"'!$B$4:$T$4")&amp;INDIRECT("'"&amp;$F34&amp;"'!$B$5:$T$5"),0))</f>
        <v>3623.40715</v>
      </c>
      <c r="AD34" s="62">
        <f ca="1">AC34/AB$33</f>
        <v>0.39730341557017546</v>
      </c>
      <c r="AE34" s="62"/>
      <c r="AF34" s="75">
        <f t="array" aca="1" ref="AF34" ca="1">INDEX(INDIRECT("'"&amp;$F34&amp;"'!$B$3:$T$300"),MATCH($B$6&amp;AB$27&amp;AB$28&amp;"Total inc GST",INDIRECT("'"&amp;$F34&amp;"'!$B$3:$B$300")&amp;INDIRECT("'"&amp;$F34&amp;"'!$C$3:$C$300")&amp;INDIRECT("'"&amp;$F34&amp;"'!$D$3:$D$300")&amp;INDIRECT("'"&amp;$F34&amp;"'!$G$3:$G$300"),0),MATCH(AF$29&amp;AF$30,INDIRECT("'"&amp;$F34&amp;"'!$B$4:$T$4")&amp;INDIRECT("'"&amp;$F34&amp;"'!$B$5:$T$5"),0))</f>
        <v>-0.13914863252394916</v>
      </c>
      <c r="AG34" s="62">
        <f ca="1">AD34*AF34</f>
        <v>-5.5284226973684202E-2</v>
      </c>
      <c r="AH34" s="62">
        <f ca="1">AI34/AB$39</f>
        <v>0.37006488903835838</v>
      </c>
      <c r="AI34" s="61">
        <f t="array" aca="1" ref="AI34" ca="1">INDEX(INDIRECT("'"&amp;$F34&amp;"'!$B$3:$T$300"),MATCH($B$6&amp;AB$27&amp;AB$28&amp;"Total inc GST",INDIRECT("'"&amp;$F34&amp;"'!$B$3:$B$300")&amp;INDIRECT("'"&amp;$F34&amp;"'!$C$3:$C$300")&amp;INDIRECT("'"&amp;$F34&amp;"'!$D$3:$D$300")&amp;INDIRECT("'"&amp;$F34&amp;"'!$G$3:$G$300"),0),MATCH(AF$29&amp;AI$30,INDIRECT("'"&amp;$F34&amp;"'!$B$4:$T$4")&amp;INDIRECT("'"&amp;$F34&amp;"'!$B$5:$T$5"),0))</f>
        <v>3119.2150000000001</v>
      </c>
      <c r="AJ34" s="62"/>
    </row>
    <row r="35" spans="2:36" ht="15" customHeight="1" x14ac:dyDescent="0.3">
      <c r="F35" s="64" t="s">
        <v>69</v>
      </c>
      <c r="G35" s="64"/>
      <c r="H35" s="63"/>
      <c r="I35" s="61">
        <f t="array" aca="1" ref="I35" ca="1">INDEX(INDIRECT("'"&amp;$F35&amp;"'!$B$3:$T$300"),MATCH($B$6&amp;H$27&amp;H$28&amp;"Total inc GST",INDIRECT("'"&amp;$F35&amp;"'!$B$3:$B$300")&amp;INDIRECT("'"&amp;$F35&amp;"'!$C$3:$C$300")&amp;INDIRECT("'"&amp;$F35&amp;"'!$D$3:$D$300")&amp;INDIRECT("'"&amp;$F35&amp;"'!$G$3:$G$300"),0),MATCH(I$29&amp;I$30,INDIRECT("'"&amp;$F35&amp;"'!$B$4:$T$4")&amp;INDIRECT("'"&amp;$F35&amp;"'!$B$5:$T$5"),0))</f>
        <v>722.52399999999989</v>
      </c>
      <c r="J35" s="62">
        <f ca="1">I35/H$33</f>
        <v>0.37224317362184434</v>
      </c>
      <c r="K35" s="62"/>
      <c r="L35" s="75">
        <f t="array" aca="1" ref="L35" ca="1">INDEX(INDIRECT("'"&amp;$F35&amp;"'!$B$3:$T$300"),MATCH($B$6&amp;H$27&amp;H$28&amp;"Total inc GST",INDIRECT("'"&amp;$F35&amp;"'!$B$3:$B$300")&amp;INDIRECT("'"&amp;$F35&amp;"'!$C$3:$C$300")&amp;INDIRECT("'"&amp;$F35&amp;"'!$D$3:$D$300")&amp;INDIRECT("'"&amp;$F35&amp;"'!$G$3:$G$300"),0),MATCH(L$29&amp;L$30,INDIRECT("'"&amp;$F35&amp;"'!$B$4:$T$4")&amp;INDIRECT("'"&amp;$F35&amp;"'!$B$5:$T$5"),0))</f>
        <v>-4.305462517508063E-2</v>
      </c>
      <c r="M35" s="62">
        <f ca="1">J35*L35</f>
        <v>-1.6026790314270969E-2</v>
      </c>
      <c r="N35" s="62">
        <f ca="1">O35/H$39</f>
        <v>0.37250141072889759</v>
      </c>
      <c r="O35" s="61">
        <f t="array" aca="1" ref="O35" ca="1">INDEX(INDIRECT("'"&amp;$F35&amp;"'!$B$3:$T$300"),MATCH($B$6&amp;H$27&amp;H$28&amp;"Total inc GST",INDIRECT("'"&amp;$F35&amp;"'!$B$3:$B$300")&amp;INDIRECT("'"&amp;$F35&amp;"'!$C$3:$C$300")&amp;INDIRECT("'"&amp;$F35&amp;"'!$D$3:$D$300")&amp;INDIRECT("'"&amp;$F35&amp;"'!$G$3:$G$300"),0),MATCH(L$29&amp;O$30,INDIRECT("'"&amp;$F35&amp;"'!$B$4:$T$4")&amp;INDIRECT("'"&amp;$F35&amp;"'!$B$5:$T$5"),0))</f>
        <v>691.41599999999994</v>
      </c>
      <c r="P35" s="62"/>
      <c r="Q35" s="62"/>
      <c r="R35" s="62"/>
      <c r="S35" s="61">
        <f t="array" aca="1" ref="S35" ca="1">INDEX(INDIRECT("'"&amp;$F35&amp;"'!$B$3:$T$300"),MATCH($B$6&amp;R$27&amp;R$28&amp;"Total inc GST",INDIRECT("'"&amp;$F35&amp;"'!$B$3:$B$300")&amp;INDIRECT("'"&amp;$F35&amp;"'!$C$3:$C$300")&amp;INDIRECT("'"&amp;$F35&amp;"'!$D$3:$D$300")&amp;INDIRECT("'"&amp;$F35&amp;"'!$G$3:$G$300"),0),MATCH(S$29&amp;S$30,INDIRECT("'"&amp;$F35&amp;"'!$B$4:$T$4")&amp;INDIRECT("'"&amp;$F35&amp;"'!$B$5:$T$5"),0))</f>
        <v>975.7571999999999</v>
      </c>
      <c r="T35" s="62">
        <f ca="1">S35/R$33</f>
        <v>0.40320545454545448</v>
      </c>
      <c r="U35" s="62"/>
      <c r="V35" s="75">
        <f t="array" aca="1" ref="V35" ca="1">INDEX(INDIRECT("'"&amp;$F35&amp;"'!$B$3:$T$300"),MATCH($B$6&amp;R$27&amp;R$28&amp;"Total inc GST",INDIRECT("'"&amp;$F35&amp;"'!$B$3:$B$300")&amp;INDIRECT("'"&amp;$F35&amp;"'!$C$3:$C$300")&amp;INDIRECT("'"&amp;$F35&amp;"'!$D$3:$D$300")&amp;INDIRECT("'"&amp;$F35&amp;"'!$G$3:$G$300"),0),MATCH(V$29&amp;V$30,INDIRECT("'"&amp;$F35&amp;"'!$B$4:$T$4")&amp;INDIRECT("'"&amp;$F35&amp;"'!$B$5:$T$5"),0))</f>
        <v>-5.9022469934118749E-2</v>
      </c>
      <c r="W35" s="62">
        <f ca="1">T35*V35</f>
        <v>-2.379818181818177E-2</v>
      </c>
      <c r="X35" s="62">
        <f ca="1">Y35/R$39</f>
        <v>0.40227738710816469</v>
      </c>
      <c r="Y35" s="61">
        <f t="array" aca="1" ref="Y35" ca="1">INDEX(INDIRECT("'"&amp;$F35&amp;"'!$B$3:$T$300"),MATCH($B$6&amp;R$27&amp;R$28&amp;"Total inc GST",INDIRECT("'"&amp;$F35&amp;"'!$B$3:$B$300")&amp;INDIRECT("'"&amp;$F35&amp;"'!$C$3:$C$300")&amp;INDIRECT("'"&amp;$F35&amp;"'!$D$3:$D$300")&amp;INDIRECT("'"&amp;$F35&amp;"'!$G$3:$G$300"),0),MATCH(V$29&amp;Y$30,INDIRECT("'"&amp;$F35&amp;"'!$B$4:$T$4")&amp;INDIRECT("'"&amp;$F35&amp;"'!$B$5:$T$5"),0))</f>
        <v>918.16560000000004</v>
      </c>
      <c r="Z35" s="62"/>
      <c r="AA35" s="63"/>
      <c r="AB35" s="63"/>
      <c r="AC35" s="61">
        <f t="array" aca="1" ref="AC35" ca="1">INDEX(INDIRECT("'"&amp;$F35&amp;"'!$B$3:$T$300"),MATCH($B$6&amp;AB$27&amp;AB$28&amp;"Total inc GST",INDIRECT("'"&amp;$F35&amp;"'!$B$3:$B$300")&amp;INDIRECT("'"&amp;$F35&amp;"'!$C$3:$C$300")&amp;INDIRECT("'"&amp;$F35&amp;"'!$D$3:$D$300")&amp;INDIRECT("'"&amp;$F35&amp;"'!$G$3:$G$300"),0),MATCH(AC$29&amp;AC$30,INDIRECT("'"&amp;$F35&amp;"'!$B$4:$T$4")&amp;INDIRECT("'"&amp;$F35&amp;"'!$B$5:$T$5"),0))</f>
        <v>3612.6199999999994</v>
      </c>
      <c r="AD35" s="62">
        <f ca="1">AC35/AB$33</f>
        <v>0.39612061403508764</v>
      </c>
      <c r="AE35" s="62"/>
      <c r="AF35" s="75">
        <f t="array" aca="1" ref="AF35" ca="1">INDEX(INDIRECT("'"&amp;$F35&amp;"'!$B$3:$T$300"),MATCH($B$6&amp;AB$27&amp;AB$28&amp;"Total inc GST",INDIRECT("'"&amp;$F35&amp;"'!$B$3:$B$300")&amp;INDIRECT("'"&amp;$F35&amp;"'!$C$3:$C$300")&amp;INDIRECT("'"&amp;$F35&amp;"'!$D$3:$D$300")&amp;INDIRECT("'"&amp;$F35&amp;"'!$G$3:$G$300"),0),MATCH(AF$29&amp;AF$30,INDIRECT("'"&amp;$F35&amp;"'!$B$4:$T$4")&amp;INDIRECT("'"&amp;$F35&amp;"'!$B$5:$T$5"),0))</f>
        <v>-4.3054625175080519E-2</v>
      </c>
      <c r="AG35" s="62">
        <f ca="1">AD35*AF35</f>
        <v>-1.7054824561403437E-2</v>
      </c>
      <c r="AH35" s="62">
        <f ca="1">AI35/AB$39</f>
        <v>0.4101493249412842</v>
      </c>
      <c r="AI35" s="61">
        <f t="array" aca="1" ref="AI35" ca="1">INDEX(INDIRECT("'"&amp;$F35&amp;"'!$B$3:$T$300"),MATCH($B$6&amp;AB$27&amp;AB$28&amp;"Total inc GST",INDIRECT("'"&amp;$F35&amp;"'!$B$3:$B$300")&amp;INDIRECT("'"&amp;$F35&amp;"'!$C$3:$C$300")&amp;INDIRECT("'"&amp;$F35&amp;"'!$D$3:$D$300")&amp;INDIRECT("'"&amp;$F35&amp;"'!$G$3:$G$300"),0),MATCH(AF$29&amp;AI$30,INDIRECT("'"&amp;$F35&amp;"'!$B$4:$T$4")&amp;INDIRECT("'"&amp;$F35&amp;"'!$B$5:$T$5"),0))</f>
        <v>3457.08</v>
      </c>
      <c r="AJ35" s="62"/>
    </row>
    <row r="36" spans="2:36" ht="15" customHeight="1" x14ac:dyDescent="0.3">
      <c r="F36" s="64" t="s">
        <v>70</v>
      </c>
      <c r="G36" s="64"/>
      <c r="H36" s="63"/>
      <c r="I36" s="61">
        <f t="array" aca="1" ref="I36" ca="1">INDEX(INDIRECT("'"&amp;$F36&amp;"'!$B$3:$T$300"),MATCH($B$6&amp;H$27&amp;H$28&amp;"Total inc GST",INDIRECT("'"&amp;$F36&amp;"'!$B$3:$B$300")&amp;INDIRECT("'"&amp;$F36&amp;"'!$C$3:$C$300")&amp;INDIRECT("'"&amp;$F36&amp;"'!$D$3:$D$300")&amp;INDIRECT("'"&amp;$F36&amp;"'!$G$3:$G$300"),0),MATCH(I$29&amp;I$30,INDIRECT("'"&amp;$F36&amp;"'!$B$4:$T$4")&amp;INDIRECT("'"&amp;$F36&amp;"'!$B$5:$T$5"),0))</f>
        <v>93.5</v>
      </c>
      <c r="J36" s="62">
        <f ca="1">I36/H$33</f>
        <v>4.817104585265327E-2</v>
      </c>
      <c r="K36" s="62"/>
      <c r="L36" s="75">
        <f t="array" aca="1" ref="L36" ca="1">INDEX(INDIRECT("'"&amp;$F36&amp;"'!$B$3:$T$300"),MATCH($B$6&amp;H$27&amp;H$28&amp;"Total inc GST",INDIRECT("'"&amp;$F36&amp;"'!$B$3:$B$300")&amp;INDIRECT("'"&amp;$F36&amp;"'!$C$3:$C$300")&amp;INDIRECT("'"&amp;$F36&amp;"'!$D$3:$D$300")&amp;INDIRECT("'"&amp;$F36&amp;"'!$G$3:$G$300"),0),MATCH(L$29&amp;L$30,INDIRECT("'"&amp;$F36&amp;"'!$B$4:$T$4")&amp;INDIRECT("'"&amp;$F36&amp;"'!$B$5:$T$5"),0))</f>
        <v>-0.12329411764705878</v>
      </c>
      <c r="M36" s="62">
        <f ca="1">J36*L36</f>
        <v>-5.9392065945388954E-3</v>
      </c>
      <c r="N36" s="62">
        <f ca="1">O36/H$39</f>
        <v>4.4162538385384774E-2</v>
      </c>
      <c r="O36" s="61">
        <f t="array" aca="1" ref="O36" ca="1">INDEX(INDIRECT("'"&amp;$F36&amp;"'!$B$3:$T$300"),MATCH($B$6&amp;H$27&amp;H$28&amp;"Total inc GST",INDIRECT("'"&amp;$F36&amp;"'!$B$3:$B$300")&amp;INDIRECT("'"&amp;$F36&amp;"'!$C$3:$C$300")&amp;INDIRECT("'"&amp;$F36&amp;"'!$D$3:$D$300")&amp;INDIRECT("'"&amp;$F36&amp;"'!$G$3:$G$300"),0),MATCH(L$29&amp;O$30,INDIRECT("'"&amp;$F36&amp;"'!$B$4:$T$4")&amp;INDIRECT("'"&amp;$F36&amp;"'!$B$5:$T$5"),0))</f>
        <v>81.972000000000008</v>
      </c>
      <c r="P36" s="62"/>
      <c r="Q36" s="62"/>
      <c r="R36" s="62"/>
      <c r="S36" s="61">
        <f t="array" aca="1" ref="S36" ca="1">INDEX(INDIRECT("'"&amp;$F36&amp;"'!$B$3:$T$300"),MATCH($B$6&amp;R$27&amp;R$28&amp;"Total inc GST",INDIRECT("'"&amp;$F36&amp;"'!$B$3:$B$300")&amp;INDIRECT("'"&amp;$F36&amp;"'!$C$3:$C$300")&amp;INDIRECT("'"&amp;$F36&amp;"'!$D$3:$D$300")&amp;INDIRECT("'"&amp;$F36&amp;"'!$G$3:$G$300"),0),MATCH(S$29&amp;S$30,INDIRECT("'"&amp;$F36&amp;"'!$B$4:$T$4")&amp;INDIRECT("'"&amp;$F36&amp;"'!$B$5:$T$5"),0))</f>
        <v>140.25</v>
      </c>
      <c r="T36" s="62">
        <f ca="1">S36/R$33</f>
        <v>5.7954545454545453E-2</v>
      </c>
      <c r="U36" s="62"/>
      <c r="V36" s="75">
        <f t="array" aca="1" ref="V36" ca="1">INDEX(INDIRECT("'"&amp;$F36&amp;"'!$B$3:$T$300"),MATCH($B$6&amp;R$27&amp;R$28&amp;"Total inc GST",INDIRECT("'"&amp;$F36&amp;"'!$B$3:$B$300")&amp;INDIRECT("'"&amp;$F36&amp;"'!$C$3:$C$300")&amp;INDIRECT("'"&amp;$F36&amp;"'!$D$3:$D$300")&amp;INDIRECT("'"&amp;$F36&amp;"'!$G$3:$G$300"),0),MATCH(V$29&amp;V$30,INDIRECT("'"&amp;$F36&amp;"'!$B$4:$T$4")&amp;INDIRECT("'"&amp;$F36&amp;"'!$B$5:$T$5"),0))</f>
        <v>-0.12329411764705878</v>
      </c>
      <c r="W36" s="62">
        <f ca="1">T36*V36</f>
        <v>-7.1454545454545425E-3</v>
      </c>
      <c r="X36" s="62">
        <f ca="1">Y36/R$39</f>
        <v>5.3871788448669522E-2</v>
      </c>
      <c r="Y36" s="61">
        <f t="array" aca="1" ref="Y36" ca="1">INDEX(INDIRECT("'"&amp;$F36&amp;"'!$B$3:$T$300"),MATCH($B$6&amp;R$27&amp;R$28&amp;"Total inc GST",INDIRECT("'"&amp;$F36&amp;"'!$B$3:$B$300")&amp;INDIRECT("'"&amp;$F36&amp;"'!$C$3:$C$300")&amp;INDIRECT("'"&amp;$F36&amp;"'!$D$3:$D$300")&amp;INDIRECT("'"&amp;$F36&amp;"'!$G$3:$G$300"),0),MATCH(V$29&amp;Y$30,INDIRECT("'"&amp;$F36&amp;"'!$B$4:$T$4")&amp;INDIRECT("'"&amp;$F36&amp;"'!$B$5:$T$5"),0))</f>
        <v>122.95800000000001</v>
      </c>
      <c r="Z36" s="62"/>
      <c r="AA36" s="63"/>
      <c r="AB36" s="63"/>
      <c r="AC36" s="61">
        <f t="array" aca="1" ref="AC36" ca="1">INDEX(INDIRECT("'"&amp;$F36&amp;"'!$B$3:$T$300"),MATCH($B$6&amp;AB$27&amp;AB$28&amp;"Total inc GST",INDIRECT("'"&amp;$F36&amp;"'!$B$3:$B$300")&amp;INDIRECT("'"&amp;$F36&amp;"'!$C$3:$C$300")&amp;INDIRECT("'"&amp;$F36&amp;"'!$D$3:$D$300")&amp;INDIRECT("'"&amp;$F36&amp;"'!$G$3:$G$300"),0),MATCH(AC$29&amp;AC$30,INDIRECT("'"&amp;$F36&amp;"'!$B$4:$T$4")&amp;INDIRECT("'"&amp;$F36&amp;"'!$B$5:$T$5"),0))</f>
        <v>467.5</v>
      </c>
      <c r="AD36" s="62">
        <f ca="1">AC36/AB$33</f>
        <v>5.1260964912280702E-2</v>
      </c>
      <c r="AE36" s="62"/>
      <c r="AF36" s="75">
        <f t="array" aca="1" ref="AF36" ca="1">INDEX(INDIRECT("'"&amp;$F36&amp;"'!$B$3:$T$300"),MATCH($B$6&amp;AB$27&amp;AB$28&amp;"Total inc GST",INDIRECT("'"&amp;$F36&amp;"'!$B$3:$B$300")&amp;INDIRECT("'"&amp;$F36&amp;"'!$C$3:$C$300")&amp;INDIRECT("'"&amp;$F36&amp;"'!$D$3:$D$300")&amp;INDIRECT("'"&amp;$F36&amp;"'!$G$3:$G$300"),0),MATCH(AF$29&amp;AF$30,INDIRECT("'"&amp;$F36&amp;"'!$B$4:$T$4")&amp;INDIRECT("'"&amp;$F36&amp;"'!$B$5:$T$5"),0))</f>
        <v>-0.12329411764705867</v>
      </c>
      <c r="AG36" s="62">
        <f ca="1">AD36*AF36</f>
        <v>-6.3201754385964828E-3</v>
      </c>
      <c r="AH36" s="62">
        <f ca="1">AI36/AB$39</f>
        <v>4.8625950895100717E-2</v>
      </c>
      <c r="AI36" s="61">
        <f t="array" aca="1" ref="AI36" ca="1">INDEX(INDIRECT("'"&amp;$F36&amp;"'!$B$3:$T$300"),MATCH($B$6&amp;AB$27&amp;AB$28&amp;"Total inc GST",INDIRECT("'"&amp;$F36&amp;"'!$B$3:$B$300")&amp;INDIRECT("'"&amp;$F36&amp;"'!$C$3:$C$300")&amp;INDIRECT("'"&amp;$F36&amp;"'!$D$3:$D$300")&amp;INDIRECT("'"&amp;$F36&amp;"'!$G$3:$G$300"),0),MATCH(AF$29&amp;AI$30,INDIRECT("'"&amp;$F36&amp;"'!$B$4:$T$4")&amp;INDIRECT("'"&amp;$F36&amp;"'!$B$5:$T$5"),0))</f>
        <v>409.86000000000007</v>
      </c>
      <c r="AJ36" s="62"/>
    </row>
    <row r="37" spans="2:36" ht="15" customHeight="1" x14ac:dyDescent="0.3">
      <c r="F37" s="64" t="s">
        <v>71</v>
      </c>
      <c r="G37" s="64"/>
      <c r="H37" s="63"/>
      <c r="I37" s="61">
        <f ca="1">H33-SUM(I34:I36)</f>
        <v>283.47600000000011</v>
      </c>
      <c r="J37" s="62">
        <f ca="1">1-SUM(J34:J36)</f>
        <v>0.14604636785162284</v>
      </c>
      <c r="K37" s="62"/>
      <c r="L37" s="62">
        <f>CPI</f>
        <v>1.8500000000000003E-2</v>
      </c>
      <c r="M37" s="62">
        <f ca="1">J37*L37</f>
        <v>2.701857805255023E-3</v>
      </c>
      <c r="N37" s="62">
        <f ca="1">O37/H$39</f>
        <v>0.15554849944328605</v>
      </c>
      <c r="O37" s="61">
        <f ca="1">H39-SUM(O34:O36)</f>
        <v>288.72030600000016</v>
      </c>
      <c r="P37" s="65">
        <f t="array" ref="P37">INDEX('Detail inputs'!$B$3:$L$211,MATCH($B6&amp;P$30,'Detail inputs'!$B$3:$B$211&amp;'Detail inputs'!$G$3:$G$211,0),MATCH(L$29,'Detail inputs'!$B$3:$L$3,0))</f>
        <v>0</v>
      </c>
      <c r="Q37" s="62"/>
      <c r="R37" s="62"/>
      <c r="S37" s="61">
        <f ca="1">R33-SUM(S34:S36)</f>
        <v>246.90380000000005</v>
      </c>
      <c r="T37" s="62">
        <f ca="1">1-SUM(T34:T36)</f>
        <v>0.10202636363636375</v>
      </c>
      <c r="U37" s="62"/>
      <c r="V37" s="62">
        <f>CPI</f>
        <v>1.8500000000000003E-2</v>
      </c>
      <c r="W37" s="62">
        <f ca="1">T37*V37</f>
        <v>1.8874877272727296E-3</v>
      </c>
      <c r="X37" s="62">
        <f ca="1">Y37/R$39</f>
        <v>0.1101776260387036</v>
      </c>
      <c r="Y37" s="61">
        <f ca="1">R39-SUM(Y34:Y36)</f>
        <v>251.47152030000029</v>
      </c>
      <c r="Z37" s="65">
        <f t="array" ref="Z37">INDEX('Detail inputs'!$B$3:$L$211,MATCH($B6&amp;Z$30,'Detail inputs'!$B$3:$B$211&amp;'Detail inputs'!$G$3:$G$211,0),MATCH(V$29,'Detail inputs'!$B$3:$L$3,0))</f>
        <v>0</v>
      </c>
      <c r="AA37" s="63"/>
      <c r="AB37" s="63"/>
      <c r="AC37" s="61">
        <f ca="1">AB33-SUM(AC34:AC36)</f>
        <v>1416.4728500000001</v>
      </c>
      <c r="AD37" s="62">
        <f ca="1">1-SUM(AD34:AD36)</f>
        <v>0.15531500548245625</v>
      </c>
      <c r="AE37" s="62"/>
      <c r="AF37" s="62">
        <f>CPI</f>
        <v>1.8500000000000003E-2</v>
      </c>
      <c r="AG37" s="62">
        <f ca="1">AD37*AF37</f>
        <v>2.8733276014254409E-3</v>
      </c>
      <c r="AH37" s="62">
        <f ca="1">AI37/AB$39</f>
        <v>0.17115983512525676</v>
      </c>
      <c r="AI37" s="61">
        <f ca="1">AB39-SUM(AI34:AI36)</f>
        <v>1442.6775977250009</v>
      </c>
      <c r="AJ37" s="65">
        <f t="array" ref="AJ37">INDEX('Detail inputs'!$B$3:$L$211,MATCH($B6&amp;AJ$30,'Detail inputs'!$B$3:$B$211&amp;'Detail inputs'!$G$3:$G$211,0),MATCH(AF$29,'Detail inputs'!$B$3:$L$3,0))</f>
        <v>0</v>
      </c>
    </row>
    <row r="38" spans="2:36" s="5" customFormat="1" ht="15" customHeight="1" x14ac:dyDescent="0.3">
      <c r="F38" s="60" t="s">
        <v>77</v>
      </c>
      <c r="G38" s="60"/>
      <c r="H38" s="63"/>
      <c r="I38" s="62"/>
      <c r="J38" s="62">
        <f ca="1">SUM(J34:J37)</f>
        <v>1</v>
      </c>
      <c r="K38" s="62"/>
      <c r="L38" s="62">
        <f ca="1">SUMPRODUCT(J34:J37,L34:L37)</f>
        <v>-4.3718028851107683E-2</v>
      </c>
      <c r="M38" s="62">
        <f ca="1">SUM(M34:M37)</f>
        <v>-4.3718028851107683E-2</v>
      </c>
      <c r="N38" s="62">
        <f ca="1">SUM(N34:N37)</f>
        <v>1</v>
      </c>
      <c r="O38" s="62"/>
      <c r="P38" s="3"/>
      <c r="Q38" s="62"/>
      <c r="R38" s="62"/>
      <c r="S38" s="62"/>
      <c r="T38" s="62">
        <f ca="1">SUM(T34:T37)</f>
        <v>1</v>
      </c>
      <c r="U38" s="62"/>
      <c r="V38" s="62">
        <f ca="1">SUMPRODUCT(T34:T37,V34:V37)</f>
        <v>-5.6851603181818061E-2</v>
      </c>
      <c r="W38" s="62">
        <f ca="1">SUM(W34:W37)</f>
        <v>-5.6851603181818061E-2</v>
      </c>
      <c r="X38" s="62">
        <f ca="1">SUM(X34:X37)</f>
        <v>0.99999999999999989</v>
      </c>
      <c r="Y38" s="62"/>
      <c r="Z38" s="3"/>
      <c r="AA38" s="63"/>
      <c r="AB38" s="63"/>
      <c r="AC38" s="63"/>
      <c r="AD38" s="62">
        <f ca="1">SUM(AD34:AD37)</f>
        <v>1</v>
      </c>
      <c r="AE38" s="62"/>
      <c r="AF38" s="62">
        <f ca="1">SUMPRODUCT(AD34:AD37,AF34:AF37)</f>
        <v>-7.5785899372258686E-2</v>
      </c>
      <c r="AG38" s="62">
        <f ca="1">SUM(AG34:AG37)</f>
        <v>-7.5785899372258686E-2</v>
      </c>
      <c r="AH38" s="62">
        <f ca="1">SUM(AH34:AH37)</f>
        <v>1</v>
      </c>
      <c r="AI38" s="62"/>
      <c r="AJ38" s="3"/>
    </row>
    <row r="39" spans="2:36" ht="15" thickBot="1" x14ac:dyDescent="0.35">
      <c r="B39" s="116"/>
      <c r="F39" s="108" t="str">
        <f>"DMO "&amp;FY&amp;" price"</f>
        <v>DMO 2020-21 price</v>
      </c>
      <c r="G39" s="108"/>
      <c r="H39" s="109">
        <f ca="1">H33*(1+L38)+P37</f>
        <v>1856.1433060000002</v>
      </c>
      <c r="I39" s="110"/>
      <c r="J39" s="110"/>
      <c r="K39" s="110"/>
      <c r="L39" s="110"/>
      <c r="M39" s="110"/>
      <c r="N39" s="110"/>
      <c r="O39" s="110"/>
      <c r="P39" s="110"/>
      <c r="Q39" s="110"/>
      <c r="R39" s="109">
        <f ca="1">R33*(1+V38)+Z37</f>
        <v>2282.4191203000005</v>
      </c>
      <c r="S39" s="109"/>
      <c r="T39" s="110"/>
      <c r="U39" s="110"/>
      <c r="V39" s="110"/>
      <c r="W39" s="110"/>
      <c r="X39" s="111"/>
      <c r="Y39" s="111"/>
      <c r="Z39" s="111"/>
      <c r="AA39" s="111"/>
      <c r="AB39" s="109">
        <f ca="1">AB33*(1+AF38)+AJ37</f>
        <v>8428.8325977250006</v>
      </c>
      <c r="AC39" s="109"/>
      <c r="AD39" s="110"/>
      <c r="AE39" s="110"/>
      <c r="AF39" s="110"/>
      <c r="AG39" s="110"/>
      <c r="AH39" s="110"/>
      <c r="AI39" s="110"/>
      <c r="AJ39" s="110"/>
    </row>
    <row r="40" spans="2:36" ht="15" thickTop="1" x14ac:dyDescent="0.3">
      <c r="F40" s="177" t="s">
        <v>197</v>
      </c>
    </row>
    <row r="41" spans="2:36" x14ac:dyDescent="0.3">
      <c r="F41" s="177" t="str">
        <f>"Residual cost for "&amp;FY&amp;" includes step change and any one-off adjustment"</f>
        <v>Residual cost for 2020-21 includes step change and any one-off adjustment</v>
      </c>
    </row>
    <row r="42" spans="2:36" x14ac:dyDescent="0.3">
      <c r="F42" s="145" t="s">
        <v>160</v>
      </c>
    </row>
    <row r="43" spans="2:36" hidden="1" x14ac:dyDescent="0.3">
      <c r="F43" s="177"/>
    </row>
    <row r="44" spans="2:36" s="143" customFormat="1" ht="12" hidden="1" x14ac:dyDescent="0.3">
      <c r="F44" s="143" t="s">
        <v>106</v>
      </c>
      <c r="H44" s="144"/>
      <c r="O44" s="143" t="b">
        <f ca="1">O37=I37*(1+L37)+P37</f>
        <v>1</v>
      </c>
      <c r="Y44" s="143" t="b">
        <f ca="1">Y37=S37*(1+V37)+Z37</f>
        <v>1</v>
      </c>
      <c r="AI44" s="143" t="b">
        <f ca="1">AI37=AC37*(1+AF37)+AJ37</f>
        <v>1</v>
      </c>
    </row>
    <row r="45" spans="2:36" hidden="1" x14ac:dyDescent="0.3"/>
    <row r="46" spans="2:36" hidden="1" x14ac:dyDescent="0.3"/>
    <row r="47" spans="2:36" hidden="1" x14ac:dyDescent="0.3"/>
    <row r="48" spans="2:36" hidden="1" x14ac:dyDescent="0.3">
      <c r="H48" s="114"/>
    </row>
  </sheetData>
  <sheetProtection algorithmName="SHA-256" hashValue="30U3eQ1PVBF/pixS1COhQcFSpaJlZqSZFS8Z4IknomY=" saltValue="6cqM5xrRmuDz9j3xxrF6Ng==" spinCount="100000" sheet="1" objects="1" scenarios="1"/>
  <mergeCells count="15">
    <mergeCell ref="A1:B1"/>
    <mergeCell ref="S29:T29"/>
    <mergeCell ref="V29:Z29"/>
    <mergeCell ref="AC29:AD29"/>
    <mergeCell ref="AF29:AJ29"/>
    <mergeCell ref="B6:B7"/>
    <mergeCell ref="F27:F32"/>
    <mergeCell ref="H27:P27"/>
    <mergeCell ref="R27:Z27"/>
    <mergeCell ref="AB27:AJ27"/>
    <mergeCell ref="H28:P28"/>
    <mergeCell ref="R28:Z28"/>
    <mergeCell ref="AB28:AJ28"/>
    <mergeCell ref="I29:J29"/>
    <mergeCell ref="L29:P29"/>
  </mergeCells>
  <conditionalFormatting sqref="F33:AJ39">
    <cfRule type="expression" dxfId="33" priority="3">
      <formula>MOD(ROW(),2)=0</formula>
    </cfRule>
    <cfRule type="expression" dxfId="32" priority="4">
      <formula>AND(MOD(ROW(),2)=0,F$30="Proportion",$F33="Overall change in costs (%)")</formula>
    </cfRule>
    <cfRule type="expression" dxfId="31" priority="5">
      <formula>AND(MOD(ROW(),1)=0,F$30="Proportion",$F33="Overall change in costs (%)")</formula>
    </cfRule>
  </conditionalFormatting>
  <conditionalFormatting sqref="G44:AJ44">
    <cfRule type="cellIs" dxfId="30" priority="1" operator="equal">
      <formula>FALSE</formula>
    </cfRule>
    <cfRule type="cellIs" dxfId="29"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F9:F14"/>
  <sheetViews>
    <sheetView workbookViewId="0">
      <selection activeCell="F10" sqref="F10"/>
    </sheetView>
  </sheetViews>
  <sheetFormatPr defaultColWidth="8.88671875" defaultRowHeight="14.4" x14ac:dyDescent="0.3"/>
  <cols>
    <col min="1" max="16384" width="8.88671875" style="3"/>
  </cols>
  <sheetData>
    <row r="9" spans="6:6" ht="36.6" x14ac:dyDescent="0.3">
      <c r="F9" s="2" t="s">
        <v>210</v>
      </c>
    </row>
    <row r="10" spans="6:6" ht="36.6" x14ac:dyDescent="0.3">
      <c r="F10" s="2" t="str">
        <f>"DMO "&amp;FY</f>
        <v>DMO 2020-21</v>
      </c>
    </row>
    <row r="11" spans="6:6" ht="23.4" x14ac:dyDescent="0.3">
      <c r="F11" s="4" t="s">
        <v>203</v>
      </c>
    </row>
    <row r="12" spans="6:6" ht="23.4" x14ac:dyDescent="0.3">
      <c r="F12" s="4"/>
    </row>
    <row r="13" spans="6:6" x14ac:dyDescent="0.3">
      <c r="F13" s="5"/>
    </row>
    <row r="14" spans="6:6" x14ac:dyDescent="0.3">
      <c r="F14" s="5"/>
    </row>
  </sheetData>
  <sheetProtection algorithmName="SHA-256" hashValue="dIrsqpTl9as6mRy1ks+zk9Czowct6zoKPlC35QMSBAs=" saltValue="NTw43+Nbw738oEFadjKsuw==" spinCount="100000" sheet="1" objects="1" scenario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29"/>
  <sheetViews>
    <sheetView workbookViewId="0">
      <pane ySplit="6" topLeftCell="A7" activePane="bottomLeft" state="frozen"/>
      <selection activeCell="K25" sqref="K25"/>
      <selection pane="bottomLeft" activeCell="A7" sqref="A7"/>
    </sheetView>
  </sheetViews>
  <sheetFormatPr defaultColWidth="0" defaultRowHeight="14.4" zeroHeight="1" x14ac:dyDescent="0.3"/>
  <cols>
    <col min="1" max="1" width="1.6640625" style="3" customWidth="1"/>
    <col min="2" max="3" width="15.6640625" style="3" customWidth="1"/>
    <col min="4" max="4" width="18.33203125" style="3" customWidth="1"/>
    <col min="5" max="5" width="10.6640625" style="3" customWidth="1"/>
    <col min="6" max="6" width="10.6640625" style="21" customWidth="1"/>
    <col min="7" max="7" width="10.6640625" style="3" customWidth="1"/>
    <col min="8" max="10" width="10.6640625" style="93" customWidth="1"/>
    <col min="11" max="11" width="10.6640625" style="21" hidden="1" customWidth="1"/>
    <col min="12" max="12" width="0.88671875" style="21" customWidth="1"/>
    <col min="13" max="13" width="10.6640625" style="21" customWidth="1"/>
    <col min="14" max="14" width="0.88671875" style="21" customWidth="1"/>
    <col min="15" max="17" width="10.6640625" style="93" customWidth="1"/>
    <col min="18" max="18" width="10.6640625" style="21" customWidth="1"/>
    <col min="19" max="19" width="16" style="21" hidden="1" customWidth="1"/>
    <col min="20" max="20" width="8.88671875" style="21" hidden="1" customWidth="1"/>
    <col min="21" max="16384" width="8.88671875" style="3" hidden="1"/>
  </cols>
  <sheetData>
    <row r="1" spans="1:20" ht="10.199999999999999" customHeight="1" x14ac:dyDescent="0.3">
      <c r="A1" s="246" t="s">
        <v>22</v>
      </c>
      <c r="B1" s="272"/>
    </row>
    <row r="2" spans="1:20" s="15" customFormat="1" ht="22.5" customHeight="1" x14ac:dyDescent="0.3">
      <c r="A2" s="16" t="s">
        <v>72</v>
      </c>
      <c r="F2" s="22"/>
      <c r="H2" s="94"/>
      <c r="I2" s="94"/>
      <c r="J2" s="94"/>
      <c r="K2" s="22"/>
      <c r="L2" s="22"/>
      <c r="M2" s="22"/>
      <c r="N2" s="22"/>
      <c r="O2" s="94"/>
      <c r="P2" s="94"/>
      <c r="Q2" s="94"/>
      <c r="R2" s="22"/>
      <c r="S2" s="22"/>
      <c r="T2" s="22"/>
    </row>
    <row r="3" spans="1:20" s="31" customFormat="1" ht="17.7" customHeight="1" x14ac:dyDescent="0.3">
      <c r="B3" s="32"/>
      <c r="C3" s="32"/>
      <c r="D3" s="32"/>
      <c r="E3" s="32"/>
      <c r="F3" s="57"/>
      <c r="G3" s="32"/>
      <c r="H3" s="280" t="str">
        <f>PY</f>
        <v>2019-20</v>
      </c>
      <c r="I3" s="280"/>
      <c r="J3" s="280"/>
      <c r="K3" s="280"/>
      <c r="L3" s="42"/>
      <c r="M3" s="48" t="str">
        <f>FY</f>
        <v>2020-21</v>
      </c>
      <c r="N3" s="42"/>
      <c r="O3" s="280" t="str">
        <f>FY</f>
        <v>2020-21</v>
      </c>
      <c r="P3" s="280"/>
      <c r="Q3" s="280"/>
      <c r="R3" s="280"/>
      <c r="S3" s="50"/>
      <c r="T3" s="50"/>
    </row>
    <row r="4" spans="1:20" s="31" customFormat="1" ht="3" customHeight="1" x14ac:dyDescent="0.3">
      <c r="B4" s="32"/>
      <c r="C4" s="32"/>
      <c r="D4" s="32"/>
      <c r="E4" s="32"/>
      <c r="F4" s="47" t="str">
        <f>$H$3</f>
        <v>2019-20</v>
      </c>
      <c r="G4" s="32"/>
      <c r="H4" s="95" t="str">
        <f>$H$3</f>
        <v>2019-20</v>
      </c>
      <c r="I4" s="95" t="str">
        <f>$H$3</f>
        <v>2019-20</v>
      </c>
      <c r="J4" s="95" t="str">
        <f>$H$3</f>
        <v>2019-20</v>
      </c>
      <c r="K4" s="47" t="str">
        <f>H3</f>
        <v>2019-20</v>
      </c>
      <c r="L4" s="47"/>
      <c r="M4" s="47" t="str">
        <f>FY</f>
        <v>2020-21</v>
      </c>
      <c r="N4" s="47"/>
      <c r="O4" s="95" t="str">
        <f>$O$3</f>
        <v>2020-21</v>
      </c>
      <c r="P4" s="95" t="str">
        <f>$O$3</f>
        <v>2020-21</v>
      </c>
      <c r="Q4" s="95" t="str">
        <f>$O$3</f>
        <v>2020-21</v>
      </c>
      <c r="R4" s="47" t="str">
        <f>O3</f>
        <v>2020-21</v>
      </c>
      <c r="S4" s="51"/>
      <c r="T4" s="51"/>
    </row>
    <row r="5" spans="1:20" s="5" customFormat="1" ht="17.7" customHeight="1" x14ac:dyDescent="0.3">
      <c r="B5" s="25" t="s">
        <v>1</v>
      </c>
      <c r="C5" s="25" t="s">
        <v>12</v>
      </c>
      <c r="D5" s="25" t="s">
        <v>27</v>
      </c>
      <c r="E5" s="25" t="s">
        <v>13</v>
      </c>
      <c r="F5" s="13" t="s">
        <v>29</v>
      </c>
      <c r="G5" s="25" t="s">
        <v>38</v>
      </c>
      <c r="H5" s="96" t="s">
        <v>48</v>
      </c>
      <c r="I5" s="96" t="s">
        <v>49</v>
      </c>
      <c r="J5" s="96" t="s">
        <v>26</v>
      </c>
      <c r="K5" s="13" t="s">
        <v>28</v>
      </c>
      <c r="L5" s="13"/>
      <c r="M5" s="13" t="s">
        <v>25</v>
      </c>
      <c r="N5" s="13"/>
      <c r="O5" s="96" t="s">
        <v>48</v>
      </c>
      <c r="P5" s="96" t="s">
        <v>49</v>
      </c>
      <c r="Q5" s="96" t="s">
        <v>26</v>
      </c>
      <c r="R5" s="13" t="s">
        <v>28</v>
      </c>
      <c r="S5" s="13" t="s">
        <v>25</v>
      </c>
      <c r="T5" s="13" t="s">
        <v>59</v>
      </c>
    </row>
    <row r="6" spans="1:20" s="33" customFormat="1" ht="17.7" customHeight="1" x14ac:dyDescent="0.3">
      <c r="B6" s="34"/>
      <c r="C6" s="34"/>
      <c r="D6" s="34"/>
      <c r="E6" s="34"/>
      <c r="F6" s="35" t="s">
        <v>57</v>
      </c>
      <c r="G6" s="34"/>
      <c r="H6" s="97" t="s">
        <v>76</v>
      </c>
      <c r="I6" s="97" t="s">
        <v>46</v>
      </c>
      <c r="J6" s="97" t="s">
        <v>47</v>
      </c>
      <c r="K6" s="35" t="s">
        <v>33</v>
      </c>
      <c r="L6" s="35"/>
      <c r="M6" s="35" t="s">
        <v>33</v>
      </c>
      <c r="N6" s="35"/>
      <c r="O6" s="97" t="s">
        <v>76</v>
      </c>
      <c r="P6" s="97" t="s">
        <v>46</v>
      </c>
      <c r="Q6" s="97" t="s">
        <v>47</v>
      </c>
      <c r="R6" s="35" t="s">
        <v>33</v>
      </c>
      <c r="S6" s="35" t="s">
        <v>156</v>
      </c>
      <c r="T6" s="35"/>
    </row>
    <row r="7" spans="1:20" x14ac:dyDescent="0.3">
      <c r="F7" s="41"/>
      <c r="K7" s="44"/>
      <c r="L7" s="44"/>
      <c r="M7" s="49"/>
      <c r="N7" s="44"/>
      <c r="R7" s="44"/>
    </row>
    <row r="8" spans="1:20" x14ac:dyDescent="0.3">
      <c r="B8" s="5" t="s">
        <v>2</v>
      </c>
      <c r="C8" s="5" t="s">
        <v>6</v>
      </c>
      <c r="D8" s="5" t="s">
        <v>158</v>
      </c>
      <c r="E8" s="81"/>
      <c r="F8" s="82"/>
      <c r="K8" s="44"/>
      <c r="L8" s="44"/>
      <c r="M8" s="49"/>
      <c r="N8" s="44"/>
      <c r="R8" s="44"/>
    </row>
    <row r="9" spans="1:20" x14ac:dyDescent="0.3">
      <c r="B9" s="81" t="str">
        <f t="shared" ref="B9:B16" si="0">B8</f>
        <v>Ausgrid</v>
      </c>
      <c r="C9" s="81" t="str">
        <f t="shared" ref="C9:C14" si="1">C8</f>
        <v>Residential</v>
      </c>
      <c r="D9" s="81" t="str">
        <f t="shared" ref="D9:D14" si="2">D8</f>
        <v>without CL</v>
      </c>
      <c r="E9" s="81" t="s">
        <v>24</v>
      </c>
      <c r="F9" s="41">
        <f t="array" ref="F9">IFERROR(INDEX(Usage!$B$5:$T$18,MATCH($B9,Usage!$B$5:$B$18,0),MATCH($C9&amp;$D9&amp;$E9&amp;$T9,Usage!$B$5:$W$5&amp;Usage!$B$6:$W$6&amp;Usage!$B$7:$W$7&amp;Usage!$B$13:$W$13,0)),0)</f>
        <v>3900</v>
      </c>
      <c r="G9" s="3" t="s">
        <v>54</v>
      </c>
      <c r="H9" s="93">
        <f t="array" ref="H9">IFERROR(INDEX('Detail inputs'!$B$3:$L$304,MATCH($B9&amp;$C9&amp;$E9&amp;$G9&amp;H$5&amp;$T9,'Detail inputs'!$B$3:$B$304&amp;'Detail inputs'!$D$3:$D$304&amp;'Detail inputs'!$F$3:$F$304&amp;'Detail inputs'!$G$3:$G$304&amp;'Detail inputs'!$H$3:$H$304&amp;'Detail inputs'!$L$3:$L$304,0),MATCH(H$4,'Detail inputs'!$B$3:$L$3,0)),0)</f>
        <v>135.42376000000002</v>
      </c>
      <c r="I9" s="93">
        <f t="array" ref="I9">IFERROR(INDEX('Detail inputs'!$B$3:$L$304,MATCH($B9&amp;$C9&amp;$E9&amp;$G9&amp;I$5&amp;$T9,'Detail inputs'!$B$3:$B$304&amp;'Detail inputs'!$D$3:$D$304&amp;'Detail inputs'!$F$3:$F$304&amp;'Detail inputs'!$G$3:$G$304&amp;'Detail inputs'!$H$3:$H$304&amp;'Detail inputs'!$L$3:$L$304,0),MATCH(I$4,'Detail inputs'!$B$3:$L$3,0)),0)</f>
        <v>50.503999999999998</v>
      </c>
      <c r="J9" s="93">
        <f>IF(AND(H9="",I9=""),"",H9+I9*F9/1000)</f>
        <v>332.38936000000001</v>
      </c>
      <c r="K9" s="44">
        <f>IFERROR(J9/J12,"")</f>
        <v>0.72906143758760145</v>
      </c>
      <c r="L9" s="44"/>
      <c r="M9" s="49" t="str">
        <f t="array" ref="M9">IFERROR(IF($S9="Indicative tariff",$Q9/$J9-1,IF($S9="Zero",0,IF($S9="NA","",IF($S9="Draft x-factor",INDEX('Detail inputs'!$B$3:$P$304,MATCH($B9&amp;$G9&amp;$S9,'Detail inputs'!$B$3:$B$304&amp;'Detail inputs'!$G$3:$G$304&amp;'Detail inputs'!$H$3:$H$304,0),MATCH(M$4,'Detail inputs'!$B$3:$P$3,0)))))),"")</f>
        <v/>
      </c>
      <c r="N9" s="44"/>
      <c r="O9" s="93" t="str">
        <f t="array" ref="O9">IFERROR(IF(OR($S9="NA",$S9="Draft x-factor",$S9="Zero"),"",INDEX('Detail inputs'!$B$3:$L$304,MATCH($B9&amp;$C9&amp;$E9&amp;$G9&amp;O$5&amp;$T9,'Detail inputs'!$B$3:$B$304&amp;'Detail inputs'!$D$3:$D$304&amp;'Detail inputs'!$F$3:$F$304&amp;'Detail inputs'!$G$3:$G$304&amp;'Detail inputs'!$H$3:$H$304&amp;'Detail inputs'!$L$3:$L$304,0),MATCH(O$4,'Detail inputs'!$B$3:$L$3,0))),0)</f>
        <v/>
      </c>
      <c r="P9" s="93" t="str">
        <f t="array" ref="P9">IFERROR(IF(OR($S9="NA",$S9="Draft x-factor",$S9="Zero"),"",INDEX('Detail inputs'!$B$3:$L$304,MATCH($B9&amp;$C9&amp;$E9&amp;$G9&amp;P$5&amp;$T9,'Detail inputs'!$B$3:$B$304&amp;'Detail inputs'!$D$3:$D$304&amp;'Detail inputs'!$F$3:$F$304&amp;'Detail inputs'!$G$3:$G$304&amp;'Detail inputs'!$H$3:$H$304&amp;'Detail inputs'!$L$3:$L$304,0),MATCH(P$4,'Detail inputs'!$B$3:$L$3,0))),0)</f>
        <v/>
      </c>
      <c r="Q9" s="93" t="str">
        <f>IF(AND(O9="",P9=""),"",O9+P9*F9/1000)</f>
        <v/>
      </c>
      <c r="R9" s="44" t="str">
        <f>IFERROR(Q9/Q12,"")</f>
        <v/>
      </c>
      <c r="S9" s="21" t="str">
        <f t="array" ref="S9">INDEX('Key inputs'!$B$35:$J$41,MATCH($B9,'Key inputs'!$B$35:$B$41,0),MATCH($G9&amp;S$5,'Key inputs'!$B$35:$J$35&amp;'Key inputs'!$B$36:$J$36,0))</f>
        <v>NA</v>
      </c>
      <c r="T9" s="21" t="s">
        <v>58</v>
      </c>
    </row>
    <row r="10" spans="1:20" x14ac:dyDescent="0.3">
      <c r="B10" s="81" t="str">
        <f t="shared" si="0"/>
        <v>Ausgrid</v>
      </c>
      <c r="C10" s="81" t="str">
        <f t="shared" si="1"/>
        <v>Residential</v>
      </c>
      <c r="D10" s="81" t="str">
        <f t="shared" si="2"/>
        <v>without CL</v>
      </c>
      <c r="E10" s="81" t="s">
        <v>24</v>
      </c>
      <c r="F10" s="41">
        <f t="array" ref="F10">IFERROR(INDEX(Usage!$B$5:$T$18,MATCH($B10,Usage!$B$5:$B$18,0),MATCH($C10&amp;$D10&amp;$E10&amp;$T10,Usage!$B$5:$W$5&amp;Usage!$B$6:$W$6&amp;Usage!$B$7:$W$7&amp;Usage!$B$13:$W$13,0)),0)</f>
        <v>3900</v>
      </c>
      <c r="G10" s="3" t="s">
        <v>55</v>
      </c>
      <c r="H10" s="93">
        <f t="array" ref="H10">IFERROR(INDEX('Detail inputs'!$B$3:$L$304,MATCH($B10&amp;$C10&amp;$E10&amp;$G10&amp;H$5&amp;$T10,'Detail inputs'!$B$3:$B$304&amp;'Detail inputs'!$D$3:$D$304&amp;'Detail inputs'!$F$3:$F$304&amp;'Detail inputs'!$G$3:$G$304&amp;'Detail inputs'!$H$3:$H$304&amp;'Detail inputs'!$L$3:$L$304,0),MATCH(H$4,'Detail inputs'!$B$3:$L$3,0)),0)</f>
        <v>0</v>
      </c>
      <c r="I10" s="93">
        <f t="array" ref="I10">IFERROR(INDEX('Detail inputs'!$B$3:$L$304,MATCH($B10&amp;$C10&amp;$E10&amp;$G10&amp;I$5&amp;$T10,'Detail inputs'!$B$3:$B$304&amp;'Detail inputs'!$D$3:$D$304&amp;'Detail inputs'!$F$3:$F$304&amp;'Detail inputs'!$G$3:$G$304&amp;'Detail inputs'!$H$3:$H$304&amp;'Detail inputs'!$L$3:$L$304,0),MATCH(I$4,'Detail inputs'!$B$3:$L$3,0)),0)</f>
        <v>27.82</v>
      </c>
      <c r="J10" s="93">
        <f>IF(AND(H10="",I10=""),"",H10+I10*F10/1000)</f>
        <v>108.498</v>
      </c>
      <c r="K10" s="44">
        <f>IFERROR(J10/J12,"")</f>
        <v>0.237979061229215</v>
      </c>
      <c r="L10" s="44"/>
      <c r="M10" s="49" t="str">
        <f t="array" ref="M10">IFERROR(IF($S10="Indicative tariff",$Q10/$J10-1,IF($S10="Zero",0,IF($S10="NA","",IF($S10="Draft x-factor",INDEX('Detail inputs'!$B$3:$P$304,MATCH($B10&amp;$G10&amp;$S10,'Detail inputs'!$B$3:$B$304&amp;'Detail inputs'!$G$3:$G$304&amp;'Detail inputs'!$H$3:$H$304,0),MATCH(M$4,'Detail inputs'!$B$3:$P$3,0)))))),"")</f>
        <v/>
      </c>
      <c r="N10" s="44"/>
      <c r="O10" s="93" t="str">
        <f t="array" ref="O10">IFERROR(IF(OR($S10="NA",$S10="Draft x-factor",$S10="Zero"),"",INDEX('Detail inputs'!$B$3:$L$304,MATCH($B10&amp;$C10&amp;$E10&amp;$G10&amp;O$5&amp;$T10,'Detail inputs'!$B$3:$B$304&amp;'Detail inputs'!$D$3:$D$304&amp;'Detail inputs'!$F$3:$F$304&amp;'Detail inputs'!$G$3:$G$304&amp;'Detail inputs'!$H$3:$H$304&amp;'Detail inputs'!$L$3:$L$304,0),MATCH(O$4,'Detail inputs'!$B$3:$L$3,0))),0)</f>
        <v/>
      </c>
      <c r="P10" s="93" t="str">
        <f t="array" ref="P10">IFERROR(IF(OR($S10="NA",$S10="Draft x-factor",$S10="Zero"),"",INDEX('Detail inputs'!$B$3:$L$304,MATCH($B10&amp;$C10&amp;$E10&amp;$G10&amp;P$5&amp;$T10,'Detail inputs'!$B$3:$B$304&amp;'Detail inputs'!$D$3:$D$304&amp;'Detail inputs'!$F$3:$F$304&amp;'Detail inputs'!$G$3:$G$304&amp;'Detail inputs'!$H$3:$H$304&amp;'Detail inputs'!$L$3:$L$304,0),MATCH(P$4,'Detail inputs'!$B$3:$L$3,0))),0)</f>
        <v/>
      </c>
      <c r="Q10" s="93" t="str">
        <f>IF(AND(O10="",P10=""),"",O10+P10*F10/1000)</f>
        <v/>
      </c>
      <c r="R10" s="44" t="str">
        <f>IFERROR(Q10/Q12,"")</f>
        <v/>
      </c>
      <c r="S10" s="21" t="str">
        <f t="array" ref="S10">INDEX('Key inputs'!$B$35:$J$41,MATCH($B10,'Key inputs'!$B$35:$B$41,0),MATCH($G10&amp;S$5,'Key inputs'!$B$35:$J$35&amp;'Key inputs'!$B$36:$J$36,0))</f>
        <v>NA</v>
      </c>
      <c r="T10" s="21" t="s">
        <v>58</v>
      </c>
    </row>
    <row r="11" spans="1:20" x14ac:dyDescent="0.3">
      <c r="B11" s="81" t="str">
        <f t="shared" si="0"/>
        <v>Ausgrid</v>
      </c>
      <c r="C11" s="81" t="str">
        <f t="shared" si="1"/>
        <v>Residential</v>
      </c>
      <c r="D11" s="81" t="str">
        <f t="shared" si="2"/>
        <v>without CL</v>
      </c>
      <c r="E11" s="81" t="s">
        <v>24</v>
      </c>
      <c r="F11" s="41">
        <f t="array" ref="F11">IFERROR(INDEX(Usage!$B$5:$T$18,MATCH($B11,Usage!$B$5:$B$18,0),MATCH($C11&amp;$D11&amp;$E11&amp;$T11,Usage!$B$5:$W$5&amp;Usage!$B$6:$W$6&amp;Usage!$B$7:$W$7&amp;Usage!$B$13:$W$13,0)),0)</f>
        <v>3900</v>
      </c>
      <c r="G11" s="3" t="s">
        <v>56</v>
      </c>
      <c r="H11" s="93">
        <f t="array" ref="H11">IFERROR(INDEX('Detail inputs'!$B$3:$L$304,MATCH($B11&amp;$C11&amp;$E11&amp;$G11&amp;H$5&amp;$T11,'Detail inputs'!$B$3:$B$304&amp;'Detail inputs'!$D$3:$D$304&amp;'Detail inputs'!$F$3:$F$304&amp;'Detail inputs'!$G$3:$G$304&amp;'Detail inputs'!$H$3:$H$304&amp;'Detail inputs'!$L$3:$L$304,0),MATCH(H$4,'Detail inputs'!$B$3:$L$3,0)),0)</f>
        <v>0</v>
      </c>
      <c r="I11" s="93">
        <f t="array" ref="I11">IFERROR(INDEX('Detail inputs'!$B$3:$L$304,MATCH($B11&amp;$C11&amp;$E11&amp;$G11&amp;I$5&amp;$T11,'Detail inputs'!$B$3:$B$304&amp;'Detail inputs'!$D$3:$D$304&amp;'Detail inputs'!$F$3:$F$304&amp;'Detail inputs'!$G$3:$G$304&amp;'Detail inputs'!$H$3:$H$304&amp;'Detail inputs'!$L$3:$L$304,0),MATCH(I$4,'Detail inputs'!$B$3:$L$3,0)),0)</f>
        <v>3.8529999999999998</v>
      </c>
      <c r="J11" s="93">
        <f>IF(AND(H11="",I11=""),"",H11+I11*F11/1000)</f>
        <v>15.026699999999998</v>
      </c>
      <c r="K11" s="44">
        <f>IFERROR(J11/J12,"")</f>
        <v>3.2959501183183512E-2</v>
      </c>
      <c r="L11" s="44"/>
      <c r="M11" s="49" t="str">
        <f t="array" ref="M11">IFERROR(IF($S11="Indicative tariff",$Q11/$J11-1,IF($S11="Zero",0,IF($S11="NA","",IF($S11="Draft x-factor",INDEX('Detail inputs'!$B$3:$P$304,MATCH($B11&amp;$G11&amp;$S11,'Detail inputs'!$B$3:$B$304&amp;'Detail inputs'!$G$3:$G$304&amp;'Detail inputs'!$H$3:$H$304,0),MATCH(M$4,'Detail inputs'!$B$3:$P$3,0)))))),"")</f>
        <v/>
      </c>
      <c r="N11" s="44"/>
      <c r="O11" s="93" t="str">
        <f t="array" ref="O11">IFERROR(IF(OR($S11="NA",$S11="Draft x-factor",$S11="Zero"),"",INDEX('Detail inputs'!$B$3:$L$304,MATCH($B11&amp;$C11&amp;$E11&amp;$G11&amp;O$5&amp;$T11,'Detail inputs'!$B$3:$B$304&amp;'Detail inputs'!$D$3:$D$304&amp;'Detail inputs'!$F$3:$F$304&amp;'Detail inputs'!$G$3:$G$304&amp;'Detail inputs'!$H$3:$H$304&amp;'Detail inputs'!$L$3:$L$304,0),MATCH(O$4,'Detail inputs'!$B$3:$L$3,0))),0)</f>
        <v/>
      </c>
      <c r="P11" s="93" t="str">
        <f t="array" ref="P11">IFERROR(IF(OR($S11="NA",$S11="Draft x-factor",$S11="Zero"),"",INDEX('Detail inputs'!$B$3:$L$304,MATCH($B11&amp;$C11&amp;$E11&amp;$G11&amp;P$5&amp;$T11,'Detail inputs'!$B$3:$B$304&amp;'Detail inputs'!$D$3:$D$304&amp;'Detail inputs'!$F$3:$F$304&amp;'Detail inputs'!$G$3:$G$304&amp;'Detail inputs'!$H$3:$H$304&amp;'Detail inputs'!$L$3:$L$304,0),MATCH(P$4,'Detail inputs'!$B$3:$L$3,0))),0)</f>
        <v/>
      </c>
      <c r="Q11" s="93" t="str">
        <f>IF(AND(O11="",P11=""),"",O11+P11*F11/1000)</f>
        <v/>
      </c>
      <c r="R11" s="44" t="str">
        <f>IFERROR(Q11/Q12,"")</f>
        <v/>
      </c>
      <c r="S11" s="21" t="str">
        <f t="array" ref="S11">INDEX('Key inputs'!$B$35:$J$41,MATCH($B11,'Key inputs'!$B$35:$B$41,0),MATCH($G11&amp;S$5,'Key inputs'!$B$35:$J$35&amp;'Key inputs'!$B$36:$J$36,0))</f>
        <v>NA</v>
      </c>
      <c r="T11" s="21" t="s">
        <v>58</v>
      </c>
    </row>
    <row r="12" spans="1:20" x14ac:dyDescent="0.3">
      <c r="B12" s="81" t="str">
        <f t="shared" si="0"/>
        <v>Ausgrid</v>
      </c>
      <c r="C12" s="81" t="str">
        <f t="shared" si="1"/>
        <v>Residential</v>
      </c>
      <c r="D12" s="81" t="str">
        <f t="shared" si="2"/>
        <v>without CL</v>
      </c>
      <c r="E12" s="81" t="s">
        <v>24</v>
      </c>
      <c r="F12" s="41">
        <f t="array" ref="F12">IFERROR(INDEX(Usage!$B$5:$T$18,MATCH($B12,Usage!$B$5:$B$18,0),MATCH($C12&amp;$D12&amp;$E12&amp;$T12,Usage!$B$5:$W$5&amp;Usage!$B$6:$W$6&amp;Usage!$B$7:$W$7&amp;Usage!$B$13:$W$13,0)),0)</f>
        <v>3900</v>
      </c>
      <c r="G12" s="3" t="s">
        <v>65</v>
      </c>
      <c r="J12" s="93">
        <f>SUM(J9:J11)</f>
        <v>455.91406000000001</v>
      </c>
      <c r="K12" s="44">
        <f>IFERROR(J12/J14,"")</f>
        <v>0.94504834605471377</v>
      </c>
      <c r="L12" s="44"/>
      <c r="M12" s="49">
        <f>IF(J12=0,"",IF(Q12="",SUMPRODUCT(K9:K11,M9:M11),Q12/J12-1))</f>
        <v>1.8845229296065025E-2</v>
      </c>
      <c r="N12" s="44"/>
      <c r="O12" s="93">
        <f t="array" ref="O12">IFERROR(IF(OR($S12="NA",$S12="Draft x-factor",$S12="Sum"),"",INDEX('Detail inputs'!$B$3:$L$304,MATCH($B12&amp;$C12&amp;$E12&amp;$G12&amp;O$5&amp;$T12,'Detail inputs'!$B$3:$B$304&amp;'Detail inputs'!$D$3:$D$304&amp;'Detail inputs'!$F$3:$F$304&amp;'Detail inputs'!$G$3:$G$304&amp;'Detail inputs'!$H$3:$H$304&amp;'Detail inputs'!$L$3:$L$304,0),MATCH(O$4,'Detail inputs'!$B$3:$L$3,0))),0)</f>
        <v>138.70766499999999</v>
      </c>
      <c r="P12" s="93">
        <f t="array" ref="P12">IFERROR(IF(OR($S12="NA",$S12="Draft x-factor",$S12="Sum"),"",INDEX('Detail inputs'!$B$3:$L$304,MATCH($B12&amp;$C12&amp;$E12&amp;$G12&amp;P$5&amp;$T12,'Detail inputs'!$B$3:$B$304&amp;'Detail inputs'!$D$3:$D$304&amp;'Detail inputs'!$F$3:$F$304&amp;'Detail inputs'!$G$3:$G$304&amp;'Detail inputs'!$H$3:$H$304&amp;'Detail inputs'!$L$3:$L$304,0),MATCH(P$4,'Detail inputs'!$B$3:$L$3,0))),0)</f>
        <v>83.537999999999997</v>
      </c>
      <c r="Q12" s="93">
        <f>IF($S12="NA","",IF($S12="Indicative tariff",O12+P12*F12/1000,IF($S12="Sum",SUM(Q9:Q11))))</f>
        <v>464.50586499999997</v>
      </c>
      <c r="R12" s="44">
        <f>IFERROR(Q12/Q14,"")</f>
        <v>0.94600989114679623</v>
      </c>
      <c r="S12" s="21" t="str">
        <f t="array" ref="S12">INDEX('Key inputs'!$B$35:$J$41,MATCH($B12,'Key inputs'!$B$35:$B$41,0),MATCH($G12&amp;S$5,'Key inputs'!$B$35:$J$35&amp;'Key inputs'!$B$36:$J$36,0))</f>
        <v>Indicative tariff</v>
      </c>
      <c r="T12" s="21" t="s">
        <v>58</v>
      </c>
    </row>
    <row r="13" spans="1:20" x14ac:dyDescent="0.3">
      <c r="B13" s="81" t="str">
        <f t="shared" si="0"/>
        <v>Ausgrid</v>
      </c>
      <c r="C13" s="81" t="str">
        <f t="shared" si="1"/>
        <v>Residential</v>
      </c>
      <c r="D13" s="81" t="str">
        <f t="shared" si="2"/>
        <v>without CL</v>
      </c>
      <c r="E13" s="81" t="s">
        <v>24</v>
      </c>
      <c r="F13" s="41">
        <f t="array" ref="F13">IFERROR(INDEX(Usage!$B$5:$T$18,MATCH($B13,Usage!$B$5:$B$18,0),MATCH($C13&amp;$D13&amp;$E13&amp;$T13,Usage!$B$5:$W$5&amp;Usage!$B$6:$W$6&amp;Usage!$B$7:$W$7&amp;Usage!$B$13:$W$13,0)),0)</f>
        <v>3900</v>
      </c>
      <c r="G13" s="3" t="s">
        <v>67</v>
      </c>
      <c r="H13" s="93">
        <f t="array" ref="H13">IFERROR(INDEX('Detail inputs'!$B$3:$L$304,MATCH($B13&amp;$C13&amp;$E13&amp;$G13&amp;H$5&amp;$T13,'Detail inputs'!$B$3:$B$304&amp;'Detail inputs'!$D$3:$D$304&amp;'Detail inputs'!$F$3:$F$304&amp;'Detail inputs'!$G$3:$G$304&amp;'Detail inputs'!$H$3:$H$304&amp;'Detail inputs'!$L$3:$L$304,0),MATCH(H$4,'Detail inputs'!$B$3:$L$3,0)),0)</f>
        <v>26.509999999999998</v>
      </c>
      <c r="I13" s="93">
        <f t="array" ref="I13">IFERROR(INDEX('Detail inputs'!$B$3:$L$304,MATCH($B13&amp;$C13&amp;$E13&amp;$G13&amp;I$5&amp;$T13,'Detail inputs'!$B$3:$B$304&amp;'Detail inputs'!$D$3:$D$304&amp;'Detail inputs'!$F$3:$F$304&amp;'Detail inputs'!$G$3:$G$304&amp;'Detail inputs'!$H$3:$H$304&amp;'Detail inputs'!$L$3:$L$304,0),MATCH(I$4,'Detail inputs'!$B$3:$L$3,0)),0)</f>
        <v>0</v>
      </c>
      <c r="J13" s="93">
        <f>IF(AND(H13="",I13=""),"",H13+I13*F13/1000)</f>
        <v>26.509999999999998</v>
      </c>
      <c r="K13" s="44">
        <f>IFERROR(J13/J14,"")</f>
        <v>5.4951653945286227E-2</v>
      </c>
      <c r="L13" s="44"/>
      <c r="M13" s="49">
        <f t="array" ref="M13">IFERROR(IF($S13="Indicative tariff",$Q13/$J13-1,IF($S13="Zero",0,IF($S13="NA","",IF($S13="Draft x-factor",INDEX('Detail inputs'!$B$3:$P$304,MATCH($B13&amp;$G13&amp;$S13,'Detail inputs'!$B$3:$B$304&amp;'Detail inputs'!$G$3:$G$304&amp;'Detail inputs'!$H$3:$H$304,0),MATCH(M$4,'Detail inputs'!$B$3:$P$3,0)))))),"")</f>
        <v>0</v>
      </c>
      <c r="N13" s="44"/>
      <c r="O13" s="93">
        <f t="array" ref="O13">IFERROR(IF(OR($S13="NA",$S13="Draft x-factor"),"",IF($S13="Zero",H13,INDEX('Detail inputs'!$B$3:$L$304,MATCH($B13&amp;$C13&amp;$E13&amp;$G13&amp;O$5&amp;$T13,'Detail inputs'!$B$3:$B$304&amp;'Detail inputs'!$D$3:$D$304&amp;'Detail inputs'!$F$3:$F$304&amp;'Detail inputs'!$G$3:$G$304&amp;'Detail inputs'!$H$3:$H$304&amp;'Detail inputs'!$L$3:$L$304,0),MATCH(O$4,'Detail inputs'!$B$3:$L$3,0)))),0)</f>
        <v>26.509999999999998</v>
      </c>
      <c r="P13" s="93">
        <f t="array" ref="P13">IFERROR(IF(OR($S13="NA",$S13="Draft x-factor"),"",IF($S13="Zero",I13,INDEX('Detail inputs'!$B$3:$L$304,MATCH($B13&amp;$C13&amp;$E13&amp;$G13&amp;P$5&amp;$T13,'Detail inputs'!$B$3:$B$304&amp;'Detail inputs'!$D$3:$D$304&amp;'Detail inputs'!$F$3:$F$304&amp;'Detail inputs'!$G$3:$G$304&amp;'Detail inputs'!$H$3:$H$304&amp;'Detail inputs'!$L$3:$L$304,0),MATCH(P$4,'Detail inputs'!$B$3:$L$3,0)))),0)</f>
        <v>0</v>
      </c>
      <c r="Q13" s="93">
        <f>IF(AND(O13="",P13=""),"",O13+P13*F13/1000)</f>
        <v>26.509999999999998</v>
      </c>
      <c r="R13" s="44">
        <f>IFERROR(Q13/Q14,"")</f>
        <v>5.3990108853203753E-2</v>
      </c>
      <c r="S13" s="21" t="str">
        <f t="array" ref="S13">INDEX('Key inputs'!$B$35:$J$41,MATCH($B13,'Key inputs'!$B$35:$B$41,0),MATCH($G13&amp;S$5,'Key inputs'!$B$35:$J$35&amp;'Key inputs'!$B$36:$J$36,0))</f>
        <v>Zero</v>
      </c>
      <c r="T13" s="21" t="s">
        <v>58</v>
      </c>
    </row>
    <row r="14" spans="1:20" s="5" customFormat="1" x14ac:dyDescent="0.3">
      <c r="B14" s="81" t="str">
        <f t="shared" si="0"/>
        <v>Ausgrid</v>
      </c>
      <c r="C14" s="81" t="str">
        <f t="shared" si="1"/>
        <v>Residential</v>
      </c>
      <c r="D14" s="81" t="str">
        <f t="shared" si="2"/>
        <v>without CL</v>
      </c>
      <c r="E14" s="81" t="s">
        <v>24</v>
      </c>
      <c r="F14" s="41">
        <f t="array" ref="F14">IFERROR(INDEX(Usage!$B$5:$T$18,MATCH($B14,Usage!$B$5:$B$18,0),MATCH($C14&amp;$D14&amp;$E14&amp;$T14,Usage!$B$5:$W$5&amp;Usage!$B$6:$W$6&amp;Usage!$B$7:$W$7&amp;Usage!$B$13:$W$13,0)),0)</f>
        <v>3900</v>
      </c>
      <c r="G14" s="81" t="s">
        <v>58</v>
      </c>
      <c r="H14" s="99"/>
      <c r="I14" s="99"/>
      <c r="J14" s="99">
        <f>SUM(J12:J13)</f>
        <v>482.42406</v>
      </c>
      <c r="K14" s="91"/>
      <c r="L14" s="92"/>
      <c r="M14" s="49">
        <f>IF(J14=0,"",IF(OR($S13="Draft x-factor",$S13="Zero"),SUMPRODUCT(K12:K13,M12:M13),Q14/J14-1))</f>
        <v>1.7809652777268089E-2</v>
      </c>
      <c r="N14" s="92"/>
      <c r="O14" s="99"/>
      <c r="P14" s="99"/>
      <c r="Q14" s="99">
        <f>IF(AND(Q12="",Q13=""),J14*(1+M14),SUM(Q12:Q13))</f>
        <v>491.01586499999996</v>
      </c>
      <c r="R14" s="91"/>
      <c r="S14" s="27"/>
      <c r="T14" s="21" t="s">
        <v>58</v>
      </c>
    </row>
    <row r="15" spans="1:20" s="5" customFormat="1" x14ac:dyDescent="0.3">
      <c r="B15" s="81" t="str">
        <f t="shared" si="0"/>
        <v>Ausgrid</v>
      </c>
      <c r="C15" s="81" t="str">
        <f>C14</f>
        <v>Residential</v>
      </c>
      <c r="D15" s="81" t="str">
        <f>D14</f>
        <v>without CL</v>
      </c>
      <c r="E15" s="81"/>
      <c r="F15" s="82"/>
      <c r="G15" s="81" t="s">
        <v>41</v>
      </c>
      <c r="H15" s="99"/>
      <c r="I15" s="99"/>
      <c r="J15" s="99">
        <f>J14*GST</f>
        <v>48.242406000000003</v>
      </c>
      <c r="K15" s="91"/>
      <c r="L15" s="92"/>
      <c r="M15" s="83"/>
      <c r="N15" s="92"/>
      <c r="O15" s="99"/>
      <c r="P15" s="99"/>
      <c r="Q15" s="99">
        <f>Q14*GST</f>
        <v>49.101586499999996</v>
      </c>
      <c r="R15" s="91"/>
      <c r="S15" s="27"/>
      <c r="T15" s="27"/>
    </row>
    <row r="16" spans="1:20" s="5" customFormat="1" x14ac:dyDescent="0.3">
      <c r="B16" s="81" t="str">
        <f t="shared" si="0"/>
        <v>Ausgrid</v>
      </c>
      <c r="C16" s="81" t="str">
        <f>C15</f>
        <v>Residential</v>
      </c>
      <c r="D16" s="81" t="str">
        <f>D15</f>
        <v>without CL</v>
      </c>
      <c r="E16" s="81"/>
      <c r="F16" s="82"/>
      <c r="G16" s="5" t="s">
        <v>91</v>
      </c>
      <c r="H16" s="98"/>
      <c r="I16" s="98"/>
      <c r="J16" s="98">
        <f>SUM(J14:J15)</f>
        <v>530.66646600000001</v>
      </c>
      <c r="K16" s="79"/>
      <c r="L16" s="27"/>
      <c r="M16" s="80">
        <f>IF(OR(J16=0,Q16=""),"",Q16/J16-1)</f>
        <v>1.7809652777268203E-2</v>
      </c>
      <c r="N16" s="27"/>
      <c r="O16" s="98"/>
      <c r="P16" s="98"/>
      <c r="Q16" s="98">
        <f>SUM(Q14:Q15)</f>
        <v>540.11745150000002</v>
      </c>
      <c r="R16" s="79"/>
      <c r="S16" s="27"/>
      <c r="T16" s="27"/>
    </row>
    <row r="17" spans="2:20" x14ac:dyDescent="0.3">
      <c r="F17" s="41"/>
      <c r="K17" s="44"/>
      <c r="M17" s="49"/>
      <c r="R17" s="44"/>
    </row>
    <row r="18" spans="2:20" x14ac:dyDescent="0.3">
      <c r="B18" s="5" t="s">
        <v>2</v>
      </c>
      <c r="C18" s="5" t="s">
        <v>6</v>
      </c>
      <c r="D18" s="5" t="s">
        <v>159</v>
      </c>
      <c r="E18" s="81"/>
      <c r="F18" s="82"/>
      <c r="K18" s="44"/>
      <c r="M18" s="49"/>
      <c r="R18" s="44"/>
    </row>
    <row r="19" spans="2:20" x14ac:dyDescent="0.3">
      <c r="B19" s="3" t="str">
        <f>B18</f>
        <v>Ausgrid</v>
      </c>
      <c r="C19" s="3" t="str">
        <f t="shared" ref="C19:C37" si="3">C18</f>
        <v>Residential</v>
      </c>
      <c r="D19" s="3" t="str">
        <f t="shared" ref="D19:D37" si="4">D18</f>
        <v>with CL</v>
      </c>
      <c r="E19" s="3" t="s">
        <v>24</v>
      </c>
      <c r="F19" s="41">
        <f t="array" ref="F19">IFERROR(INDEX(Usage!$B$5:$T$18,MATCH($B19,Usage!$B$5:$B$18,0),MATCH($C19&amp;$D19&amp;$E19&amp;$T19,Usage!$B$5:$W$5&amp;Usage!$B$6:$W$6&amp;Usage!$B$7:$W$7&amp;Usage!$B$13:$W$13,0)),0)</f>
        <v>4800</v>
      </c>
      <c r="G19" s="23" t="s">
        <v>54</v>
      </c>
      <c r="H19" s="93">
        <f t="array" ref="H19">IFERROR(INDEX('Detail inputs'!$B$3:$L$304,MATCH($B19&amp;$C19&amp;$E19&amp;$G19&amp;H$5&amp;$T19,'Detail inputs'!$B$3:$B$304&amp;'Detail inputs'!$D$3:$D$304&amp;'Detail inputs'!$F$3:$F$304&amp;'Detail inputs'!$G$3:$G$304&amp;'Detail inputs'!$H$3:$H$304&amp;'Detail inputs'!$L$3:$L$304,0),MATCH(H$4,'Detail inputs'!$B$3:$L$3,0)),0)</f>
        <v>135.42376000000002</v>
      </c>
      <c r="I19" s="93">
        <f t="array" ref="I19">IFERROR(INDEX('Detail inputs'!$B$3:$L$304,MATCH($B19&amp;$C19&amp;$E19&amp;$G19&amp;I$5&amp;$T19,'Detail inputs'!$B$3:$B$304&amp;'Detail inputs'!$D$3:$D$304&amp;'Detail inputs'!$F$3:$F$304&amp;'Detail inputs'!$G$3:$G$304&amp;'Detail inputs'!$H$3:$H$304&amp;'Detail inputs'!$L$3:$L$304,0),MATCH(I$4,'Detail inputs'!$B$3:$L$3,0)),0)</f>
        <v>50.503999999999998</v>
      </c>
      <c r="J19" s="93">
        <f>IF(AND(H19="",I19=""),"",H19+I19*F19/1000)</f>
        <v>377.84296000000001</v>
      </c>
      <c r="K19" s="44">
        <f>IFERROR(J19/J22,"")</f>
        <v>0.71308163142981928</v>
      </c>
      <c r="L19" s="44"/>
      <c r="M19" s="49" t="str">
        <f t="array" ref="M19">IFERROR(IF($S19="Indicative tariff",$Q19/$J19-1,IF($S19="Zero",0,IF($S19="NA","",IF($S19="Draft x-factor",INDEX('Detail inputs'!$B$3:$P$304,MATCH($B19&amp;$G19&amp;$S19,'Detail inputs'!$B$3:$B$304&amp;'Detail inputs'!$G$3:$G$304&amp;'Detail inputs'!$H$3:$H$304,0),MATCH(M$4,'Detail inputs'!$B$3:$P$3,0)))))),"")</f>
        <v/>
      </c>
      <c r="N19" s="44"/>
      <c r="O19" s="93" t="str">
        <f t="array" ref="O19">IFERROR(IF(OR($S19="NA",$S19="Draft x-factor",$S19="Zero"),"",INDEX('Detail inputs'!$B$3:$L$304,MATCH($B19&amp;$C19&amp;$E19&amp;$G19&amp;O$5&amp;$T19,'Detail inputs'!$B$3:$B$304&amp;'Detail inputs'!$D$3:$D$304&amp;'Detail inputs'!$F$3:$F$304&amp;'Detail inputs'!$G$3:$G$304&amp;'Detail inputs'!$H$3:$H$304&amp;'Detail inputs'!$L$3:$L$304,0),MATCH(O$4,'Detail inputs'!$B$3:$L$3,0))),0)</f>
        <v/>
      </c>
      <c r="P19" s="93" t="str">
        <f t="array" ref="P19">IFERROR(IF(OR($S19="NA",$S19="Draft x-factor",$S19="Zero"),"",INDEX('Detail inputs'!$B$3:$L$304,MATCH($B19&amp;$C19&amp;$E19&amp;$G19&amp;P$5&amp;$T19,'Detail inputs'!$B$3:$B$304&amp;'Detail inputs'!$D$3:$D$304&amp;'Detail inputs'!$F$3:$F$304&amp;'Detail inputs'!$G$3:$G$304&amp;'Detail inputs'!$H$3:$H$304&amp;'Detail inputs'!$L$3:$L$304,0),MATCH(P$4,'Detail inputs'!$B$3:$L$3,0))),0)</f>
        <v/>
      </c>
      <c r="Q19" s="93" t="str">
        <f>IF(AND(O19="",P19=""),"",O19+P19*F19/1000)</f>
        <v/>
      </c>
      <c r="R19" s="44" t="str">
        <f>IFERROR(Q19/Q22,"")</f>
        <v/>
      </c>
      <c r="S19" s="21" t="str">
        <f t="array" ref="S19">INDEX('Key inputs'!$B$35:$J$41,MATCH($B19,'Key inputs'!$B$35:$B$41,0),MATCH($G19&amp;S$5,'Key inputs'!$B$35:$J$35&amp;'Key inputs'!$B$36:$J$36,0))</f>
        <v>NA</v>
      </c>
      <c r="T19" s="21" t="s">
        <v>58</v>
      </c>
    </row>
    <row r="20" spans="2:20" x14ac:dyDescent="0.3">
      <c r="B20" s="3" t="str">
        <f t="shared" ref="B20:B37" si="5">B19</f>
        <v>Ausgrid</v>
      </c>
      <c r="C20" s="3" t="str">
        <f t="shared" si="3"/>
        <v>Residential</v>
      </c>
      <c r="D20" s="3" t="str">
        <f t="shared" si="4"/>
        <v>with CL</v>
      </c>
      <c r="E20" s="3" t="s">
        <v>24</v>
      </c>
      <c r="F20" s="41">
        <f t="array" ref="F20">IFERROR(INDEX(Usage!$B$5:$T$18,MATCH($B20,Usage!$B$5:$B$18,0),MATCH($C20&amp;$D20&amp;$E20&amp;$T20,Usage!$B$5:$W$5&amp;Usage!$B$6:$W$6&amp;Usage!$B$7:$W$7&amp;Usage!$B$13:$W$13,0)),0)</f>
        <v>4800</v>
      </c>
      <c r="G20" s="23" t="s">
        <v>55</v>
      </c>
      <c r="H20" s="93">
        <f t="array" ref="H20">IFERROR(INDEX('Detail inputs'!$B$3:$L$304,MATCH($B20&amp;$C20&amp;$E20&amp;$G20&amp;H$5&amp;$T20,'Detail inputs'!$B$3:$B$304&amp;'Detail inputs'!$D$3:$D$304&amp;'Detail inputs'!$F$3:$F$304&amp;'Detail inputs'!$G$3:$G$304&amp;'Detail inputs'!$H$3:$H$304&amp;'Detail inputs'!$L$3:$L$304,0),MATCH(H$4,'Detail inputs'!$B$3:$L$3,0)),0)</f>
        <v>0</v>
      </c>
      <c r="I20" s="93">
        <f t="array" ref="I20">IFERROR(INDEX('Detail inputs'!$B$3:$L$304,MATCH($B20&amp;$C20&amp;$E20&amp;$G20&amp;I$5&amp;$T20,'Detail inputs'!$B$3:$B$304&amp;'Detail inputs'!$D$3:$D$304&amp;'Detail inputs'!$F$3:$F$304&amp;'Detail inputs'!$G$3:$G$304&amp;'Detail inputs'!$H$3:$H$304&amp;'Detail inputs'!$L$3:$L$304,0),MATCH(I$4,'Detail inputs'!$B$3:$L$3,0)),0)</f>
        <v>27.82</v>
      </c>
      <c r="J20" s="93">
        <f>IF(AND(H20="",I20=""),"",H20+I20*F20/1000)</f>
        <v>133.536</v>
      </c>
      <c r="K20" s="44">
        <f>IFERROR(J20/J22,"")</f>
        <v>0.25201493428542998</v>
      </c>
      <c r="L20" s="44"/>
      <c r="M20" s="49" t="str">
        <f t="array" ref="M20">IFERROR(IF($S20="Indicative tariff",$Q20/$J20-1,IF($S20="Zero",0,IF($S20="NA","",IF($S20="Draft x-factor",INDEX('Detail inputs'!$B$3:$P$304,MATCH($B20&amp;$G20&amp;$S20,'Detail inputs'!$B$3:$B$304&amp;'Detail inputs'!$G$3:$G$304&amp;'Detail inputs'!$H$3:$H$304,0),MATCH(M$4,'Detail inputs'!$B$3:$P$3,0)))))),"")</f>
        <v/>
      </c>
      <c r="N20" s="44"/>
      <c r="O20" s="93" t="str">
        <f t="array" ref="O20">IFERROR(IF(OR($S20="NA",$S20="Draft x-factor",$S20="Zero"),"",INDEX('Detail inputs'!$B$3:$L$304,MATCH($B20&amp;$C20&amp;$E20&amp;$G20&amp;O$5&amp;$T20,'Detail inputs'!$B$3:$B$304&amp;'Detail inputs'!$D$3:$D$304&amp;'Detail inputs'!$F$3:$F$304&amp;'Detail inputs'!$G$3:$G$304&amp;'Detail inputs'!$H$3:$H$304&amp;'Detail inputs'!$L$3:$L$304,0),MATCH(O$4,'Detail inputs'!$B$3:$L$3,0))),0)</f>
        <v/>
      </c>
      <c r="P20" s="93" t="str">
        <f t="array" ref="P20">IFERROR(IF(OR($S20="NA",$S20="Draft x-factor",$S20="Zero"),"",INDEX('Detail inputs'!$B$3:$L$304,MATCH($B20&amp;$C20&amp;$E20&amp;$G20&amp;P$5&amp;$T20,'Detail inputs'!$B$3:$B$304&amp;'Detail inputs'!$D$3:$D$304&amp;'Detail inputs'!$F$3:$F$304&amp;'Detail inputs'!$G$3:$G$304&amp;'Detail inputs'!$H$3:$H$304&amp;'Detail inputs'!$L$3:$L$304,0),MATCH(P$4,'Detail inputs'!$B$3:$L$3,0))),0)</f>
        <v/>
      </c>
      <c r="Q20" s="93" t="str">
        <f>IF(AND(O20="",P20=""),"",O20+P20*F20/1000)</f>
        <v/>
      </c>
      <c r="R20" s="44" t="str">
        <f>IFERROR(Q20/Q22,"")</f>
        <v/>
      </c>
      <c r="S20" s="21" t="str">
        <f t="array" ref="S20">INDEX('Key inputs'!$B$35:$J$41,MATCH($B20,'Key inputs'!$B$35:$B$41,0),MATCH($G20&amp;S$5,'Key inputs'!$B$35:$J$35&amp;'Key inputs'!$B$36:$J$36,0))</f>
        <v>NA</v>
      </c>
      <c r="T20" s="21" t="s">
        <v>58</v>
      </c>
    </row>
    <row r="21" spans="2:20" x14ac:dyDescent="0.3">
      <c r="B21" s="3" t="str">
        <f t="shared" si="5"/>
        <v>Ausgrid</v>
      </c>
      <c r="C21" s="3" t="str">
        <f t="shared" si="3"/>
        <v>Residential</v>
      </c>
      <c r="D21" s="3" t="str">
        <f t="shared" si="4"/>
        <v>with CL</v>
      </c>
      <c r="E21" s="3" t="s">
        <v>24</v>
      </c>
      <c r="F21" s="41">
        <f t="array" ref="F21">IFERROR(INDEX(Usage!$B$5:$T$18,MATCH($B21,Usage!$B$5:$B$18,0),MATCH($C21&amp;$D21&amp;$E21&amp;$T21,Usage!$B$5:$W$5&amp;Usage!$B$6:$W$6&amp;Usage!$B$7:$W$7&amp;Usage!$B$13:$W$13,0)),0)</f>
        <v>4800</v>
      </c>
      <c r="G21" s="23" t="s">
        <v>56</v>
      </c>
      <c r="H21" s="93">
        <f t="array" ref="H21">IFERROR(INDEX('Detail inputs'!$B$3:$L$304,MATCH($B21&amp;$C21&amp;$E21&amp;$G21&amp;H$5&amp;$T21,'Detail inputs'!$B$3:$B$304&amp;'Detail inputs'!$D$3:$D$304&amp;'Detail inputs'!$F$3:$F$304&amp;'Detail inputs'!$G$3:$G$304&amp;'Detail inputs'!$H$3:$H$304&amp;'Detail inputs'!$L$3:$L$304,0),MATCH(H$4,'Detail inputs'!$B$3:$L$3,0)),0)</f>
        <v>0</v>
      </c>
      <c r="I21" s="93">
        <f t="array" ref="I21">IFERROR(INDEX('Detail inputs'!$B$3:$L$304,MATCH($B21&amp;$C21&amp;$E21&amp;$G21&amp;I$5&amp;$T21,'Detail inputs'!$B$3:$B$304&amp;'Detail inputs'!$D$3:$D$304&amp;'Detail inputs'!$F$3:$F$304&amp;'Detail inputs'!$G$3:$G$304&amp;'Detail inputs'!$H$3:$H$304&amp;'Detail inputs'!$L$3:$L$304,0),MATCH(I$4,'Detail inputs'!$B$3:$L$3,0)),0)</f>
        <v>3.8529999999999998</v>
      </c>
      <c r="J21" s="93">
        <f>IF(AND(H21="",I21=""),"",H21+I21*F21/1000)</f>
        <v>18.494399999999999</v>
      </c>
      <c r="K21" s="44">
        <f>IFERROR(J21/J22,"")</f>
        <v>3.4903434284750602E-2</v>
      </c>
      <c r="L21" s="44"/>
      <c r="M21" s="49" t="str">
        <f t="array" ref="M21">IFERROR(IF($S21="Indicative tariff",$Q21/$J21-1,IF($S21="Zero",0,IF($S21="NA","",IF($S21="Draft x-factor",INDEX('Detail inputs'!$B$3:$P$304,MATCH($B21&amp;$G21&amp;$S21,'Detail inputs'!$B$3:$B$304&amp;'Detail inputs'!$G$3:$G$304&amp;'Detail inputs'!$H$3:$H$304,0),MATCH(M$4,'Detail inputs'!$B$3:$P$3,0)))))),"")</f>
        <v/>
      </c>
      <c r="N21" s="44"/>
      <c r="O21" s="93" t="str">
        <f t="array" ref="O21">IFERROR(IF(OR($S21="NA",$S21="Draft x-factor",$S21="Zero"),"",INDEX('Detail inputs'!$B$3:$L$304,MATCH($B21&amp;$C21&amp;$E21&amp;$G21&amp;O$5&amp;$T21,'Detail inputs'!$B$3:$B$304&amp;'Detail inputs'!$D$3:$D$304&amp;'Detail inputs'!$F$3:$F$304&amp;'Detail inputs'!$G$3:$G$304&amp;'Detail inputs'!$H$3:$H$304&amp;'Detail inputs'!$L$3:$L$304,0),MATCH(O$4,'Detail inputs'!$B$3:$L$3,0))),0)</f>
        <v/>
      </c>
      <c r="P21" s="93" t="str">
        <f t="array" ref="P21">IFERROR(IF(OR($S21="NA",$S21="Draft x-factor",$S21="Zero"),"",INDEX('Detail inputs'!$B$3:$L$304,MATCH($B21&amp;$C21&amp;$E21&amp;$G21&amp;P$5&amp;$T21,'Detail inputs'!$B$3:$B$304&amp;'Detail inputs'!$D$3:$D$304&amp;'Detail inputs'!$F$3:$F$304&amp;'Detail inputs'!$G$3:$G$304&amp;'Detail inputs'!$H$3:$H$304&amp;'Detail inputs'!$L$3:$L$304,0),MATCH(P$4,'Detail inputs'!$B$3:$L$3,0))),0)</f>
        <v/>
      </c>
      <c r="Q21" s="93" t="str">
        <f>IF(AND(O21="",P21=""),"",O21+P21*F21/1000)</f>
        <v/>
      </c>
      <c r="R21" s="44" t="str">
        <f>IFERROR(Q21/Q22,"")</f>
        <v/>
      </c>
      <c r="S21" s="21" t="str">
        <f t="array" ref="S21">INDEX('Key inputs'!$B$35:$J$41,MATCH($B21,'Key inputs'!$B$35:$B$41,0),MATCH($G21&amp;S$5,'Key inputs'!$B$35:$J$35&amp;'Key inputs'!$B$36:$J$36,0))</f>
        <v>NA</v>
      </c>
      <c r="T21" s="21" t="s">
        <v>58</v>
      </c>
    </row>
    <row r="22" spans="2:20" x14ac:dyDescent="0.3">
      <c r="B22" s="3" t="str">
        <f t="shared" si="5"/>
        <v>Ausgrid</v>
      </c>
      <c r="C22" s="3" t="str">
        <f t="shared" si="3"/>
        <v>Residential</v>
      </c>
      <c r="D22" s="3" t="str">
        <f t="shared" si="4"/>
        <v>with CL</v>
      </c>
      <c r="E22" s="3" t="s">
        <v>24</v>
      </c>
      <c r="F22" s="41">
        <f t="array" ref="F22">IFERROR(INDEX(Usage!$B$5:$T$18,MATCH($B22,Usage!$B$5:$B$18,0),MATCH($C22&amp;$D22&amp;$E22&amp;$T22,Usage!$B$5:$W$5&amp;Usage!$B$6:$W$6&amp;Usage!$B$7:$W$7&amp;Usage!$B$13:$W$13,0)),0)</f>
        <v>4800</v>
      </c>
      <c r="G22" s="23" t="s">
        <v>65</v>
      </c>
      <c r="J22" s="93">
        <f>SUM(J19:J21)</f>
        <v>529.87336000000005</v>
      </c>
      <c r="K22" s="44">
        <f>IFERROR(J22/J24,"")</f>
        <v>0.95235299632253567</v>
      </c>
      <c r="L22" s="44"/>
      <c r="M22" s="49">
        <f>IF(J22=0,"",IF(Q22="",SUMPRODUCT(K19:K21,M19:M21),Q22/J22-1))</f>
        <v>1.8526511693284453E-2</v>
      </c>
      <c r="N22" s="44"/>
      <c r="O22" s="93">
        <f t="array" ref="O22">IFERROR(IF(OR($S22="NA",$S22="Draft x-factor",$S22="Sum"),"",INDEX('Detail inputs'!$B$3:$L$304,MATCH($B22&amp;$C22&amp;$E22&amp;$G22&amp;O$5&amp;$T22,'Detail inputs'!$B$3:$B$304&amp;'Detail inputs'!$D$3:$D$304&amp;'Detail inputs'!$F$3:$F$304&amp;'Detail inputs'!$G$3:$G$304&amp;'Detail inputs'!$H$3:$H$304&amp;'Detail inputs'!$L$3:$L$304,0),MATCH(O$4,'Detail inputs'!$B$3:$L$3,0))),0)</f>
        <v>138.70766499999999</v>
      </c>
      <c r="P22" s="93">
        <f t="array" ref="P22">IFERROR(IF(OR($S22="NA",$S22="Draft x-factor",$S22="Sum"),"",INDEX('Detail inputs'!$B$3:$L$304,MATCH($B22&amp;$C22&amp;$E22&amp;$G22&amp;P$5&amp;$T22,'Detail inputs'!$B$3:$B$304&amp;'Detail inputs'!$D$3:$D$304&amp;'Detail inputs'!$F$3:$F$304&amp;'Detail inputs'!$G$3:$G$304&amp;'Detail inputs'!$H$3:$H$304&amp;'Detail inputs'!$L$3:$L$304,0),MATCH(P$4,'Detail inputs'!$B$3:$L$3,0))),0)</f>
        <v>83.537999999999997</v>
      </c>
      <c r="Q22" s="93">
        <f>IF($S22="NA","",IF($S22="Indicative tariff",O22+P22*F22/1000,IF($S22="Sum",SUM(Q19:Q21))))</f>
        <v>539.690065</v>
      </c>
      <c r="R22" s="44">
        <f>IFERROR(Q22/Q24,"")</f>
        <v>0.95317909403631029</v>
      </c>
      <c r="S22" s="21" t="str">
        <f t="array" ref="S22">INDEX('Key inputs'!$B$35:$J$41,MATCH($B22,'Key inputs'!$B$35:$B$41,0),MATCH($G22&amp;S$5,'Key inputs'!$B$35:$J$35&amp;'Key inputs'!$B$36:$J$36,0))</f>
        <v>Indicative tariff</v>
      </c>
      <c r="T22" s="21" t="s">
        <v>58</v>
      </c>
    </row>
    <row r="23" spans="2:20" x14ac:dyDescent="0.3">
      <c r="B23" s="3" t="str">
        <f t="shared" si="5"/>
        <v>Ausgrid</v>
      </c>
      <c r="C23" s="3" t="str">
        <f t="shared" si="3"/>
        <v>Residential</v>
      </c>
      <c r="D23" s="3" t="str">
        <f t="shared" si="4"/>
        <v>with CL</v>
      </c>
      <c r="E23" s="3" t="s">
        <v>24</v>
      </c>
      <c r="F23" s="41">
        <f t="array" ref="F23">IFERROR(INDEX(Usage!$B$5:$T$18,MATCH($B23,Usage!$B$5:$B$18,0),MATCH($C23&amp;$D23&amp;$E23&amp;$T23,Usage!$B$5:$W$5&amp;Usage!$B$6:$W$6&amp;Usage!$B$7:$W$7&amp;Usage!$B$13:$W$13,0)),0)</f>
        <v>4800</v>
      </c>
      <c r="G23" s="23" t="s">
        <v>67</v>
      </c>
      <c r="H23" s="93">
        <f t="array" ref="H23">IFERROR(INDEX('Detail inputs'!$B$3:$L$304,MATCH($B23&amp;$C23&amp;$E23&amp;$G23&amp;H$5&amp;$T23,'Detail inputs'!$B$3:$B$304&amp;'Detail inputs'!$D$3:$D$304&amp;'Detail inputs'!$F$3:$F$304&amp;'Detail inputs'!$G$3:$G$304&amp;'Detail inputs'!$H$3:$H$304&amp;'Detail inputs'!$L$3:$L$304,0),MATCH(H$4,'Detail inputs'!$B$3:$L$3,0)),0)</f>
        <v>26.509999999999998</v>
      </c>
      <c r="I23" s="93">
        <f t="array" ref="I23">IFERROR(INDEX('Detail inputs'!$B$3:$L$304,MATCH($B23&amp;$C23&amp;$E23&amp;$G23&amp;I$5&amp;$T23,'Detail inputs'!$B$3:$B$304&amp;'Detail inputs'!$D$3:$D$304&amp;'Detail inputs'!$F$3:$F$304&amp;'Detail inputs'!$G$3:$G$304&amp;'Detail inputs'!$H$3:$H$304&amp;'Detail inputs'!$L$3:$L$304,0),MATCH(I$4,'Detail inputs'!$B$3:$L$3,0)),0)</f>
        <v>0</v>
      </c>
      <c r="J23" s="93">
        <f>IF(AND(H23="",I23=""),"",H23+I23*F23/1000)</f>
        <v>26.509999999999998</v>
      </c>
      <c r="K23" s="44">
        <f>IFERROR(J23/J24,"")</f>
        <v>4.7647003677464397E-2</v>
      </c>
      <c r="L23" s="44"/>
      <c r="M23" s="49">
        <f t="array" ref="M23">IFERROR(IF($S23="Indicative tariff",$Q23/$J23-1,IF($S23="Zero",0,IF($S23="NA","",IF($S23="Draft x-factor",INDEX('Detail inputs'!$B$3:$P$304,MATCH($B23&amp;$G23&amp;$S23,'Detail inputs'!$B$3:$B$304&amp;'Detail inputs'!$G$3:$G$304&amp;'Detail inputs'!$H$3:$H$304,0),MATCH(M$4,'Detail inputs'!$B$3:$P$3,0)))))),"")</f>
        <v>0</v>
      </c>
      <c r="N23" s="44"/>
      <c r="O23" s="93">
        <f t="array" ref="O23">IFERROR(IF(OR($S23="NA",$S23="Draft x-factor"),"",IF($S23="Zero",H23,INDEX('Detail inputs'!$B$3:$L$304,MATCH($B23&amp;$C23&amp;$E23&amp;$G23&amp;O$5&amp;$T23,'Detail inputs'!$B$3:$B$304&amp;'Detail inputs'!$D$3:$D$304&amp;'Detail inputs'!$F$3:$F$304&amp;'Detail inputs'!$G$3:$G$304&amp;'Detail inputs'!$H$3:$H$304&amp;'Detail inputs'!$L$3:$L$304,0),MATCH(O$4,'Detail inputs'!$B$3:$L$3,0)))),0)</f>
        <v>26.509999999999998</v>
      </c>
      <c r="P23" s="93">
        <f t="array" ref="P23">IFERROR(IF(OR($S23="NA",$S23="Draft x-factor"),"",IF($S23="Zero",I23,INDEX('Detail inputs'!$B$3:$L$304,MATCH($B23&amp;$C23&amp;$E23&amp;$G23&amp;P$5&amp;$T23,'Detail inputs'!$B$3:$B$304&amp;'Detail inputs'!$D$3:$D$304&amp;'Detail inputs'!$F$3:$F$304&amp;'Detail inputs'!$G$3:$G$304&amp;'Detail inputs'!$H$3:$H$304&amp;'Detail inputs'!$L$3:$L$304,0),MATCH(P$4,'Detail inputs'!$B$3:$L$3,0)))),0)</f>
        <v>0</v>
      </c>
      <c r="Q23" s="93">
        <f>IF(AND(O23="",P23=""),"",O23+P23*F23/1000)</f>
        <v>26.509999999999998</v>
      </c>
      <c r="R23" s="44">
        <f>IFERROR(Q23/Q24,"")</f>
        <v>4.6820905963689707E-2</v>
      </c>
      <c r="S23" s="21" t="str">
        <f t="array" ref="S23">INDEX('Key inputs'!$B$35:$J$41,MATCH($B23,'Key inputs'!$B$35:$B$41,0),MATCH($G23&amp;S$5,'Key inputs'!$B$35:$J$35&amp;'Key inputs'!$B$36:$J$36,0))</f>
        <v>Zero</v>
      </c>
      <c r="T23" s="21" t="s">
        <v>58</v>
      </c>
    </row>
    <row r="24" spans="2:20" x14ac:dyDescent="0.3">
      <c r="B24" s="3" t="str">
        <f t="shared" si="5"/>
        <v>Ausgrid</v>
      </c>
      <c r="C24" s="3" t="str">
        <f t="shared" si="3"/>
        <v>Residential</v>
      </c>
      <c r="D24" s="3" t="str">
        <f t="shared" si="4"/>
        <v>with CL</v>
      </c>
      <c r="E24" s="3" t="s">
        <v>24</v>
      </c>
      <c r="F24" s="41">
        <f t="array" ref="F24">IFERROR(INDEX(Usage!$B$5:$T$18,MATCH($B24,Usage!$B$5:$B$18,0),MATCH($C24&amp;$D24&amp;$E24&amp;$T24,Usage!$B$5:$W$5&amp;Usage!$B$6:$W$6&amp;Usage!$B$7:$W$7&amp;Usage!$B$13:$W$13,0)),0)</f>
        <v>4800</v>
      </c>
      <c r="G24" s="3" t="s">
        <v>58</v>
      </c>
      <c r="J24" s="99">
        <f>SUM(J22:J23)</f>
        <v>556.38336000000004</v>
      </c>
      <c r="K24" s="44"/>
      <c r="M24" s="49">
        <f>IF(J24=0,"",IF(OR($S23="Draft x-factor",$S23="Zero"),SUMPRODUCT(K22:K23,M22:M23),Q24/J24-1))</f>
        <v>1.7643778922503944E-2</v>
      </c>
      <c r="N24" s="92"/>
      <c r="O24" s="99"/>
      <c r="P24" s="99"/>
      <c r="Q24" s="99">
        <f>IF(AND(Q22="",Q23=""),J24*(1+M24),SUM(Q22:Q23))</f>
        <v>566.200065</v>
      </c>
      <c r="R24" s="44"/>
      <c r="S24" s="27"/>
      <c r="T24" s="21" t="s">
        <v>58</v>
      </c>
    </row>
    <row r="25" spans="2:20" x14ac:dyDescent="0.3">
      <c r="B25" s="3" t="str">
        <f t="shared" si="5"/>
        <v>Ausgrid</v>
      </c>
      <c r="C25" s="3" t="str">
        <f t="shared" si="3"/>
        <v>Residential</v>
      </c>
      <c r="D25" s="3" t="str">
        <f t="shared" si="4"/>
        <v>with CL</v>
      </c>
      <c r="E25" s="3" t="s">
        <v>15</v>
      </c>
      <c r="F25" s="41">
        <f t="array" ref="F25">IFERROR(INDEX(Usage!$B$5:$T$18,MATCH($B25,Usage!$B$5:$B$18,0),MATCH($C25&amp;$D25&amp;$E25,Usage!$B$5:$W$5&amp;Usage!$B$6:$W$6&amp;Usage!$B$7:$W$7,0)),0)</f>
        <v>1340</v>
      </c>
      <c r="G25" s="23" t="s">
        <v>54</v>
      </c>
      <c r="H25" s="93">
        <f t="array" ref="H25">IFERROR(INDEX('Detail inputs'!$B$3:$L$304,MATCH($B25&amp;$C25&amp;$E25&amp;$G25&amp;H$5&amp;$T25,'Detail inputs'!$B$3:$B$304&amp;'Detail inputs'!$D$3:$D$304&amp;'Detail inputs'!$F$3:$F$304&amp;'Detail inputs'!$G$3:$G$304&amp;'Detail inputs'!$H$3:$H$304&amp;'Detail inputs'!$L$3:$L$304,0),MATCH(H$4,'Detail inputs'!$B$3:$L$3,0)),0)</f>
        <v>0.55041999999999991</v>
      </c>
      <c r="I25" s="93">
        <f t="array" ref="I25">IFERROR(INDEX('Detail inputs'!$B$3:$L$304,MATCH($B25&amp;$C25&amp;$E25&amp;$G25&amp;I$5&amp;$T25,'Detail inputs'!$B$3:$B$304&amp;'Detail inputs'!$D$3:$D$304&amp;'Detail inputs'!$F$3:$F$304&amp;'Detail inputs'!$G$3:$G$304&amp;'Detail inputs'!$H$3:$H$304&amp;'Detail inputs'!$L$3:$L$304,0),MATCH(I$4,'Detail inputs'!$B$3:$L$3,0)),0)</f>
        <v>0</v>
      </c>
      <c r="J25" s="93">
        <f>IF(AND(H25="",I25=""),"",H25*INDEX(Usage!$B$4:$Q$18,MATCH($B25,Usage!$B$4:$B$18,0),MATCH(IF($E25="CL1","CL1 Proportion","CL2 Proportion"),Usage!$B$8:$Q$8,0))+I25*$F25/1000)</f>
        <v>0.36878139999999998</v>
      </c>
      <c r="K25" s="44">
        <f>IFERROR(J25/J28,"")</f>
        <v>1.5463659753410788E-2</v>
      </c>
      <c r="L25" s="44"/>
      <c r="M25" s="49" t="str">
        <f t="array" ref="M25">IFERROR(IF($S25="Indicative tariff",$Q25/$J25-1,IF($S25="Zero",0,IF($S25="NA","",IF($S25="Draft x-factor",INDEX('Detail inputs'!$B$3:$P$304,MATCH($B25&amp;$G25&amp;$S25,'Detail inputs'!$B$3:$B$304&amp;'Detail inputs'!$G$3:$G$304&amp;'Detail inputs'!$H$3:$H$304,0),MATCH(M$4,'Detail inputs'!$B$3:$P$3,0)))))),"")</f>
        <v/>
      </c>
      <c r="N25" s="44"/>
      <c r="O25" s="93" t="str">
        <f t="array" ref="O25">IFERROR(IF(OR($S25="NA",$S25="Draft x-factor",$S25="Zero"),"",INDEX('Detail inputs'!$B$3:$L$304,MATCH($B25&amp;$C25&amp;$E25&amp;$G25&amp;O$5&amp;$T25,'Detail inputs'!$B$3:$B$304&amp;'Detail inputs'!$D$3:$D$304&amp;'Detail inputs'!$F$3:$F$304&amp;'Detail inputs'!$G$3:$G$304&amp;'Detail inputs'!$H$3:$H$304&amp;'Detail inputs'!$L$3:$L$304,0),MATCH(O$4,'Detail inputs'!$B$3:$L$3,0))),0)</f>
        <v/>
      </c>
      <c r="P25" s="93" t="str">
        <f t="array" ref="P25">IFERROR(IF(OR($S25="NA",$S25="Draft x-factor",$S25="Zero"),"",INDEX('Detail inputs'!$B$3:$L$304,MATCH($B25&amp;$C25&amp;$E25&amp;$G25&amp;P$5&amp;$T25,'Detail inputs'!$B$3:$B$304&amp;'Detail inputs'!$D$3:$D$304&amp;'Detail inputs'!$F$3:$F$304&amp;'Detail inputs'!$G$3:$G$304&amp;'Detail inputs'!$H$3:$H$304&amp;'Detail inputs'!$L$3:$L$304,0),MATCH(P$4,'Detail inputs'!$B$3:$L$3,0))),0)</f>
        <v/>
      </c>
      <c r="Q25" s="93" t="str">
        <f>IF(AND(O25="",P25=""),"",O25*INDEX(Usage!$B$4:$Q$18,MATCH($B25,Usage!$B$4:$B$18,0),MATCH(IF($E25="CL1","CL1 Proportion","CL2 Proportion"),Usage!$B$8:$Q$8,0))+P25*$F25/1000)</f>
        <v/>
      </c>
      <c r="R25" s="44" t="str">
        <f>IFERROR(Q25/Q28,"")</f>
        <v/>
      </c>
      <c r="S25" s="21" t="str">
        <f t="array" ref="S25">INDEX('Key inputs'!$B$35:$J$41,MATCH($B25,'Key inputs'!$B$35:$B$41,0),MATCH($G25&amp;S$5,'Key inputs'!$B$35:$J$35&amp;'Key inputs'!$B$36:$J$36,0))</f>
        <v>NA</v>
      </c>
    </row>
    <row r="26" spans="2:20" x14ac:dyDescent="0.3">
      <c r="B26" s="3" t="str">
        <f t="shared" si="5"/>
        <v>Ausgrid</v>
      </c>
      <c r="C26" s="3" t="str">
        <f t="shared" si="3"/>
        <v>Residential</v>
      </c>
      <c r="D26" s="3" t="str">
        <f t="shared" si="4"/>
        <v>with CL</v>
      </c>
      <c r="E26" s="3" t="s">
        <v>15</v>
      </c>
      <c r="F26" s="41">
        <f t="array" ref="F26">IFERROR(INDEX(Usage!$B$5:$T$18,MATCH($B26,Usage!$B$5:$B$18,0),MATCH($C26&amp;$D26&amp;$E26,Usage!$B$5:$W$5&amp;Usage!$B$6:$W$6&amp;Usage!$B$7:$W$7,0)),0)</f>
        <v>1340</v>
      </c>
      <c r="G26" s="23" t="s">
        <v>55</v>
      </c>
      <c r="H26" s="93">
        <f t="array" ref="H26">IFERROR(INDEX('Detail inputs'!$B$3:$L$304,MATCH($B26&amp;$C26&amp;$E26&amp;$G26&amp;H$5&amp;$T26,'Detail inputs'!$B$3:$B$304&amp;'Detail inputs'!$D$3:$D$304&amp;'Detail inputs'!$F$3:$F$304&amp;'Detail inputs'!$G$3:$G$304&amp;'Detail inputs'!$H$3:$H$304&amp;'Detail inputs'!$L$3:$L$304,0),MATCH(H$4,'Detail inputs'!$B$3:$L$3,0)),0)</f>
        <v>0</v>
      </c>
      <c r="I26" s="93">
        <f t="array" ref="I26">IFERROR(INDEX('Detail inputs'!$B$3:$L$304,MATCH($B26&amp;$C26&amp;$E26&amp;$G26&amp;I$5&amp;$T26,'Detail inputs'!$B$3:$B$304&amp;'Detail inputs'!$D$3:$D$304&amp;'Detail inputs'!$F$3:$F$304&amp;'Detail inputs'!$G$3:$G$304&amp;'Detail inputs'!$H$3:$H$304&amp;'Detail inputs'!$L$3:$L$304,0),MATCH(I$4,'Detail inputs'!$B$3:$L$3,0)),0)</f>
        <v>14.622</v>
      </c>
      <c r="J26" s="93">
        <f>IF(AND(H26="",I26=""),"",H26*INDEX(Usage!$B$4:$Q$18,MATCH($B26,Usage!$B$4:$B$18,0),MATCH(IF($E26="CL1","CL1 Proportion","CL2 Proportion"),Usage!$B$8:$Q$8,0))+I26*$F26/1000)</f>
        <v>19.59348</v>
      </c>
      <c r="K26" s="44">
        <f>IFERROR(J26/J28,"")</f>
        <v>0.82158945138030071</v>
      </c>
      <c r="L26" s="44"/>
      <c r="M26" s="49" t="str">
        <f t="array" ref="M26">IFERROR(IF($S26="Indicative tariff",$Q26/$J26-1,IF($S26="Zero",0,IF($S26="NA","",IF($S26="Draft x-factor",INDEX('Detail inputs'!$B$3:$P$304,MATCH($B26&amp;$G26&amp;$S26,'Detail inputs'!$B$3:$B$304&amp;'Detail inputs'!$G$3:$G$304&amp;'Detail inputs'!$H$3:$H$304,0),MATCH(M$4,'Detail inputs'!$B$3:$P$3,0)))))),"")</f>
        <v/>
      </c>
      <c r="N26" s="44"/>
      <c r="O26" s="93" t="str">
        <f t="array" ref="O26">IFERROR(IF(OR($S26="NA",$S26="Draft x-factor",$S26="Zero"),"",INDEX('Detail inputs'!$B$3:$L$304,MATCH($B26&amp;$C26&amp;$E26&amp;$G26&amp;O$5&amp;$T26,'Detail inputs'!$B$3:$B$304&amp;'Detail inputs'!$D$3:$D$304&amp;'Detail inputs'!$F$3:$F$304&amp;'Detail inputs'!$G$3:$G$304&amp;'Detail inputs'!$H$3:$H$304&amp;'Detail inputs'!$L$3:$L$304,0),MATCH(O$4,'Detail inputs'!$B$3:$L$3,0))),0)</f>
        <v/>
      </c>
      <c r="P26" s="93" t="str">
        <f t="array" ref="P26">IFERROR(IF(OR($S26="NA",$S26="Draft x-factor",$S26="Zero"),"",INDEX('Detail inputs'!$B$3:$L$304,MATCH($B26&amp;$C26&amp;$E26&amp;$G26&amp;P$5&amp;$T26,'Detail inputs'!$B$3:$B$304&amp;'Detail inputs'!$D$3:$D$304&amp;'Detail inputs'!$F$3:$F$304&amp;'Detail inputs'!$G$3:$G$304&amp;'Detail inputs'!$H$3:$H$304&amp;'Detail inputs'!$L$3:$L$304,0),MATCH(P$4,'Detail inputs'!$B$3:$L$3,0))),0)</f>
        <v/>
      </c>
      <c r="Q26" s="93" t="str">
        <f>IF(AND(O26="",P26=""),"",O26*INDEX(Usage!$B$4:$Q$18,MATCH($B26,Usage!$B$4:$B$18,0),MATCH(IF($E26="CL1","CL1 Proportion","CL2 Proportion"),Usage!$B$8:$Q$8,0))+P26*$F26/1000)</f>
        <v/>
      </c>
      <c r="R26" s="44" t="str">
        <f>IFERROR(Q26/Q28,"")</f>
        <v/>
      </c>
      <c r="S26" s="21" t="str">
        <f t="array" ref="S26">INDEX('Key inputs'!$B$35:$J$41,MATCH($B26,'Key inputs'!$B$35:$B$41,0),MATCH($G26&amp;S$5,'Key inputs'!$B$35:$J$35&amp;'Key inputs'!$B$36:$J$36,0))</f>
        <v>NA</v>
      </c>
    </row>
    <row r="27" spans="2:20" x14ac:dyDescent="0.3">
      <c r="B27" s="3" t="str">
        <f t="shared" si="5"/>
        <v>Ausgrid</v>
      </c>
      <c r="C27" s="3" t="str">
        <f t="shared" si="3"/>
        <v>Residential</v>
      </c>
      <c r="D27" s="3" t="str">
        <f t="shared" si="4"/>
        <v>with CL</v>
      </c>
      <c r="E27" s="3" t="s">
        <v>15</v>
      </c>
      <c r="F27" s="41">
        <f t="array" ref="F27">IFERROR(INDEX(Usage!$B$5:$T$18,MATCH($B27,Usage!$B$5:$B$18,0),MATCH($C27&amp;$D27&amp;$E27,Usage!$B$5:$W$5&amp;Usage!$B$6:$W$6&amp;Usage!$B$7:$W$7,0)),0)</f>
        <v>1340</v>
      </c>
      <c r="G27" s="23" t="s">
        <v>56</v>
      </c>
      <c r="H27" s="93">
        <f t="array" ref="H27">IFERROR(INDEX('Detail inputs'!$B$3:$L$304,MATCH($B27&amp;$C27&amp;$E27&amp;$G27&amp;H$5&amp;$T27,'Detail inputs'!$B$3:$B$304&amp;'Detail inputs'!$D$3:$D$304&amp;'Detail inputs'!$F$3:$F$304&amp;'Detail inputs'!$G$3:$G$304&amp;'Detail inputs'!$H$3:$H$304&amp;'Detail inputs'!$L$3:$L$304,0),MATCH(H$4,'Detail inputs'!$B$3:$L$3,0)),0)</f>
        <v>0</v>
      </c>
      <c r="I27" s="93">
        <f t="array" ref="I27">IFERROR(INDEX('Detail inputs'!$B$3:$L$304,MATCH($B27&amp;$C27&amp;$E27&amp;$G27&amp;I$5&amp;$T27,'Detail inputs'!$B$3:$B$304&amp;'Detail inputs'!$D$3:$D$304&amp;'Detail inputs'!$F$3:$F$304&amp;'Detail inputs'!$G$3:$G$304&amp;'Detail inputs'!$H$3:$H$304&amp;'Detail inputs'!$L$3:$L$304,0),MATCH(I$4,'Detail inputs'!$B$3:$L$3,0)),0)</f>
        <v>2.9</v>
      </c>
      <c r="J27" s="93">
        <f>IF(AND(H27="",I27=""),"",H27*INDEX(Usage!$B$4:$Q$18,MATCH($B27,Usage!$B$4:$B$18,0),MATCH(IF($E27="CL1","CL1 Proportion","CL2 Proportion"),Usage!$B$8:$Q$8,0))+I27*$F27/1000)</f>
        <v>3.8860000000000001</v>
      </c>
      <c r="K27" s="44">
        <f>IFERROR(J27/J28,"")</f>
        <v>0.16294688886628861</v>
      </c>
      <c r="L27" s="44"/>
      <c r="M27" s="49" t="str">
        <f t="array" ref="M27">IFERROR(IF($S27="Indicative tariff",$Q27/$J27-1,IF($S27="Zero",0,IF($S27="NA","",IF($S27="Draft x-factor",INDEX('Detail inputs'!$B$3:$P$304,MATCH($B27&amp;$G27&amp;$S27,'Detail inputs'!$B$3:$B$304&amp;'Detail inputs'!$G$3:$G$304&amp;'Detail inputs'!$H$3:$H$304,0),MATCH(M$4,'Detail inputs'!$B$3:$P$3,0)))))),"")</f>
        <v/>
      </c>
      <c r="N27" s="44"/>
      <c r="O27" s="93" t="str">
        <f t="array" ref="O27">IFERROR(IF(OR($S27="NA",$S27="Draft x-factor",$S27="Zero"),"",INDEX('Detail inputs'!$B$3:$L$304,MATCH($B27&amp;$C27&amp;$E27&amp;$G27&amp;O$5&amp;$T27,'Detail inputs'!$B$3:$B$304&amp;'Detail inputs'!$D$3:$D$304&amp;'Detail inputs'!$F$3:$F$304&amp;'Detail inputs'!$G$3:$G$304&amp;'Detail inputs'!$H$3:$H$304&amp;'Detail inputs'!$L$3:$L$304,0),MATCH(O$4,'Detail inputs'!$B$3:$L$3,0))),0)</f>
        <v/>
      </c>
      <c r="P27" s="93" t="str">
        <f t="array" ref="P27">IFERROR(IF(OR($S27="NA",$S27="Draft x-factor",$S27="Zero"),"",INDEX('Detail inputs'!$B$3:$L$304,MATCH($B27&amp;$C27&amp;$E27&amp;$G27&amp;P$5&amp;$T27,'Detail inputs'!$B$3:$B$304&amp;'Detail inputs'!$D$3:$D$304&amp;'Detail inputs'!$F$3:$F$304&amp;'Detail inputs'!$G$3:$G$304&amp;'Detail inputs'!$H$3:$H$304&amp;'Detail inputs'!$L$3:$L$304,0),MATCH(P$4,'Detail inputs'!$B$3:$L$3,0))),0)</f>
        <v/>
      </c>
      <c r="Q27" s="93" t="str">
        <f>IF(AND(O27="",P27=""),"",O27*INDEX(Usage!$B$4:$Q$18,MATCH($B27,Usage!$B$4:$B$18,0),MATCH(IF($E27="CL1","CL1 Proportion","CL2 Proportion"),Usage!$B$8:$Q$8,0))+P27*$F27/1000)</f>
        <v/>
      </c>
      <c r="R27" s="44" t="str">
        <f>IFERROR(Q27/Q28,"")</f>
        <v/>
      </c>
      <c r="S27" s="21" t="str">
        <f t="array" ref="S27">INDEX('Key inputs'!$B$35:$J$41,MATCH($B27,'Key inputs'!$B$35:$B$41,0),MATCH($G27&amp;S$5,'Key inputs'!$B$35:$J$35&amp;'Key inputs'!$B$36:$J$36,0))</f>
        <v>NA</v>
      </c>
    </row>
    <row r="28" spans="2:20" x14ac:dyDescent="0.3">
      <c r="B28" s="3" t="str">
        <f t="shared" si="5"/>
        <v>Ausgrid</v>
      </c>
      <c r="C28" s="3" t="str">
        <f t="shared" si="3"/>
        <v>Residential</v>
      </c>
      <c r="D28" s="3" t="str">
        <f t="shared" si="4"/>
        <v>with CL</v>
      </c>
      <c r="E28" s="3" t="s">
        <v>15</v>
      </c>
      <c r="F28" s="41">
        <f t="array" ref="F28">IFERROR(INDEX(Usage!$B$5:$T$18,MATCH($B28,Usage!$B$5:$B$18,0),MATCH($C28&amp;$D28&amp;$E28,Usage!$B$5:$W$5&amp;Usage!$B$6:$W$6&amp;Usage!$B$7:$W$7,0)),0)</f>
        <v>1340</v>
      </c>
      <c r="G28" s="23" t="s">
        <v>65</v>
      </c>
      <c r="J28" s="93">
        <f>SUM(J25:J27)</f>
        <v>23.848261399999998</v>
      </c>
      <c r="K28" s="44">
        <f>IFERROR(J28/J30,"")</f>
        <v>0.78775870089734468</v>
      </c>
      <c r="L28" s="44"/>
      <c r="M28" s="49">
        <f>IF(J28=0,"",IF(Q28="",SUMPRODUCT(K25:K27,M25:M27),Q28/J28-1))</f>
        <v>5.0106308797839949E-2</v>
      </c>
      <c r="N28" s="44"/>
      <c r="O28" s="93">
        <f t="array" ref="O28">IFERROR(IF(OR($S28="NA",$S28="Draft x-factor",$S28="Sum"),"",INDEX('Detail inputs'!$B$3:$L$304,MATCH($B28&amp;$C28&amp;$E28&amp;$G28&amp;O$5&amp;$T28,'Detail inputs'!$B$3:$B$304&amp;'Detail inputs'!$D$3:$D$304&amp;'Detail inputs'!$F$3:$F$304&amp;'Detail inputs'!$G$3:$G$304&amp;'Detail inputs'!$H$3:$H$304&amp;'Detail inputs'!$L$3:$L$304,0),MATCH(O$4,'Detail inputs'!$B$3:$L$3,0))),0)</f>
        <v>0.56392500000000001</v>
      </c>
      <c r="P28" s="93">
        <f t="array" ref="P28">IFERROR(IF(OR($S28="NA",$S28="Draft x-factor",$S28="Sum"),"",INDEX('Detail inputs'!$B$3:$L$304,MATCH($B28&amp;$C28&amp;$E28&amp;$G28&amp;P$5&amp;$T28,'Detail inputs'!$B$3:$B$304&amp;'Detail inputs'!$D$3:$D$304&amp;'Detail inputs'!$F$3:$F$304&amp;'Detail inputs'!$G$3:$G$304&amp;'Detail inputs'!$H$3:$H$304&amp;'Detail inputs'!$L$3:$L$304,0),MATCH(P$4,'Detail inputs'!$B$3:$L$3,0))),0)</f>
        <v>18.407</v>
      </c>
      <c r="Q28" s="93">
        <f>IF($S28="NA","",IF($S28="Indicative tariff",O28*INDEX(Usage!$B$4:$Q$18,MATCH($B28,Usage!$B$4:$B$18,0),MATCH(IF($E28="CL1","CL1 Proportion","CL2 Proportion"),Usage!$B$8:$Q$8,0))+P28*$F28/1000,IF($S28="Sum",SUM(Q25:Q27))))</f>
        <v>25.043209750000003</v>
      </c>
      <c r="R28" s="44">
        <f>IFERROR(Q28/Q30,"")</f>
        <v>0.79581810352490556</v>
      </c>
      <c r="S28" s="21" t="str">
        <f t="array" ref="S28">INDEX('Key inputs'!$B$35:$J$41,MATCH($B28,'Key inputs'!$B$35:$B$41,0),MATCH($G28&amp;S$5,'Key inputs'!$B$35:$J$35&amp;'Key inputs'!$B$36:$J$36,0))</f>
        <v>Indicative tariff</v>
      </c>
    </row>
    <row r="29" spans="2:20" x14ac:dyDescent="0.3">
      <c r="B29" s="3" t="str">
        <f t="shared" si="5"/>
        <v>Ausgrid</v>
      </c>
      <c r="C29" s="3" t="str">
        <f t="shared" si="3"/>
        <v>Residential</v>
      </c>
      <c r="D29" s="3" t="str">
        <f t="shared" si="4"/>
        <v>with CL</v>
      </c>
      <c r="E29" s="3" t="s">
        <v>15</v>
      </c>
      <c r="F29" s="41">
        <f t="array" ref="F29">IFERROR(INDEX(Usage!$B$5:$T$18,MATCH($B29,Usage!$B$5:$B$18,0),MATCH($C29&amp;$D29&amp;$E29,Usage!$B$5:$W$5&amp;Usage!$B$6:$W$6&amp;Usage!$B$7:$W$7,0)),0)</f>
        <v>1340</v>
      </c>
      <c r="G29" s="23" t="s">
        <v>67</v>
      </c>
      <c r="H29" s="93">
        <f t="array" ref="H29">IFERROR(INDEX('Detail inputs'!$B$3:$L$304,MATCH($B29&amp;$C29&amp;$E29&amp;$G29&amp;H$5&amp;$T29,'Detail inputs'!$B$3:$B$304&amp;'Detail inputs'!$D$3:$D$304&amp;'Detail inputs'!$F$3:$F$304&amp;'Detail inputs'!$G$3:$G$304&amp;'Detail inputs'!$H$3:$H$304&amp;'Detail inputs'!$L$3:$L$304,0),MATCH(H$4,'Detail inputs'!$B$3:$L$3,0)),0)</f>
        <v>9.59</v>
      </c>
      <c r="I29" s="93">
        <f t="array" ref="I29">IFERROR(INDEX('Detail inputs'!$B$3:$L$304,MATCH($B29&amp;$C29&amp;$E29&amp;$G29&amp;I$5&amp;$T29,'Detail inputs'!$B$3:$B$304&amp;'Detail inputs'!$D$3:$D$304&amp;'Detail inputs'!$F$3:$F$304&amp;'Detail inputs'!$G$3:$G$304&amp;'Detail inputs'!$H$3:$H$304&amp;'Detail inputs'!$L$3:$L$304,0),MATCH(I$4,'Detail inputs'!$B$3:$L$3,0)),0)</f>
        <v>0</v>
      </c>
      <c r="J29" s="93">
        <f>IF(AND(H29="",I29=""),"",H29*INDEX(Usage!$B$4:$Q$18,MATCH($B29,Usage!$B$4:$B$18,0),MATCH(IF($E29="CL1","CL1 Proportion","CL2 Proportion"),Usage!$B$8:$Q$8,0))+I29*$F29/1000)</f>
        <v>6.4253</v>
      </c>
      <c r="K29" s="44">
        <f>IFERROR(J29/J30,"")</f>
        <v>0.2122412991026553</v>
      </c>
      <c r="L29" s="44"/>
      <c r="M29" s="49">
        <f t="array" ref="M29">IFERROR(IF($S29="Indicative tariff",$Q29/$J29-1,IF($S29="Zero",0,IF($S29="NA","",IF($S29="Draft x-factor",INDEX('Detail inputs'!$B$3:$P$304,MATCH($B29&amp;$G29&amp;$S29,'Detail inputs'!$B$3:$B$304&amp;'Detail inputs'!$G$3:$G$304&amp;'Detail inputs'!$H$3:$H$304,0),MATCH(M$4,'Detail inputs'!$B$3:$P$3,0)))))),"")</f>
        <v>0</v>
      </c>
      <c r="N29" s="44"/>
      <c r="O29" s="93">
        <f t="array" ref="O29">IFERROR(IF(OR($S29="NA",$S29="Draft x-factor"),"",IF($S29="Zero",H29,INDEX('Detail inputs'!$B$3:$L$304,MATCH($B29&amp;$C29&amp;$E29&amp;$G29&amp;O$5&amp;$T29,'Detail inputs'!$B$3:$B$304&amp;'Detail inputs'!$D$3:$D$304&amp;'Detail inputs'!$F$3:$F$304&amp;'Detail inputs'!$G$3:$G$304&amp;'Detail inputs'!$H$3:$H$304&amp;'Detail inputs'!$L$3:$L$304,0),MATCH(O$4,'Detail inputs'!$B$3:$L$3,0)))),0)</f>
        <v>9.59</v>
      </c>
      <c r="P29" s="93">
        <f t="array" ref="P29">IFERROR(IF(OR($S29="NA",$S29="Draft x-factor"),"",IF($S29="Zero",I29,INDEX('Detail inputs'!$B$3:$L$304,MATCH($B29&amp;$C29&amp;$E29&amp;$G29&amp;P$5&amp;$T29,'Detail inputs'!$B$3:$B$304&amp;'Detail inputs'!$D$3:$D$304&amp;'Detail inputs'!$F$3:$F$304&amp;'Detail inputs'!$G$3:$G$304&amp;'Detail inputs'!$H$3:$H$304&amp;'Detail inputs'!$L$3:$L$304,0),MATCH(P$4,'Detail inputs'!$B$3:$L$3,0)))),0)</f>
        <v>0</v>
      </c>
      <c r="Q29" s="93">
        <f>IF(AND(O29="",P29=""),"",O29*INDEX(Usage!$B$4:$Q$18,MATCH($B29,Usage!$B$4:$B$18,0),MATCH(IF($E29="CL1","CL1 Proportion","CL2 Proportion"),Usage!$B$8:$Q$8,0))+P29*$F29/1000)</f>
        <v>6.4253</v>
      </c>
      <c r="R29" s="44">
        <f>IFERROR(Q29/Q30,"")</f>
        <v>0.20418189647509441</v>
      </c>
      <c r="S29" s="21" t="str">
        <f t="array" ref="S29">INDEX('Key inputs'!$B$35:$J$41,MATCH($B29,'Key inputs'!$B$35:$B$41,0),MATCH($G29&amp;S$5,'Key inputs'!$B$35:$J$35&amp;'Key inputs'!$B$36:$J$36,0))</f>
        <v>Zero</v>
      </c>
    </row>
    <row r="30" spans="2:20" x14ac:dyDescent="0.3">
      <c r="B30" s="3" t="str">
        <f t="shared" si="5"/>
        <v>Ausgrid</v>
      </c>
      <c r="C30" s="3" t="str">
        <f t="shared" si="3"/>
        <v>Residential</v>
      </c>
      <c r="D30" s="3" t="str">
        <f t="shared" si="4"/>
        <v>with CL</v>
      </c>
      <c r="E30" s="3" t="s">
        <v>15</v>
      </c>
      <c r="F30" s="41">
        <f t="array" ref="F30">IFERROR(INDEX(Usage!$B$5:$T$18,MATCH($B30,Usage!$B$5:$B$18,0),MATCH($C30&amp;$D30&amp;$E30,Usage!$B$5:$W$5&amp;Usage!$B$6:$W$6&amp;Usage!$B$7:$W$7,0)),0)</f>
        <v>1340</v>
      </c>
      <c r="G30" s="3" t="s">
        <v>58</v>
      </c>
      <c r="J30" s="99">
        <f>SUM(J28:J29)</f>
        <v>30.273561399999998</v>
      </c>
      <c r="K30" s="44"/>
      <c r="M30" s="49">
        <f>IF(J30=0,"",IF(OR($S29="Draft x-factor",$S29="Zero"),SUMPRODUCT(K28:K29,M28:M29),Q30/J30-1))</f>
        <v>3.947168072534759E-2</v>
      </c>
      <c r="N30" s="92"/>
      <c r="O30" s="99"/>
      <c r="P30" s="99"/>
      <c r="Q30" s="99">
        <f>IF(AND(Q28="",Q29=""),J30*(1+M30),SUM(Q28:Q29))</f>
        <v>31.468509750000003</v>
      </c>
      <c r="R30" s="44"/>
      <c r="S30" s="27"/>
    </row>
    <row r="31" spans="2:20" x14ac:dyDescent="0.3">
      <c r="B31" s="3" t="str">
        <f t="shared" si="5"/>
        <v>Ausgrid</v>
      </c>
      <c r="C31" s="3" t="str">
        <f t="shared" si="3"/>
        <v>Residential</v>
      </c>
      <c r="D31" s="3" t="str">
        <f t="shared" si="4"/>
        <v>with CL</v>
      </c>
      <c r="E31" s="3" t="s">
        <v>16</v>
      </c>
      <c r="F31" s="41">
        <f t="array" ref="F31">IFERROR(INDEX(Usage!$B$5:$T$18,MATCH($B31,Usage!$B$5:$B$18,0),MATCH($C31&amp;$D31&amp;$E31,Usage!$B$5:$W$5&amp;Usage!$B$6:$W$6&amp;Usage!$B$7:$W$7,0)),0)</f>
        <v>660</v>
      </c>
      <c r="G31" s="23" t="s">
        <v>54</v>
      </c>
      <c r="H31" s="93">
        <f t="array" ref="H31">IFERROR(INDEX('Detail inputs'!$B$3:$L$304,MATCH($B31&amp;$C31&amp;$E31&amp;$G31&amp;H$5&amp;$T31,'Detail inputs'!$B$3:$B$304&amp;'Detail inputs'!$D$3:$D$304&amp;'Detail inputs'!$F$3:$F$304&amp;'Detail inputs'!$G$3:$G$304&amp;'Detail inputs'!$H$3:$H$304&amp;'Detail inputs'!$L$3:$L$304,0),MATCH(H$4,'Detail inputs'!$B$3:$L$3,0)),0)</f>
        <v>40.325200000000002</v>
      </c>
      <c r="I31" s="93">
        <f t="array" ref="I31">IFERROR(INDEX('Detail inputs'!$B$3:$L$304,MATCH($B31&amp;$C31&amp;$E31&amp;$G31&amp;I$5&amp;$T31,'Detail inputs'!$B$3:$B$304&amp;'Detail inputs'!$D$3:$D$304&amp;'Detail inputs'!$F$3:$F$304&amp;'Detail inputs'!$G$3:$G$304&amp;'Detail inputs'!$H$3:$H$304&amp;'Detail inputs'!$L$3:$L$304,0),MATCH(I$4,'Detail inputs'!$B$3:$L$3,0)),0)</f>
        <v>0</v>
      </c>
      <c r="J31" s="93">
        <f>IF(AND(H31="",I31=""),"",H31*INDEX(Usage!$B$4:$Q$18,MATCH($B31,Usage!$B$4:$B$18,0),MATCH(IF($E31="CL1","CL1 Proportion","CL2 Proportion"),Usage!$B$8:$Q$8,0))+I31*F31/1000)</f>
        <v>13.307315999999998</v>
      </c>
      <c r="K31" s="44">
        <f>IFERROR(J31/J34,"")</f>
        <v>0.30351831111432248</v>
      </c>
      <c r="L31" s="44"/>
      <c r="M31" s="49" t="str">
        <f t="array" ref="M31">IFERROR(IF($S31="Indicative tariff",$Q31/$J31-1,IF($S31="Zero",0,IF($S31="NA","",IF($S31="Draft x-factor",INDEX('Detail inputs'!$B$3:$P$304,MATCH($B31&amp;$G31&amp;$S31,'Detail inputs'!$B$3:$B$304&amp;'Detail inputs'!$G$3:$G$304&amp;'Detail inputs'!$H$3:$H$304,0),MATCH(M$4,'Detail inputs'!$B$3:$P$3,0)))))),"")</f>
        <v/>
      </c>
      <c r="N31" s="44"/>
      <c r="O31" s="93" t="str">
        <f t="array" ref="O31">IFERROR(IF(OR($S31="NA",$S31="Draft x-factor",$S31="Zero"),"",INDEX('Detail inputs'!$B$3:$L$304,MATCH($B31&amp;$C31&amp;$E31&amp;$G31&amp;O$5&amp;$T31,'Detail inputs'!$B$3:$B$304&amp;'Detail inputs'!$D$3:$D$304&amp;'Detail inputs'!$F$3:$F$304&amp;'Detail inputs'!$G$3:$G$304&amp;'Detail inputs'!$H$3:$H$304&amp;'Detail inputs'!$L$3:$L$304,0),MATCH(O$4,'Detail inputs'!$B$3:$L$3,0))),0)</f>
        <v/>
      </c>
      <c r="P31" s="93" t="str">
        <f t="array" ref="P31">IFERROR(IF(OR($S31="NA",$S31="Draft x-factor",$S31="Zero"),"",INDEX('Detail inputs'!$B$3:$L$304,MATCH($B31&amp;$C31&amp;$E31&amp;$G31&amp;P$5&amp;$T31,'Detail inputs'!$B$3:$B$304&amp;'Detail inputs'!$D$3:$D$304&amp;'Detail inputs'!$F$3:$F$304&amp;'Detail inputs'!$G$3:$G$304&amp;'Detail inputs'!$H$3:$H$304&amp;'Detail inputs'!$L$3:$L$304,0),MATCH(P$4,'Detail inputs'!$B$3:$L$3,0))),0)</f>
        <v/>
      </c>
      <c r="Q31" s="93" t="str">
        <f>IF(AND(O31="",P31=""),"",O31*INDEX(Usage!$B$4:$Q$18,MATCH($B31,Usage!$B$4:$B$18,0),MATCH(IF($E31="CL1","CL1 Proportion","CL2 Proportion"),Usage!$B$8:$Q$8,0))+P31*$F31/1000)</f>
        <v/>
      </c>
      <c r="R31" s="44" t="str">
        <f>IFERROR(Q31/Q34,"")</f>
        <v/>
      </c>
      <c r="S31" s="21" t="str">
        <f t="array" ref="S31">INDEX('Key inputs'!$B$35:$J$41,MATCH($B31,'Key inputs'!$B$35:$B$41,0),MATCH($G31&amp;S$5,'Key inputs'!$B$35:$J$35&amp;'Key inputs'!$B$36:$J$36,0))</f>
        <v>NA</v>
      </c>
    </row>
    <row r="32" spans="2:20" x14ac:dyDescent="0.3">
      <c r="B32" s="3" t="str">
        <f t="shared" si="5"/>
        <v>Ausgrid</v>
      </c>
      <c r="C32" s="3" t="str">
        <f t="shared" si="3"/>
        <v>Residential</v>
      </c>
      <c r="D32" s="3" t="str">
        <f t="shared" si="4"/>
        <v>with CL</v>
      </c>
      <c r="E32" s="3" t="s">
        <v>16</v>
      </c>
      <c r="F32" s="41">
        <f t="array" ref="F32">IFERROR(INDEX(Usage!$B$5:$T$18,MATCH($B32,Usage!$B$5:$B$18,0),MATCH($C32&amp;$D32&amp;$E32,Usage!$B$5:$W$5&amp;Usage!$B$6:$W$6&amp;Usage!$B$7:$W$7,0)),0)</f>
        <v>660</v>
      </c>
      <c r="G32" s="23" t="s">
        <v>55</v>
      </c>
      <c r="H32" s="93">
        <f t="array" ref="H32">IFERROR(INDEX('Detail inputs'!$B$3:$L$304,MATCH($B32&amp;$C32&amp;$E32&amp;$G32&amp;H$5&amp;$T32,'Detail inputs'!$B$3:$B$304&amp;'Detail inputs'!$D$3:$D$304&amp;'Detail inputs'!$F$3:$F$304&amp;'Detail inputs'!$G$3:$G$304&amp;'Detail inputs'!$H$3:$H$304&amp;'Detail inputs'!$L$3:$L$304,0),MATCH(H$4,'Detail inputs'!$B$3:$L$3,0)),0)</f>
        <v>0</v>
      </c>
      <c r="I32" s="93">
        <f t="array" ref="I32">IFERROR(INDEX('Detail inputs'!$B$3:$L$304,MATCH($B32&amp;$C32&amp;$E32&amp;$G32&amp;I$5&amp;$T32,'Detail inputs'!$B$3:$B$304&amp;'Detail inputs'!$D$3:$D$304&amp;'Detail inputs'!$F$3:$F$304&amp;'Detail inputs'!$G$3:$G$304&amp;'Detail inputs'!$H$3:$H$304&amp;'Detail inputs'!$L$3:$L$304,0),MATCH(I$4,'Detail inputs'!$B$3:$L$3,0)),0)</f>
        <v>43.867000000000004</v>
      </c>
      <c r="J32" s="93">
        <f>IF(AND(H32="",I32=""),"",H32*INDEX(Usage!$B$4:$Q$18,MATCH($B32,Usage!$B$4:$B$18,0),MATCH(IF($E32="CL1","CL1 Proportion","CL2 Proportion"),Usage!$B$8:$Q$8,0))+I32*F32/1000)</f>
        <v>28.952220000000001</v>
      </c>
      <c r="K32" s="44">
        <f>IFERROR(J32/J34,"")</f>
        <v>0.66035321603622488</v>
      </c>
      <c r="L32" s="44"/>
      <c r="M32" s="49" t="str">
        <f t="array" ref="M32">IFERROR(IF($S32="Indicative tariff",$Q32/$J32-1,IF($S32="Zero",0,IF($S32="NA","",IF($S32="Draft x-factor",INDEX('Detail inputs'!$B$3:$P$304,MATCH($B32&amp;$G32&amp;$S32,'Detail inputs'!$B$3:$B$304&amp;'Detail inputs'!$G$3:$G$304&amp;'Detail inputs'!$H$3:$H$304,0),MATCH(M$4,'Detail inputs'!$B$3:$P$3,0)))))),"")</f>
        <v/>
      </c>
      <c r="N32" s="44"/>
      <c r="O32" s="93" t="str">
        <f t="array" ref="O32">IFERROR(IF(OR($S32="NA",$S32="Draft x-factor",$S32="Zero"),"",INDEX('Detail inputs'!$B$3:$L$304,MATCH($B32&amp;$C32&amp;$E32&amp;$G32&amp;O$5&amp;$T32,'Detail inputs'!$B$3:$B$304&amp;'Detail inputs'!$D$3:$D$304&amp;'Detail inputs'!$F$3:$F$304&amp;'Detail inputs'!$G$3:$G$304&amp;'Detail inputs'!$H$3:$H$304&amp;'Detail inputs'!$L$3:$L$304,0),MATCH(O$4,'Detail inputs'!$B$3:$L$3,0))),0)</f>
        <v/>
      </c>
      <c r="P32" s="93" t="str">
        <f t="array" ref="P32">IFERROR(IF(OR($S32="NA",$S32="Draft x-factor",$S32="Zero"),"",INDEX('Detail inputs'!$B$3:$L$304,MATCH($B32&amp;$C32&amp;$E32&amp;$G32&amp;P$5&amp;$T32,'Detail inputs'!$B$3:$B$304&amp;'Detail inputs'!$D$3:$D$304&amp;'Detail inputs'!$F$3:$F$304&amp;'Detail inputs'!$G$3:$G$304&amp;'Detail inputs'!$H$3:$H$304&amp;'Detail inputs'!$L$3:$L$304,0),MATCH(P$4,'Detail inputs'!$B$3:$L$3,0))),0)</f>
        <v/>
      </c>
      <c r="Q32" s="93" t="str">
        <f>IF(AND(O32="",P32=""),"",O32*INDEX(Usage!$B$4:$Q$18,MATCH($B32,Usage!$B$4:$B$18,0),MATCH(IF($E32="CL1","CL1 Proportion","CL2 Proportion"),Usage!$B$8:$Q$8,0))+P32*$F32/1000)</f>
        <v/>
      </c>
      <c r="R32" s="44" t="str">
        <f>IFERROR(Q32/Q34,"")</f>
        <v/>
      </c>
      <c r="S32" s="21" t="str">
        <f t="array" ref="S32">INDEX('Key inputs'!$B$35:$J$41,MATCH($B32,'Key inputs'!$B$35:$B$41,0),MATCH($G32&amp;S$5,'Key inputs'!$B$35:$J$35&amp;'Key inputs'!$B$36:$J$36,0))</f>
        <v>NA</v>
      </c>
    </row>
    <row r="33" spans="2:20" x14ac:dyDescent="0.3">
      <c r="B33" s="3" t="str">
        <f t="shared" si="5"/>
        <v>Ausgrid</v>
      </c>
      <c r="C33" s="3" t="str">
        <f t="shared" si="3"/>
        <v>Residential</v>
      </c>
      <c r="D33" s="3" t="str">
        <f t="shared" si="4"/>
        <v>with CL</v>
      </c>
      <c r="E33" s="3" t="s">
        <v>16</v>
      </c>
      <c r="F33" s="41">
        <f t="array" ref="F33">IFERROR(INDEX(Usage!$B$5:$T$18,MATCH($B33,Usage!$B$5:$B$18,0),MATCH($C33&amp;$D33&amp;$E33,Usage!$B$5:$W$5&amp;Usage!$B$6:$W$6&amp;Usage!$B$7:$W$7,0)),0)</f>
        <v>660</v>
      </c>
      <c r="G33" s="23" t="s">
        <v>56</v>
      </c>
      <c r="H33" s="93">
        <f t="array" ref="H33">IFERROR(INDEX('Detail inputs'!$B$3:$L$304,MATCH($B33&amp;$C33&amp;$E33&amp;$G33&amp;H$5&amp;$T33,'Detail inputs'!$B$3:$B$304&amp;'Detail inputs'!$D$3:$D$304&amp;'Detail inputs'!$F$3:$F$304&amp;'Detail inputs'!$G$3:$G$304&amp;'Detail inputs'!$H$3:$H$304&amp;'Detail inputs'!$L$3:$L$304,0),MATCH(H$4,'Detail inputs'!$B$3:$L$3,0)),0)</f>
        <v>0</v>
      </c>
      <c r="I33" s="93">
        <f t="array" ref="I33">IFERROR(INDEX('Detail inputs'!$B$3:$L$304,MATCH($B33&amp;$C33&amp;$E33&amp;$G33&amp;I$5&amp;$T33,'Detail inputs'!$B$3:$B$304&amp;'Detail inputs'!$D$3:$D$304&amp;'Detail inputs'!$F$3:$F$304&amp;'Detail inputs'!$G$3:$G$304&amp;'Detail inputs'!$H$3:$H$304&amp;'Detail inputs'!$L$3:$L$304,0),MATCH(I$4,'Detail inputs'!$B$3:$L$3,0)),0)</f>
        <v>2.4</v>
      </c>
      <c r="J33" s="93">
        <f>IF(AND(H33="",I33=""),"",H33*INDEX(Usage!$B$4:$Q$18,MATCH($B33,Usage!$B$4:$B$18,0),MATCH(IF($E33="CL1","CL1 Proportion","CL2 Proportion"),Usage!$B$8:$Q$8,0))+I33*F33/1000)</f>
        <v>1.5840000000000001</v>
      </c>
      <c r="K33" s="44">
        <f>IFERROR(J33/J34,"")</f>
        <v>3.6128472849452656E-2</v>
      </c>
      <c r="L33" s="44"/>
      <c r="M33" s="49" t="str">
        <f t="array" ref="M33">IFERROR(IF($S33="Indicative tariff",$Q33/$J33-1,IF($S33="Zero",0,IF($S33="NA","",IF($S33="Draft x-factor",INDEX('Detail inputs'!$B$3:$P$304,MATCH($B33&amp;$G33&amp;$S33,'Detail inputs'!$B$3:$B$304&amp;'Detail inputs'!$G$3:$G$304&amp;'Detail inputs'!$H$3:$H$304,0),MATCH(M$4,'Detail inputs'!$B$3:$P$3,0)))))),"")</f>
        <v/>
      </c>
      <c r="N33" s="44"/>
      <c r="O33" s="93" t="str">
        <f t="array" ref="O33">IFERROR(IF(OR($S33="NA",$S33="Draft x-factor",$S33="Zero"),"",INDEX('Detail inputs'!$B$3:$L$304,MATCH($B33&amp;$C33&amp;$E33&amp;$G33&amp;O$5&amp;$T33,'Detail inputs'!$B$3:$B$304&amp;'Detail inputs'!$D$3:$D$304&amp;'Detail inputs'!$F$3:$F$304&amp;'Detail inputs'!$G$3:$G$304&amp;'Detail inputs'!$H$3:$H$304&amp;'Detail inputs'!$L$3:$L$304,0),MATCH(O$4,'Detail inputs'!$B$3:$L$3,0))),0)</f>
        <v/>
      </c>
      <c r="P33" s="93" t="str">
        <f t="array" ref="P33">IFERROR(IF(OR($S33="NA",$S33="Draft x-factor",$S33="Zero"),"",INDEX('Detail inputs'!$B$3:$L$304,MATCH($B33&amp;$C33&amp;$E33&amp;$G33&amp;P$5&amp;$T33,'Detail inputs'!$B$3:$B$304&amp;'Detail inputs'!$D$3:$D$304&amp;'Detail inputs'!$F$3:$F$304&amp;'Detail inputs'!$G$3:$G$304&amp;'Detail inputs'!$H$3:$H$304&amp;'Detail inputs'!$L$3:$L$304,0),MATCH(P$4,'Detail inputs'!$B$3:$L$3,0))),0)</f>
        <v/>
      </c>
      <c r="Q33" s="93" t="str">
        <f>IF(AND(O33="",P33=""),"",O33*INDEX(Usage!$B$4:$Q$18,MATCH($B33,Usage!$B$4:$B$18,0),MATCH(IF($E33="CL1","CL1 Proportion","CL2 Proportion"),Usage!$B$8:$Q$8,0))+P33*$F33/1000)</f>
        <v/>
      </c>
      <c r="R33" s="44" t="str">
        <f>IFERROR(Q33/Q34,"")</f>
        <v/>
      </c>
      <c r="S33" s="21" t="str">
        <f t="array" ref="S33">INDEX('Key inputs'!$B$35:$J$41,MATCH($B33,'Key inputs'!$B$35:$B$41,0),MATCH($G33&amp;S$5,'Key inputs'!$B$35:$J$35&amp;'Key inputs'!$B$36:$J$36,0))</f>
        <v>NA</v>
      </c>
    </row>
    <row r="34" spans="2:20" x14ac:dyDescent="0.3">
      <c r="B34" s="3" t="str">
        <f t="shared" si="5"/>
        <v>Ausgrid</v>
      </c>
      <c r="C34" s="3" t="str">
        <f t="shared" si="3"/>
        <v>Residential</v>
      </c>
      <c r="D34" s="3" t="str">
        <f t="shared" si="4"/>
        <v>with CL</v>
      </c>
      <c r="E34" s="3" t="s">
        <v>16</v>
      </c>
      <c r="F34" s="41">
        <f t="array" ref="F34">IFERROR(INDEX(Usage!$B$5:$T$18,MATCH($B34,Usage!$B$5:$B$18,0),MATCH($C34&amp;$D34&amp;$E34,Usage!$B$5:$W$5&amp;Usage!$B$6:$W$6&amp;Usage!$B$7:$W$7,0)),0)</f>
        <v>660</v>
      </c>
      <c r="G34" s="23" t="s">
        <v>65</v>
      </c>
      <c r="J34" s="93">
        <f>SUM(J31:J33)</f>
        <v>43.843536</v>
      </c>
      <c r="K34" s="44">
        <f>IFERROR(J34/J36,"")</f>
        <v>0.93267775459602453</v>
      </c>
      <c r="L34" s="44"/>
      <c r="M34" s="49">
        <f>IF(J34=0,"",IF(Q34="",SUMPRODUCT(K31:K33,M31:M33),Q34/J34-1))</f>
        <v>2.8209073967026654E-2</v>
      </c>
      <c r="N34" s="44"/>
      <c r="O34" s="93">
        <f t="array" ref="O34">IFERROR(IF(OR($S34="NA",$S34="Draft x-factor",$S34="Sum"),"",INDEX('Detail inputs'!$B$3:$L$304,MATCH($B34&amp;$C34&amp;$E34&amp;$G34&amp;O$5&amp;$T34,'Detail inputs'!$B$3:$B$304&amp;'Detail inputs'!$D$3:$D$304&amp;'Detail inputs'!$F$3:$F$304&amp;'Detail inputs'!$G$3:$G$304&amp;'Detail inputs'!$H$3:$H$304&amp;'Detail inputs'!$L$3:$L$304,0),MATCH(O$4,'Detail inputs'!$B$3:$L$3,0))),0)</f>
        <v>41.303034999999994</v>
      </c>
      <c r="P34" s="93">
        <f t="array" ref="P34">IFERROR(IF(OR($S34="NA",$S34="Draft x-factor",$S34="Sum"),"",INDEX('Detail inputs'!$B$3:$L$304,MATCH($B34&amp;$C34&amp;$E34&amp;$G34&amp;P$5&amp;$T34,'Detail inputs'!$B$3:$B$304&amp;'Detail inputs'!$D$3:$D$304&amp;'Detail inputs'!$F$3:$F$304&amp;'Detail inputs'!$G$3:$G$304&amp;'Detail inputs'!$H$3:$H$304&amp;'Detail inputs'!$L$3:$L$304,0),MATCH(P$4,'Detail inputs'!$B$3:$L$3,0))),0)</f>
        <v>47.652000000000001</v>
      </c>
      <c r="Q34" s="93">
        <f>IF($S34="NA","",IF($S34="Indicative tariff",O34*INDEX(Usage!$B$4:$Q$18,MATCH($B34,Usage!$B$4:$B$18,0),MATCH(IF($E34="CL1","CL1 Proportion","CL2 Proportion"),Usage!$B$8:$Q$8,0))+P34*$F34/1000,IF($S34="Sum",SUM(Q31:Q33))))</f>
        <v>45.080321549999994</v>
      </c>
      <c r="R34" s="44">
        <f>IFERROR(Q34/Q36,"")</f>
        <v>0.93440359443678189</v>
      </c>
      <c r="S34" s="21" t="str">
        <f t="array" ref="S34">INDEX('Key inputs'!$B$35:$J$41,MATCH($B34,'Key inputs'!$B$35:$B$41,0),MATCH($G34&amp;S$5,'Key inputs'!$B$35:$J$35&amp;'Key inputs'!$B$36:$J$36,0))</f>
        <v>Indicative tariff</v>
      </c>
    </row>
    <row r="35" spans="2:20" x14ac:dyDescent="0.3">
      <c r="B35" s="3" t="str">
        <f t="shared" si="5"/>
        <v>Ausgrid</v>
      </c>
      <c r="C35" s="3" t="str">
        <f t="shared" si="3"/>
        <v>Residential</v>
      </c>
      <c r="D35" s="3" t="str">
        <f t="shared" si="4"/>
        <v>with CL</v>
      </c>
      <c r="E35" s="3" t="s">
        <v>16</v>
      </c>
      <c r="F35" s="41">
        <f t="array" ref="F35">IFERROR(INDEX(Usage!$B$5:$T$18,MATCH($B35,Usage!$B$5:$B$18,0),MATCH($C35&amp;$D35&amp;$E35,Usage!$B$5:$W$5&amp;Usage!$B$6:$W$6&amp;Usage!$B$7:$W$7,0)),0)</f>
        <v>660</v>
      </c>
      <c r="G35" s="23" t="s">
        <v>67</v>
      </c>
      <c r="H35" s="93">
        <f t="array" ref="H35">IFERROR(INDEX('Detail inputs'!$B$3:$L$304,MATCH($B35&amp;$C35&amp;$E35&amp;$G35&amp;H$5&amp;$T35,'Detail inputs'!$B$3:$B$304&amp;'Detail inputs'!$D$3:$D$304&amp;'Detail inputs'!$F$3:$F$304&amp;'Detail inputs'!$G$3:$G$304&amp;'Detail inputs'!$H$3:$H$304&amp;'Detail inputs'!$L$3:$L$304,0),MATCH(H$4,'Detail inputs'!$B$3:$L$3,0)),0)</f>
        <v>9.59</v>
      </c>
      <c r="I35" s="93">
        <f t="array" ref="I35">IFERROR(INDEX('Detail inputs'!$B$3:$L$304,MATCH($B35&amp;$C35&amp;$E35&amp;$G35&amp;I$5&amp;$T35,'Detail inputs'!$B$3:$B$304&amp;'Detail inputs'!$D$3:$D$304&amp;'Detail inputs'!$F$3:$F$304&amp;'Detail inputs'!$G$3:$G$304&amp;'Detail inputs'!$H$3:$H$304&amp;'Detail inputs'!$L$3:$L$304,0),MATCH(I$4,'Detail inputs'!$B$3:$L$3,0)),0)</f>
        <v>0</v>
      </c>
      <c r="J35" s="93">
        <f>IF(AND(H35="",I35=""),"",H35*INDEX(Usage!$B$4:$Q$18,MATCH($B35,Usage!$B$4:$B$18,0),MATCH(IF($E35="CL1","CL1 Proportion","CL2 Proportion"),Usage!$B$8:$Q$8,0))+I35*F35/1000)</f>
        <v>3.1646999999999994</v>
      </c>
      <c r="K35" s="44">
        <f>IFERROR(J35/J36,"")</f>
        <v>6.7322245403975578E-2</v>
      </c>
      <c r="L35" s="44"/>
      <c r="M35" s="49">
        <f t="array" ref="M35">IFERROR(IF($S35="Indicative tariff",$Q35/$J35-1,IF($S35="Zero",0,IF($S35="NA","",IF($S35="Draft x-factor",INDEX('Detail inputs'!$B$3:$P$304,MATCH($B35&amp;$G35&amp;$S35,'Detail inputs'!$B$3:$B$304&amp;'Detail inputs'!$G$3:$G$304&amp;'Detail inputs'!$H$3:$H$304,0),MATCH(M$4,'Detail inputs'!$B$3:$P$3,0)))))),"")</f>
        <v>0</v>
      </c>
      <c r="N35" s="44"/>
      <c r="O35" s="93">
        <f t="array" ref="O35">IFERROR(IF(OR($S35="NA",$S35="Draft x-factor"),"",IF($S35="Zero",H35,INDEX('Detail inputs'!$B$3:$L$304,MATCH($B35&amp;$C35&amp;$E35&amp;$G35&amp;O$5&amp;$T35,'Detail inputs'!$B$3:$B$304&amp;'Detail inputs'!$D$3:$D$304&amp;'Detail inputs'!$F$3:$F$304&amp;'Detail inputs'!$G$3:$G$304&amp;'Detail inputs'!$H$3:$H$304&amp;'Detail inputs'!$L$3:$L$304,0),MATCH(O$4,'Detail inputs'!$B$3:$L$3,0)))),0)</f>
        <v>9.59</v>
      </c>
      <c r="P35" s="93">
        <f t="array" ref="P35">IFERROR(IF(OR($S35="NA",$S35="Draft x-factor"),"",IF($S35="Zero",I35,INDEX('Detail inputs'!$B$3:$L$304,MATCH($B35&amp;$C35&amp;$E35&amp;$G35&amp;P$5&amp;$T35,'Detail inputs'!$B$3:$B$304&amp;'Detail inputs'!$D$3:$D$304&amp;'Detail inputs'!$F$3:$F$304&amp;'Detail inputs'!$G$3:$G$304&amp;'Detail inputs'!$H$3:$H$304&amp;'Detail inputs'!$L$3:$L$304,0),MATCH(P$4,'Detail inputs'!$B$3:$L$3,0)))),0)</f>
        <v>0</v>
      </c>
      <c r="Q35" s="93">
        <f>IF(AND(O35="",P35=""),"",O35*INDEX(Usage!$B$4:$Q$18,MATCH($B35,Usage!$B$4:$B$18,0),MATCH(IF($E35="CL1","CL1 Proportion","CL2 Proportion"),Usage!$B$8:$Q$8,0))+P35*$F35/1000)</f>
        <v>3.1646999999999994</v>
      </c>
      <c r="R35" s="44">
        <f>IFERROR(Q35/Q36,"")</f>
        <v>6.5596405563218163E-2</v>
      </c>
      <c r="S35" s="21" t="str">
        <f t="array" ref="S35">INDEX('Key inputs'!$B$35:$J$41,MATCH($B35,'Key inputs'!$B$35:$B$41,0),MATCH($G35&amp;S$5,'Key inputs'!$B$35:$J$35&amp;'Key inputs'!$B$36:$J$36,0))</f>
        <v>Zero</v>
      </c>
    </row>
    <row r="36" spans="2:20" x14ac:dyDescent="0.3">
      <c r="B36" s="3" t="str">
        <f t="shared" si="5"/>
        <v>Ausgrid</v>
      </c>
      <c r="C36" s="3" t="str">
        <f t="shared" si="3"/>
        <v>Residential</v>
      </c>
      <c r="D36" s="3" t="str">
        <f t="shared" si="4"/>
        <v>with CL</v>
      </c>
      <c r="E36" s="3" t="s">
        <v>16</v>
      </c>
      <c r="F36" s="41">
        <f t="array" ref="F36">IFERROR(INDEX(Usage!$B$5:$T$18,MATCH($B36,Usage!$B$5:$B$18,0),MATCH($C36&amp;$D36&amp;$E36,Usage!$B$5:$W$5&amp;Usage!$B$6:$W$6&amp;Usage!$B$7:$W$7,0)),0)</f>
        <v>660</v>
      </c>
      <c r="G36" s="3" t="s">
        <v>58</v>
      </c>
      <c r="J36" s="99">
        <f>SUM(J34:J35)</f>
        <v>47.008235999999997</v>
      </c>
      <c r="K36" s="44"/>
      <c r="M36" s="49">
        <f>IF(J36=0,"",IF(OR($S35="Draft x-factor",$S35="Zero"),SUMPRODUCT(K34:K35,M34:M35),Q36/J36-1))</f>
        <v>2.6309975766799592E-2</v>
      </c>
      <c r="N36" s="92"/>
      <c r="O36" s="99"/>
      <c r="P36" s="99"/>
      <c r="Q36" s="99">
        <f>IF(AND(Q34="",Q35=""),J36*(1+M36),SUM(Q34:Q35))</f>
        <v>48.24502154999999</v>
      </c>
      <c r="R36" s="44"/>
      <c r="S36" s="27"/>
    </row>
    <row r="37" spans="2:20" s="81" customFormat="1" x14ac:dyDescent="0.3">
      <c r="B37" s="81" t="str">
        <f t="shared" si="5"/>
        <v>Ausgrid</v>
      </c>
      <c r="C37" s="81" t="str">
        <f t="shared" si="3"/>
        <v>Residential</v>
      </c>
      <c r="D37" s="81" t="str">
        <f t="shared" si="4"/>
        <v>with CL</v>
      </c>
      <c r="E37" s="3" t="s">
        <v>58</v>
      </c>
      <c r="F37" s="41">
        <f t="array" ref="F37">IFERROR(INDEX(Usage!$B$5:$T$18,MATCH($B37,Usage!$B$5:$B$18,0),MATCH($C37&amp;$D37&amp;$E37,Usage!$B$5:$W$5&amp;Usage!$B$6:$W$6&amp;Usage!$B$7:$W$7,0)),0)</f>
        <v>6800</v>
      </c>
      <c r="G37" s="81" t="s">
        <v>58</v>
      </c>
      <c r="H37" s="99"/>
      <c r="I37" s="99"/>
      <c r="J37" s="99">
        <f>J24+J30+J36</f>
        <v>633.6651574</v>
      </c>
      <c r="K37" s="91"/>
      <c r="L37" s="92"/>
      <c r="M37" s="83">
        <f t="shared" ref="M37" si="6">IF(OR(J37=0,Q37=""),"",Q37/J37-1)</f>
        <v>1.9329513003770948E-2</v>
      </c>
      <c r="N37" s="92"/>
      <c r="O37" s="99"/>
      <c r="P37" s="99"/>
      <c r="Q37" s="99">
        <f>Q24+Q30+Q36</f>
        <v>645.91359629999988</v>
      </c>
      <c r="R37" s="91"/>
      <c r="S37" s="92"/>
      <c r="T37" s="92"/>
    </row>
    <row r="38" spans="2:20" s="5" customFormat="1" x14ac:dyDescent="0.3">
      <c r="B38" s="3" t="str">
        <f t="shared" ref="B38:D39" si="7">B37</f>
        <v>Ausgrid</v>
      </c>
      <c r="C38" s="3" t="str">
        <f t="shared" si="7"/>
        <v>Residential</v>
      </c>
      <c r="D38" s="3" t="str">
        <f t="shared" si="7"/>
        <v>with CL</v>
      </c>
      <c r="E38" s="81"/>
      <c r="F38" s="82"/>
      <c r="G38" s="81" t="s">
        <v>41</v>
      </c>
      <c r="H38" s="99"/>
      <c r="I38" s="99"/>
      <c r="J38" s="99">
        <f>J37*GST</f>
        <v>63.366515740000004</v>
      </c>
      <c r="K38" s="91"/>
      <c r="L38" s="92"/>
      <c r="M38" s="83"/>
      <c r="N38" s="92"/>
      <c r="O38" s="99"/>
      <c r="P38" s="99"/>
      <c r="Q38" s="99">
        <f>Q37*GST</f>
        <v>64.591359629999985</v>
      </c>
      <c r="R38" s="91"/>
      <c r="S38" s="27"/>
      <c r="T38" s="27"/>
    </row>
    <row r="39" spans="2:20" s="5" customFormat="1" x14ac:dyDescent="0.3">
      <c r="B39" s="3" t="str">
        <f t="shared" si="7"/>
        <v>Ausgrid</v>
      </c>
      <c r="C39" s="3" t="str">
        <f t="shared" si="7"/>
        <v>Residential</v>
      </c>
      <c r="D39" s="3" t="str">
        <f t="shared" si="7"/>
        <v>with CL</v>
      </c>
      <c r="E39" s="81"/>
      <c r="F39" s="82"/>
      <c r="G39" s="5" t="s">
        <v>91</v>
      </c>
      <c r="H39" s="98"/>
      <c r="I39" s="98"/>
      <c r="J39" s="98">
        <f>SUM(J37:J38)</f>
        <v>697.03167313999995</v>
      </c>
      <c r="K39" s="79"/>
      <c r="L39" s="27"/>
      <c r="M39" s="80">
        <f>IF(OR(J39=0,Q39=""),"",Q39/J39-1)</f>
        <v>1.9329513003770948E-2</v>
      </c>
      <c r="N39" s="27"/>
      <c r="O39" s="98"/>
      <c r="P39" s="98"/>
      <c r="Q39" s="98">
        <f>SUM(Q37:Q38)</f>
        <v>710.50495592999982</v>
      </c>
      <c r="R39" s="79"/>
      <c r="S39" s="27"/>
      <c r="T39" s="27"/>
    </row>
    <row r="40" spans="2:20" x14ac:dyDescent="0.3">
      <c r="F40" s="41"/>
      <c r="K40" s="44"/>
      <c r="M40" s="49"/>
      <c r="R40" s="44"/>
    </row>
    <row r="41" spans="2:20" x14ac:dyDescent="0.3">
      <c r="B41" s="5" t="s">
        <v>2</v>
      </c>
      <c r="C41" s="5" t="s">
        <v>14</v>
      </c>
      <c r="D41" s="5" t="s">
        <v>158</v>
      </c>
      <c r="E41" s="5"/>
      <c r="F41" s="78"/>
      <c r="K41" s="44"/>
      <c r="M41" s="49"/>
      <c r="R41" s="44"/>
    </row>
    <row r="42" spans="2:20" x14ac:dyDescent="0.3">
      <c r="B42" s="3" t="str">
        <f t="shared" ref="B42:B49" si="8">B41</f>
        <v>Ausgrid</v>
      </c>
      <c r="C42" s="3" t="str">
        <f t="shared" ref="C42:C47" si="9">C41</f>
        <v>Small business</v>
      </c>
      <c r="D42" s="3" t="str">
        <f t="shared" ref="D42:D47" si="10">D41</f>
        <v>without CL</v>
      </c>
      <c r="E42" s="3" t="s">
        <v>24</v>
      </c>
      <c r="F42" s="41">
        <f t="array" ref="F42">IFERROR(INDEX(Usage!$B$5:$T$18,MATCH($B42,Usage!$B$5:$B$18,0),MATCH($C42&amp;$D42&amp;$E42,Usage!$B$5:$W$5&amp;Usage!$B$6:$W$6&amp;Usage!$B$7:$W$7,0)),0)</f>
        <v>20000</v>
      </c>
      <c r="G42" s="3" t="s">
        <v>54</v>
      </c>
      <c r="H42" s="93">
        <f t="array" ref="H42">IFERROR(INDEX('Detail inputs'!$B$3:$L$304,MATCH($B42&amp;$C42&amp;$E42&amp;$G42&amp;H$5&amp;$T42,'Detail inputs'!$B$3:$B$304&amp;'Detail inputs'!$D$3:$D$304&amp;'Detail inputs'!$F$3:$F$304&amp;'Detail inputs'!$G$3:$G$304&amp;'Detail inputs'!$H$3:$H$304&amp;'Detail inputs'!$L$3:$L$304,0),MATCH(H$4,'Detail inputs'!$B$3:$L$3,0)),0)</f>
        <v>451.18015000000003</v>
      </c>
      <c r="I42" s="93">
        <f t="array" ref="I42">IFERROR(INDEX('Detail inputs'!$B$3:$L$304,MATCH($B42&amp;$C42&amp;$E42&amp;$G42&amp;I$5&amp;$T42,'Detail inputs'!$B$3:$B$304&amp;'Detail inputs'!$D$3:$D$304&amp;'Detail inputs'!$F$3:$F$304&amp;'Detail inputs'!$G$3:$G$304&amp;'Detail inputs'!$H$3:$H$304&amp;'Detail inputs'!$L$3:$L$304,0),MATCH(I$4,'Detail inputs'!$B$3:$L$3,0)),0)</f>
        <v>44.908999999999999</v>
      </c>
      <c r="J42" s="93">
        <f>IF(AND(H42="",I42=""),"",H42+I42*F42/1000)</f>
        <v>1349.36015</v>
      </c>
      <c r="K42" s="44">
        <f>IFERROR(J42/J45,"")</f>
        <v>0.6637872760165231</v>
      </c>
      <c r="L42" s="44"/>
      <c r="M42" s="49" t="str">
        <f t="array" ref="M42">IFERROR(IF($S42="Indicative tariff",$Q42/$J42-1,IF($S42="Zero",0,IF($S42="NA","",IF($S42="Draft x-factor",INDEX('Detail inputs'!$B$3:$P$304,MATCH($B42&amp;$G42&amp;$S42,'Detail inputs'!$B$3:$B$304&amp;'Detail inputs'!$G$3:$G$304&amp;'Detail inputs'!$H$3:$H$304,0),MATCH(M$4,'Detail inputs'!$B$3:$P$3,0)))))),"")</f>
        <v/>
      </c>
      <c r="N42" s="44"/>
      <c r="O42" s="93" t="str">
        <f t="array" ref="O42">IFERROR(IF(OR($S42="NA",$S42="Draft x-factor",$S42="Zero"),"",INDEX('Detail inputs'!$B$3:$L$304,MATCH($B42&amp;$C42&amp;$E42&amp;$G42&amp;O$5&amp;$T42,'Detail inputs'!$B$3:$B$304&amp;'Detail inputs'!$D$3:$D$304&amp;'Detail inputs'!$F$3:$F$304&amp;'Detail inputs'!$G$3:$G$304&amp;'Detail inputs'!$H$3:$H$304&amp;'Detail inputs'!$L$3:$L$304,0),MATCH(O$4,'Detail inputs'!$B$3:$L$3,0))),0)</f>
        <v/>
      </c>
      <c r="P42" s="93" t="str">
        <f t="array" ref="P42">IFERROR(IF(OR($S42="NA",$S42="Draft x-factor",$S42="Zero"),"",INDEX('Detail inputs'!$B$3:$L$304,MATCH($B42&amp;$C42&amp;$E42&amp;$G42&amp;P$5&amp;$T42,'Detail inputs'!$B$3:$B$304&amp;'Detail inputs'!$D$3:$D$304&amp;'Detail inputs'!$F$3:$F$304&amp;'Detail inputs'!$G$3:$G$304&amp;'Detail inputs'!$H$3:$H$304&amp;'Detail inputs'!$L$3:$L$304,0),MATCH(P$4,'Detail inputs'!$B$3:$L$3,0))),0)</f>
        <v/>
      </c>
      <c r="Q42" s="93" t="str">
        <f>IF(AND(O42="",P42=""),"",O42+P42*F42/1000)</f>
        <v/>
      </c>
      <c r="R42" s="44" t="str">
        <f>IFERROR(Q42/Q45,"")</f>
        <v/>
      </c>
      <c r="S42" s="21" t="str">
        <f t="array" ref="S42">INDEX('Key inputs'!$B$35:$J$41,MATCH($B42,'Key inputs'!$B$35:$B$41,0),MATCH($G42&amp;S$5,'Key inputs'!$B$35:$J$35&amp;'Key inputs'!$B$36:$J$36,0))</f>
        <v>NA</v>
      </c>
    </row>
    <row r="43" spans="2:20" x14ac:dyDescent="0.3">
      <c r="B43" s="3" t="str">
        <f t="shared" si="8"/>
        <v>Ausgrid</v>
      </c>
      <c r="C43" s="3" t="str">
        <f t="shared" si="9"/>
        <v>Small business</v>
      </c>
      <c r="D43" s="3" t="str">
        <f t="shared" si="10"/>
        <v>without CL</v>
      </c>
      <c r="E43" s="3" t="s">
        <v>24</v>
      </c>
      <c r="F43" s="41">
        <f t="array" ref="F43">IFERROR(INDEX(Usage!$B$5:$T$18,MATCH($B43,Usage!$B$5:$B$18,0),MATCH($C43&amp;$D43&amp;$E43,Usage!$B$5:$W$5&amp;Usage!$B$6:$W$6&amp;Usage!$B$7:$W$7,0)),0)</f>
        <v>20000</v>
      </c>
      <c r="G43" s="3" t="s">
        <v>55</v>
      </c>
      <c r="H43" s="93">
        <f t="array" ref="H43">IFERROR(INDEX('Detail inputs'!$B$3:$L$304,MATCH($B43&amp;$C43&amp;$E43&amp;$G43&amp;H$5&amp;$T43,'Detail inputs'!$B$3:$B$304&amp;'Detail inputs'!$D$3:$D$304&amp;'Detail inputs'!$F$3:$F$304&amp;'Detail inputs'!$G$3:$G$304&amp;'Detail inputs'!$H$3:$H$304&amp;'Detail inputs'!$L$3:$L$304,0),MATCH(H$4,'Detail inputs'!$B$3:$L$3,0)),0)</f>
        <v>0</v>
      </c>
      <c r="I43" s="93">
        <f t="array" ref="I43">IFERROR(INDEX('Detail inputs'!$B$3:$L$304,MATCH($B43&amp;$C43&amp;$E43&amp;$G43&amp;I$5&amp;$T43,'Detail inputs'!$B$3:$B$304&amp;'Detail inputs'!$D$3:$D$304&amp;'Detail inputs'!$F$3:$F$304&amp;'Detail inputs'!$G$3:$G$304&amp;'Detail inputs'!$H$3:$H$304&amp;'Detail inputs'!$L$3:$L$304,0),MATCH(I$4,'Detail inputs'!$B$3:$L$3,0)),0)</f>
        <v>28.875999999999998</v>
      </c>
      <c r="J43" s="93">
        <f>IF(AND(H43="",I43=""),"",H43+I43*F43/1000)</f>
        <v>577.52</v>
      </c>
      <c r="K43" s="44">
        <f>IFERROR(J43/J45,"")</f>
        <v>0.28409793163453245</v>
      </c>
      <c r="L43" s="44"/>
      <c r="M43" s="49" t="str">
        <f t="array" ref="M43">IFERROR(IF($S43="Indicative tariff",$Q43/$J43-1,IF($S43="Zero",0,IF($S43="NA","",IF($S43="Draft x-factor",INDEX('Detail inputs'!$B$3:$P$304,MATCH($B43&amp;$G43&amp;$S43,'Detail inputs'!$B$3:$B$304&amp;'Detail inputs'!$G$3:$G$304&amp;'Detail inputs'!$H$3:$H$304,0),MATCH(M$4,'Detail inputs'!$B$3:$P$3,0)))))),"")</f>
        <v/>
      </c>
      <c r="N43" s="44"/>
      <c r="O43" s="93" t="str">
        <f t="array" ref="O43">IFERROR(IF(OR($S43="NA",$S43="Draft x-factor",$S43="Zero"),"",INDEX('Detail inputs'!$B$3:$L$304,MATCH($B43&amp;$C43&amp;$E43&amp;$G43&amp;O$5&amp;$T43,'Detail inputs'!$B$3:$B$304&amp;'Detail inputs'!$D$3:$D$304&amp;'Detail inputs'!$F$3:$F$304&amp;'Detail inputs'!$G$3:$G$304&amp;'Detail inputs'!$H$3:$H$304&amp;'Detail inputs'!$L$3:$L$304,0),MATCH(O$4,'Detail inputs'!$B$3:$L$3,0))),0)</f>
        <v/>
      </c>
      <c r="P43" s="93" t="str">
        <f t="array" ref="P43">IFERROR(IF(OR($S43="NA",$S43="Draft x-factor",$S43="Zero"),"",INDEX('Detail inputs'!$B$3:$L$304,MATCH($B43&amp;$C43&amp;$E43&amp;$G43&amp;P$5&amp;$T43,'Detail inputs'!$B$3:$B$304&amp;'Detail inputs'!$D$3:$D$304&amp;'Detail inputs'!$F$3:$F$304&amp;'Detail inputs'!$G$3:$G$304&amp;'Detail inputs'!$H$3:$H$304&amp;'Detail inputs'!$L$3:$L$304,0),MATCH(P$4,'Detail inputs'!$B$3:$L$3,0))),0)</f>
        <v/>
      </c>
      <c r="Q43" s="93" t="str">
        <f>IF(AND(O43="",P43=""),"",O43+P43*F43/1000)</f>
        <v/>
      </c>
      <c r="R43" s="44" t="str">
        <f>IFERROR(Q43/Q45,"")</f>
        <v/>
      </c>
      <c r="S43" s="21" t="str">
        <f t="array" ref="S43">INDEX('Key inputs'!$B$35:$J$41,MATCH($B43,'Key inputs'!$B$35:$B$41,0),MATCH($G43&amp;S$5,'Key inputs'!$B$35:$J$35&amp;'Key inputs'!$B$36:$J$36,0))</f>
        <v>NA</v>
      </c>
    </row>
    <row r="44" spans="2:20" x14ac:dyDescent="0.3">
      <c r="B44" s="3" t="str">
        <f t="shared" si="8"/>
        <v>Ausgrid</v>
      </c>
      <c r="C44" s="3" t="str">
        <f t="shared" si="9"/>
        <v>Small business</v>
      </c>
      <c r="D44" s="3" t="str">
        <f t="shared" si="10"/>
        <v>without CL</v>
      </c>
      <c r="E44" s="3" t="s">
        <v>24</v>
      </c>
      <c r="F44" s="41">
        <f t="array" ref="F44">IFERROR(INDEX(Usage!$B$5:$T$18,MATCH($B44,Usage!$B$5:$B$18,0),MATCH($C44&amp;$D44&amp;$E44,Usage!$B$5:$W$5&amp;Usage!$B$6:$W$6&amp;Usage!$B$7:$W$7,0)),0)</f>
        <v>20000</v>
      </c>
      <c r="G44" s="3" t="s">
        <v>56</v>
      </c>
      <c r="H44" s="93">
        <f t="array" ref="H44">IFERROR(INDEX('Detail inputs'!$B$3:$L$304,MATCH($B44&amp;$C44&amp;$E44&amp;$G44&amp;H$5&amp;$T44,'Detail inputs'!$B$3:$B$304&amp;'Detail inputs'!$D$3:$D$304&amp;'Detail inputs'!$F$3:$F$304&amp;'Detail inputs'!$G$3:$G$304&amp;'Detail inputs'!$H$3:$H$304&amp;'Detail inputs'!$L$3:$L$304,0),MATCH(H$4,'Detail inputs'!$B$3:$L$3,0)),0)</f>
        <v>0</v>
      </c>
      <c r="I44" s="93">
        <f t="array" ref="I44">IFERROR(INDEX('Detail inputs'!$B$3:$L$304,MATCH($B44&amp;$C44&amp;$E44&amp;$G44&amp;I$5&amp;$T44,'Detail inputs'!$B$3:$B$304&amp;'Detail inputs'!$D$3:$D$304&amp;'Detail inputs'!$F$3:$F$304&amp;'Detail inputs'!$G$3:$G$304&amp;'Detail inputs'!$H$3:$H$304&amp;'Detail inputs'!$L$3:$L$304,0),MATCH(I$4,'Detail inputs'!$B$3:$L$3,0)),0)</f>
        <v>5.2969999999999997</v>
      </c>
      <c r="J44" s="93">
        <f>IF(AND(H44="",I44=""),"",H44+I44*F44/1000)</f>
        <v>105.94</v>
      </c>
      <c r="K44" s="44">
        <f>IFERROR(J44/J45,"")</f>
        <v>5.2114792348944394E-2</v>
      </c>
      <c r="L44" s="44"/>
      <c r="M44" s="49" t="str">
        <f t="array" ref="M44">IFERROR(IF($S44="Indicative tariff",$Q44/$J44-1,IF($S44="Zero",0,IF($S44="NA","",IF($S44="Draft x-factor",INDEX('Detail inputs'!$B$3:$P$304,MATCH($B44&amp;$G44&amp;$S44,'Detail inputs'!$B$3:$B$304&amp;'Detail inputs'!$G$3:$G$304&amp;'Detail inputs'!$H$3:$H$304,0),MATCH(M$4,'Detail inputs'!$B$3:$P$3,0)))))),"")</f>
        <v/>
      </c>
      <c r="N44" s="44"/>
      <c r="O44" s="93" t="str">
        <f t="array" ref="O44">IFERROR(IF(OR($S44="NA",$S44="Draft x-factor",$S44="Zero"),"",INDEX('Detail inputs'!$B$3:$L$304,MATCH($B44&amp;$C44&amp;$E44&amp;$G44&amp;O$5&amp;$T44,'Detail inputs'!$B$3:$B$304&amp;'Detail inputs'!$D$3:$D$304&amp;'Detail inputs'!$F$3:$F$304&amp;'Detail inputs'!$G$3:$G$304&amp;'Detail inputs'!$H$3:$H$304&amp;'Detail inputs'!$L$3:$L$304,0),MATCH(O$4,'Detail inputs'!$B$3:$L$3,0))),0)</f>
        <v/>
      </c>
      <c r="P44" s="93" t="str">
        <f t="array" ref="P44">IFERROR(IF(OR($S44="NA",$S44="Draft x-factor",$S44="Zero"),"",INDEX('Detail inputs'!$B$3:$L$304,MATCH($B44&amp;$C44&amp;$E44&amp;$G44&amp;P$5&amp;$T44,'Detail inputs'!$B$3:$B$304&amp;'Detail inputs'!$D$3:$D$304&amp;'Detail inputs'!$F$3:$F$304&amp;'Detail inputs'!$G$3:$G$304&amp;'Detail inputs'!$H$3:$H$304&amp;'Detail inputs'!$L$3:$L$304,0),MATCH(P$4,'Detail inputs'!$B$3:$L$3,0))),0)</f>
        <v/>
      </c>
      <c r="Q44" s="93" t="str">
        <f>IF(AND(O44="",P44=""),"",O44+P44*F44/1000)</f>
        <v/>
      </c>
      <c r="R44" s="44" t="str">
        <f>IFERROR(Q44/Q45,"")</f>
        <v/>
      </c>
      <c r="S44" s="21" t="str">
        <f t="array" ref="S44">INDEX('Key inputs'!$B$35:$J$41,MATCH($B44,'Key inputs'!$B$35:$B$41,0),MATCH($G44&amp;S$5,'Key inputs'!$B$35:$J$35&amp;'Key inputs'!$B$36:$J$36,0))</f>
        <v>NA</v>
      </c>
    </row>
    <row r="45" spans="2:20" x14ac:dyDescent="0.3">
      <c r="B45" s="3" t="str">
        <f t="shared" si="8"/>
        <v>Ausgrid</v>
      </c>
      <c r="C45" s="3" t="str">
        <f t="shared" si="9"/>
        <v>Small business</v>
      </c>
      <c r="D45" s="3" t="str">
        <f t="shared" si="10"/>
        <v>without CL</v>
      </c>
      <c r="E45" s="3" t="s">
        <v>24</v>
      </c>
      <c r="F45" s="41">
        <f t="array" ref="F45">IFERROR(INDEX(Usage!$B$5:$T$18,MATCH($B45,Usage!$B$5:$B$18,0),MATCH($C45&amp;$D45&amp;$E45,Usage!$B$5:$W$5&amp;Usage!$B$6:$W$6&amp;Usage!$B$7:$W$7,0)),0)</f>
        <v>20000</v>
      </c>
      <c r="G45" s="3" t="s">
        <v>65</v>
      </c>
      <c r="J45" s="93">
        <f>SUM(J42:J44)</f>
        <v>2032.82015</v>
      </c>
      <c r="K45" s="44">
        <f>IFERROR(J45/J47,"")</f>
        <v>0.98301691661627644</v>
      </c>
      <c r="L45" s="44"/>
      <c r="M45" s="49">
        <f>IF(J45=0,"",IF(Q45="",SUMPRODUCT(K42:K44,M42:M44),Q45/J45-1))</f>
        <v>-2.8191492985741973E-2</v>
      </c>
      <c r="N45" s="44"/>
      <c r="O45" s="93">
        <f t="array" ref="O45">IFERROR(IF(OR($S45="NA",$S45="Draft x-factor",$S45="Sum"),"",INDEX('Detail inputs'!$B$3:$L$304,MATCH($B45&amp;$C45&amp;$E45&amp;$G45&amp;O$5&amp;$T45,'Detail inputs'!$B$3:$B$304&amp;'Detail inputs'!$D$3:$D$304&amp;'Detail inputs'!$F$3:$F$304&amp;'Detail inputs'!$G$3:$G$304&amp;'Detail inputs'!$H$3:$H$304&amp;'Detail inputs'!$L$3:$L$304,0),MATCH(O$4,'Detail inputs'!$B$3:$L$3,0))),0)</f>
        <v>455.69191499999999</v>
      </c>
      <c r="P45" s="93">
        <f t="array" ref="P45">IFERROR(IF(OR($S45="NA",$S45="Draft x-factor",$S45="Sum"),"",INDEX('Detail inputs'!$B$3:$L$304,MATCH($B45&amp;$C45&amp;$E45&amp;$G45&amp;P$5&amp;$T45,'Detail inputs'!$B$3:$B$304&amp;'Detail inputs'!$D$3:$D$304&amp;'Detail inputs'!$F$3:$F$304&amp;'Detail inputs'!$G$3:$G$304&amp;'Detail inputs'!$H$3:$H$304&amp;'Detail inputs'!$L$3:$L$304,0),MATCH(P$4,'Detail inputs'!$B$3:$L$3,0))),0)</f>
        <v>75.991</v>
      </c>
      <c r="Q45" s="93">
        <f>IF($S45="NA","",IF($S45="Indicative tariff",O45+P45*F45/1000,IF($S45="Sum",SUM(Q42:Q44))))</f>
        <v>1975.511915</v>
      </c>
      <c r="R45" s="44">
        <f>IFERROR(Q45/Q47,"")</f>
        <v>0.98253285460257911</v>
      </c>
      <c r="S45" s="21" t="str">
        <f t="array" ref="S45">INDEX('Key inputs'!$B$35:$J$41,MATCH($B45,'Key inputs'!$B$35:$B$41,0),MATCH($G45&amp;S$5,'Key inputs'!$B$35:$J$35&amp;'Key inputs'!$B$36:$J$36,0))</f>
        <v>Indicative tariff</v>
      </c>
    </row>
    <row r="46" spans="2:20" x14ac:dyDescent="0.3">
      <c r="B46" s="3" t="str">
        <f t="shared" si="8"/>
        <v>Ausgrid</v>
      </c>
      <c r="C46" s="3" t="str">
        <f t="shared" si="9"/>
        <v>Small business</v>
      </c>
      <c r="D46" s="3" t="str">
        <f t="shared" si="10"/>
        <v>without CL</v>
      </c>
      <c r="E46" s="3" t="s">
        <v>24</v>
      </c>
      <c r="F46" s="41">
        <f t="array" ref="F46">IFERROR(INDEX(Usage!$B$5:$T$18,MATCH($B46,Usage!$B$5:$B$18,0),MATCH($C46&amp;$D46&amp;$E46,Usage!$B$5:$W$5&amp;Usage!$B$6:$W$6&amp;Usage!$B$7:$W$7,0)),0)</f>
        <v>20000</v>
      </c>
      <c r="G46" s="3" t="s">
        <v>67</v>
      </c>
      <c r="H46" s="93">
        <f t="array" ref="H46">IFERROR(INDEX('Detail inputs'!$B$3:$L$304,MATCH($B46&amp;$C46&amp;$E46&amp;$G46&amp;H$5&amp;$T46,'Detail inputs'!$B$3:$B$304&amp;'Detail inputs'!$D$3:$D$304&amp;'Detail inputs'!$F$3:$F$304&amp;'Detail inputs'!$G$3:$G$304&amp;'Detail inputs'!$H$3:$H$304&amp;'Detail inputs'!$L$3:$L$304,0),MATCH(H$4,'Detail inputs'!$B$3:$L$3,0)),0)</f>
        <v>35.119999999999997</v>
      </c>
      <c r="I46" s="93">
        <f t="array" ref="I46">IFERROR(INDEX('Detail inputs'!$B$3:$L$304,MATCH($B46&amp;$C46&amp;$E46&amp;$G46&amp;I$5&amp;$T46,'Detail inputs'!$B$3:$B$304&amp;'Detail inputs'!$D$3:$D$304&amp;'Detail inputs'!$F$3:$F$304&amp;'Detail inputs'!$G$3:$G$304&amp;'Detail inputs'!$H$3:$H$304&amp;'Detail inputs'!$L$3:$L$304,0),MATCH(I$4,'Detail inputs'!$B$3:$L$3,0)),0)</f>
        <v>0</v>
      </c>
      <c r="J46" s="93">
        <f>IF(AND(H46="",I46=""),"",H46+I46*F46/1000)</f>
        <v>35.119999999999997</v>
      </c>
      <c r="K46" s="44">
        <f>IFERROR(J46/J47,"")</f>
        <v>1.6983083383723653E-2</v>
      </c>
      <c r="L46" s="44"/>
      <c r="M46" s="49">
        <f t="array" ref="M46">IFERROR(IF($S46="Indicative tariff",$Q46/$J46-1,IF($S46="Zero",0,IF($S46="NA","",IF($S46="Draft x-factor",INDEX('Detail inputs'!$B$3:$P$304,MATCH($B46&amp;$G46&amp;$S46,'Detail inputs'!$B$3:$B$304&amp;'Detail inputs'!$G$3:$G$304&amp;'Detail inputs'!$H$3:$H$304,0),MATCH(M$4,'Detail inputs'!$B$3:$P$3,0)))))),"")</f>
        <v>0</v>
      </c>
      <c r="N46" s="44"/>
      <c r="O46" s="93">
        <f t="array" ref="O46">IFERROR(IF(OR($S46="NA",$S46="Draft x-factor"),"",IF($S46="Zero",H46,INDEX('Detail inputs'!$B$3:$L$304,MATCH($B46&amp;$C46&amp;$E46&amp;$G46&amp;O$5&amp;$T46,'Detail inputs'!$B$3:$B$304&amp;'Detail inputs'!$D$3:$D$304&amp;'Detail inputs'!$F$3:$F$304&amp;'Detail inputs'!$G$3:$G$304&amp;'Detail inputs'!$H$3:$H$304&amp;'Detail inputs'!$L$3:$L$304,0),MATCH(O$4,'Detail inputs'!$B$3:$L$3,0)))),0)</f>
        <v>35.119999999999997</v>
      </c>
      <c r="P46" s="93">
        <f t="array" ref="P46">IFERROR(IF(OR($S46="NA",$S46="Draft x-factor"),"",IF($S46="Zero",I46,INDEX('Detail inputs'!$B$3:$L$304,MATCH($B46&amp;$C46&amp;$E46&amp;$G46&amp;P$5&amp;$T46,'Detail inputs'!$B$3:$B$304&amp;'Detail inputs'!$D$3:$D$304&amp;'Detail inputs'!$F$3:$F$304&amp;'Detail inputs'!$G$3:$G$304&amp;'Detail inputs'!$H$3:$H$304&amp;'Detail inputs'!$L$3:$L$304,0),MATCH(P$4,'Detail inputs'!$B$3:$L$3,0)))),0)</f>
        <v>0</v>
      </c>
      <c r="Q46" s="93">
        <f>IF(AND(O46="",P46=""),"",O46+P46*F46/1000)</f>
        <v>35.119999999999997</v>
      </c>
      <c r="R46" s="44">
        <f>IFERROR(Q46/Q47,"")</f>
        <v>1.7467145397420988E-2</v>
      </c>
      <c r="S46" s="21" t="str">
        <f t="array" ref="S46">INDEX('Key inputs'!$B$35:$J$41,MATCH($B46,'Key inputs'!$B$35:$B$41,0),MATCH($G46&amp;S$5,'Key inputs'!$B$35:$J$35&amp;'Key inputs'!$B$36:$J$36,0))</f>
        <v>Zero</v>
      </c>
    </row>
    <row r="47" spans="2:20" s="81" customFormat="1" x14ac:dyDescent="0.3">
      <c r="B47" s="81" t="str">
        <f t="shared" si="8"/>
        <v>Ausgrid</v>
      </c>
      <c r="C47" s="81" t="str">
        <f t="shared" si="9"/>
        <v>Small business</v>
      </c>
      <c r="D47" s="81" t="str">
        <f t="shared" si="10"/>
        <v>without CL</v>
      </c>
      <c r="E47" s="3" t="s">
        <v>24</v>
      </c>
      <c r="F47" s="41">
        <f t="array" ref="F47">IFERROR(INDEX(Usage!$B$5:$T$18,MATCH($B47,Usage!$B$5:$B$18,0),MATCH($C47&amp;$D47&amp;$E47,Usage!$B$5:$W$5&amp;Usage!$B$6:$W$6&amp;Usage!$B$7:$W$7,0)),0)</f>
        <v>20000</v>
      </c>
      <c r="G47" s="81" t="s">
        <v>58</v>
      </c>
      <c r="H47" s="99"/>
      <c r="I47" s="99"/>
      <c r="J47" s="99">
        <f>SUM(J45:J46)</f>
        <v>2067.9401499999999</v>
      </c>
      <c r="K47" s="91"/>
      <c r="L47" s="92"/>
      <c r="M47" s="49">
        <f>IF(J47=0,"",IF(OR($S46="Draft x-factor",$S46="Zero"),SUMPRODUCT(K45:K46,M45:M46),Q47/J47-1))</f>
        <v>-2.7712714509653458E-2</v>
      </c>
      <c r="N47" s="92"/>
      <c r="O47" s="99"/>
      <c r="P47" s="99"/>
      <c r="Q47" s="99">
        <f>IF(AND(Q45="",Q46=""),J47*(1+M47),SUM(Q45:Q46))</f>
        <v>2010.6319149999999</v>
      </c>
      <c r="R47" s="91"/>
      <c r="S47" s="27"/>
      <c r="T47" s="92"/>
    </row>
    <row r="48" spans="2:20" s="5" customFormat="1" x14ac:dyDescent="0.3">
      <c r="B48" s="3" t="str">
        <f t="shared" si="8"/>
        <v>Ausgrid</v>
      </c>
      <c r="C48" s="3" t="str">
        <f>C47</f>
        <v>Small business</v>
      </c>
      <c r="D48" s="3" t="str">
        <f>D47</f>
        <v>without CL</v>
      </c>
      <c r="E48" s="81"/>
      <c r="F48" s="82"/>
      <c r="G48" s="81" t="s">
        <v>41</v>
      </c>
      <c r="H48" s="99"/>
      <c r="I48" s="99"/>
      <c r="J48" s="99">
        <f>J47*GST</f>
        <v>206.794015</v>
      </c>
      <c r="K48" s="91"/>
      <c r="L48" s="92"/>
      <c r="M48" s="83"/>
      <c r="N48" s="92"/>
      <c r="O48" s="99"/>
      <c r="P48" s="99"/>
      <c r="Q48" s="99">
        <f>Q47*GST</f>
        <v>201.06319150000002</v>
      </c>
      <c r="R48" s="91"/>
      <c r="S48" s="27"/>
      <c r="T48" s="27"/>
    </row>
    <row r="49" spans="2:20" s="5" customFormat="1" x14ac:dyDescent="0.3">
      <c r="B49" s="3" t="str">
        <f t="shared" si="8"/>
        <v>Ausgrid</v>
      </c>
      <c r="C49" s="3" t="str">
        <f>C48</f>
        <v>Small business</v>
      </c>
      <c r="D49" s="3" t="str">
        <f>D48</f>
        <v>without CL</v>
      </c>
      <c r="E49" s="81"/>
      <c r="F49" s="82"/>
      <c r="G49" s="5" t="s">
        <v>91</v>
      </c>
      <c r="H49" s="98"/>
      <c r="I49" s="98"/>
      <c r="J49" s="98">
        <f>SUM(J47:J48)</f>
        <v>2274.7341649999998</v>
      </c>
      <c r="K49" s="79"/>
      <c r="L49" s="27"/>
      <c r="M49" s="80">
        <f>IF(OR(J49=0,Q49=""),"",Q49/J49-1)</f>
        <v>-2.7712714509653513E-2</v>
      </c>
      <c r="N49" s="27"/>
      <c r="O49" s="98"/>
      <c r="P49" s="98"/>
      <c r="Q49" s="98">
        <f>SUM(Q47:Q48)</f>
        <v>2211.6951064999998</v>
      </c>
      <c r="R49" s="79"/>
      <c r="S49" s="27"/>
      <c r="T49" s="27"/>
    </row>
    <row r="50" spans="2:20" x14ac:dyDescent="0.3">
      <c r="F50" s="41"/>
      <c r="G50" s="77"/>
      <c r="K50" s="44"/>
      <c r="M50" s="49"/>
      <c r="R50" s="44"/>
    </row>
    <row r="51" spans="2:20" x14ac:dyDescent="0.3">
      <c r="B51" s="5" t="s">
        <v>4</v>
      </c>
      <c r="C51" s="5" t="s">
        <v>6</v>
      </c>
      <c r="D51" s="5" t="s">
        <v>158</v>
      </c>
      <c r="F51" s="41"/>
      <c r="G51" s="77"/>
      <c r="K51" s="44"/>
      <c r="M51" s="49" t="str">
        <f t="shared" ref="M51" si="11">IF(OR(J51=0,Q51=""),"",Q51/J51-1)</f>
        <v/>
      </c>
      <c r="R51" s="44"/>
    </row>
    <row r="52" spans="2:20" x14ac:dyDescent="0.3">
      <c r="B52" s="3" t="str">
        <f>B51</f>
        <v>Endeavour</v>
      </c>
      <c r="C52" s="3" t="str">
        <f t="shared" ref="C52:C59" si="12">C51</f>
        <v>Residential</v>
      </c>
      <c r="D52" s="3" t="str">
        <f t="shared" ref="D52:D59" si="13">D51</f>
        <v>without CL</v>
      </c>
      <c r="E52" s="3" t="s">
        <v>24</v>
      </c>
      <c r="F52" s="41">
        <f t="array" ref="F52">IFERROR(INDEX(Usage!$B$5:$T$18,MATCH($B52,Usage!$B$5:$B$18,0),MATCH($C52&amp;$D52&amp;$E52&amp;$T52,Usage!$B$5:$W$5&amp;Usage!$B$6:$W$6&amp;Usage!$B$7:$W$7&amp;Usage!$B$13:$W$13,0)),0)</f>
        <v>4000</v>
      </c>
      <c r="G52" s="3" t="s">
        <v>54</v>
      </c>
      <c r="H52" s="93">
        <f t="array" ref="H52">IFERROR(INDEX('Detail inputs'!$B$3:$L$304,MATCH($B52&amp;$C52&amp;$E52&amp;$G52&amp;H$5&amp;$T52,'Detail inputs'!$B$3:$B$304&amp;'Detail inputs'!$D$3:$D$304&amp;'Detail inputs'!$F$3:$F$304&amp;'Detail inputs'!$G$3:$G$304&amp;'Detail inputs'!$H$3:$H$304&amp;'Detail inputs'!$L$3:$L$304,0),MATCH(H$4,'Detail inputs'!$B$3:$L$3,0)),0)</f>
        <v>134.35650000000001</v>
      </c>
      <c r="I52" s="93">
        <f t="array" ref="I52">IFERROR(INDEX('Detail inputs'!$B$3:$L$304,MATCH($B52&amp;$C52&amp;$E52&amp;$G52&amp;I$5&amp;$T52,'Detail inputs'!$B$3:$B$304&amp;'Detail inputs'!$D$3:$D$304&amp;'Detail inputs'!$F$3:$F$304&amp;'Detail inputs'!$G$3:$G$304&amp;'Detail inputs'!$H$3:$H$304&amp;'Detail inputs'!$L$3:$L$304,0),MATCH(I$4,'Detail inputs'!$B$3:$L$3,0)),0)</f>
        <v>69.135000000000005</v>
      </c>
      <c r="J52" s="93">
        <f>IF(AND(H52="",I52=""),"",H52+I52*F52/1000)</f>
        <v>410.89650000000006</v>
      </c>
      <c r="K52" s="44">
        <f>IFERROR(J52/J54,"")</f>
        <v>0.86848629728735749</v>
      </c>
      <c r="L52" s="44"/>
      <c r="M52" s="49">
        <f t="array" ref="M52">IFERROR(IF($S52="Indicative tariff",$Q52/$J52-1,IF($S52="Zero",0,IF($S52="NA","",IF($S52="Draft x-factor",INDEX('Detail inputs'!$B$3:$P$304,MATCH($B52&amp;$G52&amp;$S52,'Detail inputs'!$B$3:$B$304&amp;'Detail inputs'!$G$3:$G$304&amp;'Detail inputs'!$H$3:$H$304,0),MATCH(M$4,'Detail inputs'!$B$3:$P$3,0)))))),"")</f>
        <v>-2.5298341553164905E-2</v>
      </c>
      <c r="N52" s="44"/>
      <c r="O52" s="93">
        <f t="array" ref="O52">IFERROR(IF(OR($S52="NA",$S52="Draft x-factor",$S52="Zero"),"",INDEX('Detail inputs'!$B$3:$L$304,MATCH($B52&amp;$C52&amp;$E52&amp;$G52&amp;O$5&amp;$T52,'Detail inputs'!$B$3:$B$304&amp;'Detail inputs'!$D$3:$D$304&amp;'Detail inputs'!$F$3:$F$304&amp;'Detail inputs'!$G$3:$G$304&amp;'Detail inputs'!$H$3:$H$304&amp;'Detail inputs'!$L$3:$L$304,0),MATCH(O$4,'Detail inputs'!$B$3:$L$3,0))),0)</f>
        <v>141.4375</v>
      </c>
      <c r="P52" s="93">
        <f t="array" ref="P52">IFERROR(IF(OR($S52="NA",$S52="Draft x-factor",$S52="Zero"),"",INDEX('Detail inputs'!$B$3:$L$304,MATCH($B52&amp;$C52&amp;$E52&amp;$G52&amp;P$5&amp;$T52,'Detail inputs'!$B$3:$B$304&amp;'Detail inputs'!$D$3:$D$304&amp;'Detail inputs'!$F$3:$F$304&amp;'Detail inputs'!$G$3:$G$304&amp;'Detail inputs'!$H$3:$H$304&amp;'Detail inputs'!$L$3:$L$304,0),MATCH(P$4,'Detail inputs'!$B$3:$L$3,0))),0)</f>
        <v>64.766000000000005</v>
      </c>
      <c r="Q52" s="93">
        <f>IF(AND(O52="",P52=""),"",O52+P52*F52/1000)</f>
        <v>400.50150000000002</v>
      </c>
      <c r="R52" s="44">
        <f>IFERROR(Q52/Q54,"")</f>
        <v>0.87294996478788045</v>
      </c>
      <c r="S52" s="21" t="str">
        <f t="array" ref="S52">INDEX('Key inputs'!$B$35:$J$41,MATCH($B52,'Key inputs'!$B$35:$B$41,0),MATCH($G52&amp;S$5,'Key inputs'!$B$35:$J$35&amp;'Key inputs'!$B$36:$J$36,0))</f>
        <v>Indicative tariff</v>
      </c>
      <c r="T52" s="21" t="s">
        <v>60</v>
      </c>
    </row>
    <row r="53" spans="2:20" x14ac:dyDescent="0.3">
      <c r="B53" s="3" t="str">
        <f t="shared" ref="B53:B59" si="14">B52</f>
        <v>Endeavour</v>
      </c>
      <c r="C53" s="3" t="str">
        <f t="shared" si="12"/>
        <v>Residential</v>
      </c>
      <c r="D53" s="3" t="str">
        <f t="shared" si="13"/>
        <v>without CL</v>
      </c>
      <c r="E53" s="3" t="s">
        <v>24</v>
      </c>
      <c r="F53" s="41">
        <f t="array" ref="F53">IFERROR(INDEX(Usage!$B$5:$T$18,MATCH($B53,Usage!$B$5:$B$18,0),MATCH($C53&amp;$D53&amp;$E53&amp;$T53,Usage!$B$5:$W$5&amp;Usage!$B$6:$W$6&amp;Usage!$B$7:$W$7&amp;Usage!$B$13:$W$13,0)),0)</f>
        <v>900</v>
      </c>
      <c r="G53" s="3" t="s">
        <v>54</v>
      </c>
      <c r="H53" s="93">
        <f t="array" ref="H53">IFERROR(INDEX('Detail inputs'!$B$3:$L$304,MATCH($B53&amp;$C53&amp;$E53&amp;$G53&amp;H$5&amp;$T53,'Detail inputs'!$B$3:$B$304&amp;'Detail inputs'!$D$3:$D$304&amp;'Detail inputs'!$F$3:$F$304&amp;'Detail inputs'!$G$3:$G$304&amp;'Detail inputs'!$H$3:$H$304&amp;'Detail inputs'!$L$3:$L$304,0),MATCH(H$4,'Detail inputs'!$B$3:$L$3,0)),0)</f>
        <v>0</v>
      </c>
      <c r="I53" s="93">
        <f t="array" ref="I53">IFERROR(INDEX('Detail inputs'!$B$3:$L$304,MATCH($B53&amp;$C53&amp;$E53&amp;$G53&amp;I$5&amp;$T53,'Detail inputs'!$B$3:$B$304&amp;'Detail inputs'!$D$3:$D$304&amp;'Detail inputs'!$F$3:$F$304&amp;'Detail inputs'!$G$3:$G$304&amp;'Detail inputs'!$H$3:$H$304&amp;'Detail inputs'!$L$3:$L$304,0),MATCH(I$4,'Detail inputs'!$B$3:$L$3,0)),0)</f>
        <v>69.135000000000005</v>
      </c>
      <c r="J53" s="93">
        <f>IF(AND(H53="",I53=""),"",H53+I53*F53/1000)</f>
        <v>62.221500000000006</v>
      </c>
      <c r="K53" s="44">
        <f>IFERROR(J53/J54,"")</f>
        <v>0.13151370271264251</v>
      </c>
      <c r="L53" s="44"/>
      <c r="M53" s="49">
        <f t="array" ref="M53">IFERROR(IF($S53="Indicative tariff",$Q53/$J53-1,IF($S53="Zero",0,IF($S53="NA","",IF($S53="Draft x-factor",INDEX('Detail inputs'!$B$3:$P$304,MATCH($B53&amp;$G53&amp;$S53,'Detail inputs'!$B$3:$B$304&amp;'Detail inputs'!$G$3:$G$304&amp;'Detail inputs'!$H$3:$H$304,0),MATCH(M$4,'Detail inputs'!$B$3:$P$3,0)))))),"")</f>
        <v>-6.3195197801403147E-2</v>
      </c>
      <c r="N53" s="44"/>
      <c r="O53" s="93">
        <f t="array" ref="O53">IFERROR(IF(OR($S53="NA",$S53="Draft x-factor",$S53="Zero"),"",INDEX('Detail inputs'!$B$3:$L$304,MATCH($B53&amp;$C53&amp;$E53&amp;$G53&amp;O$5&amp;$T53,'Detail inputs'!$B$3:$B$304&amp;'Detail inputs'!$D$3:$D$304&amp;'Detail inputs'!$F$3:$F$304&amp;'Detail inputs'!$G$3:$G$304&amp;'Detail inputs'!$H$3:$H$304&amp;'Detail inputs'!$L$3:$L$304,0),MATCH(O$4,'Detail inputs'!$B$3:$L$3,0))),0)</f>
        <v>0</v>
      </c>
      <c r="P53" s="93">
        <f t="array" ref="P53">IFERROR(IF(OR($S53="NA",$S53="Draft x-factor",$S53="Zero"),"",INDEX('Detail inputs'!$B$3:$L$304,MATCH($B53&amp;$C53&amp;$E53&amp;$G53&amp;P$5&amp;$T53,'Detail inputs'!$B$3:$B$304&amp;'Detail inputs'!$D$3:$D$304&amp;'Detail inputs'!$F$3:$F$304&amp;'Detail inputs'!$G$3:$G$304&amp;'Detail inputs'!$H$3:$H$304&amp;'Detail inputs'!$L$3:$L$304,0),MATCH(P$4,'Detail inputs'!$B$3:$L$3,0))),0)</f>
        <v>64.766000000000005</v>
      </c>
      <c r="Q53" s="93">
        <f>IF(AND(O53="",P53=""),"",O53+P53*F53/1000)</f>
        <v>58.289400000000001</v>
      </c>
      <c r="R53" s="44">
        <f>IFERROR(Q53/Q54,"")</f>
        <v>0.12705003521211949</v>
      </c>
      <c r="S53" s="21" t="str">
        <f t="array" ref="S53">INDEX('Key inputs'!$B$35:$J$41,MATCH($B53,'Key inputs'!$B$35:$B$41,0),MATCH($G53&amp;S$5,'Key inputs'!$B$35:$J$35&amp;'Key inputs'!$B$36:$J$36,0))</f>
        <v>Indicative tariff</v>
      </c>
      <c r="T53" s="21" t="s">
        <v>61</v>
      </c>
    </row>
    <row r="54" spans="2:20" x14ac:dyDescent="0.3">
      <c r="B54" s="3" t="str">
        <f t="shared" si="14"/>
        <v>Endeavour</v>
      </c>
      <c r="C54" s="3" t="str">
        <f t="shared" si="12"/>
        <v>Residential</v>
      </c>
      <c r="D54" s="3" t="str">
        <f t="shared" si="13"/>
        <v>without CL</v>
      </c>
      <c r="E54" s="3" t="s">
        <v>24</v>
      </c>
      <c r="F54" s="41">
        <f>SUM(F52:F53)</f>
        <v>4900</v>
      </c>
      <c r="G54" s="3" t="s">
        <v>88</v>
      </c>
      <c r="J54" s="93">
        <f>SUM(J52:J53)</f>
        <v>473.11800000000005</v>
      </c>
      <c r="K54" s="44">
        <f>IFERROR(J54/J57,"")</f>
        <v>0.86469192021743135</v>
      </c>
      <c r="L54" s="44"/>
      <c r="M54" s="49">
        <f>IF(J54=0,"",IF(Q54="",SUMPRODUCT(K52:K53,M52:M53),Q54/J54-1))</f>
        <v>-3.0282297439539474E-2</v>
      </c>
      <c r="N54" s="44"/>
      <c r="Q54" s="93">
        <f>IF(AND(Q52="",Q53=""),"",SUM(Q52:Q53))</f>
        <v>458.79090000000002</v>
      </c>
      <c r="R54" s="44">
        <f>IFERROR(Q54/Q57,"")</f>
        <v>0.85561651208507694</v>
      </c>
    </row>
    <row r="55" spans="2:20" x14ac:dyDescent="0.3">
      <c r="B55" s="3" t="str">
        <f>B54</f>
        <v>Endeavour</v>
      </c>
      <c r="C55" s="3" t="str">
        <f>C54</f>
        <v>Residential</v>
      </c>
      <c r="D55" s="3" t="str">
        <f>D54</f>
        <v>without CL</v>
      </c>
      <c r="E55" s="3" t="s">
        <v>24</v>
      </c>
      <c r="F55" s="41">
        <f t="array" ref="F55">IFERROR(INDEX(Usage!$B$5:$T$18,MATCH($B55,Usage!$B$5:$B$18,0),MATCH($C55&amp;$D55&amp;$E55&amp;$T55,Usage!$B$5:$W$5&amp;Usage!$B$6:$W$6&amp;Usage!$B$7:$W$7&amp;Usage!$B$13:$W$13,0)),0)</f>
        <v>4900</v>
      </c>
      <c r="G55" s="3" t="s">
        <v>55</v>
      </c>
      <c r="H55" s="93">
        <f t="array" ref="H55">IFERROR(INDEX('Detail inputs'!$B$3:$L$304,MATCH($B55&amp;$C55&amp;$E55&amp;$G55&amp;H$5&amp;$T55,'Detail inputs'!$B$3:$B$304&amp;'Detail inputs'!$D$3:$D$304&amp;'Detail inputs'!$F$3:$F$304&amp;'Detail inputs'!$G$3:$G$304&amp;'Detail inputs'!$H$3:$H$304&amp;'Detail inputs'!$L$3:$L$304,0),MATCH(H$4,'Detail inputs'!$B$3:$L$3,0)),0)</f>
        <v>0</v>
      </c>
      <c r="I55" s="93">
        <f t="array" ref="I55">IFERROR(INDEX('Detail inputs'!$B$3:$L$304,MATCH($B55&amp;$C55&amp;$E55&amp;$G55&amp;I$5&amp;$T55,'Detail inputs'!$B$3:$B$304&amp;'Detail inputs'!$D$3:$D$304&amp;'Detail inputs'!$F$3:$F$304&amp;'Detail inputs'!$G$3:$G$304&amp;'Detail inputs'!$H$3:$H$304&amp;'Detail inputs'!$L$3:$L$304,0),MATCH(I$4,'Detail inputs'!$B$3:$L$3,0)),0)</f>
        <v>10.98</v>
      </c>
      <c r="J55" s="93">
        <f>IF(AND(H55="",I55=""),"",H55+I55*F55/1000)</f>
        <v>53.802</v>
      </c>
      <c r="K55" s="44">
        <f>IFERROR(J55/J57,"")</f>
        <v>9.8330975975418899E-2</v>
      </c>
      <c r="L55" s="44"/>
      <c r="M55" s="49">
        <f t="array" ref="M55">IFERROR(IF($S55="Indicative tariff",$Q55/$J55-1,IF($S55="Zero",0,IF($S55="NA","",IF($S55="Draft x-factor",INDEX('Detail inputs'!$B$3:$P$304,MATCH($B55&amp;$G55&amp;$S55,'Detail inputs'!$B$3:$B$304&amp;'Detail inputs'!$G$3:$G$304&amp;'Detail inputs'!$H$3:$H$304,0),MATCH(M$4,'Detail inputs'!$B$3:$P$3,0)))))),"")</f>
        <v>4.8178506375227803E-2</v>
      </c>
      <c r="N55" s="44"/>
      <c r="O55" s="93">
        <f t="array" ref="O55">IFERROR(IF(OR($S55="NA",$S55="Draft x-factor",$S55="Zero"),"",INDEX('Detail inputs'!$B$3:$L$304,MATCH($B55&amp;$C55&amp;$E55&amp;$G55&amp;O$5&amp;$T55,'Detail inputs'!$B$3:$B$304&amp;'Detail inputs'!$D$3:$D$304&amp;'Detail inputs'!$F$3:$F$304&amp;'Detail inputs'!$G$3:$G$304&amp;'Detail inputs'!$H$3:$H$304&amp;'Detail inputs'!$L$3:$L$304,0),MATCH(O$4,'Detail inputs'!$B$3:$L$3,0))),0)</f>
        <v>0</v>
      </c>
      <c r="P55" s="93">
        <f t="array" ref="P55">IFERROR(IF(OR($S55="NA",$S55="Draft x-factor",$S55="Zero"),"",INDEX('Detail inputs'!$B$3:$L$304,MATCH($B55&amp;$C55&amp;$E55&amp;$G55&amp;P$5&amp;$T55,'Detail inputs'!$B$3:$B$304&amp;'Detail inputs'!$D$3:$D$304&amp;'Detail inputs'!$F$3:$F$304&amp;'Detail inputs'!$G$3:$G$304&amp;'Detail inputs'!$H$3:$H$304&amp;'Detail inputs'!$L$3:$L$304,0),MATCH(P$4,'Detail inputs'!$B$3:$L$3,0))),0)</f>
        <v>11.509</v>
      </c>
      <c r="Q55" s="93">
        <f>IF(AND(O55="",P55=""),"",O55+P55*F55/1000)</f>
        <v>56.394100000000002</v>
      </c>
      <c r="R55" s="44">
        <f>IFERROR(Q55/Q57,"")</f>
        <v>0.10517149129195247</v>
      </c>
      <c r="S55" s="21" t="str">
        <f t="array" ref="S55">INDEX('Key inputs'!$B$35:$J$41,MATCH($B55,'Key inputs'!$B$35:$B$41,0),MATCH($G55&amp;S$5,'Key inputs'!$B$35:$J$35&amp;'Key inputs'!$B$36:$J$36,0))</f>
        <v>Indicative tariff</v>
      </c>
      <c r="T55" s="21" t="s">
        <v>58</v>
      </c>
    </row>
    <row r="56" spans="2:20" x14ac:dyDescent="0.3">
      <c r="B56" s="3" t="str">
        <f t="shared" si="14"/>
        <v>Endeavour</v>
      </c>
      <c r="C56" s="3" t="str">
        <f t="shared" si="12"/>
        <v>Residential</v>
      </c>
      <c r="D56" s="3" t="str">
        <f t="shared" si="13"/>
        <v>without CL</v>
      </c>
      <c r="E56" s="3" t="s">
        <v>24</v>
      </c>
      <c r="F56" s="41">
        <f t="array" ref="F56">IFERROR(INDEX(Usage!$B$5:$T$18,MATCH($B56,Usage!$B$5:$B$18,0),MATCH($C56&amp;$D56&amp;$E56&amp;$T56,Usage!$B$5:$W$5&amp;Usage!$B$6:$W$6&amp;Usage!$B$7:$W$7&amp;Usage!$B$13:$W$13,0)),0)</f>
        <v>4900</v>
      </c>
      <c r="G56" s="3" t="s">
        <v>56</v>
      </c>
      <c r="H56" s="93">
        <f t="array" ref="H56">IFERROR(INDEX('Detail inputs'!$B$3:$L$304,MATCH($B56&amp;$C56&amp;$E56&amp;$G56&amp;H$5&amp;$T56,'Detail inputs'!$B$3:$B$304&amp;'Detail inputs'!$D$3:$D$304&amp;'Detail inputs'!$F$3:$F$304&amp;'Detail inputs'!$G$3:$G$304&amp;'Detail inputs'!$H$3:$H$304&amp;'Detail inputs'!$L$3:$L$304,0),MATCH(H$4,'Detail inputs'!$B$3:$L$3,0)),0)</f>
        <v>0</v>
      </c>
      <c r="I56" s="93">
        <f t="array" ref="I56">IFERROR(INDEX('Detail inputs'!$B$3:$L$304,MATCH($B56&amp;$C56&amp;$E56&amp;$G56&amp;I$5&amp;$T56,'Detail inputs'!$B$3:$B$304&amp;'Detail inputs'!$D$3:$D$304&amp;'Detail inputs'!$F$3:$F$304&amp;'Detail inputs'!$G$3:$G$304&amp;'Detail inputs'!$H$3:$H$304&amp;'Detail inputs'!$L$3:$L$304,0),MATCH(I$4,'Detail inputs'!$B$3:$L$3,0)),0)</f>
        <v>4.1289999999999996</v>
      </c>
      <c r="J56" s="93">
        <f>IF(AND(H56="",I56=""),"",H56+I56*F56/1000)</f>
        <v>20.232099999999999</v>
      </c>
      <c r="K56" s="44">
        <f>IFERROR(J56/J57,"")</f>
        <v>3.6977103807149782E-2</v>
      </c>
      <c r="L56" s="44"/>
      <c r="M56" s="49">
        <f t="array" ref="M56">IFERROR(IF($S56="Indicative tariff",$Q56/$J56-1,IF($S56="Zero",0,IF($S56="NA","",IF($S56="Draft x-factor",INDEX('Detail inputs'!$B$3:$P$304,MATCH($B56&amp;$G56&amp;$S56,'Detail inputs'!$B$3:$B$304&amp;'Detail inputs'!$G$3:$G$304&amp;'Detail inputs'!$H$3:$H$304,0),MATCH(M$4,'Detail inputs'!$B$3:$P$3,0)))))),"")</f>
        <v>3.9234681520949222E-2</v>
      </c>
      <c r="N56" s="44"/>
      <c r="O56" s="93">
        <f t="array" ref="O56">IFERROR(IF(OR($S56="NA",$S56="Draft x-factor",$S56="Zero"),"",INDEX('Detail inputs'!$B$3:$L$304,MATCH($B56&amp;$C56&amp;$E56&amp;$G56&amp;O$5&amp;$T56,'Detail inputs'!$B$3:$B$304&amp;'Detail inputs'!$D$3:$D$304&amp;'Detail inputs'!$F$3:$F$304&amp;'Detail inputs'!$G$3:$G$304&amp;'Detail inputs'!$H$3:$H$304&amp;'Detail inputs'!$L$3:$L$304,0),MATCH(O$4,'Detail inputs'!$B$3:$L$3,0))),0)</f>
        <v>0</v>
      </c>
      <c r="P56" s="93">
        <f t="array" ref="P56">IFERROR(IF(OR($S56="NA",$S56="Draft x-factor",$S56="Zero"),"",INDEX('Detail inputs'!$B$3:$L$304,MATCH($B56&amp;$C56&amp;$E56&amp;$G56&amp;P$5&amp;$T56,'Detail inputs'!$B$3:$B$304&amp;'Detail inputs'!$D$3:$D$304&amp;'Detail inputs'!$F$3:$F$304&amp;'Detail inputs'!$G$3:$G$304&amp;'Detail inputs'!$H$3:$H$304&amp;'Detail inputs'!$L$3:$L$304,0),MATCH(P$4,'Detail inputs'!$B$3:$L$3,0))),0)</f>
        <v>4.2909999999999995</v>
      </c>
      <c r="Q56" s="93">
        <f>IF(AND(O56="",P56=""),"",O56+P56*F56/1000)</f>
        <v>21.025899999999996</v>
      </c>
      <c r="R56" s="44">
        <f>IFERROR(Q56/Q57,"")</f>
        <v>3.9211996622970542E-2</v>
      </c>
      <c r="S56" s="21" t="str">
        <f t="array" ref="S56">INDEX('Key inputs'!$B$35:$J$41,MATCH($B56,'Key inputs'!$B$35:$B$41,0),MATCH($G56&amp;S$5,'Key inputs'!$B$35:$J$35&amp;'Key inputs'!$B$36:$J$36,0))</f>
        <v>Indicative tariff</v>
      </c>
      <c r="T56" s="21" t="s">
        <v>58</v>
      </c>
    </row>
    <row r="57" spans="2:20" x14ac:dyDescent="0.3">
      <c r="B57" s="3" t="str">
        <f t="shared" si="14"/>
        <v>Endeavour</v>
      </c>
      <c r="C57" s="3" t="str">
        <f t="shared" si="12"/>
        <v>Residential</v>
      </c>
      <c r="D57" s="3" t="str">
        <f t="shared" si="13"/>
        <v>without CL</v>
      </c>
      <c r="E57" s="3" t="s">
        <v>24</v>
      </c>
      <c r="F57" s="41">
        <f t="array" ref="F57">IFERROR(INDEX(Usage!$B$5:$T$18,MATCH($B57,Usage!$B$5:$B$18,0),MATCH($C57&amp;$D57&amp;$E57&amp;$T57,Usage!$B$5:$W$5&amp;Usage!$B$6:$W$6&amp;Usage!$B$7:$W$7&amp;Usage!$B$13:$W$13,0)),0)</f>
        <v>4900</v>
      </c>
      <c r="G57" s="3" t="s">
        <v>65</v>
      </c>
      <c r="J57" s="93">
        <f>SUM(J54:J56)</f>
        <v>547.15210000000002</v>
      </c>
      <c r="K57" s="44">
        <f>IFERROR(J57/J59,"")</f>
        <v>0.96524666663491232</v>
      </c>
      <c r="L57" s="44"/>
      <c r="M57" s="49">
        <f>IF(J57=0,"",IF(Q57="",SUMPRODUCT(K54:K56,M54:M56),Q57/J57-1))</f>
        <v>-1.9996633477236014E-2</v>
      </c>
      <c r="N57" s="44"/>
      <c r="O57" s="93" t="str">
        <f t="array" ref="O57">IFERROR(IF(OR($S57="NA",$S57="Draft x-factor",$S57="Sum"),"",INDEX('Detail inputs'!$B$3:$L$304,MATCH($B57&amp;$C57&amp;$E57&amp;$G57&amp;O$5&amp;$T57,'Detail inputs'!$B$3:$B$304&amp;'Detail inputs'!$D$3:$D$304&amp;'Detail inputs'!$F$3:$F$304&amp;'Detail inputs'!$G$3:$G$304&amp;'Detail inputs'!$H$3:$H$304&amp;'Detail inputs'!$L$3:$L$304,0),MATCH(O$4,'Detail inputs'!$B$3:$L$3,0))),0)</f>
        <v/>
      </c>
      <c r="P57" s="93" t="str">
        <f t="array" ref="P57">IFERROR(IF(OR($S57="NA",$S57="Draft x-factor",$S57="Sum"),"",INDEX('Detail inputs'!$B$3:$L$304,MATCH($B57&amp;$C57&amp;$E57&amp;$G57&amp;P$5&amp;$T57,'Detail inputs'!$B$3:$B$304&amp;'Detail inputs'!$D$3:$D$304&amp;'Detail inputs'!$F$3:$F$304&amp;'Detail inputs'!$G$3:$G$304&amp;'Detail inputs'!$H$3:$H$304&amp;'Detail inputs'!$L$3:$L$304,0),MATCH(P$4,'Detail inputs'!$B$3:$L$3,0))),0)</f>
        <v/>
      </c>
      <c r="Q57" s="93">
        <f>IF($S57="NA","",IF($S57="Indicative tariff",O57+P57*F57/1000,IF($S57="Sum",SUM(Q54:Q56))))</f>
        <v>536.21090000000004</v>
      </c>
      <c r="R57" s="44">
        <f>IFERROR(Q57/Q59,"")</f>
        <v>0.96456266642729971</v>
      </c>
      <c r="S57" s="21" t="str">
        <f t="array" ref="S57">INDEX('Key inputs'!$B$35:$J$41,MATCH($B57,'Key inputs'!$B$35:$B$41,0),MATCH($G57&amp;S$5,'Key inputs'!$B$35:$J$35&amp;'Key inputs'!$B$36:$J$36,0))</f>
        <v>Sum</v>
      </c>
      <c r="T57" s="21" t="s">
        <v>58</v>
      </c>
    </row>
    <row r="58" spans="2:20" x14ac:dyDescent="0.3">
      <c r="B58" s="3" t="str">
        <f t="shared" si="14"/>
        <v>Endeavour</v>
      </c>
      <c r="C58" s="3" t="str">
        <f t="shared" si="12"/>
        <v>Residential</v>
      </c>
      <c r="D58" s="3" t="str">
        <f t="shared" si="13"/>
        <v>without CL</v>
      </c>
      <c r="E58" s="3" t="s">
        <v>24</v>
      </c>
      <c r="F58" s="41">
        <f t="array" ref="F58">IFERROR(INDEX(Usage!$B$5:$T$18,MATCH($B58,Usage!$B$5:$B$18,0),MATCH($C58&amp;$D58&amp;$E58&amp;$T58,Usage!$B$5:$W$5&amp;Usage!$B$6:$W$6&amp;Usage!$B$7:$W$7&amp;Usage!$B$13:$W$13,0)),0)</f>
        <v>4900</v>
      </c>
      <c r="G58" s="3" t="s">
        <v>67</v>
      </c>
      <c r="H58" s="93">
        <f t="array" ref="H58">IFERROR(INDEX('Detail inputs'!$B$3:$L$304,MATCH($B58&amp;$C58&amp;$E58&amp;$G58&amp;H$5&amp;$T58,'Detail inputs'!$B$3:$B$304&amp;'Detail inputs'!$D$3:$D$304&amp;'Detail inputs'!$F$3:$F$304&amp;'Detail inputs'!$G$3:$G$304&amp;'Detail inputs'!$H$3:$H$304&amp;'Detail inputs'!$L$3:$L$304,0),MATCH(H$4,'Detail inputs'!$B$3:$L$3,0)),0)</f>
        <v>19.7</v>
      </c>
      <c r="I58" s="93">
        <f t="array" ref="I58">IFERROR(INDEX('Detail inputs'!$B$3:$L$304,MATCH($B58&amp;$C58&amp;$E58&amp;$G58&amp;I$5&amp;$T58,'Detail inputs'!$B$3:$B$304&amp;'Detail inputs'!$D$3:$D$304&amp;'Detail inputs'!$F$3:$F$304&amp;'Detail inputs'!$G$3:$G$304&amp;'Detail inputs'!$H$3:$H$304&amp;'Detail inputs'!$L$3:$L$304,0),MATCH(I$4,'Detail inputs'!$B$3:$L$3,0)),0)</f>
        <v>0</v>
      </c>
      <c r="J58" s="93">
        <f>IF(AND(H58="",I58=""),"",H58+I58*F58/1000)</f>
        <v>19.7</v>
      </c>
      <c r="K58" s="44">
        <f>IFERROR(J58/J59,"")</f>
        <v>3.4753333365087645E-2</v>
      </c>
      <c r="L58" s="44"/>
      <c r="M58" s="49">
        <f t="array" ref="M58">IFERROR(IF($S58="Indicative tariff",$Q58/$J58-1,IF($S58="Zero",0,IF($S58="NA","",IF($S58="Draft x-factor",INDEX('Detail inputs'!$B$3:$P$304,MATCH($B58&amp;$G58&amp;$S58,'Detail inputs'!$B$3:$B$304&amp;'Detail inputs'!$G$3:$G$304&amp;'Detail inputs'!$H$3:$H$304,0),MATCH(M$4,'Detail inputs'!$B$3:$P$3,0)))))),"")</f>
        <v>0</v>
      </c>
      <c r="N58" s="44"/>
      <c r="O58" s="93">
        <f t="array" ref="O58">IFERROR(IF(OR($S58="NA",$S58="Draft x-factor"),"",IF($S58="Zero",H58,INDEX('Detail inputs'!$B$3:$L$304,MATCH($B58&amp;$C58&amp;$E58&amp;$G58&amp;O$5&amp;$T58,'Detail inputs'!$B$3:$B$304&amp;'Detail inputs'!$D$3:$D$304&amp;'Detail inputs'!$F$3:$F$304&amp;'Detail inputs'!$G$3:$G$304&amp;'Detail inputs'!$H$3:$H$304&amp;'Detail inputs'!$L$3:$L$304,0),MATCH(O$4,'Detail inputs'!$B$3:$L$3,0)))),0)</f>
        <v>19.7</v>
      </c>
      <c r="P58" s="93">
        <f t="array" ref="P58">IFERROR(IF(OR($S58="NA",$S58="Draft x-factor"),"",IF($S58="Zero",I58,INDEX('Detail inputs'!$B$3:$L$304,MATCH($B58&amp;$C58&amp;$E58&amp;$G58&amp;P$5&amp;$T58,'Detail inputs'!$B$3:$B$304&amp;'Detail inputs'!$D$3:$D$304&amp;'Detail inputs'!$F$3:$F$304&amp;'Detail inputs'!$G$3:$G$304&amp;'Detail inputs'!$H$3:$H$304&amp;'Detail inputs'!$L$3:$L$304,0),MATCH(P$4,'Detail inputs'!$B$3:$L$3,0)))),0)</f>
        <v>0</v>
      </c>
      <c r="Q58" s="93">
        <f>IF(AND(O58="",P58=""),"",O58+P58*F58/1000)</f>
        <v>19.7</v>
      </c>
      <c r="R58" s="44">
        <f>IFERROR(Q58/Q59,"")</f>
        <v>3.5437333572700222E-2</v>
      </c>
      <c r="S58" s="21" t="str">
        <f t="array" ref="S58">INDEX('Key inputs'!$B$35:$J$41,MATCH($B58,'Key inputs'!$B$35:$B$41,0),MATCH($G58&amp;S$5,'Key inputs'!$B$35:$J$35&amp;'Key inputs'!$B$36:$J$36,0))</f>
        <v>Indicative tariff</v>
      </c>
      <c r="T58" s="21" t="s">
        <v>58</v>
      </c>
    </row>
    <row r="59" spans="2:20" s="81" customFormat="1" x14ac:dyDescent="0.3">
      <c r="B59" s="81" t="str">
        <f t="shared" si="14"/>
        <v>Endeavour</v>
      </c>
      <c r="C59" s="81" t="str">
        <f t="shared" si="12"/>
        <v>Residential</v>
      </c>
      <c r="D59" s="81" t="str">
        <f t="shared" si="13"/>
        <v>without CL</v>
      </c>
      <c r="E59" s="3" t="s">
        <v>24</v>
      </c>
      <c r="F59" s="41">
        <f t="array" ref="F59">IFERROR(INDEX(Usage!$B$5:$T$18,MATCH($B59,Usage!$B$5:$B$18,0),MATCH($C59&amp;$D59&amp;$E59&amp;$T59,Usage!$B$5:$W$5&amp;Usage!$B$6:$W$6&amp;Usage!$B$7:$W$7&amp;Usage!$B$13:$W$13,0)),0)</f>
        <v>4900</v>
      </c>
      <c r="G59" s="81" t="s">
        <v>58</v>
      </c>
      <c r="H59" s="99"/>
      <c r="I59" s="99"/>
      <c r="J59" s="99">
        <f>SUM(J57:J58)</f>
        <v>566.85210000000006</v>
      </c>
      <c r="K59" s="91"/>
      <c r="L59" s="92"/>
      <c r="M59" s="49">
        <f>IF(J59=0,"",IF(OR($S58="Draft x-factor",$S58="Zero"),SUMPRODUCT(K57:K58,M57:M58),Q59/J59-1))</f>
        <v>-1.9301683807822156E-2</v>
      </c>
      <c r="N59" s="92"/>
      <c r="O59" s="99"/>
      <c r="P59" s="99"/>
      <c r="Q59" s="99">
        <f>IF(AND(Q57="",Q58=""),J59*(1+M59),SUM(Q57:Q58))</f>
        <v>555.91090000000008</v>
      </c>
      <c r="R59" s="91"/>
      <c r="S59" s="27"/>
      <c r="T59" s="21" t="s">
        <v>58</v>
      </c>
    </row>
    <row r="60" spans="2:20" x14ac:dyDescent="0.3">
      <c r="B60" s="3" t="str">
        <f t="shared" ref="B60:D61" si="15">B59</f>
        <v>Endeavour</v>
      </c>
      <c r="C60" s="3" t="str">
        <f t="shared" si="15"/>
        <v>Residential</v>
      </c>
      <c r="D60" s="3" t="str">
        <f t="shared" si="15"/>
        <v>without CL</v>
      </c>
      <c r="F60" s="41"/>
      <c r="G60" s="81" t="s">
        <v>41</v>
      </c>
      <c r="H60" s="99"/>
      <c r="I60" s="99"/>
      <c r="J60" s="99">
        <f>J59*GST</f>
        <v>56.685210000000012</v>
      </c>
      <c r="K60" s="91"/>
      <c r="L60" s="92"/>
      <c r="M60" s="83"/>
      <c r="N60" s="92"/>
      <c r="O60" s="99"/>
      <c r="P60" s="99"/>
      <c r="Q60" s="99">
        <f>Q59*GST</f>
        <v>55.591090000000008</v>
      </c>
      <c r="R60" s="91"/>
    </row>
    <row r="61" spans="2:20" x14ac:dyDescent="0.3">
      <c r="B61" s="3" t="str">
        <f t="shared" si="15"/>
        <v>Endeavour</v>
      </c>
      <c r="C61" s="3" t="str">
        <f t="shared" si="15"/>
        <v>Residential</v>
      </c>
      <c r="D61" s="3" t="str">
        <f t="shared" si="15"/>
        <v>without CL</v>
      </c>
      <c r="F61" s="41"/>
      <c r="G61" s="5" t="s">
        <v>91</v>
      </c>
      <c r="H61" s="98"/>
      <c r="I61" s="98"/>
      <c r="J61" s="98">
        <f>SUM(J59:J60)</f>
        <v>623.53731000000005</v>
      </c>
      <c r="K61" s="79"/>
      <c r="L61" s="27"/>
      <c r="M61" s="80">
        <f>IF(OR(J61=0,Q61=""),"",Q61/J61-1)</f>
        <v>-1.9301683807822156E-2</v>
      </c>
      <c r="N61" s="27"/>
      <c r="O61" s="98"/>
      <c r="P61" s="98"/>
      <c r="Q61" s="98">
        <f>SUM(Q59:Q60)</f>
        <v>611.50199000000009</v>
      </c>
      <c r="R61" s="79"/>
    </row>
    <row r="62" spans="2:20" x14ac:dyDescent="0.3">
      <c r="F62" s="41"/>
      <c r="K62" s="44"/>
      <c r="M62" s="49"/>
      <c r="R62" s="44"/>
    </row>
    <row r="63" spans="2:20" x14ac:dyDescent="0.3">
      <c r="B63" s="5" t="s">
        <v>4</v>
      </c>
      <c r="C63" s="5" t="s">
        <v>6</v>
      </c>
      <c r="D63" s="5" t="s">
        <v>159</v>
      </c>
      <c r="F63" s="41"/>
      <c r="K63" s="44"/>
      <c r="M63" s="49"/>
      <c r="R63" s="44"/>
    </row>
    <row r="64" spans="2:20" x14ac:dyDescent="0.3">
      <c r="B64" s="3" t="str">
        <f>B63</f>
        <v>Endeavour</v>
      </c>
      <c r="C64" s="3" t="str">
        <f t="shared" ref="C64:C83" si="16">C63</f>
        <v>Residential</v>
      </c>
      <c r="D64" s="3" t="str">
        <f t="shared" ref="D64:D83" si="17">D63</f>
        <v>with CL</v>
      </c>
      <c r="E64" s="3" t="s">
        <v>24</v>
      </c>
      <c r="F64" s="41">
        <f t="array" ref="F64">IFERROR(INDEX(Usage!$B$5:$T$18,MATCH($B64,Usage!$B$5:$B$18,0),MATCH($C64&amp;$D64&amp;$E64&amp;$T64,Usage!$B$5:$W$5&amp;Usage!$B$6:$W$6&amp;Usage!$B$7:$W$7&amp;Usage!$B$13:$W$13,0)),0)</f>
        <v>4000</v>
      </c>
      <c r="G64" s="3" t="s">
        <v>54</v>
      </c>
      <c r="H64" s="93">
        <f t="array" ref="H64">IFERROR(INDEX('Detail inputs'!$B$3:$L$304,MATCH($B64&amp;$C64&amp;$E64&amp;$G64&amp;H$5&amp;$T64,'Detail inputs'!$B$3:$B$304&amp;'Detail inputs'!$D$3:$D$304&amp;'Detail inputs'!$F$3:$F$304&amp;'Detail inputs'!$G$3:$G$304&amp;'Detail inputs'!$H$3:$H$304&amp;'Detail inputs'!$L$3:$L$304,0),MATCH(H$4,'Detail inputs'!$B$3:$L$3,0)),0)</f>
        <v>134.35650000000001</v>
      </c>
      <c r="I64" s="93">
        <f t="array" ref="I64">IFERROR(INDEX('Detail inputs'!$B$3:$L$304,MATCH($B64&amp;$C64&amp;$E64&amp;$G64&amp;I$5&amp;$T64,'Detail inputs'!$B$3:$B$304&amp;'Detail inputs'!$D$3:$D$304&amp;'Detail inputs'!$F$3:$F$304&amp;'Detail inputs'!$G$3:$G$304&amp;'Detail inputs'!$H$3:$H$304&amp;'Detail inputs'!$L$3:$L$304,0),MATCH(I$4,'Detail inputs'!$B$3:$L$3,0)),0)</f>
        <v>69.135000000000005</v>
      </c>
      <c r="J64" s="93">
        <f>IF(AND(H64="",I64=""),"",H64+I64*F64/1000)</f>
        <v>410.89650000000006</v>
      </c>
      <c r="K64" s="44">
        <f>IFERROR(J64/J66,"")</f>
        <v>0.83201261089968082</v>
      </c>
      <c r="L64" s="44"/>
      <c r="M64" s="49">
        <f t="array" ref="M64">IFERROR(IF($S64="Indicative tariff",$Q64/$J64-1,IF($S64="Zero",0,IF($S64="NA","",IF($S64="Draft x-factor",INDEX('Detail inputs'!$B$3:$P$304,MATCH($B64&amp;$G64&amp;$S64,'Detail inputs'!$B$3:$B$304&amp;'Detail inputs'!$G$3:$G$304&amp;'Detail inputs'!$H$3:$H$304,0),MATCH(M$4,'Detail inputs'!$B$3:$P$3,0)))))),"")</f>
        <v>-2.5298341553164905E-2</v>
      </c>
      <c r="N64" s="44"/>
      <c r="O64" s="93">
        <f t="array" ref="O64">IFERROR(IF(OR($S64="NA",$S64="Draft x-factor",$S64="Zero"),"",INDEX('Detail inputs'!$B$3:$L$304,MATCH($B64&amp;$C64&amp;$E64&amp;$G64&amp;O$5&amp;$T64,'Detail inputs'!$B$3:$B$304&amp;'Detail inputs'!$D$3:$D$304&amp;'Detail inputs'!$F$3:$F$304&amp;'Detail inputs'!$G$3:$G$304&amp;'Detail inputs'!$H$3:$H$304&amp;'Detail inputs'!$L$3:$L$304,0),MATCH(O$4,'Detail inputs'!$B$3:$L$3,0))),0)</f>
        <v>141.4375</v>
      </c>
      <c r="P64" s="93">
        <f t="array" ref="P64">IFERROR(IF(OR($S64="NA",$S64="Draft x-factor",$S64="Zero"),"",INDEX('Detail inputs'!$B$3:$L$304,MATCH($B64&amp;$C64&amp;$E64&amp;$G64&amp;P$5&amp;$T64,'Detail inputs'!$B$3:$B$304&amp;'Detail inputs'!$D$3:$D$304&amp;'Detail inputs'!$F$3:$F$304&amp;'Detail inputs'!$G$3:$G$304&amp;'Detail inputs'!$H$3:$H$304&amp;'Detail inputs'!$L$3:$L$304,0),MATCH(P$4,'Detail inputs'!$B$3:$L$3,0))),0)</f>
        <v>64.766000000000005</v>
      </c>
      <c r="Q64" s="93">
        <f>IF(AND(O64="",P64=""),"",O64+P64*F64/1000)</f>
        <v>400.50150000000002</v>
      </c>
      <c r="R64" s="44">
        <f>IFERROR(Q64/Q66,"")</f>
        <v>0.83748256819497779</v>
      </c>
      <c r="S64" s="21" t="str">
        <f t="array" ref="S64">INDEX('Key inputs'!$B$35:$J$41,MATCH($B64,'Key inputs'!$B$35:$B$41,0),MATCH($G64&amp;S$5,'Key inputs'!$B$35:$J$35&amp;'Key inputs'!$B$36:$J$36,0))</f>
        <v>Indicative tariff</v>
      </c>
      <c r="T64" s="21" t="s">
        <v>60</v>
      </c>
    </row>
    <row r="65" spans="2:20" x14ac:dyDescent="0.3">
      <c r="B65" s="3" t="str">
        <f t="shared" ref="B65:B83" si="18">B64</f>
        <v>Endeavour</v>
      </c>
      <c r="C65" s="3" t="str">
        <f t="shared" si="16"/>
        <v>Residential</v>
      </c>
      <c r="D65" s="3" t="str">
        <f t="shared" si="17"/>
        <v>with CL</v>
      </c>
      <c r="E65" s="3" t="s">
        <v>24</v>
      </c>
      <c r="F65" s="41">
        <f t="array" ref="F65">IFERROR(INDEX(Usage!$B$5:$T$18,MATCH($B65,Usage!$B$5:$B$18,0),MATCH($C65&amp;$D65&amp;$E65&amp;$T65,Usage!$B$5:$W$5&amp;Usage!$B$6:$W$6&amp;Usage!$B$7:$W$7&amp;Usage!$B$13:$W$13,0)),0)</f>
        <v>1200</v>
      </c>
      <c r="G65" s="3" t="s">
        <v>54</v>
      </c>
      <c r="H65" s="93">
        <f t="array" ref="H65">IFERROR(INDEX('Detail inputs'!$B$3:$L$304,MATCH($B65&amp;$C65&amp;$E65&amp;$G65&amp;H$5&amp;$T65,'Detail inputs'!$B$3:$B$304&amp;'Detail inputs'!$D$3:$D$304&amp;'Detail inputs'!$F$3:$F$304&amp;'Detail inputs'!$G$3:$G$304&amp;'Detail inputs'!$H$3:$H$304&amp;'Detail inputs'!$L$3:$L$304,0),MATCH(H$4,'Detail inputs'!$B$3:$L$3,0)),0)</f>
        <v>0</v>
      </c>
      <c r="I65" s="93">
        <f t="array" ref="I65">IFERROR(INDEX('Detail inputs'!$B$3:$L$304,MATCH($B65&amp;$C65&amp;$E65&amp;$G65&amp;I$5&amp;$T65,'Detail inputs'!$B$3:$B$304&amp;'Detail inputs'!$D$3:$D$304&amp;'Detail inputs'!$F$3:$F$304&amp;'Detail inputs'!$G$3:$G$304&amp;'Detail inputs'!$H$3:$H$304&amp;'Detail inputs'!$L$3:$L$304,0),MATCH(I$4,'Detail inputs'!$B$3:$L$3,0)),0)</f>
        <v>69.135000000000005</v>
      </c>
      <c r="J65" s="93">
        <f>IF(AND(H65="",I65=""),"",H65+I65*F65/1000)</f>
        <v>82.962000000000003</v>
      </c>
      <c r="K65" s="44">
        <f>IFERROR(J65/J66,"")</f>
        <v>0.16798738910031921</v>
      </c>
      <c r="L65" s="44"/>
      <c r="M65" s="49">
        <f t="array" ref="M65">IFERROR(IF($S65="Indicative tariff",$Q65/$J65-1,IF($S65="Zero",0,IF($S65="NA","",IF($S65="Draft x-factor",INDEX('Detail inputs'!$B$3:$P$304,MATCH($B65&amp;$G65&amp;$S65,'Detail inputs'!$B$3:$B$304&amp;'Detail inputs'!$G$3:$G$304&amp;'Detail inputs'!$H$3:$H$304,0),MATCH(M$4,'Detail inputs'!$B$3:$P$3,0)))))),"")</f>
        <v>-6.3195197801402925E-2</v>
      </c>
      <c r="N65" s="44"/>
      <c r="O65" s="93">
        <f t="array" ref="O65">IFERROR(IF(OR($S65="NA",$S65="Draft x-factor",$S65="Zero"),"",INDEX('Detail inputs'!$B$3:$L$304,MATCH($B65&amp;$C65&amp;$E65&amp;$G65&amp;O$5&amp;$T65,'Detail inputs'!$B$3:$B$304&amp;'Detail inputs'!$D$3:$D$304&amp;'Detail inputs'!$F$3:$F$304&amp;'Detail inputs'!$G$3:$G$304&amp;'Detail inputs'!$H$3:$H$304&amp;'Detail inputs'!$L$3:$L$304,0),MATCH(O$4,'Detail inputs'!$B$3:$L$3,0))),0)</f>
        <v>0</v>
      </c>
      <c r="P65" s="93">
        <f t="array" ref="P65">IFERROR(IF(OR($S65="NA",$S65="Draft x-factor",$S65="Zero"),"",INDEX('Detail inputs'!$B$3:$L$304,MATCH($B65&amp;$C65&amp;$E65&amp;$G65&amp;P$5&amp;$T65,'Detail inputs'!$B$3:$B$304&amp;'Detail inputs'!$D$3:$D$304&amp;'Detail inputs'!$F$3:$F$304&amp;'Detail inputs'!$G$3:$G$304&amp;'Detail inputs'!$H$3:$H$304&amp;'Detail inputs'!$L$3:$L$304,0),MATCH(P$4,'Detail inputs'!$B$3:$L$3,0))),0)</f>
        <v>64.766000000000005</v>
      </c>
      <c r="Q65" s="93">
        <f>IF(AND(O65="",P65=""),"",O65+P65*F65/1000)</f>
        <v>77.719200000000015</v>
      </c>
      <c r="R65" s="44">
        <f>IFERROR(Q65/Q66,"")</f>
        <v>0.16251743180502226</v>
      </c>
      <c r="S65" s="21" t="str">
        <f t="array" ref="S65">INDEX('Key inputs'!$B$35:$J$41,MATCH($B65,'Key inputs'!$B$35:$B$41,0),MATCH($G65&amp;S$5,'Key inputs'!$B$35:$J$35&amp;'Key inputs'!$B$36:$J$36,0))</f>
        <v>Indicative tariff</v>
      </c>
      <c r="T65" s="21" t="s">
        <v>61</v>
      </c>
    </row>
    <row r="66" spans="2:20" x14ac:dyDescent="0.3">
      <c r="B66" s="3" t="str">
        <f t="shared" si="18"/>
        <v>Endeavour</v>
      </c>
      <c r="C66" s="3" t="str">
        <f t="shared" si="16"/>
        <v>Residential</v>
      </c>
      <c r="D66" s="3" t="str">
        <f t="shared" si="17"/>
        <v>with CL</v>
      </c>
      <c r="E66" s="3" t="s">
        <v>24</v>
      </c>
      <c r="F66" s="41">
        <f>SUM(F64:F65)</f>
        <v>5200</v>
      </c>
      <c r="G66" s="3" t="s">
        <v>88</v>
      </c>
      <c r="J66" s="93">
        <f>SUM(J64:J65)</f>
        <v>493.85850000000005</v>
      </c>
      <c r="K66" s="44">
        <f>IFERROR(J66/J69,"")</f>
        <v>0.86274750609380813</v>
      </c>
      <c r="L66" s="44"/>
      <c r="M66" s="49">
        <f>IF(J66=0,"",IF(Q66="",SUMPRODUCT(K64:K65,M64:M65),Q66/J66-1))</f>
        <v>-3.1664535489416501E-2</v>
      </c>
      <c r="N66" s="44"/>
      <c r="Q66" s="93">
        <f>IF(AND(Q64="",Q65=""),"",SUM(Q64:Q65))</f>
        <v>478.22070000000002</v>
      </c>
      <c r="R66" s="44">
        <f>IFERROR(Q66/Q69,"")</f>
        <v>0.85338538604202463</v>
      </c>
    </row>
    <row r="67" spans="2:20" x14ac:dyDescent="0.3">
      <c r="B67" s="3" t="str">
        <f t="shared" si="18"/>
        <v>Endeavour</v>
      </c>
      <c r="C67" s="3" t="str">
        <f t="shared" si="16"/>
        <v>Residential</v>
      </c>
      <c r="D67" s="3" t="str">
        <f t="shared" si="17"/>
        <v>with CL</v>
      </c>
      <c r="E67" s="3" t="s">
        <v>24</v>
      </c>
      <c r="F67" s="41">
        <f t="array" ref="F67">IFERROR(INDEX(Usage!$B$5:$T$18,MATCH($B67,Usage!$B$5:$B$18,0),MATCH($C67&amp;$D67&amp;$E67&amp;$T67,Usage!$B$5:$W$5&amp;Usage!$B$6:$W$6&amp;Usage!$B$7:$W$7&amp;Usage!$B$13:$W$13,0)),0)</f>
        <v>5200</v>
      </c>
      <c r="G67" s="3" t="s">
        <v>55</v>
      </c>
      <c r="H67" s="93">
        <f t="array" ref="H67">IFERROR(INDEX('Detail inputs'!$B$3:$L$304,MATCH($B67&amp;$C67&amp;$E67&amp;$G67&amp;H$5&amp;$T67,'Detail inputs'!$B$3:$B$304&amp;'Detail inputs'!$D$3:$D$304&amp;'Detail inputs'!$F$3:$F$304&amp;'Detail inputs'!$G$3:$G$304&amp;'Detail inputs'!$H$3:$H$304&amp;'Detail inputs'!$L$3:$L$304,0),MATCH(H$4,'Detail inputs'!$B$3:$L$3,0)),0)</f>
        <v>0</v>
      </c>
      <c r="I67" s="93">
        <f t="array" ref="I67">IFERROR(INDEX('Detail inputs'!$B$3:$L$304,MATCH($B67&amp;$C67&amp;$E67&amp;$G67&amp;I$5&amp;$T67,'Detail inputs'!$B$3:$B$304&amp;'Detail inputs'!$D$3:$D$304&amp;'Detail inputs'!$F$3:$F$304&amp;'Detail inputs'!$G$3:$G$304&amp;'Detail inputs'!$H$3:$H$304&amp;'Detail inputs'!$L$3:$L$304,0),MATCH(I$4,'Detail inputs'!$B$3:$L$3,0)),0)</f>
        <v>10.98</v>
      </c>
      <c r="J67" s="93">
        <f>IF(AND(H67="",I67=""),"",H67+I67*F67/1000)</f>
        <v>57.095999999999997</v>
      </c>
      <c r="K67" s="44">
        <f>IFERROR(J67/J69,"")</f>
        <v>9.9744019001256554E-2</v>
      </c>
      <c r="L67" s="44"/>
      <c r="M67" s="49">
        <f t="array" ref="M67">IFERROR(IF($S67="Indicative tariff",$Q67/$J67-1,IF($S67="Zero",0,IF($S67="NA","",IF($S67="Draft x-factor",INDEX('Detail inputs'!$B$3:$P$304,MATCH($B67&amp;$G67&amp;$S67,'Detail inputs'!$B$3:$B$304&amp;'Detail inputs'!$G$3:$G$304&amp;'Detail inputs'!$H$3:$H$304,0),MATCH(M$4,'Detail inputs'!$B$3:$P$3,0)))))),"")</f>
        <v>4.8178506375227803E-2</v>
      </c>
      <c r="N67" s="44"/>
      <c r="O67" s="93">
        <f t="array" ref="O67">IFERROR(IF(OR($S67="NA",$S67="Draft x-factor",$S67="Zero"),"",INDEX('Detail inputs'!$B$3:$L$304,MATCH($B67&amp;$C67&amp;$E67&amp;$G67&amp;O$5&amp;$T67,'Detail inputs'!$B$3:$B$304&amp;'Detail inputs'!$D$3:$D$304&amp;'Detail inputs'!$F$3:$F$304&amp;'Detail inputs'!$G$3:$G$304&amp;'Detail inputs'!$H$3:$H$304&amp;'Detail inputs'!$L$3:$L$304,0),MATCH(O$4,'Detail inputs'!$B$3:$L$3,0))),0)</f>
        <v>0</v>
      </c>
      <c r="P67" s="93">
        <f t="array" ref="P67">IFERROR(IF(OR($S67="NA",$S67="Draft x-factor",$S67="Zero"),"",INDEX('Detail inputs'!$B$3:$L$304,MATCH($B67&amp;$C67&amp;$E67&amp;$G67&amp;P$5&amp;$T67,'Detail inputs'!$B$3:$B$304&amp;'Detail inputs'!$D$3:$D$304&amp;'Detail inputs'!$F$3:$F$304&amp;'Detail inputs'!$G$3:$G$304&amp;'Detail inputs'!$H$3:$H$304&amp;'Detail inputs'!$L$3:$L$304,0),MATCH(P$4,'Detail inputs'!$B$3:$L$3,0))),0)</f>
        <v>11.509</v>
      </c>
      <c r="Q67" s="93">
        <f>IF(AND(O67="",P67=""),"",O67+P67*F67/1000)</f>
        <v>59.846800000000002</v>
      </c>
      <c r="R67" s="44">
        <f>IFERROR(Q67/Q69,"")</f>
        <v>0.10679668304065432</v>
      </c>
      <c r="S67" s="21" t="str">
        <f t="array" ref="S67">INDEX('Key inputs'!$B$35:$J$41,MATCH($B67,'Key inputs'!$B$35:$B$41,0),MATCH($G67&amp;S$5,'Key inputs'!$B$35:$J$35&amp;'Key inputs'!$B$36:$J$36,0))</f>
        <v>Indicative tariff</v>
      </c>
      <c r="T67" s="21" t="s">
        <v>58</v>
      </c>
    </row>
    <row r="68" spans="2:20" x14ac:dyDescent="0.3">
      <c r="B68" s="3" t="str">
        <f t="shared" si="18"/>
        <v>Endeavour</v>
      </c>
      <c r="C68" s="3" t="str">
        <f t="shared" si="16"/>
        <v>Residential</v>
      </c>
      <c r="D68" s="3" t="str">
        <f t="shared" si="17"/>
        <v>with CL</v>
      </c>
      <c r="E68" s="3" t="s">
        <v>24</v>
      </c>
      <c r="F68" s="41">
        <f t="array" ref="F68">IFERROR(INDEX(Usage!$B$5:$T$18,MATCH($B68,Usage!$B$5:$B$18,0),MATCH($C68&amp;$D68&amp;$E68&amp;$T68,Usage!$B$5:$W$5&amp;Usage!$B$6:$W$6&amp;Usage!$B$7:$W$7&amp;Usage!$B$13:$W$13,0)),0)</f>
        <v>5200</v>
      </c>
      <c r="G68" s="3" t="s">
        <v>56</v>
      </c>
      <c r="H68" s="93">
        <f t="array" ref="H68">IFERROR(INDEX('Detail inputs'!$B$3:$L$304,MATCH($B68&amp;$C68&amp;$E68&amp;$G68&amp;H$5&amp;$T68,'Detail inputs'!$B$3:$B$304&amp;'Detail inputs'!$D$3:$D$304&amp;'Detail inputs'!$F$3:$F$304&amp;'Detail inputs'!$G$3:$G$304&amp;'Detail inputs'!$H$3:$H$304&amp;'Detail inputs'!$L$3:$L$304,0),MATCH(H$4,'Detail inputs'!$B$3:$L$3,0)),0)</f>
        <v>0</v>
      </c>
      <c r="I68" s="93">
        <f t="array" ref="I68">IFERROR(INDEX('Detail inputs'!$B$3:$L$304,MATCH($B68&amp;$C68&amp;$E68&amp;$G68&amp;I$5&amp;$T68,'Detail inputs'!$B$3:$B$304&amp;'Detail inputs'!$D$3:$D$304&amp;'Detail inputs'!$F$3:$F$304&amp;'Detail inputs'!$G$3:$G$304&amp;'Detail inputs'!$H$3:$H$304&amp;'Detail inputs'!$L$3:$L$304,0),MATCH(I$4,'Detail inputs'!$B$3:$L$3,0)),0)</f>
        <v>4.1289999999999996</v>
      </c>
      <c r="J68" s="93">
        <f>IF(AND(H68="",I68=""),"",H68+I68*F68/1000)</f>
        <v>21.470800000000001</v>
      </c>
      <c r="K68" s="44">
        <f>IFERROR(J68/J69,"")</f>
        <v>3.7508474904935189E-2</v>
      </c>
      <c r="L68" s="44"/>
      <c r="M68" s="49">
        <f t="array" ref="M68">IFERROR(IF($S68="Indicative tariff",$Q68/$J68-1,IF($S68="Zero",0,IF($S68="NA","",IF($S68="Draft x-factor",INDEX('Detail inputs'!$B$3:$P$304,MATCH($B68&amp;$G68&amp;$S68,'Detail inputs'!$B$3:$B$304&amp;'Detail inputs'!$G$3:$G$304&amp;'Detail inputs'!$H$3:$H$304,0),MATCH(M$4,'Detail inputs'!$B$3:$P$3,0)))))),"")</f>
        <v>3.9234681520949222E-2</v>
      </c>
      <c r="N68" s="44"/>
      <c r="O68" s="93">
        <f t="array" ref="O68">IFERROR(IF(OR($S68="NA",$S68="Draft x-factor",$S68="Zero"),"",INDEX('Detail inputs'!$B$3:$L$304,MATCH($B68&amp;$C68&amp;$E68&amp;$G68&amp;O$5&amp;$T68,'Detail inputs'!$B$3:$B$304&amp;'Detail inputs'!$D$3:$D$304&amp;'Detail inputs'!$F$3:$F$304&amp;'Detail inputs'!$G$3:$G$304&amp;'Detail inputs'!$H$3:$H$304&amp;'Detail inputs'!$L$3:$L$304,0),MATCH(O$4,'Detail inputs'!$B$3:$L$3,0))),0)</f>
        <v>0</v>
      </c>
      <c r="P68" s="93">
        <f t="array" ref="P68">IFERROR(IF(OR($S68="NA",$S68="Draft x-factor",$S68="Zero"),"",INDEX('Detail inputs'!$B$3:$L$304,MATCH($B68&amp;$C68&amp;$E68&amp;$G68&amp;P$5&amp;$T68,'Detail inputs'!$B$3:$B$304&amp;'Detail inputs'!$D$3:$D$304&amp;'Detail inputs'!$F$3:$F$304&amp;'Detail inputs'!$G$3:$G$304&amp;'Detail inputs'!$H$3:$H$304&amp;'Detail inputs'!$L$3:$L$304,0),MATCH(P$4,'Detail inputs'!$B$3:$L$3,0))),0)</f>
        <v>4.2909999999999995</v>
      </c>
      <c r="Q68" s="93">
        <f>IF(AND(O68="",P68=""),"",O68+P68*F68/1000)</f>
        <v>22.313199999999998</v>
      </c>
      <c r="R68" s="44">
        <f>IFERROR(Q68/Q69,"")</f>
        <v>3.9817930917321019E-2</v>
      </c>
      <c r="S68" s="21" t="str">
        <f t="array" ref="S68">INDEX('Key inputs'!$B$35:$J$41,MATCH($B68,'Key inputs'!$B$35:$B$41,0),MATCH($G68&amp;S$5,'Key inputs'!$B$35:$J$35&amp;'Key inputs'!$B$36:$J$36,0))</f>
        <v>Indicative tariff</v>
      </c>
      <c r="T68" s="21" t="s">
        <v>58</v>
      </c>
    </row>
    <row r="69" spans="2:20" x14ac:dyDescent="0.3">
      <c r="B69" s="3" t="str">
        <f t="shared" si="18"/>
        <v>Endeavour</v>
      </c>
      <c r="C69" s="3" t="str">
        <f t="shared" si="16"/>
        <v>Residential</v>
      </c>
      <c r="D69" s="3" t="str">
        <f t="shared" si="17"/>
        <v>with CL</v>
      </c>
      <c r="E69" s="3" t="s">
        <v>24</v>
      </c>
      <c r="F69" s="41">
        <f t="array" ref="F69">IFERROR(INDEX(Usage!$B$5:$T$18,MATCH($B69,Usage!$B$5:$B$18,0),MATCH($C69&amp;$D69&amp;$E69&amp;$T69,Usage!$B$5:$W$5&amp;Usage!$B$6:$W$6&amp;Usage!$B$7:$W$7&amp;Usage!$B$13:$W$13,0)),0)</f>
        <v>5200</v>
      </c>
      <c r="G69" s="3" t="s">
        <v>65</v>
      </c>
      <c r="J69" s="93">
        <f>SUM(J66:J68)</f>
        <v>572.42530000000011</v>
      </c>
      <c r="K69" s="44">
        <f>IFERROR(J69/J71,"")</f>
        <v>0.96673001474518983</v>
      </c>
      <c r="L69" s="44"/>
      <c r="M69" s="49">
        <f>IF(J69=0,"",IF(Q69="",SUMPRODUCT(K66:K68,M66:M68),Q69/J69-1))</f>
        <v>-2.1041348102538548E-2</v>
      </c>
      <c r="N69" s="44"/>
      <c r="O69" s="93" t="str">
        <f t="array" ref="O69">IFERROR(IF(OR($S69="NA",$S69="Draft x-factor",$S69="Sum"),"",INDEX('Detail inputs'!$B$3:$L$304,MATCH($B69&amp;$C69&amp;$E69&amp;$G69&amp;O$5&amp;$T69,'Detail inputs'!$B$3:$B$304&amp;'Detail inputs'!$D$3:$D$304&amp;'Detail inputs'!$F$3:$F$304&amp;'Detail inputs'!$G$3:$G$304&amp;'Detail inputs'!$H$3:$H$304&amp;'Detail inputs'!$L$3:$L$304,0),MATCH(O$4,'Detail inputs'!$B$3:$L$3,0))),0)</f>
        <v/>
      </c>
      <c r="P69" s="93" t="str">
        <f t="array" ref="P69">IFERROR(IF(OR($S69="NA",$S69="Draft x-factor",$S69="Sum"),"",INDEX('Detail inputs'!$B$3:$L$304,MATCH($B69&amp;$C69&amp;$E69&amp;$G69&amp;P$5&amp;$T69,'Detail inputs'!$B$3:$B$304&amp;'Detail inputs'!$D$3:$D$304&amp;'Detail inputs'!$F$3:$F$304&amp;'Detail inputs'!$G$3:$G$304&amp;'Detail inputs'!$H$3:$H$304&amp;'Detail inputs'!$L$3:$L$304,0),MATCH(P$4,'Detail inputs'!$B$3:$L$3,0))),0)</f>
        <v/>
      </c>
      <c r="Q69" s="93">
        <f>IF($S69="NA","",IF($S69="Indicative tariff",O69+P69*F69/1000,IF($S69="Sum",SUM(Q66:Q68))))</f>
        <v>560.38070000000005</v>
      </c>
      <c r="R69" s="44">
        <f>IFERROR(Q69/Q71,"")</f>
        <v>0.96603920799295673</v>
      </c>
      <c r="S69" s="21" t="str">
        <f t="array" ref="S69">INDEX('Key inputs'!$B$35:$J$41,MATCH($B69,'Key inputs'!$B$35:$B$41,0),MATCH($G69&amp;S$5,'Key inputs'!$B$35:$J$35&amp;'Key inputs'!$B$36:$J$36,0))</f>
        <v>Sum</v>
      </c>
      <c r="T69" s="21" t="s">
        <v>58</v>
      </c>
    </row>
    <row r="70" spans="2:20" x14ac:dyDescent="0.3">
      <c r="B70" s="3" t="str">
        <f t="shared" si="18"/>
        <v>Endeavour</v>
      </c>
      <c r="C70" s="3" t="str">
        <f t="shared" si="16"/>
        <v>Residential</v>
      </c>
      <c r="D70" s="3" t="str">
        <f t="shared" si="17"/>
        <v>with CL</v>
      </c>
      <c r="E70" s="3" t="s">
        <v>24</v>
      </c>
      <c r="F70" s="41">
        <f t="array" ref="F70">IFERROR(INDEX(Usage!$B$5:$T$18,MATCH($B70,Usage!$B$5:$B$18,0),MATCH($C70&amp;$D70&amp;$E70&amp;$T70,Usage!$B$5:$W$5&amp;Usage!$B$6:$W$6&amp;Usage!$B$7:$W$7&amp;Usage!$B$13:$W$13,0)),0)</f>
        <v>5200</v>
      </c>
      <c r="G70" s="3" t="s">
        <v>67</v>
      </c>
      <c r="H70" s="93">
        <f t="array" ref="H70">IFERROR(INDEX('Detail inputs'!$B$3:$L$304,MATCH($B70&amp;$C70&amp;$E70&amp;$G70&amp;H$5&amp;$T70,'Detail inputs'!$B$3:$B$304&amp;'Detail inputs'!$D$3:$D$304&amp;'Detail inputs'!$F$3:$F$304&amp;'Detail inputs'!$G$3:$G$304&amp;'Detail inputs'!$H$3:$H$304&amp;'Detail inputs'!$L$3:$L$304,0),MATCH(H$4,'Detail inputs'!$B$3:$L$3,0)),0)</f>
        <v>19.7</v>
      </c>
      <c r="I70" s="93">
        <f t="array" ref="I70">IFERROR(INDEX('Detail inputs'!$B$3:$L$304,MATCH($B70&amp;$C70&amp;$E70&amp;$G70&amp;I$5&amp;$T70,'Detail inputs'!$B$3:$B$304&amp;'Detail inputs'!$D$3:$D$304&amp;'Detail inputs'!$F$3:$F$304&amp;'Detail inputs'!$G$3:$G$304&amp;'Detail inputs'!$H$3:$H$304&amp;'Detail inputs'!$L$3:$L$304,0),MATCH(I$4,'Detail inputs'!$B$3:$L$3,0)),0)</f>
        <v>0</v>
      </c>
      <c r="J70" s="93">
        <f>IF(AND(H70="",I70=""),"",H70+I70*F70/1000)</f>
        <v>19.7</v>
      </c>
      <c r="K70" s="44">
        <f>IFERROR(J70/J71,"")</f>
        <v>3.3269985254810078E-2</v>
      </c>
      <c r="L70" s="44"/>
      <c r="M70" s="49">
        <f t="array" ref="M70">IFERROR(IF($S70="Indicative tariff",$Q70/$J70-1,IF($S70="Zero",0,IF($S70="NA","",IF($S70="Draft x-factor",INDEX('Detail inputs'!$B$3:$P$304,MATCH($B70&amp;$G70&amp;$S70,'Detail inputs'!$B$3:$B$304&amp;'Detail inputs'!$G$3:$G$304&amp;'Detail inputs'!$H$3:$H$304,0),MATCH(M$4,'Detail inputs'!$B$3:$P$3,0)))))),"")</f>
        <v>0</v>
      </c>
      <c r="N70" s="44"/>
      <c r="O70" s="93">
        <f t="array" ref="O70">IFERROR(IF(OR($S70="NA",$S70="Draft x-factor"),"",IF($S70="Zero",H70,INDEX('Detail inputs'!$B$3:$L$304,MATCH($B70&amp;$C70&amp;$E70&amp;$G70&amp;O$5&amp;$T70,'Detail inputs'!$B$3:$B$304&amp;'Detail inputs'!$D$3:$D$304&amp;'Detail inputs'!$F$3:$F$304&amp;'Detail inputs'!$G$3:$G$304&amp;'Detail inputs'!$H$3:$H$304&amp;'Detail inputs'!$L$3:$L$304,0),MATCH(O$4,'Detail inputs'!$B$3:$L$3,0)))),0)</f>
        <v>19.7</v>
      </c>
      <c r="P70" s="93">
        <f t="array" ref="P70">IFERROR(IF(OR($S70="NA",$S70="Draft x-factor"),"",IF($S70="Zero",I70,INDEX('Detail inputs'!$B$3:$L$304,MATCH($B70&amp;$C70&amp;$E70&amp;$G70&amp;P$5&amp;$T70,'Detail inputs'!$B$3:$B$304&amp;'Detail inputs'!$D$3:$D$304&amp;'Detail inputs'!$F$3:$F$304&amp;'Detail inputs'!$G$3:$G$304&amp;'Detail inputs'!$H$3:$H$304&amp;'Detail inputs'!$L$3:$L$304,0),MATCH(P$4,'Detail inputs'!$B$3:$L$3,0)))),0)</f>
        <v>0</v>
      </c>
      <c r="Q70" s="93">
        <f>IF(AND(O70="",P70=""),"",O70+P70*F70/1000)</f>
        <v>19.7</v>
      </c>
      <c r="R70" s="44">
        <f>IFERROR(Q70/Q71,"")</f>
        <v>3.3960792007043154E-2</v>
      </c>
      <c r="S70" s="21" t="str">
        <f t="array" ref="S70">INDEX('Key inputs'!$B$35:$J$41,MATCH($B70,'Key inputs'!$B$35:$B$41,0),MATCH($G70&amp;S$5,'Key inputs'!$B$35:$J$35&amp;'Key inputs'!$B$36:$J$36,0))</f>
        <v>Indicative tariff</v>
      </c>
      <c r="T70" s="21" t="s">
        <v>58</v>
      </c>
    </row>
    <row r="71" spans="2:20" x14ac:dyDescent="0.3">
      <c r="B71" s="3" t="str">
        <f t="shared" si="18"/>
        <v>Endeavour</v>
      </c>
      <c r="C71" s="3" t="str">
        <f t="shared" si="16"/>
        <v>Residential</v>
      </c>
      <c r="D71" s="3" t="str">
        <f t="shared" si="17"/>
        <v>with CL</v>
      </c>
      <c r="E71" s="3" t="s">
        <v>24</v>
      </c>
      <c r="F71" s="41">
        <f t="array" ref="F71">IFERROR(INDEX(Usage!$B$5:$T$18,MATCH($B71,Usage!$B$5:$B$18,0),MATCH($C71&amp;$D71&amp;$E71&amp;$T71,Usage!$B$5:$W$5&amp;Usage!$B$6:$W$6&amp;Usage!$B$7:$W$7&amp;Usage!$B$13:$W$13,0)),0)</f>
        <v>5200</v>
      </c>
      <c r="G71" s="3" t="s">
        <v>58</v>
      </c>
      <c r="J71" s="93">
        <f>SUM(J69:J70)</f>
        <v>592.12530000000015</v>
      </c>
      <c r="K71" s="44"/>
      <c r="M71" s="49">
        <f>IF(J71=0,"",IF(OR($S70="Draft x-factor",$S70="Zero"),SUMPRODUCT(K69:K70,M69:M70),Q71/J71-1))</f>
        <v>-2.0341302761425761E-2</v>
      </c>
      <c r="N71" s="92"/>
      <c r="O71" s="99"/>
      <c r="P71" s="99"/>
      <c r="Q71" s="99">
        <f>IF(AND(Q69="",Q70=""),J71*(1+M71),SUM(Q69:Q70))</f>
        <v>580.08070000000009</v>
      </c>
      <c r="R71" s="44"/>
      <c r="S71" s="27"/>
      <c r="T71" s="21" t="s">
        <v>58</v>
      </c>
    </row>
    <row r="72" spans="2:20" x14ac:dyDescent="0.3">
      <c r="B72" s="3" t="str">
        <f t="shared" si="18"/>
        <v>Endeavour</v>
      </c>
      <c r="C72" s="3" t="str">
        <f t="shared" si="16"/>
        <v>Residential</v>
      </c>
      <c r="D72" s="3" t="str">
        <f t="shared" si="17"/>
        <v>with CL</v>
      </c>
      <c r="E72" s="3" t="s">
        <v>15</v>
      </c>
      <c r="F72" s="41">
        <f t="array" ref="F72">IFERROR(INDEX(Usage!$B$5:$T$18,MATCH($B72,Usage!$B$5:$B$18,0),MATCH($C72&amp;$D72&amp;$E72,Usage!$B$5:$W$5&amp;Usage!$B$6:$W$6&amp;Usage!$B$7:$W$7,0)),0)</f>
        <v>1474</v>
      </c>
      <c r="G72" s="3" t="s">
        <v>54</v>
      </c>
      <c r="H72" s="93">
        <f t="array" ref="H72">IFERROR(INDEX('Detail inputs'!$B$3:$L$304,MATCH($B72&amp;$C72&amp;$E72&amp;$G72&amp;H$5&amp;$T72,'Detail inputs'!$B$3:$B$304&amp;'Detail inputs'!$D$3:$D$304&amp;'Detail inputs'!$F$3:$F$304&amp;'Detail inputs'!$G$3:$G$304&amp;'Detail inputs'!$H$3:$H$304&amp;'Detail inputs'!$L$3:$L$304,0),MATCH(H$4,'Detail inputs'!$B$3:$L$3,0)),0)</f>
        <v>11.826000000000001</v>
      </c>
      <c r="I72" s="93">
        <f t="array" ref="I72">IFERROR(INDEX('Detail inputs'!$B$3:$L$304,MATCH($B72&amp;$C72&amp;$E72&amp;$G72&amp;I$5&amp;$T72,'Detail inputs'!$B$3:$B$304&amp;'Detail inputs'!$D$3:$D$304&amp;'Detail inputs'!$F$3:$F$304&amp;'Detail inputs'!$G$3:$G$304&amp;'Detail inputs'!$H$3:$H$304&amp;'Detail inputs'!$L$3:$L$304,0),MATCH(I$4,'Detail inputs'!$B$3:$L$3,0)),0)</f>
        <v>8.4719999999999995</v>
      </c>
      <c r="J72" s="93">
        <f>IF(AND(H72="",I72=""),"",H72*INDEX(Usage!$B$4:$Q$18,MATCH($B72,Usage!$B$4:$B$18,0),MATCH(IF($E72="CL1","CL1 Proportion","CL2 Proportion"),Usage!$B$8:$Q$8,0))+I72*F72/1000)</f>
        <v>20.411148000000001</v>
      </c>
      <c r="K72" s="44">
        <f>IFERROR(J72/J75,"")</f>
        <v>0.74374887086614949</v>
      </c>
      <c r="L72" s="44"/>
      <c r="M72" s="49">
        <f t="array" ref="M72">IFERROR(IF($S72="Indicative tariff",$Q72/$J72-1,IF($S72="Zero",0,IF($S72="NA","",IF($S72="Draft x-factor",INDEX('Detail inputs'!$B$3:$P$304,MATCH($B72&amp;$G72&amp;$S72,'Detail inputs'!$B$3:$B$304&amp;'Detail inputs'!$G$3:$G$304&amp;'Detail inputs'!$H$3:$H$304,0),MATCH(M$4,'Detail inputs'!$B$3:$P$3,0)))))),"")</f>
        <v>0.1810408214177861</v>
      </c>
      <c r="N72" s="44"/>
      <c r="O72" s="93">
        <f t="array" ref="O72">IFERROR(IF(OR($S72="NA",$S72="Draft x-factor",$S72="Zero"),"",INDEX('Detail inputs'!$B$3:$L$304,MATCH($B72&amp;$C72&amp;$E72&amp;$G72&amp;O$5&amp;$T72,'Detail inputs'!$B$3:$B$304&amp;'Detail inputs'!$D$3:$D$304&amp;'Detail inputs'!$F$3:$F$304&amp;'Detail inputs'!$G$3:$G$304&amp;'Detail inputs'!$H$3:$H$304&amp;'Detail inputs'!$L$3:$L$304,0),MATCH(O$4,'Detail inputs'!$B$3:$L$3,0))),0)</f>
        <v>13.6145</v>
      </c>
      <c r="P72" s="93">
        <f t="array" ref="P72">IFERROR(IF(OR($S72="NA",$S72="Draft x-factor",$S72="Zero"),"",INDEX('Detail inputs'!$B$3:$L$304,MATCH($B72&amp;$C72&amp;$E72&amp;$G72&amp;P$5&amp;$T72,'Detail inputs'!$B$3:$B$304&amp;'Detail inputs'!$D$3:$D$304&amp;'Detail inputs'!$F$3:$F$304&amp;'Detail inputs'!$G$3:$G$304&amp;'Detail inputs'!$H$3:$H$304&amp;'Detail inputs'!$L$3:$L$304,0),MATCH(P$4,'Detail inputs'!$B$3:$L$3,0))),0)</f>
        <v>10.166</v>
      </c>
      <c r="Q72" s="93">
        <f>IF(AND(O72="",P72=""),"",O72*INDEX(Usage!$B$4:$Q$18,MATCH($B72,Usage!$B$4:$B$18,0),MATCH(IF($E72="CL1","CL1 Proportion","CL2 Proportion"),Usage!$B$8:$Q$8,0))+P72*$F72/1000)</f>
        <v>24.106399000000003</v>
      </c>
      <c r="R72" s="44">
        <f>IFERROR(Q72/Q75,"")</f>
        <v>0.76578459521412567</v>
      </c>
      <c r="S72" s="21" t="str">
        <f t="array" ref="S72">INDEX('Key inputs'!$B$35:$J$41,MATCH($B72,'Key inputs'!$B$35:$B$41,0),MATCH($G72&amp;S$5,'Key inputs'!$B$35:$J$35&amp;'Key inputs'!$B$36:$J$36,0))</f>
        <v>Indicative tariff</v>
      </c>
    </row>
    <row r="73" spans="2:20" x14ac:dyDescent="0.3">
      <c r="B73" s="3" t="str">
        <f t="shared" si="18"/>
        <v>Endeavour</v>
      </c>
      <c r="C73" s="3" t="str">
        <f t="shared" si="16"/>
        <v>Residential</v>
      </c>
      <c r="D73" s="3" t="str">
        <f t="shared" si="17"/>
        <v>with CL</v>
      </c>
      <c r="E73" s="3" t="s">
        <v>15</v>
      </c>
      <c r="F73" s="41">
        <f t="array" ref="F73">IFERROR(INDEX(Usage!$B$5:$T$18,MATCH($B73,Usage!$B$5:$B$18,0),MATCH($C73&amp;$D73&amp;$E73,Usage!$B$5:$W$5&amp;Usage!$B$6:$W$6&amp;Usage!$B$7:$W$7,0)),0)</f>
        <v>1474</v>
      </c>
      <c r="G73" s="3" t="s">
        <v>55</v>
      </c>
      <c r="H73" s="93">
        <f t="array" ref="H73">IFERROR(INDEX('Detail inputs'!$B$3:$L$304,MATCH($B73&amp;$C73&amp;$E73&amp;$G73&amp;H$5&amp;$T73,'Detail inputs'!$B$3:$B$304&amp;'Detail inputs'!$D$3:$D$304&amp;'Detail inputs'!$F$3:$F$304&amp;'Detail inputs'!$G$3:$G$304&amp;'Detail inputs'!$H$3:$H$304&amp;'Detail inputs'!$L$3:$L$304,0),MATCH(H$4,'Detail inputs'!$B$3:$L$3,0)),0)</f>
        <v>0</v>
      </c>
      <c r="I73" s="93">
        <f t="array" ref="I73">IFERROR(INDEX('Detail inputs'!$B$3:$L$304,MATCH($B73&amp;$C73&amp;$E73&amp;$G73&amp;I$5&amp;$T73,'Detail inputs'!$B$3:$B$304&amp;'Detail inputs'!$D$3:$D$304&amp;'Detail inputs'!$F$3:$F$304&amp;'Detail inputs'!$G$3:$G$304&amp;'Detail inputs'!$H$3:$H$304&amp;'Detail inputs'!$L$3:$L$304,0),MATCH(I$4,'Detail inputs'!$B$3:$L$3,0)),0)</f>
        <v>4.7709999999999999</v>
      </c>
      <c r="J73" s="93">
        <f>IF(AND(H73="",I73=""),"",H73*INDEX(Usage!$B$4:$Q$18,MATCH($B73,Usage!$B$4:$B$18,0),MATCH(IF($E73="CL1","CL1 Proportion","CL2 Proportion"),Usage!$B$8:$Q$8,0))+I73*F73/1000)</f>
        <v>7.0324539999999995</v>
      </c>
      <c r="K73" s="44">
        <f>IFERROR(J73/J75,"")</f>
        <v>0.25625112913385056</v>
      </c>
      <c r="L73" s="44"/>
      <c r="M73" s="49">
        <f t="array" ref="M73">IFERROR(IF($S73="Indicative tariff",$Q73/$J73-1,IF($S73="Zero",0,IF($S73="NA","",IF($S73="Draft x-factor",INDEX('Detail inputs'!$B$3:$P$304,MATCH($B73&amp;$G73&amp;$S73,'Detail inputs'!$B$3:$B$304&amp;'Detail inputs'!$G$3:$G$304&amp;'Detail inputs'!$H$3:$H$304,0),MATCH(M$4,'Detail inputs'!$B$3:$P$3,0)))))),"")</f>
        <v>4.8417522531963852E-2</v>
      </c>
      <c r="N73" s="44"/>
      <c r="O73" s="93">
        <f t="array" ref="O73">IFERROR(IF(OR($S73="NA",$S73="Draft x-factor",$S73="Zero"),"",INDEX('Detail inputs'!$B$3:$L$304,MATCH($B73&amp;$C73&amp;$E73&amp;$G73&amp;O$5&amp;$T73,'Detail inputs'!$B$3:$B$304&amp;'Detail inputs'!$D$3:$D$304&amp;'Detail inputs'!$F$3:$F$304&amp;'Detail inputs'!$G$3:$G$304&amp;'Detail inputs'!$H$3:$H$304&amp;'Detail inputs'!$L$3:$L$304,0),MATCH(O$4,'Detail inputs'!$B$3:$L$3,0))),0)</f>
        <v>0</v>
      </c>
      <c r="P73" s="93">
        <f t="array" ref="P73">IFERROR(IF(OR($S73="NA",$S73="Draft x-factor",$S73="Zero"),"",INDEX('Detail inputs'!$B$3:$L$304,MATCH($B73&amp;$C73&amp;$E73&amp;$G73&amp;P$5&amp;$T73,'Detail inputs'!$B$3:$B$304&amp;'Detail inputs'!$D$3:$D$304&amp;'Detail inputs'!$F$3:$F$304&amp;'Detail inputs'!$G$3:$G$304&amp;'Detail inputs'!$H$3:$H$304&amp;'Detail inputs'!$L$3:$L$304,0),MATCH(P$4,'Detail inputs'!$B$3:$L$3,0))),0)</f>
        <v>5.0019999999999998</v>
      </c>
      <c r="Q73" s="93">
        <f>IF(AND(O73="",P73=""),"",O73*INDEX(Usage!$B$4:$Q$18,MATCH($B73,Usage!$B$4:$B$18,0),MATCH(IF($E73="CL1","CL1 Proportion","CL2 Proportion"),Usage!$B$8:$Q$8,0))+P73*$F73/1000)</f>
        <v>7.3729479999999992</v>
      </c>
      <c r="R73" s="44">
        <f>IFERROR(Q73/Q75,"")</f>
        <v>0.23421540478587433</v>
      </c>
      <c r="S73" s="21" t="str">
        <f t="array" ref="S73">INDEX('Key inputs'!$B$35:$J$41,MATCH($B73,'Key inputs'!$B$35:$B$41,0),MATCH($G73&amp;S$5,'Key inputs'!$B$35:$J$35&amp;'Key inputs'!$B$36:$J$36,0))</f>
        <v>Indicative tariff</v>
      </c>
    </row>
    <row r="74" spans="2:20" x14ac:dyDescent="0.3">
      <c r="B74" s="3" t="str">
        <f t="shared" si="18"/>
        <v>Endeavour</v>
      </c>
      <c r="C74" s="3" t="str">
        <f t="shared" si="16"/>
        <v>Residential</v>
      </c>
      <c r="D74" s="3" t="str">
        <f t="shared" si="17"/>
        <v>with CL</v>
      </c>
      <c r="E74" s="3" t="s">
        <v>15</v>
      </c>
      <c r="F74" s="41">
        <f t="array" ref="F74">IFERROR(INDEX(Usage!$B$5:$T$18,MATCH($B74,Usage!$B$5:$B$18,0),MATCH($C74&amp;$D74&amp;$E74,Usage!$B$5:$W$5&amp;Usage!$B$6:$W$6&amp;Usage!$B$7:$W$7,0)),0)</f>
        <v>1474</v>
      </c>
      <c r="G74" s="3" t="s">
        <v>56</v>
      </c>
      <c r="H74" s="93">
        <f t="array" ref="H74">IFERROR(INDEX('Detail inputs'!$B$3:$L$304,MATCH($B74&amp;$C74&amp;$E74&amp;$G74&amp;H$5&amp;$T74,'Detail inputs'!$B$3:$B$304&amp;'Detail inputs'!$D$3:$D$304&amp;'Detail inputs'!$F$3:$F$304&amp;'Detail inputs'!$G$3:$G$304&amp;'Detail inputs'!$H$3:$H$304&amp;'Detail inputs'!$L$3:$L$304,0),MATCH(H$4,'Detail inputs'!$B$3:$L$3,0)),0)</f>
        <v>0</v>
      </c>
      <c r="I74" s="93">
        <f t="array" ref="I74">IFERROR(INDEX('Detail inputs'!$B$3:$L$304,MATCH($B74&amp;$C74&amp;$E74&amp;$G74&amp;I$5&amp;$T74,'Detail inputs'!$B$3:$B$304&amp;'Detail inputs'!$D$3:$D$304&amp;'Detail inputs'!$F$3:$F$304&amp;'Detail inputs'!$G$3:$G$304&amp;'Detail inputs'!$H$3:$H$304&amp;'Detail inputs'!$L$3:$L$304,0),MATCH(I$4,'Detail inputs'!$B$3:$L$3,0)),0)</f>
        <v>0</v>
      </c>
      <c r="J74" s="93">
        <f>IF(AND(H74="",I74=""),"",H74*INDEX(Usage!$B$4:$Q$18,MATCH($B74,Usage!$B$4:$B$18,0),MATCH(IF($E74="CL1","CL1 Proportion","CL2 Proportion"),Usage!$B$8:$Q$8,0))+I74*F74/1000)</f>
        <v>0</v>
      </c>
      <c r="K74" s="44">
        <f>IFERROR(J74/J75,"")</f>
        <v>0</v>
      </c>
      <c r="L74" s="44"/>
      <c r="M74" s="49" t="str">
        <f t="array" ref="M74">IFERROR(IF($S74="Indicative tariff",$Q74/$J74-1,IF($S74="Zero",0,IF($S74="NA","",IF($S74="Draft x-factor",INDEX('Detail inputs'!$B$3:$P$304,MATCH($B74&amp;$G74&amp;$S74,'Detail inputs'!$B$3:$B$304&amp;'Detail inputs'!$G$3:$G$304&amp;'Detail inputs'!$H$3:$H$304,0),MATCH(M$4,'Detail inputs'!$B$3:$P$3,0)))))),"")</f>
        <v/>
      </c>
      <c r="N74" s="44"/>
      <c r="O74" s="93">
        <f t="array" ref="O74">IFERROR(IF(OR($S74="NA",$S74="Draft x-factor",$S74="Zero"),"",INDEX('Detail inputs'!$B$3:$L$304,MATCH($B74&amp;$C74&amp;$E74&amp;$G74&amp;O$5&amp;$T74,'Detail inputs'!$B$3:$B$304&amp;'Detail inputs'!$D$3:$D$304&amp;'Detail inputs'!$F$3:$F$304&amp;'Detail inputs'!$G$3:$G$304&amp;'Detail inputs'!$H$3:$H$304&amp;'Detail inputs'!$L$3:$L$304,0),MATCH(O$4,'Detail inputs'!$B$3:$L$3,0))),0)</f>
        <v>0</v>
      </c>
      <c r="P74" s="93">
        <f t="array" ref="P74">IFERROR(IF(OR($S74="NA",$S74="Draft x-factor",$S74="Zero"),"",INDEX('Detail inputs'!$B$3:$L$304,MATCH($B74&amp;$C74&amp;$E74&amp;$G74&amp;P$5&amp;$T74,'Detail inputs'!$B$3:$B$304&amp;'Detail inputs'!$D$3:$D$304&amp;'Detail inputs'!$F$3:$F$304&amp;'Detail inputs'!$G$3:$G$304&amp;'Detail inputs'!$H$3:$H$304&amp;'Detail inputs'!$L$3:$L$304,0),MATCH(P$4,'Detail inputs'!$B$3:$L$3,0))),0)</f>
        <v>0</v>
      </c>
      <c r="Q74" s="93">
        <f>IF(AND(O74="",P74=""),"",O74*INDEX(Usage!$B$4:$Q$18,MATCH($B74,Usage!$B$4:$B$18,0),MATCH(IF($E74="CL1","CL1 Proportion","CL2 Proportion"),Usage!$B$8:$Q$8,0))+P74*$F74/1000)</f>
        <v>0</v>
      </c>
      <c r="R74" s="44">
        <f>IFERROR(Q74/Q75,"")</f>
        <v>0</v>
      </c>
      <c r="S74" s="21" t="str">
        <f t="array" ref="S74">INDEX('Key inputs'!$B$35:$J$41,MATCH($B74,'Key inputs'!$B$35:$B$41,0),MATCH($G74&amp;S$5,'Key inputs'!$B$35:$J$35&amp;'Key inputs'!$B$36:$J$36,0))</f>
        <v>Indicative tariff</v>
      </c>
    </row>
    <row r="75" spans="2:20" x14ac:dyDescent="0.3">
      <c r="B75" s="3" t="str">
        <f t="shared" si="18"/>
        <v>Endeavour</v>
      </c>
      <c r="C75" s="3" t="str">
        <f t="shared" si="16"/>
        <v>Residential</v>
      </c>
      <c r="D75" s="3" t="str">
        <f t="shared" si="17"/>
        <v>with CL</v>
      </c>
      <c r="E75" s="3" t="s">
        <v>15</v>
      </c>
      <c r="F75" s="41">
        <f t="array" ref="F75">IFERROR(INDEX(Usage!$B$5:$T$18,MATCH($B75,Usage!$B$5:$B$18,0),MATCH($C75&amp;$D75&amp;$E75,Usage!$B$5:$W$5&amp;Usage!$B$6:$W$6&amp;Usage!$B$7:$W$7,0)),0)</f>
        <v>1474</v>
      </c>
      <c r="G75" s="3" t="s">
        <v>65</v>
      </c>
      <c r="J75" s="93">
        <f>SUM(J72:J74)</f>
        <v>27.443601999999998</v>
      </c>
      <c r="K75" s="44">
        <f>IFERROR(J75/J77,"")</f>
        <v>0.86395447431587025</v>
      </c>
      <c r="L75" s="44"/>
      <c r="M75" s="49">
        <f>IF(J75=0,"",IF(Q75="",SUMPRODUCT(K72:K74,M72:M74),Q75/J75-1))</f>
        <v>0.14705595132883809</v>
      </c>
      <c r="N75" s="44"/>
      <c r="O75" s="93" t="str">
        <f t="array" ref="O75">IFERROR(IF(OR($S75="NA",$S75="Draft x-factor",$S75="Sum"),"",INDEX('Detail inputs'!$B$3:$L$304,MATCH($B75&amp;$C75&amp;$E75&amp;$G75&amp;O$5&amp;$T75,'Detail inputs'!$B$3:$B$304&amp;'Detail inputs'!$D$3:$D$304&amp;'Detail inputs'!$F$3:$F$304&amp;'Detail inputs'!$G$3:$G$304&amp;'Detail inputs'!$H$3:$H$304&amp;'Detail inputs'!$L$3:$L$304,0),MATCH(O$4,'Detail inputs'!$B$3:$L$3,0))),0)</f>
        <v/>
      </c>
      <c r="P75" s="93" t="str">
        <f t="array" ref="P75">IFERROR(IF(OR($S75="NA",$S75="Draft x-factor",$S75="Sum"),"",INDEX('Detail inputs'!$B$3:$L$304,MATCH($B75&amp;$C75&amp;$E75&amp;$G75&amp;P$5&amp;$T75,'Detail inputs'!$B$3:$B$304&amp;'Detail inputs'!$D$3:$D$304&amp;'Detail inputs'!$F$3:$F$304&amp;'Detail inputs'!$G$3:$G$304&amp;'Detail inputs'!$H$3:$H$304&amp;'Detail inputs'!$L$3:$L$304,0),MATCH(P$4,'Detail inputs'!$B$3:$L$3,0))),0)</f>
        <v/>
      </c>
      <c r="Q75" s="93">
        <f>IF($S75="NA","",IF($S75="Indicative tariff",O75*INDEX(Usage!$B$4:$Q$18,MATCH($B75,Usage!$B$4:$B$18,0),MATCH(IF($E75="CL1","CL1 Proportion","CL2 Proportion"),Usage!$B$8:$Q$8,0))+P75*$F75/1000,IF($S75="Sum",SUM(Q72:Q74))))</f>
        <v>31.479347000000004</v>
      </c>
      <c r="R75" s="44">
        <f>IFERROR(Q75/Q77,"")</f>
        <v>0.87929056538801997</v>
      </c>
      <c r="S75" s="21" t="str">
        <f t="array" ref="S75">INDEX('Key inputs'!$B$35:$J$41,MATCH($B75,'Key inputs'!$B$35:$B$41,0),MATCH($G75&amp;S$5,'Key inputs'!$B$35:$J$35&amp;'Key inputs'!$B$36:$J$36,0))</f>
        <v>Sum</v>
      </c>
    </row>
    <row r="76" spans="2:20" x14ac:dyDescent="0.3">
      <c r="B76" s="3" t="str">
        <f t="shared" si="18"/>
        <v>Endeavour</v>
      </c>
      <c r="C76" s="3" t="str">
        <f t="shared" si="16"/>
        <v>Residential</v>
      </c>
      <c r="D76" s="3" t="str">
        <f t="shared" si="17"/>
        <v>with CL</v>
      </c>
      <c r="E76" s="3" t="s">
        <v>15</v>
      </c>
      <c r="F76" s="41">
        <f t="array" ref="F76">IFERROR(INDEX(Usage!$B$5:$T$18,MATCH($B76,Usage!$B$5:$B$18,0),MATCH($C76&amp;$D76&amp;$E76,Usage!$B$5:$W$5&amp;Usage!$B$6:$W$6&amp;Usage!$B$7:$W$7,0)),0)</f>
        <v>1474</v>
      </c>
      <c r="G76" s="3" t="s">
        <v>67</v>
      </c>
      <c r="H76" s="93">
        <f t="array" ref="H76">IFERROR(INDEX('Detail inputs'!$B$3:$L$304,MATCH($B76&amp;$C76&amp;$E76&amp;$G76&amp;H$5&amp;$T76,'Detail inputs'!$B$3:$B$304&amp;'Detail inputs'!$D$3:$D$304&amp;'Detail inputs'!$F$3:$F$304&amp;'Detail inputs'!$G$3:$G$304&amp;'Detail inputs'!$H$3:$H$304&amp;'Detail inputs'!$L$3:$L$304,0),MATCH(H$4,'Detail inputs'!$B$3:$L$3,0)),0)</f>
        <v>6.4499999999999993</v>
      </c>
      <c r="I76" s="93">
        <f t="array" ref="I76">IFERROR(INDEX('Detail inputs'!$B$3:$L$304,MATCH($B76&amp;$C76&amp;$E76&amp;$G76&amp;I$5&amp;$T76,'Detail inputs'!$B$3:$B$304&amp;'Detail inputs'!$D$3:$D$304&amp;'Detail inputs'!$F$3:$F$304&amp;'Detail inputs'!$G$3:$G$304&amp;'Detail inputs'!$H$3:$H$304&amp;'Detail inputs'!$L$3:$L$304,0),MATCH(I$4,'Detail inputs'!$B$3:$L$3,0)),0)</f>
        <v>0</v>
      </c>
      <c r="J76" s="93">
        <f>IF(AND(H76="",I76=""),"",H76*INDEX(Usage!$B$4:$Q$18,MATCH($B76,Usage!$B$4:$B$18,0),MATCH(IF($E76="CL1","CL1 Proportion","CL2 Proportion"),Usage!$B$8:$Q$8,0))+I76*F76/1000)</f>
        <v>4.3214999999999995</v>
      </c>
      <c r="K76" s="44">
        <f>IFERROR(J76/J77,"")</f>
        <v>0.1360455256841297</v>
      </c>
      <c r="L76" s="44"/>
      <c r="M76" s="49">
        <f t="array" ref="M76">IFERROR(IF($S76="Indicative tariff",$Q76/$J76-1,IF($S76="Zero",0,IF($S76="NA","",IF($S76="Draft x-factor",INDEX('Detail inputs'!$B$3:$P$304,MATCH($B76&amp;$G76&amp;$S76,'Detail inputs'!$B$3:$B$304&amp;'Detail inputs'!$G$3:$G$304&amp;'Detail inputs'!$H$3:$H$304,0),MATCH(M$4,'Detail inputs'!$B$3:$P$3,0)))))),"")</f>
        <v>0</v>
      </c>
      <c r="N76" s="44"/>
      <c r="O76" s="93">
        <f t="array" ref="O76">IFERROR(IF(OR($S76="NA",$S76="Draft x-factor"),"",IF($S76="Zero",H76,INDEX('Detail inputs'!$B$3:$L$304,MATCH($B76&amp;$C76&amp;$E76&amp;$G76&amp;O$5&amp;$T76,'Detail inputs'!$B$3:$B$304&amp;'Detail inputs'!$D$3:$D$304&amp;'Detail inputs'!$F$3:$F$304&amp;'Detail inputs'!$G$3:$G$304&amp;'Detail inputs'!$H$3:$H$304&amp;'Detail inputs'!$L$3:$L$304,0),MATCH(O$4,'Detail inputs'!$B$3:$L$3,0)))),0)</f>
        <v>6.4499999999999993</v>
      </c>
      <c r="P76" s="93">
        <f t="array" ref="P76">IFERROR(IF(OR($S76="NA",$S76="Draft x-factor"),"",IF($S76="Zero",I76,INDEX('Detail inputs'!$B$3:$L$304,MATCH($B76&amp;$C76&amp;$E76&amp;$G76&amp;P$5&amp;$T76,'Detail inputs'!$B$3:$B$304&amp;'Detail inputs'!$D$3:$D$304&amp;'Detail inputs'!$F$3:$F$304&amp;'Detail inputs'!$G$3:$G$304&amp;'Detail inputs'!$H$3:$H$304&amp;'Detail inputs'!$L$3:$L$304,0),MATCH(P$4,'Detail inputs'!$B$3:$L$3,0)))),0)</f>
        <v>0</v>
      </c>
      <c r="Q76" s="93">
        <f>IF(AND(O76="",P76=""),"",O76*INDEX(Usage!$B$4:$Q$18,MATCH($B76,Usage!$B$4:$B$18,0),MATCH(IF($E76="CL1","CL1 Proportion","CL2 Proportion"),Usage!$B$8:$Q$8,0))+P76*$F76/1000)</f>
        <v>4.3214999999999995</v>
      </c>
      <c r="R76" s="44">
        <f>IFERROR(Q76/Q77,"")</f>
        <v>0.12070943461197996</v>
      </c>
      <c r="S76" s="21" t="str">
        <f t="array" ref="S76">INDEX('Key inputs'!$B$35:$J$41,MATCH($B76,'Key inputs'!$B$35:$B$41,0),MATCH($G76&amp;S$5,'Key inputs'!$B$35:$J$35&amp;'Key inputs'!$B$36:$J$36,0))</f>
        <v>Indicative tariff</v>
      </c>
    </row>
    <row r="77" spans="2:20" x14ac:dyDescent="0.3">
      <c r="B77" s="3" t="str">
        <f t="shared" si="18"/>
        <v>Endeavour</v>
      </c>
      <c r="C77" s="3" t="str">
        <f t="shared" si="16"/>
        <v>Residential</v>
      </c>
      <c r="D77" s="3" t="str">
        <f t="shared" si="17"/>
        <v>with CL</v>
      </c>
      <c r="E77" s="3" t="s">
        <v>15</v>
      </c>
      <c r="F77" s="41">
        <f t="array" ref="F77">IFERROR(INDEX(Usage!$B$5:$T$18,MATCH($B77,Usage!$B$5:$B$18,0),MATCH($C77&amp;$D77&amp;$E77,Usage!$B$5:$W$5&amp;Usage!$B$6:$W$6&amp;Usage!$B$7:$W$7,0)),0)</f>
        <v>1474</v>
      </c>
      <c r="G77" s="3" t="s">
        <v>58</v>
      </c>
      <c r="J77" s="93">
        <f>SUM(J75:J76)</f>
        <v>31.765101999999999</v>
      </c>
      <c r="K77" s="44"/>
      <c r="M77" s="49">
        <f>IF(J77=0,"",IF(OR($S76="Draft x-factor",$S76="Zero"),SUMPRODUCT(K75:K76,M75:M76),Q77/J77-1))</f>
        <v>0.12704964712532663</v>
      </c>
      <c r="N77" s="92"/>
      <c r="O77" s="99"/>
      <c r="P77" s="99"/>
      <c r="Q77" s="99">
        <f>IF(AND(Q75="",Q76=""),J77*(1+M77),SUM(Q75:Q76))</f>
        <v>35.800847000000005</v>
      </c>
      <c r="R77" s="44"/>
      <c r="S77" s="27"/>
    </row>
    <row r="78" spans="2:20" x14ac:dyDescent="0.3">
      <c r="B78" s="3" t="str">
        <f t="shared" si="18"/>
        <v>Endeavour</v>
      </c>
      <c r="C78" s="3" t="str">
        <f t="shared" si="16"/>
        <v>Residential</v>
      </c>
      <c r="D78" s="3" t="str">
        <f t="shared" si="17"/>
        <v>with CL</v>
      </c>
      <c r="E78" s="3" t="s">
        <v>16</v>
      </c>
      <c r="F78" s="41">
        <f t="array" ref="F78">IFERROR(INDEX(Usage!$B$5:$T$18,MATCH($B78,Usage!$B$5:$B$18,0),MATCH($C78&amp;$D78&amp;$E78,Usage!$B$5:$W$5&amp;Usage!$B$6:$W$6&amp;Usage!$B$7:$W$7,0)),0)</f>
        <v>726</v>
      </c>
      <c r="G78" s="3" t="s">
        <v>54</v>
      </c>
      <c r="H78" s="93">
        <f t="array" ref="H78">IFERROR(INDEX('Detail inputs'!$B$3:$L$304,MATCH($B78&amp;$C78&amp;$E78&amp;$G78&amp;H$5&amp;$T78,'Detail inputs'!$B$3:$B$304&amp;'Detail inputs'!$D$3:$D$304&amp;'Detail inputs'!$F$3:$F$304&amp;'Detail inputs'!$G$3:$G$304&amp;'Detail inputs'!$H$3:$H$304&amp;'Detail inputs'!$L$3:$L$304,0),MATCH(H$4,'Detail inputs'!$B$3:$L$3,0)),0)</f>
        <v>11.826000000000001</v>
      </c>
      <c r="I78" s="93">
        <f t="array" ref="I78">IFERROR(INDEX('Detail inputs'!$B$3:$L$304,MATCH($B78&amp;$C78&amp;$E78&amp;$G78&amp;I$5&amp;$T78,'Detail inputs'!$B$3:$B$304&amp;'Detail inputs'!$D$3:$D$304&amp;'Detail inputs'!$F$3:$F$304&amp;'Detail inputs'!$G$3:$G$304&amp;'Detail inputs'!$H$3:$H$304&amp;'Detail inputs'!$L$3:$L$304,0),MATCH(I$4,'Detail inputs'!$B$3:$L$3,0)),0)</f>
        <v>25.222999999999999</v>
      </c>
      <c r="J78" s="93">
        <f>IF(AND(H78="",I78=""),"",H78*INDEX(Usage!$B$4:$Q$18,MATCH($B78,Usage!$B$4:$B$18,0),MATCH(IF($E78="CL1","CL1 Proportion","CL2 Proportion"),Usage!$B$8:$Q$8,0))+I78*F78/1000)</f>
        <v>22.214478</v>
      </c>
      <c r="K78" s="44">
        <f>IFERROR(J78/J81,"")</f>
        <v>0.78565442997495394</v>
      </c>
      <c r="L78" s="44"/>
      <c r="M78" s="49">
        <f t="array" ref="M78">IFERROR(IF($S78="Indicative tariff",$Q78/$J78-1,IF($S78="Zero",0,IF($S78="NA","",IF($S78="Draft x-factor",INDEX('Detail inputs'!$B$3:$P$304,MATCH($B78&amp;$G78&amp;$S78,'Detail inputs'!$B$3:$B$304&amp;'Detail inputs'!$G$3:$G$304&amp;'Detail inputs'!$H$3:$H$304,0),MATCH(M$4,'Detail inputs'!$B$3:$P$3,0)))))),"")</f>
        <v>0.10899094725520908</v>
      </c>
      <c r="N78" s="44"/>
      <c r="O78" s="93">
        <f t="array" ref="O78">IFERROR(IF(OR($S78="NA",$S78="Draft x-factor",$S78="Zero"),"",INDEX('Detail inputs'!$B$3:$L$304,MATCH($B78&amp;$C78&amp;$E78&amp;$G78&amp;O$5&amp;$T78,'Detail inputs'!$B$3:$B$304&amp;'Detail inputs'!$D$3:$D$304&amp;'Detail inputs'!$F$3:$F$304&amp;'Detail inputs'!$G$3:$G$304&amp;'Detail inputs'!$H$3:$H$304&amp;'Detail inputs'!$L$3:$L$304,0),MATCH(O$4,'Detail inputs'!$B$3:$L$3,0))),0)</f>
        <v>13.6145</v>
      </c>
      <c r="P78" s="93">
        <f t="array" ref="P78">IFERROR(IF(OR($S78="NA",$S78="Draft x-factor",$S78="Zero"),"",INDEX('Detail inputs'!$B$3:$L$304,MATCH($B78&amp;$C78&amp;$E78&amp;$G78&amp;P$5&amp;$T78,'Detail inputs'!$B$3:$B$304&amp;'Detail inputs'!$D$3:$D$304&amp;'Detail inputs'!$F$3:$F$304&amp;'Detail inputs'!$G$3:$G$304&amp;'Detail inputs'!$H$3:$H$304&amp;'Detail inputs'!$L$3:$L$304,0),MATCH(P$4,'Detail inputs'!$B$3:$L$3,0))),0)</f>
        <v>27.745000000000001</v>
      </c>
      <c r="Q78" s="93">
        <f>IF(AND(O78="",P78=""),"",O78*INDEX(Usage!$B$4:$Q$18,MATCH($B78,Usage!$B$4:$B$18,0),MATCH(IF($E78="CL1","CL1 Proportion","CL2 Proportion"),Usage!$B$8:$Q$8,0))+P78*$F78/1000)</f>
        <v>24.635655</v>
      </c>
      <c r="R78" s="44">
        <f>IFERROR(Q78/Q81,"")</f>
        <v>0.79496506683676238</v>
      </c>
      <c r="S78" s="21" t="str">
        <f t="array" ref="S78">INDEX('Key inputs'!$B$35:$J$41,MATCH($B78,'Key inputs'!$B$35:$B$41,0),MATCH($G78&amp;S$5,'Key inputs'!$B$35:$J$35&amp;'Key inputs'!$B$36:$J$36,0))</f>
        <v>Indicative tariff</v>
      </c>
    </row>
    <row r="79" spans="2:20" x14ac:dyDescent="0.3">
      <c r="B79" s="3" t="str">
        <f t="shared" si="18"/>
        <v>Endeavour</v>
      </c>
      <c r="C79" s="3" t="str">
        <f t="shared" si="16"/>
        <v>Residential</v>
      </c>
      <c r="D79" s="3" t="str">
        <f t="shared" si="17"/>
        <v>with CL</v>
      </c>
      <c r="E79" s="3" t="s">
        <v>16</v>
      </c>
      <c r="F79" s="41">
        <f t="array" ref="F79">IFERROR(INDEX(Usage!$B$5:$T$18,MATCH($B79,Usage!$B$5:$B$18,0),MATCH($C79&amp;$D79&amp;$E79,Usage!$B$5:$W$5&amp;Usage!$B$6:$W$6&amp;Usage!$B$7:$W$7,0)),0)</f>
        <v>726</v>
      </c>
      <c r="G79" s="3" t="s">
        <v>55</v>
      </c>
      <c r="H79" s="93">
        <f t="array" ref="H79">IFERROR(INDEX('Detail inputs'!$B$3:$L$304,MATCH($B79&amp;$C79&amp;$E79&amp;$G79&amp;H$5&amp;$T79,'Detail inputs'!$B$3:$B$304&amp;'Detail inputs'!$D$3:$D$304&amp;'Detail inputs'!$F$3:$F$304&amp;'Detail inputs'!$G$3:$G$304&amp;'Detail inputs'!$H$3:$H$304&amp;'Detail inputs'!$L$3:$L$304,0),MATCH(H$4,'Detail inputs'!$B$3:$L$3,0)),0)</f>
        <v>0</v>
      </c>
      <c r="I79" s="93">
        <f t="array" ref="I79">IFERROR(INDEX('Detail inputs'!$B$3:$L$304,MATCH($B79&amp;$C79&amp;$E79&amp;$G79&amp;I$5&amp;$T79,'Detail inputs'!$B$3:$B$304&amp;'Detail inputs'!$D$3:$D$304&amp;'Detail inputs'!$F$3:$F$304&amp;'Detail inputs'!$G$3:$G$304&amp;'Detail inputs'!$H$3:$H$304&amp;'Detail inputs'!$L$3:$L$304,0),MATCH(I$4,'Detail inputs'!$B$3:$L$3,0)),0)</f>
        <v>8.347999999999999</v>
      </c>
      <c r="J79" s="93">
        <f>IF(AND(H79="",I79=""),"",H79*INDEX(Usage!$B$4:$Q$18,MATCH($B79,Usage!$B$4:$B$18,0),MATCH(IF($E79="CL1","CL1 Proportion","CL2 Proportion"),Usage!$B$8:$Q$8,0))+I79*F79/1000)</f>
        <v>6.0606479999999996</v>
      </c>
      <c r="K79" s="44">
        <f>IFERROR(J79/J81,"")</f>
        <v>0.21434557002504603</v>
      </c>
      <c r="L79" s="44"/>
      <c r="M79" s="49">
        <f t="array" ref="M79">IFERROR(IF($S79="Indicative tariff",$Q79/$J79-1,IF($S79="Zero",0,IF($S79="NA","",IF($S79="Draft x-factor",INDEX('Detail inputs'!$B$3:$P$304,MATCH($B79&amp;$G79&amp;$S79,'Detail inputs'!$B$3:$B$304&amp;'Detail inputs'!$G$3:$G$304&amp;'Detail inputs'!$H$3:$H$304,0),MATCH(M$4,'Detail inputs'!$B$3:$P$3,0)))))),"")</f>
        <v>4.8394825107810346E-2</v>
      </c>
      <c r="N79" s="44"/>
      <c r="O79" s="93">
        <f t="array" ref="O79">IFERROR(IF(OR($S79="NA",$S79="Draft x-factor",$S79="Zero"),"",INDEX('Detail inputs'!$B$3:$L$304,MATCH($B79&amp;$C79&amp;$E79&amp;$G79&amp;O$5&amp;$T79,'Detail inputs'!$B$3:$B$304&amp;'Detail inputs'!$D$3:$D$304&amp;'Detail inputs'!$F$3:$F$304&amp;'Detail inputs'!$G$3:$G$304&amp;'Detail inputs'!$H$3:$H$304&amp;'Detail inputs'!$L$3:$L$304,0),MATCH(O$4,'Detail inputs'!$B$3:$L$3,0))),0)</f>
        <v>0</v>
      </c>
      <c r="P79" s="93">
        <f t="array" ref="P79">IFERROR(IF(OR($S79="NA",$S79="Draft x-factor",$S79="Zero"),"",INDEX('Detail inputs'!$B$3:$L$304,MATCH($B79&amp;$C79&amp;$E79&amp;$G79&amp;P$5&amp;$T79,'Detail inputs'!$B$3:$B$304&amp;'Detail inputs'!$D$3:$D$304&amp;'Detail inputs'!$F$3:$F$304&amp;'Detail inputs'!$G$3:$G$304&amp;'Detail inputs'!$H$3:$H$304&amp;'Detail inputs'!$L$3:$L$304,0),MATCH(P$4,'Detail inputs'!$B$3:$L$3,0))),0)</f>
        <v>8.7519999999999989</v>
      </c>
      <c r="Q79" s="93">
        <f>IF(AND(O79="",P79=""),"",O79*INDEX(Usage!$B$4:$Q$18,MATCH($B79,Usage!$B$4:$B$18,0),MATCH(IF($E79="CL1","CL1 Proportion","CL2 Proportion"),Usage!$B$8:$Q$8,0))+P79*$F79/1000)</f>
        <v>6.3539519999999996</v>
      </c>
      <c r="R79" s="44">
        <f>IFERROR(Q79/Q81,"")</f>
        <v>0.20503493316323759</v>
      </c>
      <c r="S79" s="21" t="str">
        <f t="array" ref="S79">INDEX('Key inputs'!$B$35:$J$41,MATCH($B79,'Key inputs'!$B$35:$B$41,0),MATCH($G79&amp;S$5,'Key inputs'!$B$35:$J$35&amp;'Key inputs'!$B$36:$J$36,0))</f>
        <v>Indicative tariff</v>
      </c>
    </row>
    <row r="80" spans="2:20" x14ac:dyDescent="0.3">
      <c r="B80" s="3" t="str">
        <f t="shared" si="18"/>
        <v>Endeavour</v>
      </c>
      <c r="C80" s="3" t="str">
        <f t="shared" si="16"/>
        <v>Residential</v>
      </c>
      <c r="D80" s="3" t="str">
        <f t="shared" si="17"/>
        <v>with CL</v>
      </c>
      <c r="E80" s="3" t="s">
        <v>16</v>
      </c>
      <c r="F80" s="41">
        <f t="array" ref="F80">IFERROR(INDEX(Usage!$B$5:$T$18,MATCH($B80,Usage!$B$5:$B$18,0),MATCH($C80&amp;$D80&amp;$E80,Usage!$B$5:$W$5&amp;Usage!$B$6:$W$6&amp;Usage!$B$7:$W$7,0)),0)</f>
        <v>726</v>
      </c>
      <c r="G80" s="3" t="s">
        <v>56</v>
      </c>
      <c r="H80" s="93">
        <f t="array" ref="H80">IFERROR(INDEX('Detail inputs'!$B$3:$L$304,MATCH($B80&amp;$C80&amp;$E80&amp;$G80&amp;H$5&amp;$T80,'Detail inputs'!$B$3:$B$304&amp;'Detail inputs'!$D$3:$D$304&amp;'Detail inputs'!$F$3:$F$304&amp;'Detail inputs'!$G$3:$G$304&amp;'Detail inputs'!$H$3:$H$304&amp;'Detail inputs'!$L$3:$L$304,0),MATCH(H$4,'Detail inputs'!$B$3:$L$3,0)),0)</f>
        <v>0</v>
      </c>
      <c r="I80" s="93">
        <f t="array" ref="I80">IFERROR(INDEX('Detail inputs'!$B$3:$L$304,MATCH($B80&amp;$C80&amp;$E80&amp;$G80&amp;I$5&amp;$T80,'Detail inputs'!$B$3:$B$304&amp;'Detail inputs'!$D$3:$D$304&amp;'Detail inputs'!$F$3:$F$304&amp;'Detail inputs'!$G$3:$G$304&amp;'Detail inputs'!$H$3:$H$304&amp;'Detail inputs'!$L$3:$L$304,0),MATCH(I$4,'Detail inputs'!$B$3:$L$3,0)),0)</f>
        <v>0</v>
      </c>
      <c r="J80" s="93">
        <f>IF(AND(H80="",I80=""),"",H80*INDEX(Usage!$B$4:$Q$18,MATCH($B80,Usage!$B$4:$B$18,0),MATCH(IF($E80="CL1","CL1 Proportion","CL2 Proportion"),Usage!$B$8:$Q$8,0))+I80*F80/1000)</f>
        <v>0</v>
      </c>
      <c r="K80" s="44">
        <f>IFERROR(J80/J81,"")</f>
        <v>0</v>
      </c>
      <c r="L80" s="44"/>
      <c r="M80" s="49" t="str">
        <f t="array" ref="M80">IFERROR(IF($S80="Indicative tariff",$Q80/$J80-1,IF($S80="Zero",0,IF($S80="NA","",IF($S80="Draft x-factor",INDEX('Detail inputs'!$B$3:$P$304,MATCH($B80&amp;$G80&amp;$S80,'Detail inputs'!$B$3:$B$304&amp;'Detail inputs'!$G$3:$G$304&amp;'Detail inputs'!$H$3:$H$304,0),MATCH(M$4,'Detail inputs'!$B$3:$P$3,0)))))),"")</f>
        <v/>
      </c>
      <c r="N80" s="44"/>
      <c r="O80" s="93">
        <f t="array" ref="O80">IFERROR(IF(OR($S80="NA",$S80="Draft x-factor",$S80="Zero"),"",INDEX('Detail inputs'!$B$3:$L$304,MATCH($B80&amp;$C80&amp;$E80&amp;$G80&amp;O$5&amp;$T80,'Detail inputs'!$B$3:$B$304&amp;'Detail inputs'!$D$3:$D$304&amp;'Detail inputs'!$F$3:$F$304&amp;'Detail inputs'!$G$3:$G$304&amp;'Detail inputs'!$H$3:$H$304&amp;'Detail inputs'!$L$3:$L$304,0),MATCH(O$4,'Detail inputs'!$B$3:$L$3,0))),0)</f>
        <v>0</v>
      </c>
      <c r="P80" s="93">
        <f t="array" ref="P80">IFERROR(IF(OR($S80="NA",$S80="Draft x-factor",$S80="Zero"),"",INDEX('Detail inputs'!$B$3:$L$304,MATCH($B80&amp;$C80&amp;$E80&amp;$G80&amp;P$5&amp;$T80,'Detail inputs'!$B$3:$B$304&amp;'Detail inputs'!$D$3:$D$304&amp;'Detail inputs'!$F$3:$F$304&amp;'Detail inputs'!$G$3:$G$304&amp;'Detail inputs'!$H$3:$H$304&amp;'Detail inputs'!$L$3:$L$304,0),MATCH(P$4,'Detail inputs'!$B$3:$L$3,0))),0)</f>
        <v>0</v>
      </c>
      <c r="Q80" s="93">
        <f>IF(AND(O80="",P80=""),"",O80*INDEX(Usage!$B$4:$Q$18,MATCH($B80,Usage!$B$4:$B$18,0),MATCH(IF($E80="CL1","CL1 Proportion","CL2 Proportion"),Usage!$B$8:$Q$8,0))+P80*$F80/1000)</f>
        <v>0</v>
      </c>
      <c r="R80" s="44">
        <f>IFERROR(Q80/Q81,"")</f>
        <v>0</v>
      </c>
      <c r="S80" s="21" t="str">
        <f t="array" ref="S80">INDEX('Key inputs'!$B$35:$J$41,MATCH($B80,'Key inputs'!$B$35:$B$41,0),MATCH($G80&amp;S$5,'Key inputs'!$B$35:$J$35&amp;'Key inputs'!$B$36:$J$36,0))</f>
        <v>Indicative tariff</v>
      </c>
    </row>
    <row r="81" spans="2:20" x14ac:dyDescent="0.3">
      <c r="B81" s="3" t="str">
        <f t="shared" si="18"/>
        <v>Endeavour</v>
      </c>
      <c r="C81" s="3" t="str">
        <f t="shared" si="16"/>
        <v>Residential</v>
      </c>
      <c r="D81" s="3" t="str">
        <f t="shared" si="17"/>
        <v>with CL</v>
      </c>
      <c r="E81" s="3" t="s">
        <v>16</v>
      </c>
      <c r="F81" s="41">
        <f t="array" ref="F81">IFERROR(INDEX(Usage!$B$5:$T$18,MATCH($B81,Usage!$B$5:$B$18,0),MATCH($C81&amp;$D81&amp;$E81,Usage!$B$5:$W$5&amp;Usage!$B$6:$W$6&amp;Usage!$B$7:$W$7,0)),0)</f>
        <v>726</v>
      </c>
      <c r="G81" s="3" t="s">
        <v>65</v>
      </c>
      <c r="J81" s="93">
        <f>SUM(J78:J80)</f>
        <v>28.275126</v>
      </c>
      <c r="K81" s="44">
        <f>IFERROR(J81/J83,"")</f>
        <v>0.92999190293947176</v>
      </c>
      <c r="L81" s="44"/>
      <c r="M81" s="49">
        <f>IF(J81=0,"",IF(Q81="",SUMPRODUCT(K78:K80,M78:M80),Q81/J81-1))</f>
        <v>9.6002436912217437E-2</v>
      </c>
      <c r="N81" s="44"/>
      <c r="O81" s="93" t="str">
        <f t="array" ref="O81">IFERROR(IF(OR($S81="NA",$S81="Draft x-factor",$S81="Sum"),"",INDEX('Detail inputs'!$B$3:$L$304,MATCH($B81&amp;$C81&amp;$E81&amp;$G81&amp;O$5&amp;$T81,'Detail inputs'!$B$3:$B$304&amp;'Detail inputs'!$D$3:$D$304&amp;'Detail inputs'!$F$3:$F$304&amp;'Detail inputs'!$G$3:$G$304&amp;'Detail inputs'!$H$3:$H$304&amp;'Detail inputs'!$L$3:$L$304,0),MATCH(O$4,'Detail inputs'!$B$3:$L$3,0))),0)</f>
        <v/>
      </c>
      <c r="P81" s="93" t="str">
        <f t="array" ref="P81">IFERROR(IF(OR($S81="NA",$S81="Draft x-factor",$S81="Sum"),"",INDEX('Detail inputs'!$B$3:$L$304,MATCH($B81&amp;$C81&amp;$E81&amp;$G81&amp;P$5&amp;$T81,'Detail inputs'!$B$3:$B$304&amp;'Detail inputs'!$D$3:$D$304&amp;'Detail inputs'!$F$3:$F$304&amp;'Detail inputs'!$G$3:$G$304&amp;'Detail inputs'!$H$3:$H$304&amp;'Detail inputs'!$L$3:$L$304,0),MATCH(P$4,'Detail inputs'!$B$3:$L$3,0))),0)</f>
        <v/>
      </c>
      <c r="Q81" s="93">
        <f>IF($S81="NA","",IF($S81="Indicative tariff",O81*INDEX(Usage!$B$4:$Q$18,MATCH($B81,Usage!$B$4:$B$18,0),MATCH(IF($E81="CL1","CL1 Proportion","CL2 Proportion"),Usage!$B$8:$Q$8,0))+P81*$F81/1000,IF($S81="Sum",SUM(Q78:Q80))))</f>
        <v>30.989606999999999</v>
      </c>
      <c r="R81" s="44">
        <f>IFERROR(Q81/Q83,"")</f>
        <v>0.93573002225036583</v>
      </c>
      <c r="S81" s="21" t="str">
        <f t="array" ref="S81">INDEX('Key inputs'!$B$35:$J$41,MATCH($B81,'Key inputs'!$B$35:$B$41,0),MATCH($G81&amp;S$5,'Key inputs'!$B$35:$J$35&amp;'Key inputs'!$B$36:$J$36,0))</f>
        <v>Sum</v>
      </c>
    </row>
    <row r="82" spans="2:20" x14ac:dyDescent="0.3">
      <c r="B82" s="3" t="str">
        <f t="shared" si="18"/>
        <v>Endeavour</v>
      </c>
      <c r="C82" s="3" t="str">
        <f t="shared" si="16"/>
        <v>Residential</v>
      </c>
      <c r="D82" s="3" t="str">
        <f t="shared" si="17"/>
        <v>with CL</v>
      </c>
      <c r="E82" s="3" t="s">
        <v>16</v>
      </c>
      <c r="F82" s="41">
        <f t="array" ref="F82">IFERROR(INDEX(Usage!$B$5:$T$18,MATCH($B82,Usage!$B$5:$B$18,0),MATCH($C82&amp;$D82&amp;$E82,Usage!$B$5:$W$5&amp;Usage!$B$6:$W$6&amp;Usage!$B$7:$W$7,0)),0)</f>
        <v>726</v>
      </c>
      <c r="G82" s="3" t="s">
        <v>67</v>
      </c>
      <c r="H82" s="93">
        <f t="array" ref="H82">IFERROR(INDEX('Detail inputs'!$B$3:$L$304,MATCH($B82&amp;$C82&amp;$E82&amp;$G82&amp;H$5&amp;$T82,'Detail inputs'!$B$3:$B$304&amp;'Detail inputs'!$D$3:$D$304&amp;'Detail inputs'!$F$3:$F$304&amp;'Detail inputs'!$G$3:$G$304&amp;'Detail inputs'!$H$3:$H$304&amp;'Detail inputs'!$L$3:$L$304,0),MATCH(H$4,'Detail inputs'!$B$3:$L$3,0)),0)</f>
        <v>6.4499999999999993</v>
      </c>
      <c r="I82" s="93">
        <f t="array" ref="I82">IFERROR(INDEX('Detail inputs'!$B$3:$L$304,MATCH($B82&amp;$C82&amp;$E82&amp;$G82&amp;I$5&amp;$T82,'Detail inputs'!$B$3:$B$304&amp;'Detail inputs'!$D$3:$D$304&amp;'Detail inputs'!$F$3:$F$304&amp;'Detail inputs'!$G$3:$G$304&amp;'Detail inputs'!$H$3:$H$304&amp;'Detail inputs'!$L$3:$L$304,0),MATCH(I$4,'Detail inputs'!$B$3:$L$3,0)),0)</f>
        <v>0</v>
      </c>
      <c r="J82" s="93">
        <f>IF(AND(H82="",I82=""),"",H82*INDEX(Usage!$B$4:$Q$18,MATCH($B82,Usage!$B$4:$B$18,0),MATCH(IF($E82="CL1","CL1 Proportion","CL2 Proportion"),Usage!$B$8:$Q$8,0))+I82*F82/1000)</f>
        <v>2.1284999999999994</v>
      </c>
      <c r="K82" s="44">
        <f>IFERROR(J82/J83,"")</f>
        <v>7.0008097060528227E-2</v>
      </c>
      <c r="L82" s="44"/>
      <c r="M82" s="49">
        <f t="array" ref="M82">IFERROR(IF($S82="Indicative tariff",$Q82/$J82-1,IF($S82="Zero",0,IF($S82="NA","",IF($S82="Draft x-factor",INDEX('Detail inputs'!$B$3:$P$304,MATCH($B82&amp;$G82&amp;$S82,'Detail inputs'!$B$3:$B$304&amp;'Detail inputs'!$G$3:$G$304&amp;'Detail inputs'!$H$3:$H$304,0),MATCH(M$4,'Detail inputs'!$B$3:$P$3,0)))))),"")</f>
        <v>0</v>
      </c>
      <c r="N82" s="44"/>
      <c r="O82" s="93">
        <f t="array" ref="O82">IFERROR(IF(OR($S82="NA",$S82="Draft x-factor"),"",IF($S82="Zero",H82,INDEX('Detail inputs'!$B$3:$L$304,MATCH($B82&amp;$C82&amp;$E82&amp;$G82&amp;O$5&amp;$T82,'Detail inputs'!$B$3:$B$304&amp;'Detail inputs'!$D$3:$D$304&amp;'Detail inputs'!$F$3:$F$304&amp;'Detail inputs'!$G$3:$G$304&amp;'Detail inputs'!$H$3:$H$304&amp;'Detail inputs'!$L$3:$L$304,0),MATCH(O$4,'Detail inputs'!$B$3:$L$3,0)))),0)</f>
        <v>6.4499999999999993</v>
      </c>
      <c r="P82" s="93">
        <f t="array" ref="P82">IFERROR(IF(OR($S82="NA",$S82="Draft x-factor"),"",IF($S82="Zero",I82,INDEX('Detail inputs'!$B$3:$L$304,MATCH($B82&amp;$C82&amp;$E82&amp;$G82&amp;P$5&amp;$T82,'Detail inputs'!$B$3:$B$304&amp;'Detail inputs'!$D$3:$D$304&amp;'Detail inputs'!$F$3:$F$304&amp;'Detail inputs'!$G$3:$G$304&amp;'Detail inputs'!$H$3:$H$304&amp;'Detail inputs'!$L$3:$L$304,0),MATCH(P$4,'Detail inputs'!$B$3:$L$3,0)))),0)</f>
        <v>0</v>
      </c>
      <c r="Q82" s="93">
        <f>IF(AND(O82="",P82=""),"",O82*INDEX(Usage!$B$4:$Q$18,MATCH($B82,Usage!$B$4:$B$18,0),MATCH(IF($E82="CL1","CL1 Proportion","CL2 Proportion"),Usage!$B$8:$Q$8,0))+P82*$F82/1000)</f>
        <v>2.1284999999999994</v>
      </c>
      <c r="R82" s="44">
        <f>IFERROR(Q82/Q83,"")</f>
        <v>6.4269977749634041E-2</v>
      </c>
      <c r="S82" s="21" t="str">
        <f t="array" ref="S82">INDEX('Key inputs'!$B$35:$J$41,MATCH($B82,'Key inputs'!$B$35:$B$41,0),MATCH($G82&amp;S$5,'Key inputs'!$B$35:$J$35&amp;'Key inputs'!$B$36:$J$36,0))</f>
        <v>Indicative tariff</v>
      </c>
    </row>
    <row r="83" spans="2:20" x14ac:dyDescent="0.3">
      <c r="B83" s="3" t="str">
        <f t="shared" si="18"/>
        <v>Endeavour</v>
      </c>
      <c r="C83" s="3" t="str">
        <f t="shared" si="16"/>
        <v>Residential</v>
      </c>
      <c r="D83" s="3" t="str">
        <f t="shared" si="17"/>
        <v>with CL</v>
      </c>
      <c r="E83" s="3" t="s">
        <v>16</v>
      </c>
      <c r="F83" s="41">
        <f t="array" ref="F83">IFERROR(INDEX(Usage!$B$5:$T$18,MATCH($B83,Usage!$B$5:$B$18,0),MATCH($C83&amp;$D83&amp;$E83,Usage!$B$5:$W$5&amp;Usage!$B$6:$W$6&amp;Usage!$B$7:$W$7,0)),0)</f>
        <v>726</v>
      </c>
      <c r="G83" s="3" t="s">
        <v>58</v>
      </c>
      <c r="J83" s="93">
        <f>SUM(J81:J82)</f>
        <v>30.403625999999999</v>
      </c>
      <c r="K83" s="44"/>
      <c r="M83" s="49">
        <f>IF(J83=0,"",IF(OR($S82="Draft x-factor",$S82="Zero"),SUMPRODUCT(K81:K82,M81:M82),Q83/J83-1))</f>
        <v>8.928148899081978E-2</v>
      </c>
      <c r="N83" s="92"/>
      <c r="O83" s="99"/>
      <c r="P83" s="99"/>
      <c r="Q83" s="99">
        <f>IF(AND(Q81="",Q82=""),J83*(1+M83),SUM(Q81:Q82))</f>
        <v>33.118107000000002</v>
      </c>
      <c r="R83" s="44"/>
      <c r="S83" s="27"/>
    </row>
    <row r="84" spans="2:20" s="81" customFormat="1" x14ac:dyDescent="0.3">
      <c r="B84" s="81" t="str">
        <f t="shared" ref="B84:D86" si="19">B83</f>
        <v>Endeavour</v>
      </c>
      <c r="C84" s="81" t="str">
        <f t="shared" si="19"/>
        <v>Residential</v>
      </c>
      <c r="D84" s="81" t="str">
        <f t="shared" si="19"/>
        <v>with CL</v>
      </c>
      <c r="E84" s="3" t="s">
        <v>58</v>
      </c>
      <c r="F84" s="41">
        <f t="array" ref="F84">IFERROR(INDEX(Usage!$B$5:$T$18,MATCH($B84,Usage!$B$5:$B$18,0),MATCH($C84&amp;$D84&amp;$E84,Usage!$B$5:$W$5&amp;Usage!$B$6:$W$6&amp;Usage!$B$7:$W$7,0)),0)</f>
        <v>7400</v>
      </c>
      <c r="G84" s="81" t="s">
        <v>58</v>
      </c>
      <c r="H84" s="99"/>
      <c r="I84" s="99"/>
      <c r="J84" s="99">
        <f>J71+J77+J83</f>
        <v>654.29402800000014</v>
      </c>
      <c r="K84" s="91"/>
      <c r="L84" s="92"/>
      <c r="M84" s="83">
        <f t="shared" ref="M84" si="20">IF(OR(J84=0,Q84=""),"",Q84/J84-1)</f>
        <v>-8.0917351732271436E-3</v>
      </c>
      <c r="N84" s="92"/>
      <c r="O84" s="99"/>
      <c r="P84" s="99"/>
      <c r="Q84" s="99">
        <f>Q71+Q77+Q83</f>
        <v>648.99965400000008</v>
      </c>
      <c r="R84" s="91"/>
      <c r="S84" s="92"/>
      <c r="T84" s="92"/>
    </row>
    <row r="85" spans="2:20" x14ac:dyDescent="0.3">
      <c r="B85" s="3" t="str">
        <f t="shared" si="19"/>
        <v>Endeavour</v>
      </c>
      <c r="C85" s="3" t="str">
        <f t="shared" si="19"/>
        <v>Residential</v>
      </c>
      <c r="D85" s="3" t="str">
        <f t="shared" si="19"/>
        <v>with CL</v>
      </c>
      <c r="F85" s="41"/>
      <c r="G85" s="81" t="s">
        <v>41</v>
      </c>
      <c r="H85" s="99"/>
      <c r="I85" s="99"/>
      <c r="J85" s="99">
        <f>J84*GST</f>
        <v>65.42940280000002</v>
      </c>
      <c r="K85" s="91"/>
      <c r="L85" s="92"/>
      <c r="M85" s="83"/>
      <c r="N85" s="92"/>
      <c r="O85" s="99"/>
      <c r="P85" s="99"/>
      <c r="Q85" s="99">
        <f>Q84*GST</f>
        <v>64.899965400000013</v>
      </c>
      <c r="R85" s="91"/>
    </row>
    <row r="86" spans="2:20" x14ac:dyDescent="0.3">
      <c r="B86" s="3" t="str">
        <f t="shared" si="19"/>
        <v>Endeavour</v>
      </c>
      <c r="C86" s="3" t="str">
        <f t="shared" si="19"/>
        <v>Residential</v>
      </c>
      <c r="D86" s="3" t="str">
        <f t="shared" si="19"/>
        <v>with CL</v>
      </c>
      <c r="F86" s="41"/>
      <c r="G86" s="5" t="s">
        <v>91</v>
      </c>
      <c r="H86" s="98"/>
      <c r="I86" s="98"/>
      <c r="J86" s="98">
        <f>SUM(J84:J85)</f>
        <v>719.72343080000019</v>
      </c>
      <c r="K86" s="79"/>
      <c r="L86" s="27"/>
      <c r="M86" s="80">
        <f>IF(OR(J86=0,Q86=""),"",Q86/J86-1)</f>
        <v>-8.0917351732271436E-3</v>
      </c>
      <c r="N86" s="27"/>
      <c r="O86" s="98"/>
      <c r="P86" s="98"/>
      <c r="Q86" s="98">
        <f>SUM(Q84:Q85)</f>
        <v>713.89961940000012</v>
      </c>
      <c r="R86" s="79"/>
    </row>
    <row r="87" spans="2:20" x14ac:dyDescent="0.3">
      <c r="F87" s="41"/>
      <c r="K87" s="44"/>
      <c r="M87" s="49"/>
      <c r="R87" s="44"/>
    </row>
    <row r="88" spans="2:20" x14ac:dyDescent="0.3">
      <c r="B88" s="5" t="s">
        <v>4</v>
      </c>
      <c r="C88" s="5" t="s">
        <v>14</v>
      </c>
      <c r="D88" s="5" t="s">
        <v>158</v>
      </c>
      <c r="F88" s="41"/>
      <c r="K88" s="44"/>
      <c r="M88" s="49"/>
      <c r="R88" s="44"/>
    </row>
    <row r="89" spans="2:20" x14ac:dyDescent="0.3">
      <c r="B89" s="3" t="s">
        <v>4</v>
      </c>
      <c r="C89" s="3" t="s">
        <v>14</v>
      </c>
      <c r="D89" s="3" t="s">
        <v>158</v>
      </c>
      <c r="E89" s="3" t="s">
        <v>24</v>
      </c>
      <c r="F89" s="41">
        <f t="array" ref="F89">IFERROR(INDEX(Usage!$B$5:$T$18,MATCH($B89,Usage!$B$5:$B$18,0),MATCH($C89&amp;$D89&amp;$E89,Usage!$B$5:$W$5&amp;Usage!$B$6:$W$6&amp;Usage!$B$7:$W$7,0)),0)</f>
        <v>20000</v>
      </c>
      <c r="G89" s="3" t="s">
        <v>54</v>
      </c>
      <c r="H89" s="93">
        <f t="array" ref="H89">IFERROR(INDEX('Detail inputs'!$B$3:$L$304,MATCH($B89&amp;$C89&amp;$E89&amp;$G89&amp;H$5&amp;$T89,'Detail inputs'!$B$3:$B$304&amp;'Detail inputs'!$D$3:$D$304&amp;'Detail inputs'!$F$3:$F$304&amp;'Detail inputs'!$G$3:$G$304&amp;'Detail inputs'!$H$3:$H$304&amp;'Detail inputs'!$L$3:$L$304,0),MATCH(H$4,'Detail inputs'!$B$3:$L$3,0)),0)</f>
        <v>192.28199999999998</v>
      </c>
      <c r="I89" s="93">
        <f t="array" ref="I89">IFERROR(INDEX('Detail inputs'!$B$3:$L$304,MATCH($B89&amp;$C89&amp;$E89&amp;$G89&amp;I$5&amp;$T89,'Detail inputs'!$B$3:$B$304&amp;'Detail inputs'!$D$3:$D$304&amp;'Detail inputs'!$F$3:$F$304&amp;'Detail inputs'!$G$3:$G$304&amp;'Detail inputs'!$H$3:$H$304&amp;'Detail inputs'!$L$3:$L$304,0),MATCH(I$4,'Detail inputs'!$B$3:$L$3,0)),0)</f>
        <v>64.521000000000001</v>
      </c>
      <c r="J89" s="93">
        <f>IF(AND(H89="",I89=""),"",H89+I89*F89/1000)</f>
        <v>1482.702</v>
      </c>
      <c r="K89" s="44">
        <f>IFERROR(J89/J92,"")</f>
        <v>0.77475778074807633</v>
      </c>
      <c r="L89" s="44"/>
      <c r="M89" s="49">
        <f t="array" ref="M89">IFERROR(IF($S89="Indicative tariff",$Q89/$J89-1,IF($S89="Zero",0,IF($S89="NA","",IF($S89="Draft x-factor",INDEX('Detail inputs'!$B$3:$P$304,MATCH($B89&amp;$G89&amp;$S89,'Detail inputs'!$B$3:$B$304&amp;'Detail inputs'!$G$3:$G$304&amp;'Detail inputs'!$H$3:$H$304,0),MATCH(M$4,'Detail inputs'!$B$3:$P$3,0)))))),"")</f>
        <v>-3.1478341568298984E-2</v>
      </c>
      <c r="N89" s="44"/>
      <c r="O89" s="93">
        <f t="array" ref="O89">IFERROR(IF(OR($S89="NA",$S89="Draft x-factor",$S89="Zero"),"",INDEX('Detail inputs'!$B$3:$L$304,MATCH($B89&amp;$C89&amp;$E89&amp;$G89&amp;O$5&amp;$T89,'Detail inputs'!$B$3:$B$304&amp;'Detail inputs'!$D$3:$D$304&amp;'Detail inputs'!$F$3:$F$304&amp;'Detail inputs'!$G$3:$G$304&amp;'Detail inputs'!$H$3:$H$304&amp;'Detail inputs'!$L$3:$L$304,0),MATCH(O$4,'Detail inputs'!$B$3:$L$3,0))),0)</f>
        <v>202.429</v>
      </c>
      <c r="P89" s="93">
        <f t="array" ref="P89">IFERROR(IF(OR($S89="NA",$S89="Draft x-factor",$S89="Zero"),"",INDEX('Detail inputs'!$B$3:$L$304,MATCH($B89&amp;$C89&amp;$E89&amp;$G89&amp;P$5&amp;$T89,'Detail inputs'!$B$3:$B$304&amp;'Detail inputs'!$D$3:$D$304&amp;'Detail inputs'!$F$3:$F$304&amp;'Detail inputs'!$G$3:$G$304&amp;'Detail inputs'!$H$3:$H$304&amp;'Detail inputs'!$L$3:$L$304,0),MATCH(P$4,'Detail inputs'!$B$3:$L$3,0))),0)</f>
        <v>61.68</v>
      </c>
      <c r="Q89" s="93">
        <f>IF(AND(O89="",P89=""),"",O89+P89*F89/1000)</f>
        <v>1436.029</v>
      </c>
      <c r="R89" s="44">
        <f>IFERROR(Q89/Q92,"")</f>
        <v>0.76142767988233107</v>
      </c>
      <c r="S89" s="21" t="str">
        <f t="array" ref="S89">INDEX('Key inputs'!$B$35:$J$41,MATCH($B89,'Key inputs'!$B$35:$B$41,0),MATCH($G89&amp;S$5,'Key inputs'!$B$35:$J$35&amp;'Key inputs'!$B$36:$J$36,0))</f>
        <v>Indicative tariff</v>
      </c>
    </row>
    <row r="90" spans="2:20" x14ac:dyDescent="0.3">
      <c r="B90" s="3" t="s">
        <v>4</v>
      </c>
      <c r="C90" s="3" t="s">
        <v>14</v>
      </c>
      <c r="D90" s="3" t="s">
        <v>158</v>
      </c>
      <c r="E90" s="3" t="s">
        <v>24</v>
      </c>
      <c r="F90" s="41">
        <f t="array" ref="F90">IFERROR(INDEX(Usage!$B$5:$T$18,MATCH($B90,Usage!$B$5:$B$18,0),MATCH($C90&amp;$D90&amp;$E90,Usage!$B$5:$W$5&amp;Usage!$B$6:$W$6&amp;Usage!$B$7:$W$7,0)),0)</f>
        <v>20000</v>
      </c>
      <c r="G90" s="3" t="s">
        <v>55</v>
      </c>
      <c r="H90" s="93">
        <f t="array" ref="H90">IFERROR(INDEX('Detail inputs'!$B$3:$L$304,MATCH($B90&amp;$C90&amp;$E90&amp;$G90&amp;H$5&amp;$T90,'Detail inputs'!$B$3:$B$304&amp;'Detail inputs'!$D$3:$D$304&amp;'Detail inputs'!$F$3:$F$304&amp;'Detail inputs'!$G$3:$G$304&amp;'Detail inputs'!$H$3:$H$304&amp;'Detail inputs'!$L$3:$L$304,0),MATCH(H$4,'Detail inputs'!$B$3:$L$3,0)),0)</f>
        <v>0</v>
      </c>
      <c r="I90" s="93">
        <f t="array" ref="I90">IFERROR(INDEX('Detail inputs'!$B$3:$L$304,MATCH($B90&amp;$C90&amp;$E90&amp;$G90&amp;I$5&amp;$T90,'Detail inputs'!$B$3:$B$304&amp;'Detail inputs'!$D$3:$D$304&amp;'Detail inputs'!$F$3:$F$304&amp;'Detail inputs'!$G$3:$G$304&amp;'Detail inputs'!$H$3:$H$304&amp;'Detail inputs'!$L$3:$L$304,0),MATCH(I$4,'Detail inputs'!$B$3:$L$3,0)),0)</f>
        <v>10.98</v>
      </c>
      <c r="J90" s="93">
        <f>IF(AND(H90="",I90=""),"",H90+I90*F90/1000)</f>
        <v>219.6</v>
      </c>
      <c r="K90" s="44">
        <f>IFERROR(J90/J92,"")</f>
        <v>0.11474781085631337</v>
      </c>
      <c r="L90" s="44"/>
      <c r="M90" s="49">
        <f t="array" ref="M90">IFERROR(IF($S90="Indicative tariff",$Q90/$J90-1,IF($S90="Zero",0,IF($S90="NA","",IF($S90="Draft x-factor",INDEX('Detail inputs'!$B$3:$P$304,MATCH($B90&amp;$G90&amp;$S90,'Detail inputs'!$B$3:$B$304&amp;'Detail inputs'!$G$3:$G$304&amp;'Detail inputs'!$H$3:$H$304,0),MATCH(M$4,'Detail inputs'!$B$3:$P$3,0)))))),"")</f>
        <v>4.8178506375227803E-2</v>
      </c>
      <c r="N90" s="44"/>
      <c r="O90" s="93">
        <f t="array" ref="O90">IFERROR(IF(OR($S90="NA",$S90="Draft x-factor",$S90="Zero"),"",INDEX('Detail inputs'!$B$3:$L$304,MATCH($B90&amp;$C90&amp;$E90&amp;$G90&amp;O$5&amp;$T90,'Detail inputs'!$B$3:$B$304&amp;'Detail inputs'!$D$3:$D$304&amp;'Detail inputs'!$F$3:$F$304&amp;'Detail inputs'!$G$3:$G$304&amp;'Detail inputs'!$H$3:$H$304&amp;'Detail inputs'!$L$3:$L$304,0),MATCH(O$4,'Detail inputs'!$B$3:$L$3,0))),0)</f>
        <v>0</v>
      </c>
      <c r="P90" s="93">
        <f t="array" ref="P90">IFERROR(IF(OR($S90="NA",$S90="Draft x-factor",$S90="Zero"),"",INDEX('Detail inputs'!$B$3:$L$304,MATCH($B90&amp;$C90&amp;$E90&amp;$G90&amp;P$5&amp;$T90,'Detail inputs'!$B$3:$B$304&amp;'Detail inputs'!$D$3:$D$304&amp;'Detail inputs'!$F$3:$F$304&amp;'Detail inputs'!$G$3:$G$304&amp;'Detail inputs'!$H$3:$H$304&amp;'Detail inputs'!$L$3:$L$304,0),MATCH(P$4,'Detail inputs'!$B$3:$L$3,0))),0)</f>
        <v>11.509</v>
      </c>
      <c r="Q90" s="93">
        <f>IF(AND(O90="",P90=""),"",O90+P90*F90/1000)</f>
        <v>230.18</v>
      </c>
      <c r="R90" s="44">
        <f>IFERROR(Q90/Q92,"")</f>
        <v>0.12204866569917108</v>
      </c>
      <c r="S90" s="21" t="str">
        <f t="array" ref="S90">INDEX('Key inputs'!$B$35:$J$41,MATCH($B90,'Key inputs'!$B$35:$B$41,0),MATCH($G90&amp;S$5,'Key inputs'!$B$35:$J$35&amp;'Key inputs'!$B$36:$J$36,0))</f>
        <v>Indicative tariff</v>
      </c>
    </row>
    <row r="91" spans="2:20" x14ac:dyDescent="0.3">
      <c r="B91" s="3" t="s">
        <v>4</v>
      </c>
      <c r="C91" s="3" t="s">
        <v>14</v>
      </c>
      <c r="D91" s="3" t="s">
        <v>158</v>
      </c>
      <c r="E91" s="3" t="s">
        <v>24</v>
      </c>
      <c r="F91" s="41">
        <f t="array" ref="F91">IFERROR(INDEX(Usage!$B$5:$T$18,MATCH($B91,Usage!$B$5:$B$18,0),MATCH($C91&amp;$D91&amp;$E91,Usage!$B$5:$W$5&amp;Usage!$B$6:$W$6&amp;Usage!$B$7:$W$7,0)),0)</f>
        <v>20000</v>
      </c>
      <c r="G91" s="3" t="s">
        <v>56</v>
      </c>
      <c r="H91" s="93">
        <f t="array" ref="H91">IFERROR(INDEX('Detail inputs'!$B$3:$L$304,MATCH($B91&amp;$C91&amp;$E91&amp;$G91&amp;H$5&amp;$T91,'Detail inputs'!$B$3:$B$304&amp;'Detail inputs'!$D$3:$D$304&amp;'Detail inputs'!$F$3:$F$304&amp;'Detail inputs'!$G$3:$G$304&amp;'Detail inputs'!$H$3:$H$304&amp;'Detail inputs'!$L$3:$L$304,0),MATCH(H$4,'Detail inputs'!$B$3:$L$3,0)),0)</f>
        <v>0</v>
      </c>
      <c r="I91" s="93">
        <f t="array" ref="I91">IFERROR(INDEX('Detail inputs'!$B$3:$L$304,MATCH($B91&amp;$C91&amp;$E91&amp;$G91&amp;I$5&amp;$T91,'Detail inputs'!$B$3:$B$304&amp;'Detail inputs'!$D$3:$D$304&amp;'Detail inputs'!$F$3:$F$304&amp;'Detail inputs'!$G$3:$G$304&amp;'Detail inputs'!$H$3:$H$304&amp;'Detail inputs'!$L$3:$L$304,0),MATCH(I$4,'Detail inputs'!$B$3:$L$3,0)),0)</f>
        <v>10.572999999999999</v>
      </c>
      <c r="J91" s="93">
        <f>IF(AND(H91="",I91=""),"",H91+I91*F91/1000)</f>
        <v>211.45999999999998</v>
      </c>
      <c r="K91" s="44">
        <f>IFERROR(J91/J92,"")</f>
        <v>0.11049440839561031</v>
      </c>
      <c r="L91" s="44"/>
      <c r="M91" s="49">
        <f t="array" ref="M91">IFERROR(IF($S91="Indicative tariff",$Q91/$J91-1,IF($S91="Zero",0,IF($S91="NA","",IF($S91="Draft x-factor",INDEX('Detail inputs'!$B$3:$P$304,MATCH($B91&amp;$G91&amp;$S91,'Detail inputs'!$B$3:$B$304&amp;'Detail inputs'!$G$3:$G$304&amp;'Detail inputs'!$H$3:$H$304,0),MATCH(M$4,'Detail inputs'!$B$3:$P$3,0)))))),"")</f>
        <v>3.9250922160219526E-2</v>
      </c>
      <c r="N91" s="44"/>
      <c r="O91" s="93">
        <f t="array" ref="O91">IFERROR(IF(OR($S91="NA",$S91="Draft x-factor",$S91="Zero"),"",INDEX('Detail inputs'!$B$3:$L$304,MATCH($B91&amp;$C91&amp;$E91&amp;$G91&amp;O$5&amp;$T91,'Detail inputs'!$B$3:$B$304&amp;'Detail inputs'!$D$3:$D$304&amp;'Detail inputs'!$F$3:$F$304&amp;'Detail inputs'!$G$3:$G$304&amp;'Detail inputs'!$H$3:$H$304&amp;'Detail inputs'!$L$3:$L$304,0),MATCH(O$4,'Detail inputs'!$B$3:$L$3,0))),0)</f>
        <v>0</v>
      </c>
      <c r="P91" s="93">
        <f t="array" ref="P91">IFERROR(IF(OR($S91="NA",$S91="Draft x-factor",$S91="Zero"),"",INDEX('Detail inputs'!$B$3:$L$304,MATCH($B91&amp;$C91&amp;$E91&amp;$G91&amp;P$5&amp;$T91,'Detail inputs'!$B$3:$B$304&amp;'Detail inputs'!$D$3:$D$304&amp;'Detail inputs'!$F$3:$F$304&amp;'Detail inputs'!$G$3:$G$304&amp;'Detail inputs'!$H$3:$H$304&amp;'Detail inputs'!$L$3:$L$304,0),MATCH(P$4,'Detail inputs'!$B$3:$L$3,0))),0)</f>
        <v>10.988</v>
      </c>
      <c r="Q91" s="93">
        <f>IF(AND(O91="",P91=""),"",O91+P91*F91/1000)</f>
        <v>219.76</v>
      </c>
      <c r="R91" s="44">
        <f>IFERROR(Q91/Q92,"")</f>
        <v>0.11652365441849785</v>
      </c>
      <c r="S91" s="21" t="str">
        <f t="array" ref="S91">INDEX('Key inputs'!$B$35:$J$41,MATCH($B91,'Key inputs'!$B$35:$B$41,0),MATCH($G91&amp;S$5,'Key inputs'!$B$35:$J$35&amp;'Key inputs'!$B$36:$J$36,0))</f>
        <v>Indicative tariff</v>
      </c>
    </row>
    <row r="92" spans="2:20" x14ac:dyDescent="0.3">
      <c r="B92" s="3" t="s">
        <v>4</v>
      </c>
      <c r="C92" s="3" t="s">
        <v>14</v>
      </c>
      <c r="D92" s="3" t="s">
        <v>158</v>
      </c>
      <c r="E92" s="3" t="s">
        <v>24</v>
      </c>
      <c r="F92" s="41">
        <f t="array" ref="F92">IFERROR(INDEX(Usage!$B$5:$T$18,MATCH($B92,Usage!$B$5:$B$18,0),MATCH($C92&amp;$D92&amp;$E92,Usage!$B$5:$W$5&amp;Usage!$B$6:$W$6&amp;Usage!$B$7:$W$7,0)),0)</f>
        <v>20000</v>
      </c>
      <c r="G92" s="3" t="s">
        <v>65</v>
      </c>
      <c r="J92" s="93">
        <f>SUM(J89:J91)</f>
        <v>1913.7619999999999</v>
      </c>
      <c r="K92" s="44">
        <f>IFERROR(J92/J94,"")</f>
        <v>0.98514379019696063</v>
      </c>
      <c r="L92" s="44"/>
      <c r="M92" s="49">
        <f>IF(J92=0,"",IF(Q92="",SUMPRODUCT(K89:K91,M89:M91),Q92/J92-1))</f>
        <v>-1.4522704495125272E-2</v>
      </c>
      <c r="N92" s="44"/>
      <c r="O92" s="93" t="str">
        <f t="array" ref="O92">IFERROR(IF(OR($S92="NA",$S92="Draft x-factor",$S92="Sum"),"",INDEX('Detail inputs'!$B$3:$L$304,MATCH($B92&amp;$C92&amp;$E92&amp;$G92&amp;O$5&amp;$T92,'Detail inputs'!$B$3:$B$304&amp;'Detail inputs'!$D$3:$D$304&amp;'Detail inputs'!$F$3:$F$304&amp;'Detail inputs'!$G$3:$G$304&amp;'Detail inputs'!$H$3:$H$304&amp;'Detail inputs'!$L$3:$L$304,0),MATCH(O$4,'Detail inputs'!$B$3:$L$3,0))),0)</f>
        <v/>
      </c>
      <c r="P92" s="93" t="str">
        <f t="array" ref="P92">IFERROR(IF(OR($S92="NA",$S92="Draft x-factor",$S92="Sum"),"",INDEX('Detail inputs'!$B$3:$L$304,MATCH($B92&amp;$C92&amp;$E92&amp;$G92&amp;P$5&amp;$T92,'Detail inputs'!$B$3:$B$304&amp;'Detail inputs'!$D$3:$D$304&amp;'Detail inputs'!$F$3:$F$304&amp;'Detail inputs'!$G$3:$G$304&amp;'Detail inputs'!$H$3:$H$304&amp;'Detail inputs'!$L$3:$L$304,0),MATCH(P$4,'Detail inputs'!$B$3:$L$3,0))),0)</f>
        <v/>
      </c>
      <c r="Q92" s="93">
        <f>IF($S92="NA","",IF($S92="Indicative tariff",O92+P92*F92/1000,IF($S92="Sum",SUM(Q89:Q91))))</f>
        <v>1885.9690000000001</v>
      </c>
      <c r="R92" s="44">
        <f>IFERROR(Q92/Q94,"")</f>
        <v>0.98492815807573419</v>
      </c>
      <c r="S92" s="21" t="str">
        <f t="array" ref="S92">INDEX('Key inputs'!$B$35:$J$41,MATCH($B92,'Key inputs'!$B$35:$B$41,0),MATCH($G92&amp;S$5,'Key inputs'!$B$35:$J$35&amp;'Key inputs'!$B$36:$J$36,0))</f>
        <v>Sum</v>
      </c>
    </row>
    <row r="93" spans="2:20" x14ac:dyDescent="0.3">
      <c r="B93" s="3" t="s">
        <v>4</v>
      </c>
      <c r="C93" s="3" t="s">
        <v>14</v>
      </c>
      <c r="D93" s="3" t="s">
        <v>158</v>
      </c>
      <c r="E93" s="3" t="s">
        <v>24</v>
      </c>
      <c r="F93" s="41">
        <f t="array" ref="F93">IFERROR(INDEX(Usage!$B$5:$T$18,MATCH($B93,Usage!$B$5:$B$18,0),MATCH($C93&amp;$D93&amp;$E93,Usage!$B$5:$W$5&amp;Usage!$B$6:$W$6&amp;Usage!$B$7:$W$7,0)),0)</f>
        <v>20000</v>
      </c>
      <c r="G93" s="3" t="s">
        <v>67</v>
      </c>
      <c r="H93" s="93">
        <f t="array" ref="H93">IFERROR(INDEX('Detail inputs'!$B$3:$L$304,MATCH($B93&amp;$C93&amp;$E93&amp;$G93&amp;H$5&amp;$T93,'Detail inputs'!$B$3:$B$304&amp;'Detail inputs'!$D$3:$D$304&amp;'Detail inputs'!$F$3:$F$304&amp;'Detail inputs'!$G$3:$G$304&amp;'Detail inputs'!$H$3:$H$304&amp;'Detail inputs'!$L$3:$L$304,0),MATCH(H$4,'Detail inputs'!$B$3:$L$3,0)),0)</f>
        <v>28.86</v>
      </c>
      <c r="I93" s="93">
        <f t="array" ref="I93">IFERROR(INDEX('Detail inputs'!$B$3:$L$304,MATCH($B93&amp;$C93&amp;$E93&amp;$G93&amp;I$5&amp;$T93,'Detail inputs'!$B$3:$B$304&amp;'Detail inputs'!$D$3:$D$304&amp;'Detail inputs'!$F$3:$F$304&amp;'Detail inputs'!$G$3:$G$304&amp;'Detail inputs'!$H$3:$H$304&amp;'Detail inputs'!$L$3:$L$304,0),MATCH(I$4,'Detail inputs'!$B$3:$L$3,0)),0)</f>
        <v>0</v>
      </c>
      <c r="J93" s="93">
        <f>IF(AND(H93="",I93=""),"",H93+I93*F93/1000)</f>
        <v>28.86</v>
      </c>
      <c r="K93" s="44">
        <f>IFERROR(J93/J94,"")</f>
        <v>1.4856209803039398E-2</v>
      </c>
      <c r="L93" s="44"/>
      <c r="M93" s="49">
        <f t="array" ref="M93">IFERROR(IF($S93="Indicative tariff",$Q93/$J93-1,IF($S93="Zero",0,IF($S93="NA","",IF($S93="Draft x-factor",INDEX('Detail inputs'!$B$3:$P$304,MATCH($B93&amp;$G93&amp;$S93,'Detail inputs'!$B$3:$B$304&amp;'Detail inputs'!$G$3:$G$304&amp;'Detail inputs'!$H$3:$H$304,0),MATCH(M$4,'Detail inputs'!$B$3:$P$3,0)))))),"")</f>
        <v>0</v>
      </c>
      <c r="N93" s="44"/>
      <c r="O93" s="93">
        <f t="array" ref="O93">IFERROR(IF(OR($S93="NA",$S93="Draft x-factor"),"",IF($S93="Zero",H93,INDEX('Detail inputs'!$B$3:$L$304,MATCH($B93&amp;$C93&amp;$E93&amp;$G93&amp;O$5&amp;$T93,'Detail inputs'!$B$3:$B$304&amp;'Detail inputs'!$D$3:$D$304&amp;'Detail inputs'!$F$3:$F$304&amp;'Detail inputs'!$G$3:$G$304&amp;'Detail inputs'!$H$3:$H$304&amp;'Detail inputs'!$L$3:$L$304,0),MATCH(O$4,'Detail inputs'!$B$3:$L$3,0)))),0)</f>
        <v>28.86</v>
      </c>
      <c r="P93" s="93">
        <f t="array" ref="P93">IFERROR(IF(OR($S93="NA",$S93="Draft x-factor"),"",IF($S93="Zero",I93,INDEX('Detail inputs'!$B$3:$L$304,MATCH($B93&amp;$C93&amp;$E93&amp;$G93&amp;P$5&amp;$T93,'Detail inputs'!$B$3:$B$304&amp;'Detail inputs'!$D$3:$D$304&amp;'Detail inputs'!$F$3:$F$304&amp;'Detail inputs'!$G$3:$G$304&amp;'Detail inputs'!$H$3:$H$304&amp;'Detail inputs'!$L$3:$L$304,0),MATCH(P$4,'Detail inputs'!$B$3:$L$3,0)))),0)</f>
        <v>0</v>
      </c>
      <c r="Q93" s="93">
        <f>IF(AND(O93="",P93=""),"",O93+P93*F93/1000)</f>
        <v>28.86</v>
      </c>
      <c r="R93" s="44">
        <f>IFERROR(Q93/Q94,"")</f>
        <v>1.5071841924265823E-2</v>
      </c>
      <c r="S93" s="21" t="str">
        <f t="array" ref="S93">INDEX('Key inputs'!$B$35:$J$41,MATCH($B93,'Key inputs'!$B$35:$B$41,0),MATCH($G93&amp;S$5,'Key inputs'!$B$35:$J$35&amp;'Key inputs'!$B$36:$J$36,0))</f>
        <v>Indicative tariff</v>
      </c>
    </row>
    <row r="94" spans="2:20" s="81" customFormat="1" x14ac:dyDescent="0.3">
      <c r="B94" s="81" t="s">
        <v>4</v>
      </c>
      <c r="C94" s="81" t="s">
        <v>14</v>
      </c>
      <c r="D94" s="81" t="s">
        <v>158</v>
      </c>
      <c r="E94" s="3" t="s">
        <v>24</v>
      </c>
      <c r="F94" s="41">
        <f t="array" ref="F94">IFERROR(INDEX(Usage!$B$5:$T$18,MATCH($B94,Usage!$B$5:$B$18,0),MATCH($C94&amp;$D94&amp;$E94,Usage!$B$5:$W$5&amp;Usage!$B$6:$W$6&amp;Usage!$B$7:$W$7,0)),0)</f>
        <v>20000</v>
      </c>
      <c r="G94" s="81" t="s">
        <v>58</v>
      </c>
      <c r="H94" s="99"/>
      <c r="I94" s="99"/>
      <c r="J94" s="99">
        <f>SUM(J92:J93)</f>
        <v>1942.6219999999998</v>
      </c>
      <c r="K94" s="91"/>
      <c r="L94" s="92"/>
      <c r="M94" s="49">
        <f>IF(J94=0,"",IF(OR($S93="Draft x-factor",$S93="Zero"),SUMPRODUCT(K92:K93,M92:M93),Q94/J94-1))</f>
        <v>-1.4306952150238139E-2</v>
      </c>
      <c r="N94" s="92"/>
      <c r="O94" s="99"/>
      <c r="P94" s="99"/>
      <c r="Q94" s="99">
        <f>IF(AND(Q92="",Q93=""),J94*(1+M94),SUM(Q92:Q93))</f>
        <v>1914.829</v>
      </c>
      <c r="R94" s="91"/>
      <c r="S94" s="27"/>
      <c r="T94" s="92"/>
    </row>
    <row r="95" spans="2:20" x14ac:dyDescent="0.3">
      <c r="B95" s="3" t="s">
        <v>4</v>
      </c>
      <c r="C95" s="3" t="s">
        <v>14</v>
      </c>
      <c r="D95" s="3" t="s">
        <v>158</v>
      </c>
      <c r="E95" s="3" t="s">
        <v>24</v>
      </c>
      <c r="F95" s="41">
        <f t="array" ref="F95">IFERROR(INDEX(Usage!$B$5:$T$18,MATCH($B95,Usage!$B$5:$B$18,0),MATCH($C95&amp;$D95&amp;$E95,Usage!$B$5:$W$5&amp;Usage!$B$6:$W$6&amp;Usage!$B$7:$W$7,0)),0)</f>
        <v>20000</v>
      </c>
      <c r="G95" s="81" t="s">
        <v>41</v>
      </c>
      <c r="H95" s="99"/>
      <c r="I95" s="99"/>
      <c r="J95" s="99">
        <f>J94*GST</f>
        <v>194.26220000000001</v>
      </c>
      <c r="K95" s="91"/>
      <c r="L95" s="92"/>
      <c r="M95" s="83"/>
      <c r="N95" s="92"/>
      <c r="O95" s="99"/>
      <c r="P95" s="99"/>
      <c r="Q95" s="99">
        <f>Q94*GST</f>
        <v>191.4829</v>
      </c>
      <c r="R95" s="91"/>
    </row>
    <row r="96" spans="2:20" x14ac:dyDescent="0.3">
      <c r="B96" s="3" t="s">
        <v>4</v>
      </c>
      <c r="C96" s="3" t="s">
        <v>14</v>
      </c>
      <c r="D96" s="3" t="s">
        <v>158</v>
      </c>
      <c r="F96" s="41"/>
      <c r="G96" s="5" t="s">
        <v>91</v>
      </c>
      <c r="H96" s="98"/>
      <c r="I96" s="98"/>
      <c r="J96" s="98">
        <f>SUM(J94:J95)</f>
        <v>2136.8842</v>
      </c>
      <c r="K96" s="79"/>
      <c r="L96" s="27"/>
      <c r="M96" s="80">
        <f>IF(OR(J96=0,Q96=""),"",Q96/J96-1)</f>
        <v>-1.4306952150238139E-2</v>
      </c>
      <c r="N96" s="27"/>
      <c r="O96" s="98"/>
      <c r="P96" s="98"/>
      <c r="Q96" s="98">
        <f>SUM(Q94:Q95)</f>
        <v>2106.3119000000002</v>
      </c>
      <c r="R96" s="79"/>
    </row>
    <row r="97" spans="2:20" x14ac:dyDescent="0.3">
      <c r="F97" s="41"/>
      <c r="K97" s="44"/>
      <c r="M97" s="49"/>
      <c r="R97" s="44"/>
    </row>
    <row r="98" spans="2:20" x14ac:dyDescent="0.3">
      <c r="B98" s="5" t="s">
        <v>3</v>
      </c>
      <c r="C98" s="5" t="s">
        <v>6</v>
      </c>
      <c r="D98" s="5" t="s">
        <v>158</v>
      </c>
      <c r="E98" s="81"/>
      <c r="F98" s="82"/>
      <c r="K98" s="44"/>
      <c r="L98" s="44"/>
      <c r="M98" s="49"/>
      <c r="N98" s="44"/>
      <c r="R98" s="44"/>
    </row>
    <row r="99" spans="2:20" x14ac:dyDescent="0.3">
      <c r="B99" s="81" t="str">
        <f>B98</f>
        <v>Essential</v>
      </c>
      <c r="C99" s="81" t="str">
        <f t="shared" ref="C99:C105" si="21">C98</f>
        <v>Residential</v>
      </c>
      <c r="D99" s="81" t="str">
        <f t="shared" ref="D99:D105" si="22">D98</f>
        <v>without CL</v>
      </c>
      <c r="E99" s="81" t="s">
        <v>24</v>
      </c>
      <c r="F99" s="41">
        <f t="array" ref="F99">IFERROR(INDEX(Usage!$B$5:$T$18,MATCH($B99,Usage!$B$5:$B$18,0),MATCH($C99&amp;$D99&amp;$E99&amp;$T99,Usage!$B$5:$W$5&amp;Usage!$B$6:$W$6&amp;Usage!$B$7:$W$7&amp;Usage!$B$13:$W$13,0)),0)</f>
        <v>4600</v>
      </c>
      <c r="G99" s="3" t="s">
        <v>54</v>
      </c>
      <c r="H99" s="93">
        <f t="array" ref="H99">IFERROR(INDEX('Detail inputs'!$B$3:$L$304,MATCH($B99&amp;$C99&amp;$E99&amp;$G99&amp;H$5&amp;$T99,'Detail inputs'!$B$3:$B$304&amp;'Detail inputs'!$D$3:$D$304&amp;'Detail inputs'!$F$3:$F$304&amp;'Detail inputs'!$G$3:$G$304&amp;'Detail inputs'!$H$3:$H$304&amp;'Detail inputs'!$L$3:$L$304,0),MATCH(H$4,'Detail inputs'!$B$3:$L$3,0)),0)</f>
        <v>297.40199999999999</v>
      </c>
      <c r="I99" s="93">
        <f t="array" ref="I99">IFERROR(INDEX('Detail inputs'!$B$3:$L$304,MATCH($B99&amp;$C99&amp;$E99&amp;$G99&amp;I$5&amp;$T99,'Detail inputs'!$B$3:$B$304&amp;'Detail inputs'!$D$3:$D$304&amp;'Detail inputs'!$F$3:$F$304&amp;'Detail inputs'!$G$3:$G$304&amp;'Detail inputs'!$H$3:$H$304&amp;'Detail inputs'!$L$3:$L$304,0),MATCH(I$4,'Detail inputs'!$B$3:$L$3,0)),0)</f>
        <v>80.427999999999997</v>
      </c>
      <c r="J99" s="93">
        <f t="shared" ref="J99:J104" si="23">IF(AND(H99="",I99=""),"",H99+I99*F99/1000)</f>
        <v>667.37079999999992</v>
      </c>
      <c r="K99" s="44">
        <f>IFERROR(J99/J103,"")</f>
        <v>0.86281696077075132</v>
      </c>
      <c r="L99" s="44"/>
      <c r="M99" s="49" t="str">
        <f t="array" ref="M99">IFERROR(IF($S99="Indicative tariff",$Q99/$J99-1,IF($S99="Zero",0,IF($S99="NA","",IF($S99="Draft x-factor",INDEX('Detail inputs'!$B$3:$P$304,MATCH($B99&amp;$G99&amp;$S99,'Detail inputs'!$B$3:$B$304&amp;'Detail inputs'!$G$3:$G$304&amp;'Detail inputs'!$H$3:$H$304,0),MATCH(M$4,'Detail inputs'!$B$3:$P$3,0)))))),"")</f>
        <v/>
      </c>
      <c r="N99" s="44"/>
      <c r="O99" s="93" t="str">
        <f t="array" ref="O99">IFERROR(IF(OR($S99="NA",$S99="Draft x-factor",$S99="Zero"),"",INDEX('Detail inputs'!$B$3:$L$304,MATCH($B99&amp;$C99&amp;$E99&amp;$G99&amp;O$5&amp;$T99,'Detail inputs'!$B$3:$B$304&amp;'Detail inputs'!$D$3:$D$304&amp;'Detail inputs'!$F$3:$F$304&amp;'Detail inputs'!$G$3:$G$304&amp;'Detail inputs'!$H$3:$H$304&amp;'Detail inputs'!$L$3:$L$304,0),MATCH(O$4,'Detail inputs'!$B$3:$L$3,0))),0)</f>
        <v/>
      </c>
      <c r="P99" s="93" t="str">
        <f t="array" ref="P99">IFERROR(IF(OR($S99="NA",$S99="Draft x-factor",$S99="Zero"),"",INDEX('Detail inputs'!$B$3:$L$304,MATCH($B99&amp;$C99&amp;$E99&amp;$G99&amp;P$5&amp;$T99,'Detail inputs'!$B$3:$B$304&amp;'Detail inputs'!$D$3:$D$304&amp;'Detail inputs'!$F$3:$F$304&amp;'Detail inputs'!$G$3:$G$304&amp;'Detail inputs'!$H$3:$H$304&amp;'Detail inputs'!$L$3:$L$304,0),MATCH(P$4,'Detail inputs'!$B$3:$L$3,0))),0)</f>
        <v/>
      </c>
      <c r="Q99" s="93" t="str">
        <f>IF(AND(O99="",P99=""),"",O99+P99*F99/1000)</f>
        <v/>
      </c>
      <c r="R99" s="44" t="str">
        <f>IFERROR(Q99/Q103,"")</f>
        <v/>
      </c>
      <c r="S99" s="21" t="str">
        <f t="array" ref="S99">INDEX('Key inputs'!$B$35:$J$41,MATCH($B99,'Key inputs'!$B$35:$B$41,0),MATCH($G99&amp;S$5,'Key inputs'!$B$35:$J$35&amp;'Key inputs'!$B$36:$J$36,0))</f>
        <v>NA</v>
      </c>
      <c r="T99" s="21" t="s">
        <v>58</v>
      </c>
    </row>
    <row r="100" spans="2:20" x14ac:dyDescent="0.3">
      <c r="B100" s="81" t="str">
        <f t="shared" ref="B100:B105" si="24">B99</f>
        <v>Essential</v>
      </c>
      <c r="C100" s="81" t="str">
        <f t="shared" si="21"/>
        <v>Residential</v>
      </c>
      <c r="D100" s="81" t="str">
        <f t="shared" si="22"/>
        <v>without CL</v>
      </c>
      <c r="E100" s="81" t="s">
        <v>24</v>
      </c>
      <c r="F100" s="41">
        <f t="array" ref="F100">IFERROR(INDEX(Usage!$B$5:$T$18,MATCH($B100,Usage!$B$5:$B$18,0),MATCH($C100&amp;$D100&amp;$E100&amp;$T100,Usage!$B$5:$W$5&amp;Usage!$B$6:$W$6&amp;Usage!$B$7:$W$7&amp;Usage!$B$13:$W$13,0)),0)</f>
        <v>4600</v>
      </c>
      <c r="G100" s="3" t="s">
        <v>55</v>
      </c>
      <c r="H100" s="93">
        <f t="array" ref="H100">IFERROR(INDEX('Detail inputs'!$B$3:$L$304,MATCH($B100&amp;$C100&amp;$E100&amp;$G100&amp;H$5&amp;$T100,'Detail inputs'!$B$3:$B$304&amp;'Detail inputs'!$D$3:$D$304&amp;'Detail inputs'!$F$3:$F$304&amp;'Detail inputs'!$G$3:$G$304&amp;'Detail inputs'!$H$3:$H$304&amp;'Detail inputs'!$L$3:$L$304,0),MATCH(H$4,'Detail inputs'!$B$3:$L$3,0)),0)</f>
        <v>0</v>
      </c>
      <c r="I100" s="93">
        <f t="array" ref="I100">IFERROR(INDEX('Detail inputs'!$B$3:$L$304,MATCH($B100&amp;$C100&amp;$E100&amp;$G100&amp;I$5&amp;$T100,'Detail inputs'!$B$3:$B$304&amp;'Detail inputs'!$D$3:$D$304&amp;'Detail inputs'!$F$3:$F$304&amp;'Detail inputs'!$G$3:$G$304&amp;'Detail inputs'!$H$3:$H$304&amp;'Detail inputs'!$L$3:$L$304,0),MATCH(I$4,'Detail inputs'!$B$3:$L$3,0)),0)</f>
        <v>20.07</v>
      </c>
      <c r="J100" s="93">
        <f t="shared" si="23"/>
        <v>92.322000000000003</v>
      </c>
      <c r="K100" s="44">
        <f>IFERROR(J100/J103,"")</f>
        <v>0.11935941376559675</v>
      </c>
      <c r="L100" s="44"/>
      <c r="M100" s="49" t="str">
        <f t="array" ref="M100">IFERROR(IF($S100="Indicative tariff",$Q100/$J100-1,IF($S100="Zero",0,IF($S100="NA","",IF($S100="Draft x-factor",INDEX('Detail inputs'!$B$3:$P$304,MATCH($B100&amp;$G100&amp;$S100,'Detail inputs'!$B$3:$B$304&amp;'Detail inputs'!$G$3:$G$304&amp;'Detail inputs'!$H$3:$H$304,0),MATCH(M$4,'Detail inputs'!$B$3:$P$3,0)))))),"")</f>
        <v/>
      </c>
      <c r="N100" s="44"/>
      <c r="O100" s="93" t="str">
        <f t="array" ref="O100">IFERROR(IF(OR($S100="NA",$S100="Draft x-factor",$S100="Zero"),"",INDEX('Detail inputs'!$B$3:$L$304,MATCH($B100&amp;$C100&amp;$E100&amp;$G100&amp;O$5&amp;$T100,'Detail inputs'!$B$3:$B$304&amp;'Detail inputs'!$D$3:$D$304&amp;'Detail inputs'!$F$3:$F$304&amp;'Detail inputs'!$G$3:$G$304&amp;'Detail inputs'!$H$3:$H$304&amp;'Detail inputs'!$L$3:$L$304,0),MATCH(O$4,'Detail inputs'!$B$3:$L$3,0))),0)</f>
        <v/>
      </c>
      <c r="P100" s="93" t="str">
        <f t="array" ref="P100">IFERROR(IF(OR($S100="NA",$S100="Draft x-factor",$S100="Zero"),"",INDEX('Detail inputs'!$B$3:$L$304,MATCH($B100&amp;$C100&amp;$E100&amp;$G100&amp;P$5&amp;$T100,'Detail inputs'!$B$3:$B$304&amp;'Detail inputs'!$D$3:$D$304&amp;'Detail inputs'!$F$3:$F$304&amp;'Detail inputs'!$G$3:$G$304&amp;'Detail inputs'!$H$3:$H$304&amp;'Detail inputs'!$L$3:$L$304,0),MATCH(P$4,'Detail inputs'!$B$3:$L$3,0))),0)</f>
        <v/>
      </c>
      <c r="Q100" s="93" t="str">
        <f>IF(AND(O100="",P100=""),"",O100+P100*F100/1000)</f>
        <v/>
      </c>
      <c r="R100" s="44" t="str">
        <f>IFERROR(Q100/Q103,"")</f>
        <v/>
      </c>
      <c r="S100" s="21" t="str">
        <f t="array" ref="S100">INDEX('Key inputs'!$B$35:$J$41,MATCH($B100,'Key inputs'!$B$35:$B$41,0),MATCH($G100&amp;S$5,'Key inputs'!$B$35:$J$35&amp;'Key inputs'!$B$36:$J$36,0))</f>
        <v>NA</v>
      </c>
      <c r="T100" s="21" t="s">
        <v>58</v>
      </c>
    </row>
    <row r="101" spans="2:20" x14ac:dyDescent="0.3">
      <c r="B101" s="81" t="str">
        <f t="shared" si="24"/>
        <v>Essential</v>
      </c>
      <c r="C101" s="81" t="str">
        <f t="shared" si="21"/>
        <v>Residential</v>
      </c>
      <c r="D101" s="81" t="str">
        <f t="shared" si="22"/>
        <v>without CL</v>
      </c>
      <c r="E101" s="81" t="s">
        <v>24</v>
      </c>
      <c r="F101" s="41">
        <f t="array" ref="F101">IFERROR(INDEX(Usage!$B$5:$T$18,MATCH($B101,Usage!$B$5:$B$18,0),MATCH($C101&amp;$D101&amp;$E101&amp;$T101,Usage!$B$5:$W$5&amp;Usage!$B$6:$W$6&amp;Usage!$B$7:$W$7&amp;Usage!$B$13:$W$13,0)),0)</f>
        <v>4600</v>
      </c>
      <c r="G101" s="3" t="s">
        <v>56</v>
      </c>
      <c r="H101" s="93">
        <f t="array" ref="H101">IFERROR(INDEX('Detail inputs'!$B$3:$L$304,MATCH($B101&amp;$C101&amp;$E101&amp;$G101&amp;H$5&amp;$T101,'Detail inputs'!$B$3:$B$304&amp;'Detail inputs'!$D$3:$D$304&amp;'Detail inputs'!$F$3:$F$304&amp;'Detail inputs'!$G$3:$G$304&amp;'Detail inputs'!$H$3:$H$304&amp;'Detail inputs'!$L$3:$L$304,0),MATCH(H$4,'Detail inputs'!$B$3:$L$3,0)),0)</f>
        <v>0</v>
      </c>
      <c r="I101" s="93">
        <f t="array" ref="I101">IFERROR(INDEX('Detail inputs'!$B$3:$L$304,MATCH($B101&amp;$C101&amp;$E101&amp;$G101&amp;I$5&amp;$T101,'Detail inputs'!$B$3:$B$304&amp;'Detail inputs'!$D$3:$D$304&amp;'Detail inputs'!$F$3:$F$304&amp;'Detail inputs'!$G$3:$G$304&amp;'Detail inputs'!$H$3:$H$304&amp;'Detail inputs'!$L$3:$L$304,0),MATCH(I$4,'Detail inputs'!$B$3:$L$3,0)),0)</f>
        <v>2.88</v>
      </c>
      <c r="J101" s="93">
        <f t="shared" si="23"/>
        <v>13.247999999999999</v>
      </c>
      <c r="K101" s="44">
        <f>IFERROR(J101/J103,"")</f>
        <v>1.7127808253359175E-2</v>
      </c>
      <c r="L101" s="44"/>
      <c r="M101" s="49" t="str">
        <f t="array" ref="M101">IFERROR(IF($S101="Indicative tariff",$Q101/$J101-1,IF($S101="Zero",0,IF($S101="NA","",IF($S101="Draft x-factor",INDEX('Detail inputs'!$B$3:$P$304,MATCH($B101&amp;$G101&amp;$S101,'Detail inputs'!$B$3:$B$304&amp;'Detail inputs'!$G$3:$G$304&amp;'Detail inputs'!$H$3:$H$304,0),MATCH(M$4,'Detail inputs'!$B$3:$P$3,0)))))),"")</f>
        <v/>
      </c>
      <c r="N101" s="44"/>
      <c r="O101" s="93" t="str">
        <f t="array" ref="O101">IFERROR(IF(OR($S101="NA",$S101="Draft x-factor",$S101="Zero"),"",INDEX('Detail inputs'!$B$3:$L$304,MATCH($B101&amp;$C101&amp;$E101&amp;$G101&amp;O$5&amp;$T101,'Detail inputs'!$B$3:$B$304&amp;'Detail inputs'!$D$3:$D$304&amp;'Detail inputs'!$F$3:$F$304&amp;'Detail inputs'!$G$3:$G$304&amp;'Detail inputs'!$H$3:$H$304&amp;'Detail inputs'!$L$3:$L$304,0),MATCH(O$4,'Detail inputs'!$B$3:$L$3,0))),0)</f>
        <v/>
      </c>
      <c r="P101" s="93" t="str">
        <f t="array" ref="P101">IFERROR(IF(OR($S101="NA",$S101="Draft x-factor",$S101="Zero"),"",INDEX('Detail inputs'!$B$3:$L$304,MATCH($B101&amp;$C101&amp;$E101&amp;$G101&amp;P$5&amp;$T101,'Detail inputs'!$B$3:$B$304&amp;'Detail inputs'!$D$3:$D$304&amp;'Detail inputs'!$F$3:$F$304&amp;'Detail inputs'!$G$3:$G$304&amp;'Detail inputs'!$H$3:$H$304&amp;'Detail inputs'!$L$3:$L$304,0),MATCH(P$4,'Detail inputs'!$B$3:$L$3,0))),0)</f>
        <v/>
      </c>
      <c r="Q101" s="93" t="str">
        <f>IF(AND(O101="",P101=""),"",O101+P101*F101/1000)</f>
        <v/>
      </c>
      <c r="R101" s="44" t="str">
        <f>IFERROR(Q101/Q103,"")</f>
        <v/>
      </c>
      <c r="S101" s="21" t="str">
        <f t="array" ref="S101">INDEX('Key inputs'!$B$35:$J$41,MATCH($B101,'Key inputs'!$B$35:$B$41,0),MATCH($G101&amp;S$5,'Key inputs'!$B$35:$J$35&amp;'Key inputs'!$B$36:$J$36,0))</f>
        <v>NA</v>
      </c>
      <c r="T101" s="21" t="s">
        <v>58</v>
      </c>
    </row>
    <row r="102" spans="2:20" x14ac:dyDescent="0.3">
      <c r="B102" s="81" t="str">
        <f t="shared" ref="B102:D103" si="25">B101</f>
        <v>Essential</v>
      </c>
      <c r="C102" s="81" t="str">
        <f t="shared" si="25"/>
        <v>Residential</v>
      </c>
      <c r="D102" s="81" t="str">
        <f t="shared" si="25"/>
        <v>without CL</v>
      </c>
      <c r="E102" s="81" t="s">
        <v>24</v>
      </c>
      <c r="F102" s="41">
        <f t="array" ref="F102">IFERROR(INDEX(Usage!$B$5:$T$18,MATCH($B102,Usage!$B$5:$B$18,0),MATCH($C102&amp;$D102&amp;$E102&amp;$T102,Usage!$B$5:$W$5&amp;Usage!$B$6:$W$6&amp;Usage!$B$7:$W$7&amp;Usage!$B$13:$W$13,0)),0)</f>
        <v>4600</v>
      </c>
      <c r="G102" s="3" t="s">
        <v>86</v>
      </c>
      <c r="H102" s="93">
        <f t="array" ref="H102">IFERROR(INDEX('Detail inputs'!$B$3:$L$304,MATCH($B102&amp;$C102&amp;$E102&amp;$G102&amp;H$5&amp;$T102,'Detail inputs'!$B$3:$B$304&amp;'Detail inputs'!$D$3:$D$304&amp;'Detail inputs'!$F$3:$F$304&amp;'Detail inputs'!$G$3:$G$304&amp;'Detail inputs'!$H$3:$H$304&amp;'Detail inputs'!$L$3:$L$304,0),MATCH(H$4,'Detail inputs'!$B$3:$L$3,0)),0)</f>
        <v>0</v>
      </c>
      <c r="I102" s="93">
        <f t="array" ref="I102">IFERROR(INDEX('Detail inputs'!$B$3:$L$304,MATCH($B102&amp;$C102&amp;$E102&amp;$G102&amp;I$5&amp;$T102,'Detail inputs'!$B$3:$B$304&amp;'Detail inputs'!$D$3:$D$304&amp;'Detail inputs'!$F$3:$F$304&amp;'Detail inputs'!$G$3:$G$304&amp;'Detail inputs'!$H$3:$H$304&amp;'Detail inputs'!$L$3:$L$304,0),MATCH(I$4,'Detail inputs'!$B$3:$L$3,0)),0)</f>
        <v>0.11700000000000001</v>
      </c>
      <c r="J102" s="93">
        <f>IF(AND(H102="",I102=""),"",H102+I102*F102/1000)</f>
        <v>0.53820000000000001</v>
      </c>
      <c r="K102" s="44">
        <f>IFERROR(J102/J103,"")</f>
        <v>6.9581721029271645E-4</v>
      </c>
      <c r="L102" s="44"/>
      <c r="M102" s="49" t="str">
        <f t="array" ref="M102">IFERROR(IF($S102="Indicative tariff",$Q102/$J102-1,IF($S102="Zero",0,IF($S102="NA","",IF($S102="Draft x-factor",INDEX('Detail inputs'!$B$3:$P$304,MATCH($B102&amp;$G102&amp;$S102,'Detail inputs'!$B$3:$B$304&amp;'Detail inputs'!$G$3:$G$304&amp;'Detail inputs'!$H$3:$H$304,0),MATCH(M$4,'Detail inputs'!$B$3:$P$3,0)))))),"")</f>
        <v/>
      </c>
      <c r="N102" s="44"/>
      <c r="O102" s="93" t="str">
        <f t="array" ref="O102">IFERROR(IF(OR($S102="NA",$S102="Draft x-factor",$S102="Zero"),"",INDEX('Detail inputs'!$B$3:$L$304,MATCH($B102&amp;$C102&amp;$E102&amp;$G102&amp;O$5&amp;$T102,'Detail inputs'!$B$3:$B$304&amp;'Detail inputs'!$D$3:$D$304&amp;'Detail inputs'!$F$3:$F$304&amp;'Detail inputs'!$G$3:$G$304&amp;'Detail inputs'!$H$3:$H$304&amp;'Detail inputs'!$L$3:$L$304,0),MATCH(O$4,'Detail inputs'!$B$3:$L$3,0))),0)</f>
        <v/>
      </c>
      <c r="P102" s="93" t="str">
        <f t="array" ref="P102">IFERROR(IF(OR($S102="NA",$S102="Draft x-factor",$S102="Zero"),"",INDEX('Detail inputs'!$B$3:$L$304,MATCH($B102&amp;$C102&amp;$E102&amp;$G102&amp;P$5&amp;$T102,'Detail inputs'!$B$3:$B$304&amp;'Detail inputs'!$D$3:$D$304&amp;'Detail inputs'!$F$3:$F$304&amp;'Detail inputs'!$G$3:$G$304&amp;'Detail inputs'!$H$3:$H$304&amp;'Detail inputs'!$L$3:$L$304,0),MATCH(P$4,'Detail inputs'!$B$3:$L$3,0))),0)</f>
        <v/>
      </c>
      <c r="Q102" s="93" t="str">
        <f>IF(AND(O102="",P102=""),"",O102+P102*F102/1000)</f>
        <v/>
      </c>
      <c r="R102" s="44" t="str">
        <f>IFERROR(Q102/Q103,"")</f>
        <v/>
      </c>
      <c r="S102" s="21" t="str">
        <f t="array" ref="S102">INDEX('Key inputs'!$B$35:$J$41,MATCH($B102,'Key inputs'!$B$35:$B$41,0),MATCH($G102&amp;S$5,'Key inputs'!$B$35:$J$35&amp;'Key inputs'!$B$36:$J$36,0))</f>
        <v>NA</v>
      </c>
      <c r="T102" s="21" t="s">
        <v>58</v>
      </c>
    </row>
    <row r="103" spans="2:20" x14ac:dyDescent="0.3">
      <c r="B103" s="81" t="str">
        <f t="shared" si="25"/>
        <v>Essential</v>
      </c>
      <c r="C103" s="81" t="str">
        <f t="shared" si="25"/>
        <v>Residential</v>
      </c>
      <c r="D103" s="81" t="str">
        <f t="shared" si="25"/>
        <v>without CL</v>
      </c>
      <c r="E103" s="81" t="s">
        <v>24</v>
      </c>
      <c r="F103" s="41">
        <f t="array" ref="F103">IFERROR(INDEX(Usage!$B$5:$T$18,MATCH($B103,Usage!$B$5:$B$18,0),MATCH($C103&amp;$D103&amp;$E103&amp;$T103,Usage!$B$5:$W$5&amp;Usage!$B$6:$W$6&amp;Usage!$B$7:$W$7&amp;Usage!$B$13:$W$13,0)),0)</f>
        <v>4600</v>
      </c>
      <c r="G103" s="3" t="s">
        <v>65</v>
      </c>
      <c r="J103" s="93">
        <f>SUM(J99:J102)</f>
        <v>773.47899999999993</v>
      </c>
      <c r="K103" s="44">
        <f>IFERROR(J103/J105,"")</f>
        <v>0.9603248431980369</v>
      </c>
      <c r="L103" s="44"/>
      <c r="M103" s="49">
        <f>IF(J103=0,"",IF(Q103="",SUMPRODUCT(K99:K102,M99:M102),Q103/J103-1))</f>
        <v>2.8292946544121733E-3</v>
      </c>
      <c r="N103" s="44"/>
      <c r="O103" s="93">
        <f t="array" ref="O103">IFERROR(IF(OR($S103="NA",$S103="Draft x-factor",$S103="Sum"),"",INDEX('Detail inputs'!$B$3:$L$304,MATCH($B103&amp;$C103&amp;$E103&amp;$G103&amp;O$5&amp;$T103,'Detail inputs'!$B$3:$B$304&amp;'Detail inputs'!$D$3:$D$304&amp;'Detail inputs'!$F$3:$F$304&amp;'Detail inputs'!$G$3:$G$304&amp;'Detail inputs'!$H$3:$H$304&amp;'Detail inputs'!$L$3:$L$304,0),MATCH(O$4,'Detail inputs'!$B$3:$L$3,0))),0)</f>
        <v>298.79000000000002</v>
      </c>
      <c r="P103" s="93">
        <f t="array" ref="P103">IFERROR(IF(OR($S103="NA",$S103="Draft x-factor",$S103="Sum"),"",INDEX('Detail inputs'!$B$3:$L$304,MATCH($B103&amp;$C103&amp;$E103&amp;$G103&amp;P$5&amp;$T103,'Detail inputs'!$B$3:$B$304&amp;'Detail inputs'!$D$3:$D$304&amp;'Detail inputs'!$F$3:$F$304&amp;'Detail inputs'!$G$3:$G$304&amp;'Detail inputs'!$H$3:$H$304&amp;'Detail inputs'!$L$3:$L$304,0),MATCH(P$4,'Detail inputs'!$B$3:$L$3,0))),0)</f>
        <v>103.669</v>
      </c>
      <c r="Q103" s="93">
        <f>IF($S103="NA","",IF($S103="Indicative tariff",O103+P103*F103/1000,IF($S103="Sum",SUM(Q99:Q102))))</f>
        <v>775.66740000000004</v>
      </c>
      <c r="R103" s="44">
        <f>IFERROR(Q103/Q105,"")</f>
        <v>0.96043235016232509</v>
      </c>
      <c r="S103" s="21" t="str">
        <f t="array" ref="S103">INDEX('Key inputs'!$B$35:$J$41,MATCH($B103,'Key inputs'!$B$35:$B$41,0),MATCH($G103&amp;S$5,'Key inputs'!$B$35:$J$35&amp;'Key inputs'!$B$36:$J$36,0))</f>
        <v>Indicative tariff</v>
      </c>
      <c r="T103" s="21" t="s">
        <v>58</v>
      </c>
    </row>
    <row r="104" spans="2:20" x14ac:dyDescent="0.3">
      <c r="B104" s="81" t="str">
        <f t="shared" si="24"/>
        <v>Essential</v>
      </c>
      <c r="C104" s="81" t="str">
        <f t="shared" si="21"/>
        <v>Residential</v>
      </c>
      <c r="D104" s="81" t="str">
        <f t="shared" si="22"/>
        <v>without CL</v>
      </c>
      <c r="E104" s="81" t="s">
        <v>24</v>
      </c>
      <c r="F104" s="41">
        <f t="array" ref="F104">IFERROR(INDEX(Usage!$B$5:$T$18,MATCH($B104,Usage!$B$5:$B$18,0),MATCH($C104&amp;$D104&amp;$E104&amp;$T104,Usage!$B$5:$W$5&amp;Usage!$B$6:$W$6&amp;Usage!$B$7:$W$7&amp;Usage!$B$13:$W$13,0)),0)</f>
        <v>4600</v>
      </c>
      <c r="G104" s="3" t="s">
        <v>67</v>
      </c>
      <c r="H104" s="93">
        <f t="array" ref="H104">IFERROR(INDEX('Detail inputs'!$B$3:$L$304,MATCH($B104&amp;$C104&amp;$E104&amp;$G104&amp;H$5&amp;$T104,'Detail inputs'!$B$3:$B$304&amp;'Detail inputs'!$D$3:$D$304&amp;'Detail inputs'!$F$3:$F$304&amp;'Detail inputs'!$G$3:$G$304&amp;'Detail inputs'!$H$3:$H$304&amp;'Detail inputs'!$L$3:$L$304,0),MATCH(H$4,'Detail inputs'!$B$3:$L$3,0)),0)</f>
        <v>31.955749999999998</v>
      </c>
      <c r="I104" s="93">
        <f t="array" ref="I104">IFERROR(INDEX('Detail inputs'!$B$3:$L$304,MATCH($B104&amp;$C104&amp;$E104&amp;$G104&amp;I$5&amp;$T104,'Detail inputs'!$B$3:$B$304&amp;'Detail inputs'!$D$3:$D$304&amp;'Detail inputs'!$F$3:$F$304&amp;'Detail inputs'!$G$3:$G$304&amp;'Detail inputs'!$H$3:$H$304&amp;'Detail inputs'!$L$3:$L$304,0),MATCH(I$4,'Detail inputs'!$B$3:$L$3,0)),0)</f>
        <v>0</v>
      </c>
      <c r="J104" s="93">
        <f t="shared" si="23"/>
        <v>31.955749999999998</v>
      </c>
      <c r="K104" s="44">
        <f>IFERROR(J104/J105,"")</f>
        <v>3.9675156801963166E-2</v>
      </c>
      <c r="L104" s="44"/>
      <c r="M104" s="49">
        <f t="array" ref="M104">IFERROR(IF($S104="Indicative tariff",$Q104/$J104-1,IF($S104="Zero",0,IF($S104="NA","",IF($S104="Draft x-factor",INDEX('Detail inputs'!$B$3:$P$304,MATCH($B104&amp;$G104&amp;$S104,'Detail inputs'!$B$3:$B$304&amp;'Detail inputs'!$G$3:$G$304&amp;'Detail inputs'!$H$3:$H$304,0),MATCH(M$4,'Detail inputs'!$B$3:$P$3,0)))))),"")</f>
        <v>0</v>
      </c>
      <c r="N104" s="44"/>
      <c r="O104" s="93">
        <f t="array" ref="O104">IFERROR(IF(OR($S104="NA",$S104="Draft x-factor"),"",IF($S104="Zero",H104,INDEX('Detail inputs'!$B$3:$L$304,MATCH($B104&amp;$C104&amp;$E104&amp;$G104&amp;O$5&amp;$T104,'Detail inputs'!$B$3:$B$304&amp;'Detail inputs'!$D$3:$D$304&amp;'Detail inputs'!$F$3:$F$304&amp;'Detail inputs'!$G$3:$G$304&amp;'Detail inputs'!$H$3:$H$304&amp;'Detail inputs'!$L$3:$L$304,0),MATCH(O$4,'Detail inputs'!$B$3:$L$3,0)))),0)</f>
        <v>31.955749999999998</v>
      </c>
      <c r="P104" s="93">
        <f t="array" ref="P104">IFERROR(IF(OR($S104="NA",$S104="Draft x-factor"),"",IF($S104="Zero",I104,INDEX('Detail inputs'!$B$3:$L$304,MATCH($B104&amp;$C104&amp;$E104&amp;$G104&amp;P$5&amp;$T104,'Detail inputs'!$B$3:$B$304&amp;'Detail inputs'!$D$3:$D$304&amp;'Detail inputs'!$F$3:$F$304&amp;'Detail inputs'!$G$3:$G$304&amp;'Detail inputs'!$H$3:$H$304&amp;'Detail inputs'!$L$3:$L$304,0),MATCH(P$4,'Detail inputs'!$B$3:$L$3,0)))),0)</f>
        <v>0</v>
      </c>
      <c r="Q104" s="93">
        <f>IF(AND(O104="",P104=""),"",O104+P104*F104/1000)</f>
        <v>31.955749999999998</v>
      </c>
      <c r="R104" s="44">
        <f>IFERROR(Q104/Q105,"")</f>
        <v>3.9567649837674905E-2</v>
      </c>
      <c r="S104" s="21" t="str">
        <f t="array" ref="S104">INDEX('Key inputs'!$B$35:$J$41,MATCH($B104,'Key inputs'!$B$35:$B$41,0),MATCH($G104&amp;S$5,'Key inputs'!$B$35:$J$35&amp;'Key inputs'!$B$36:$J$36,0))</f>
        <v>Zero</v>
      </c>
      <c r="T104" s="21" t="s">
        <v>58</v>
      </c>
    </row>
    <row r="105" spans="2:20" s="81" customFormat="1" x14ac:dyDescent="0.3">
      <c r="B105" s="81" t="str">
        <f t="shared" si="24"/>
        <v>Essential</v>
      </c>
      <c r="C105" s="81" t="str">
        <f t="shared" si="21"/>
        <v>Residential</v>
      </c>
      <c r="D105" s="81" t="str">
        <f t="shared" si="22"/>
        <v>without CL</v>
      </c>
      <c r="E105" s="81" t="s">
        <v>24</v>
      </c>
      <c r="F105" s="41">
        <f t="array" ref="F105">IFERROR(INDEX(Usage!$B$5:$T$18,MATCH($B105,Usage!$B$5:$B$18,0),MATCH($C105&amp;$D105&amp;$E105&amp;$T105,Usage!$B$5:$W$5&amp;Usage!$B$6:$W$6&amp;Usage!$B$7:$W$7&amp;Usage!$B$13:$W$13,0)),0)</f>
        <v>4600</v>
      </c>
      <c r="G105" s="81" t="s">
        <v>58</v>
      </c>
      <c r="H105" s="99"/>
      <c r="I105" s="99"/>
      <c r="J105" s="99">
        <f>SUM(J103:J104)</f>
        <v>805.43474999999989</v>
      </c>
      <c r="K105" s="91"/>
      <c r="L105" s="92"/>
      <c r="M105" s="49">
        <f>IF(J105=0,"",IF(OR($S104="Draft x-factor",$S104="Zero"),SUMPRODUCT(K103:K104,M103:M104),Q105/J105-1))</f>
        <v>2.7170419453594143E-3</v>
      </c>
      <c r="N105" s="92"/>
      <c r="O105" s="99"/>
      <c r="P105" s="99"/>
      <c r="Q105" s="99">
        <f>IF(AND(Q103="",Q104=""),J105*(1+M105),SUM(Q103:Q104))</f>
        <v>807.62315000000001</v>
      </c>
      <c r="R105" s="91"/>
      <c r="S105" s="92"/>
      <c r="T105" s="21" t="s">
        <v>58</v>
      </c>
    </row>
    <row r="106" spans="2:20" x14ac:dyDescent="0.3">
      <c r="B106" s="81" t="str">
        <f t="shared" ref="B106:D107" si="26">B105</f>
        <v>Essential</v>
      </c>
      <c r="C106" s="81" t="str">
        <f t="shared" si="26"/>
        <v>Residential</v>
      </c>
      <c r="D106" s="81" t="str">
        <f t="shared" si="26"/>
        <v>without CL</v>
      </c>
      <c r="E106" s="81"/>
      <c r="F106" s="82"/>
      <c r="G106" s="81" t="s">
        <v>41</v>
      </c>
      <c r="H106" s="99"/>
      <c r="I106" s="99"/>
      <c r="J106" s="99">
        <f>J105*GST</f>
        <v>80.543475000000001</v>
      </c>
      <c r="K106" s="91"/>
      <c r="L106" s="92"/>
      <c r="M106" s="83"/>
      <c r="N106" s="92"/>
      <c r="O106" s="99"/>
      <c r="P106" s="99"/>
      <c r="Q106" s="99">
        <f>Q105*GST</f>
        <v>80.762315000000001</v>
      </c>
      <c r="R106" s="91"/>
      <c r="S106" s="27"/>
      <c r="T106" s="27"/>
    </row>
    <row r="107" spans="2:20" x14ac:dyDescent="0.3">
      <c r="B107" s="81" t="str">
        <f t="shared" si="26"/>
        <v>Essential</v>
      </c>
      <c r="C107" s="81" t="str">
        <f t="shared" si="26"/>
        <v>Residential</v>
      </c>
      <c r="D107" s="81" t="str">
        <f t="shared" si="26"/>
        <v>without CL</v>
      </c>
      <c r="E107" s="81"/>
      <c r="F107" s="82"/>
      <c r="G107" s="5" t="s">
        <v>91</v>
      </c>
      <c r="H107" s="98"/>
      <c r="I107" s="98"/>
      <c r="J107" s="98">
        <f>SUM(J105:J106)</f>
        <v>885.97822499999984</v>
      </c>
      <c r="K107" s="79"/>
      <c r="L107" s="27"/>
      <c r="M107" s="80">
        <f>IF(OR(J107=0,Q107=""),"",Q107/J107-1)</f>
        <v>2.7170419453594885E-3</v>
      </c>
      <c r="N107" s="27"/>
      <c r="O107" s="98"/>
      <c r="P107" s="98"/>
      <c r="Q107" s="98">
        <f>SUM(Q105:Q106)</f>
        <v>888.38546500000007</v>
      </c>
      <c r="R107" s="79"/>
      <c r="S107" s="27"/>
      <c r="T107" s="27"/>
    </row>
    <row r="108" spans="2:20" x14ac:dyDescent="0.3">
      <c r="F108" s="41"/>
      <c r="K108" s="44"/>
      <c r="M108" s="49"/>
      <c r="R108" s="44"/>
    </row>
    <row r="109" spans="2:20" x14ac:dyDescent="0.3">
      <c r="B109" s="5" t="s">
        <v>3</v>
      </c>
      <c r="C109" s="5" t="s">
        <v>6</v>
      </c>
      <c r="D109" s="5" t="s">
        <v>159</v>
      </c>
      <c r="E109" s="81"/>
      <c r="F109" s="82"/>
      <c r="K109" s="44"/>
      <c r="M109" s="49"/>
      <c r="R109" s="44"/>
    </row>
    <row r="110" spans="2:20" x14ac:dyDescent="0.3">
      <c r="B110" s="3" t="str">
        <f>B109</f>
        <v>Essential</v>
      </c>
      <c r="C110" s="3" t="str">
        <f t="shared" ref="C110:C131" si="27">C109</f>
        <v>Residential</v>
      </c>
      <c r="D110" s="3" t="str">
        <f t="shared" ref="D110:D131" si="28">D109</f>
        <v>with CL</v>
      </c>
      <c r="E110" s="3" t="s">
        <v>24</v>
      </c>
      <c r="F110" s="41">
        <f t="array" ref="F110">IFERROR(INDEX(Usage!$B$5:$T$18,MATCH($B110,Usage!$B$5:$B$18,0),MATCH($C110&amp;$D110&amp;$E110&amp;$T110,Usage!$B$5:$W$5&amp;Usage!$B$6:$W$6&amp;Usage!$B$7:$W$7&amp;Usage!$B$13:$W$13,0)),0)</f>
        <v>4600</v>
      </c>
      <c r="G110" s="23" t="s">
        <v>54</v>
      </c>
      <c r="H110" s="93">
        <f t="array" ref="H110">IFERROR(INDEX('Detail inputs'!$B$3:$L$304,MATCH($B110&amp;$C110&amp;$E110&amp;$G110&amp;H$5&amp;$T110,'Detail inputs'!$B$3:$B$304&amp;'Detail inputs'!$D$3:$D$304&amp;'Detail inputs'!$F$3:$F$304&amp;'Detail inputs'!$G$3:$G$304&amp;'Detail inputs'!$H$3:$H$304&amp;'Detail inputs'!$L$3:$L$304,0),MATCH(H$4,'Detail inputs'!$B$3:$L$3,0)),0)</f>
        <v>297.40199999999999</v>
      </c>
      <c r="I110" s="93">
        <f t="array" ref="I110">IFERROR(INDEX('Detail inputs'!$B$3:$L$304,MATCH($B110&amp;$C110&amp;$E110&amp;$G110&amp;I$5&amp;$T110,'Detail inputs'!$B$3:$B$304&amp;'Detail inputs'!$D$3:$D$304&amp;'Detail inputs'!$F$3:$F$304&amp;'Detail inputs'!$G$3:$G$304&amp;'Detail inputs'!$H$3:$H$304&amp;'Detail inputs'!$L$3:$L$304,0),MATCH(I$4,'Detail inputs'!$B$3:$L$3,0)),0)</f>
        <v>80.427999999999997</v>
      </c>
      <c r="J110" s="93">
        <f t="shared" ref="J110:J115" si="29">IF(AND(H110="",I110=""),"",H110+I110*F110/1000)</f>
        <v>667.37079999999992</v>
      </c>
      <c r="K110" s="44">
        <f>IFERROR(J110/J114,"")</f>
        <v>0.86281696077075132</v>
      </c>
      <c r="L110" s="44"/>
      <c r="M110" s="49" t="str">
        <f t="array" ref="M110">IFERROR(IF($S110="Indicative tariff",$Q110/$J110-1,IF($S110="Zero",0,IF($S110="NA","",IF($S110="Draft x-factor",INDEX('Detail inputs'!$B$3:$P$304,MATCH($B110&amp;$G110&amp;$S110,'Detail inputs'!$B$3:$B$304&amp;'Detail inputs'!$G$3:$G$304&amp;'Detail inputs'!$H$3:$H$304,0),MATCH(M$4,'Detail inputs'!$B$3:$P$3,0)))))),"")</f>
        <v/>
      </c>
      <c r="N110" s="44"/>
      <c r="O110" s="93" t="str">
        <f t="array" ref="O110">IFERROR(IF(OR($S110="NA",$S110="Draft x-factor",$S110="Zero"),"",INDEX('Detail inputs'!$B$3:$L$304,MATCH($B110&amp;$C110&amp;$E110&amp;$G110&amp;O$5&amp;$T110,'Detail inputs'!$B$3:$B$304&amp;'Detail inputs'!$D$3:$D$304&amp;'Detail inputs'!$F$3:$F$304&amp;'Detail inputs'!$G$3:$G$304&amp;'Detail inputs'!$H$3:$H$304&amp;'Detail inputs'!$L$3:$L$304,0),MATCH(O$4,'Detail inputs'!$B$3:$L$3,0))),0)</f>
        <v/>
      </c>
      <c r="P110" s="93" t="str">
        <f t="array" ref="P110">IFERROR(IF(OR($S110="NA",$S110="Draft x-factor",$S110="Zero"),"",INDEX('Detail inputs'!$B$3:$L$304,MATCH($B110&amp;$C110&amp;$E110&amp;$G110&amp;P$5&amp;$T110,'Detail inputs'!$B$3:$B$304&amp;'Detail inputs'!$D$3:$D$304&amp;'Detail inputs'!$F$3:$F$304&amp;'Detail inputs'!$G$3:$G$304&amp;'Detail inputs'!$H$3:$H$304&amp;'Detail inputs'!$L$3:$L$304,0),MATCH(P$4,'Detail inputs'!$B$3:$L$3,0))),0)</f>
        <v/>
      </c>
      <c r="Q110" s="93" t="str">
        <f t="shared" ref="Q110:Q113" si="30">IF(AND(O110="",P110=""),"",O110+P110*F110/1000)</f>
        <v/>
      </c>
      <c r="R110" s="44" t="str">
        <f>IFERROR(Q110/Q114,"")</f>
        <v/>
      </c>
      <c r="S110" s="21" t="str">
        <f t="array" ref="S110">INDEX('Key inputs'!$B$35:$J$41,MATCH($B110,'Key inputs'!$B$35:$B$41,0),MATCH($G110&amp;S$5,'Key inputs'!$B$35:$J$35&amp;'Key inputs'!$B$36:$J$36,0))</f>
        <v>NA</v>
      </c>
      <c r="T110" s="21" t="s">
        <v>58</v>
      </c>
    </row>
    <row r="111" spans="2:20" x14ac:dyDescent="0.3">
      <c r="B111" s="3" t="str">
        <f t="shared" ref="B111:B131" si="31">B110</f>
        <v>Essential</v>
      </c>
      <c r="C111" s="3" t="str">
        <f t="shared" si="27"/>
        <v>Residential</v>
      </c>
      <c r="D111" s="3" t="str">
        <f t="shared" si="28"/>
        <v>with CL</v>
      </c>
      <c r="E111" s="3" t="s">
        <v>24</v>
      </c>
      <c r="F111" s="41">
        <f t="array" ref="F111">IFERROR(INDEX(Usage!$B$5:$T$18,MATCH($B111,Usage!$B$5:$B$18,0),MATCH($C111&amp;$D111&amp;$E111&amp;$T111,Usage!$B$5:$W$5&amp;Usage!$B$6:$W$6&amp;Usage!$B$7:$W$7&amp;Usage!$B$13:$W$13,0)),0)</f>
        <v>4600</v>
      </c>
      <c r="G111" s="23" t="s">
        <v>55</v>
      </c>
      <c r="H111" s="93">
        <f t="array" ref="H111">IFERROR(INDEX('Detail inputs'!$B$3:$L$304,MATCH($B111&amp;$C111&amp;$E111&amp;$G111&amp;H$5&amp;$T111,'Detail inputs'!$B$3:$B$304&amp;'Detail inputs'!$D$3:$D$304&amp;'Detail inputs'!$F$3:$F$304&amp;'Detail inputs'!$G$3:$G$304&amp;'Detail inputs'!$H$3:$H$304&amp;'Detail inputs'!$L$3:$L$304,0),MATCH(H$4,'Detail inputs'!$B$3:$L$3,0)),0)</f>
        <v>0</v>
      </c>
      <c r="I111" s="93">
        <f t="array" ref="I111">IFERROR(INDEX('Detail inputs'!$B$3:$L$304,MATCH($B111&amp;$C111&amp;$E111&amp;$G111&amp;I$5&amp;$T111,'Detail inputs'!$B$3:$B$304&amp;'Detail inputs'!$D$3:$D$304&amp;'Detail inputs'!$F$3:$F$304&amp;'Detail inputs'!$G$3:$G$304&amp;'Detail inputs'!$H$3:$H$304&amp;'Detail inputs'!$L$3:$L$304,0),MATCH(I$4,'Detail inputs'!$B$3:$L$3,0)),0)</f>
        <v>20.07</v>
      </c>
      <c r="J111" s="93">
        <f t="shared" si="29"/>
        <v>92.322000000000003</v>
      </c>
      <c r="K111" s="44">
        <f>IFERROR(J111/J114,"")</f>
        <v>0.11935941376559675</v>
      </c>
      <c r="L111" s="44"/>
      <c r="M111" s="49" t="str">
        <f t="array" ref="M111">IFERROR(IF($S111="Indicative tariff",$Q111/$J111-1,IF($S111="Zero",0,IF($S111="NA","",IF($S111="Draft x-factor",INDEX('Detail inputs'!$B$3:$P$304,MATCH($B111&amp;$G111&amp;$S111,'Detail inputs'!$B$3:$B$304&amp;'Detail inputs'!$G$3:$G$304&amp;'Detail inputs'!$H$3:$H$304,0),MATCH(M$4,'Detail inputs'!$B$3:$P$3,0)))))),"")</f>
        <v/>
      </c>
      <c r="N111" s="44"/>
      <c r="O111" s="93" t="str">
        <f t="array" ref="O111">IFERROR(IF(OR($S111="NA",$S111="Draft x-factor",$S111="Zero"),"",INDEX('Detail inputs'!$B$3:$L$304,MATCH($B111&amp;$C111&amp;$E111&amp;$G111&amp;O$5&amp;$T111,'Detail inputs'!$B$3:$B$304&amp;'Detail inputs'!$D$3:$D$304&amp;'Detail inputs'!$F$3:$F$304&amp;'Detail inputs'!$G$3:$G$304&amp;'Detail inputs'!$H$3:$H$304&amp;'Detail inputs'!$L$3:$L$304,0),MATCH(O$4,'Detail inputs'!$B$3:$L$3,0))),0)</f>
        <v/>
      </c>
      <c r="P111" s="93" t="str">
        <f t="array" ref="P111">IFERROR(IF(OR($S111="NA",$S111="Draft x-factor",$S111="Zero"),"",INDEX('Detail inputs'!$B$3:$L$304,MATCH($B111&amp;$C111&amp;$E111&amp;$G111&amp;P$5&amp;$T111,'Detail inputs'!$B$3:$B$304&amp;'Detail inputs'!$D$3:$D$304&amp;'Detail inputs'!$F$3:$F$304&amp;'Detail inputs'!$G$3:$G$304&amp;'Detail inputs'!$H$3:$H$304&amp;'Detail inputs'!$L$3:$L$304,0),MATCH(P$4,'Detail inputs'!$B$3:$L$3,0))),0)</f>
        <v/>
      </c>
      <c r="Q111" s="93" t="str">
        <f t="shared" si="30"/>
        <v/>
      </c>
      <c r="R111" s="44" t="str">
        <f>IFERROR(Q111/Q114,"")</f>
        <v/>
      </c>
      <c r="S111" s="21" t="str">
        <f t="array" ref="S111">INDEX('Key inputs'!$B$35:$J$41,MATCH($B111,'Key inputs'!$B$35:$B$41,0),MATCH($G111&amp;S$5,'Key inputs'!$B$35:$J$35&amp;'Key inputs'!$B$36:$J$36,0))</f>
        <v>NA</v>
      </c>
      <c r="T111" s="21" t="s">
        <v>58</v>
      </c>
    </row>
    <row r="112" spans="2:20" x14ac:dyDescent="0.3">
      <c r="B112" s="3" t="str">
        <f t="shared" si="31"/>
        <v>Essential</v>
      </c>
      <c r="C112" s="3" t="str">
        <f t="shared" si="27"/>
        <v>Residential</v>
      </c>
      <c r="D112" s="3" t="str">
        <f t="shared" si="28"/>
        <v>with CL</v>
      </c>
      <c r="E112" s="3" t="s">
        <v>24</v>
      </c>
      <c r="F112" s="41">
        <f t="array" ref="F112">IFERROR(INDEX(Usage!$B$5:$T$18,MATCH($B112,Usage!$B$5:$B$18,0),MATCH($C112&amp;$D112&amp;$E112&amp;$T112,Usage!$B$5:$W$5&amp;Usage!$B$6:$W$6&amp;Usage!$B$7:$W$7&amp;Usage!$B$13:$W$13,0)),0)</f>
        <v>4600</v>
      </c>
      <c r="G112" s="23" t="s">
        <v>56</v>
      </c>
      <c r="H112" s="93">
        <f t="array" ref="H112">IFERROR(INDEX('Detail inputs'!$B$3:$L$304,MATCH($B112&amp;$C112&amp;$E112&amp;$G112&amp;H$5&amp;$T112,'Detail inputs'!$B$3:$B$304&amp;'Detail inputs'!$D$3:$D$304&amp;'Detail inputs'!$F$3:$F$304&amp;'Detail inputs'!$G$3:$G$304&amp;'Detail inputs'!$H$3:$H$304&amp;'Detail inputs'!$L$3:$L$304,0),MATCH(H$4,'Detail inputs'!$B$3:$L$3,0)),0)</f>
        <v>0</v>
      </c>
      <c r="I112" s="93">
        <f t="array" ref="I112">IFERROR(INDEX('Detail inputs'!$B$3:$L$304,MATCH($B112&amp;$C112&amp;$E112&amp;$G112&amp;I$5&amp;$T112,'Detail inputs'!$B$3:$B$304&amp;'Detail inputs'!$D$3:$D$304&amp;'Detail inputs'!$F$3:$F$304&amp;'Detail inputs'!$G$3:$G$304&amp;'Detail inputs'!$H$3:$H$304&amp;'Detail inputs'!$L$3:$L$304,0),MATCH(I$4,'Detail inputs'!$B$3:$L$3,0)),0)</f>
        <v>2.88</v>
      </c>
      <c r="J112" s="93">
        <f t="shared" si="29"/>
        <v>13.247999999999999</v>
      </c>
      <c r="K112" s="44">
        <f>IFERROR(J112/J114,"")</f>
        <v>1.7127808253359175E-2</v>
      </c>
      <c r="L112" s="44"/>
      <c r="M112" s="49" t="str">
        <f t="array" ref="M112">IFERROR(IF($S112="Indicative tariff",$Q112/$J112-1,IF($S112="Zero",0,IF($S112="NA","",IF($S112="Draft x-factor",INDEX('Detail inputs'!$B$3:$P$304,MATCH($B112&amp;$G112&amp;$S112,'Detail inputs'!$B$3:$B$304&amp;'Detail inputs'!$G$3:$G$304&amp;'Detail inputs'!$H$3:$H$304,0),MATCH(M$4,'Detail inputs'!$B$3:$P$3,0)))))),"")</f>
        <v/>
      </c>
      <c r="N112" s="44"/>
      <c r="O112" s="93" t="str">
        <f t="array" ref="O112">IFERROR(IF(OR($S112="NA",$S112="Draft x-factor",$S112="Zero"),"",INDEX('Detail inputs'!$B$3:$L$304,MATCH($B112&amp;$C112&amp;$E112&amp;$G112&amp;O$5&amp;$T112,'Detail inputs'!$B$3:$B$304&amp;'Detail inputs'!$D$3:$D$304&amp;'Detail inputs'!$F$3:$F$304&amp;'Detail inputs'!$G$3:$G$304&amp;'Detail inputs'!$H$3:$H$304&amp;'Detail inputs'!$L$3:$L$304,0),MATCH(O$4,'Detail inputs'!$B$3:$L$3,0))),0)</f>
        <v/>
      </c>
      <c r="P112" s="93" t="str">
        <f t="array" ref="P112">IFERROR(IF(OR($S112="NA",$S112="Draft x-factor",$S112="Zero"),"",INDEX('Detail inputs'!$B$3:$L$304,MATCH($B112&amp;$C112&amp;$E112&amp;$G112&amp;P$5&amp;$T112,'Detail inputs'!$B$3:$B$304&amp;'Detail inputs'!$D$3:$D$304&amp;'Detail inputs'!$F$3:$F$304&amp;'Detail inputs'!$G$3:$G$304&amp;'Detail inputs'!$H$3:$H$304&amp;'Detail inputs'!$L$3:$L$304,0),MATCH(P$4,'Detail inputs'!$B$3:$L$3,0))),0)</f>
        <v/>
      </c>
      <c r="Q112" s="93" t="str">
        <f t="shared" si="30"/>
        <v/>
      </c>
      <c r="R112" s="44" t="str">
        <f>IFERROR(Q112/Q114,"")</f>
        <v/>
      </c>
      <c r="S112" s="21" t="str">
        <f t="array" ref="S112">INDEX('Key inputs'!$B$35:$J$41,MATCH($B112,'Key inputs'!$B$35:$B$41,0),MATCH($G112&amp;S$5,'Key inputs'!$B$35:$J$35&amp;'Key inputs'!$B$36:$J$36,0))</f>
        <v>NA</v>
      </c>
      <c r="T112" s="21" t="s">
        <v>58</v>
      </c>
    </row>
    <row r="113" spans="2:20" x14ac:dyDescent="0.3">
      <c r="B113" s="3" t="str">
        <f t="shared" ref="B113:D114" si="32">B112</f>
        <v>Essential</v>
      </c>
      <c r="C113" s="3" t="str">
        <f t="shared" si="32"/>
        <v>Residential</v>
      </c>
      <c r="D113" s="3" t="str">
        <f t="shared" si="32"/>
        <v>with CL</v>
      </c>
      <c r="E113" s="3" t="s">
        <v>24</v>
      </c>
      <c r="F113" s="41">
        <f t="array" ref="F113">IFERROR(INDEX(Usage!$B$5:$T$18,MATCH($B113,Usage!$B$5:$B$18,0),MATCH($C113&amp;$D113&amp;$E113&amp;$T113,Usage!$B$5:$W$5&amp;Usage!$B$6:$W$6&amp;Usage!$B$7:$W$7&amp;Usage!$B$13:$W$13,0)),0)</f>
        <v>4600</v>
      </c>
      <c r="G113" s="23" t="s">
        <v>86</v>
      </c>
      <c r="H113" s="93">
        <f t="array" ref="H113">IFERROR(INDEX('Detail inputs'!$B$3:$L$304,MATCH($B113&amp;$C113&amp;$E113&amp;$G113&amp;H$5&amp;$T113,'Detail inputs'!$B$3:$B$304&amp;'Detail inputs'!$D$3:$D$304&amp;'Detail inputs'!$F$3:$F$304&amp;'Detail inputs'!$G$3:$G$304&amp;'Detail inputs'!$H$3:$H$304&amp;'Detail inputs'!$L$3:$L$304,0),MATCH(H$4,'Detail inputs'!$B$3:$L$3,0)),0)</f>
        <v>0</v>
      </c>
      <c r="I113" s="93">
        <f t="array" ref="I113">IFERROR(INDEX('Detail inputs'!$B$3:$L$304,MATCH($B113&amp;$C113&amp;$E113&amp;$G113&amp;I$5&amp;$T113,'Detail inputs'!$B$3:$B$304&amp;'Detail inputs'!$D$3:$D$304&amp;'Detail inputs'!$F$3:$F$304&amp;'Detail inputs'!$G$3:$G$304&amp;'Detail inputs'!$H$3:$H$304&amp;'Detail inputs'!$L$3:$L$304,0),MATCH(I$4,'Detail inputs'!$B$3:$L$3,0)),0)</f>
        <v>0.11700000000000001</v>
      </c>
      <c r="J113" s="93">
        <f>IF(AND(H113="",I113=""),"",H113+I113*F113/1000)</f>
        <v>0.53820000000000001</v>
      </c>
      <c r="K113" s="44">
        <f>IFERROR(J113/J114,"")</f>
        <v>6.9581721029271645E-4</v>
      </c>
      <c r="L113" s="44"/>
      <c r="M113" s="49" t="str">
        <f t="array" ref="M113">IFERROR(IF($S113="Indicative tariff",$Q113/$J113-1,IF($S113="Zero",0,IF($S113="NA","",IF($S113="Draft x-factor",INDEX('Detail inputs'!$B$3:$P$304,MATCH($B113&amp;$G113&amp;$S113,'Detail inputs'!$B$3:$B$304&amp;'Detail inputs'!$G$3:$G$304&amp;'Detail inputs'!$H$3:$H$304,0),MATCH(M$4,'Detail inputs'!$B$3:$P$3,0)))))),"")</f>
        <v/>
      </c>
      <c r="N113" s="44"/>
      <c r="O113" s="93" t="str">
        <f t="array" ref="O113">IFERROR(IF(OR($S113="NA",$S113="Draft x-factor",$S113="Zero"),"",INDEX('Detail inputs'!$B$3:$L$304,MATCH($B113&amp;$C113&amp;$E113&amp;$G113&amp;O$5&amp;$T113,'Detail inputs'!$B$3:$B$304&amp;'Detail inputs'!$D$3:$D$304&amp;'Detail inputs'!$F$3:$F$304&amp;'Detail inputs'!$G$3:$G$304&amp;'Detail inputs'!$H$3:$H$304&amp;'Detail inputs'!$L$3:$L$304,0),MATCH(O$4,'Detail inputs'!$B$3:$L$3,0))),0)</f>
        <v/>
      </c>
      <c r="P113" s="93" t="str">
        <f t="array" ref="P113">IFERROR(IF(OR($S113="NA",$S113="Draft x-factor",$S113="Zero"),"",INDEX('Detail inputs'!$B$3:$L$304,MATCH($B113&amp;$C113&amp;$E113&amp;$G113&amp;P$5&amp;$T113,'Detail inputs'!$B$3:$B$304&amp;'Detail inputs'!$D$3:$D$304&amp;'Detail inputs'!$F$3:$F$304&amp;'Detail inputs'!$G$3:$G$304&amp;'Detail inputs'!$H$3:$H$304&amp;'Detail inputs'!$L$3:$L$304,0),MATCH(P$4,'Detail inputs'!$B$3:$L$3,0))),0)</f>
        <v/>
      </c>
      <c r="Q113" s="93" t="str">
        <f t="shared" si="30"/>
        <v/>
      </c>
      <c r="R113" s="44" t="str">
        <f>IFERROR(Q113/Q114,"")</f>
        <v/>
      </c>
      <c r="S113" s="21" t="str">
        <f t="array" ref="S113">INDEX('Key inputs'!$B$35:$J$41,MATCH($B113,'Key inputs'!$B$35:$B$41,0),MATCH($G113&amp;S$5,'Key inputs'!$B$35:$J$35&amp;'Key inputs'!$B$36:$J$36,0))</f>
        <v>NA</v>
      </c>
      <c r="T113" s="21" t="s">
        <v>58</v>
      </c>
    </row>
    <row r="114" spans="2:20" x14ac:dyDescent="0.3">
      <c r="B114" s="3" t="str">
        <f t="shared" si="32"/>
        <v>Essential</v>
      </c>
      <c r="C114" s="3" t="str">
        <f t="shared" si="32"/>
        <v>Residential</v>
      </c>
      <c r="D114" s="3" t="str">
        <f t="shared" si="32"/>
        <v>with CL</v>
      </c>
      <c r="E114" s="3" t="s">
        <v>24</v>
      </c>
      <c r="F114" s="41">
        <f t="array" ref="F114">IFERROR(INDEX(Usage!$B$5:$T$18,MATCH($B114,Usage!$B$5:$B$18,0),MATCH($C114&amp;$D114&amp;$E114&amp;$T114,Usage!$B$5:$W$5&amp;Usage!$B$6:$W$6&amp;Usage!$B$7:$W$7&amp;Usage!$B$13:$W$13,0)),0)</f>
        <v>4600</v>
      </c>
      <c r="G114" s="23" t="s">
        <v>65</v>
      </c>
      <c r="J114" s="93">
        <f>SUM(J110:J113)</f>
        <v>773.47899999999993</v>
      </c>
      <c r="K114" s="44">
        <f>IFERROR(J114/J116,"")</f>
        <v>0.9603248431980369</v>
      </c>
      <c r="L114" s="44"/>
      <c r="M114" s="49">
        <f>IF(J114=0,"",IF(Q114="",SUMPRODUCT(K110:K113,M110:M113),Q114/J114-1))</f>
        <v>2.8292946544121733E-3</v>
      </c>
      <c r="N114" s="44"/>
      <c r="O114" s="93">
        <f t="array" ref="O114">IFERROR(IF(OR($S114="NA",$S114="Draft x-factor",$S114="Sum"),"",INDEX('Detail inputs'!$B$3:$L$304,MATCH($B114&amp;$C114&amp;$E114&amp;$G114&amp;O$5&amp;$T114,'Detail inputs'!$B$3:$B$304&amp;'Detail inputs'!$D$3:$D$304&amp;'Detail inputs'!$F$3:$F$304&amp;'Detail inputs'!$G$3:$G$304&amp;'Detail inputs'!$H$3:$H$304&amp;'Detail inputs'!$L$3:$L$304,0),MATCH(O$4,'Detail inputs'!$B$3:$L$3,0))),0)</f>
        <v>298.79000000000002</v>
      </c>
      <c r="P114" s="93">
        <f t="array" ref="P114">IFERROR(IF(OR($S114="NA",$S114="Draft x-factor",$S114="Sum"),"",INDEX('Detail inputs'!$B$3:$L$304,MATCH($B114&amp;$C114&amp;$E114&amp;$G114&amp;P$5&amp;$T114,'Detail inputs'!$B$3:$B$304&amp;'Detail inputs'!$D$3:$D$304&amp;'Detail inputs'!$F$3:$F$304&amp;'Detail inputs'!$G$3:$G$304&amp;'Detail inputs'!$H$3:$H$304&amp;'Detail inputs'!$L$3:$L$304,0),MATCH(P$4,'Detail inputs'!$B$3:$L$3,0))),0)</f>
        <v>103.669</v>
      </c>
      <c r="Q114" s="93">
        <f>IF($S114="NA","",IF($S114="Indicative tariff",O114+P114*F114/1000,IF($S114="Sum",SUM(Q110:Q113))))</f>
        <v>775.66740000000004</v>
      </c>
      <c r="R114" s="44">
        <f>IFERROR(Q114/Q116,"")</f>
        <v>0.96043235016232509</v>
      </c>
      <c r="S114" s="21" t="str">
        <f t="array" ref="S114">INDEX('Key inputs'!$B$35:$J$41,MATCH($B114,'Key inputs'!$B$35:$B$41,0),MATCH($G114&amp;S$5,'Key inputs'!$B$35:$J$35&amp;'Key inputs'!$B$36:$J$36,0))</f>
        <v>Indicative tariff</v>
      </c>
      <c r="T114" s="21" t="s">
        <v>58</v>
      </c>
    </row>
    <row r="115" spans="2:20" x14ac:dyDescent="0.3">
      <c r="B115" s="3" t="str">
        <f t="shared" si="31"/>
        <v>Essential</v>
      </c>
      <c r="C115" s="3" t="str">
        <f t="shared" si="27"/>
        <v>Residential</v>
      </c>
      <c r="D115" s="3" t="str">
        <f t="shared" si="28"/>
        <v>with CL</v>
      </c>
      <c r="E115" s="3" t="s">
        <v>24</v>
      </c>
      <c r="F115" s="41">
        <f t="array" ref="F115">IFERROR(INDEX(Usage!$B$5:$T$18,MATCH($B115,Usage!$B$5:$B$18,0),MATCH($C115&amp;$D115&amp;$E115&amp;$T115,Usage!$B$5:$W$5&amp;Usage!$B$6:$W$6&amp;Usage!$B$7:$W$7&amp;Usage!$B$13:$W$13,0)),0)</f>
        <v>4600</v>
      </c>
      <c r="G115" s="23" t="s">
        <v>67</v>
      </c>
      <c r="H115" s="93">
        <f t="array" ref="H115">IFERROR(INDEX('Detail inputs'!$B$3:$L$304,MATCH($B115&amp;$C115&amp;$E115&amp;$G115&amp;H$5&amp;$T115,'Detail inputs'!$B$3:$B$304&amp;'Detail inputs'!$D$3:$D$304&amp;'Detail inputs'!$F$3:$F$304&amp;'Detail inputs'!$G$3:$G$304&amp;'Detail inputs'!$H$3:$H$304&amp;'Detail inputs'!$L$3:$L$304,0),MATCH(H$4,'Detail inputs'!$B$3:$L$3,0)),0)</f>
        <v>31.955749999999998</v>
      </c>
      <c r="I115" s="93">
        <f t="array" ref="I115">IFERROR(INDEX('Detail inputs'!$B$3:$L$304,MATCH($B115&amp;$C115&amp;$E115&amp;$G115&amp;I$5&amp;$T115,'Detail inputs'!$B$3:$B$304&amp;'Detail inputs'!$D$3:$D$304&amp;'Detail inputs'!$F$3:$F$304&amp;'Detail inputs'!$G$3:$G$304&amp;'Detail inputs'!$H$3:$H$304&amp;'Detail inputs'!$L$3:$L$304,0),MATCH(I$4,'Detail inputs'!$B$3:$L$3,0)),0)</f>
        <v>0</v>
      </c>
      <c r="J115" s="93">
        <f t="shared" si="29"/>
        <v>31.955749999999998</v>
      </c>
      <c r="K115" s="44">
        <f>IFERROR(J115/J116,"")</f>
        <v>3.9675156801963166E-2</v>
      </c>
      <c r="L115" s="44"/>
      <c r="M115" s="49">
        <f t="array" ref="M115">IFERROR(IF($S115="Indicative tariff",$Q115/$J115-1,IF($S115="Zero",0,IF($S115="NA","",IF($S115="Draft x-factor",INDEX('Detail inputs'!$B$3:$P$304,MATCH($B115&amp;$G115&amp;$S115,'Detail inputs'!$B$3:$B$304&amp;'Detail inputs'!$G$3:$G$304&amp;'Detail inputs'!$H$3:$H$304,0),MATCH(M$4,'Detail inputs'!$B$3:$P$3,0)))))),"")</f>
        <v>0</v>
      </c>
      <c r="N115" s="44"/>
      <c r="O115" s="93">
        <f t="array" ref="O115">IFERROR(IF(OR($S115="NA",$S115="Draft x-factor"),"",IF($S115="Zero",H115,INDEX('Detail inputs'!$B$3:$L$304,MATCH($B115&amp;$C115&amp;$E115&amp;$G115&amp;O$5&amp;$T115,'Detail inputs'!$B$3:$B$304&amp;'Detail inputs'!$D$3:$D$304&amp;'Detail inputs'!$F$3:$F$304&amp;'Detail inputs'!$G$3:$G$304&amp;'Detail inputs'!$H$3:$H$304&amp;'Detail inputs'!$L$3:$L$304,0),MATCH(O$4,'Detail inputs'!$B$3:$L$3,0)))),0)</f>
        <v>31.955749999999998</v>
      </c>
      <c r="P115" s="93">
        <f t="array" ref="P115">IFERROR(IF(OR($S115="NA",$S115="Draft x-factor"),"",IF($S115="Zero",I115,INDEX('Detail inputs'!$B$3:$L$304,MATCH($B115&amp;$C115&amp;$E115&amp;$G115&amp;P$5&amp;$T115,'Detail inputs'!$B$3:$B$304&amp;'Detail inputs'!$D$3:$D$304&amp;'Detail inputs'!$F$3:$F$304&amp;'Detail inputs'!$G$3:$G$304&amp;'Detail inputs'!$H$3:$H$304&amp;'Detail inputs'!$L$3:$L$304,0),MATCH(P$4,'Detail inputs'!$B$3:$L$3,0)))),0)</f>
        <v>0</v>
      </c>
      <c r="Q115" s="93">
        <f>IF(AND(O115="",P115=""),"",O115+P115*F115/1000)</f>
        <v>31.955749999999998</v>
      </c>
      <c r="R115" s="44">
        <f>IFERROR(Q115/Q116,"")</f>
        <v>3.9567649837674905E-2</v>
      </c>
      <c r="S115" s="21" t="str">
        <f t="array" ref="S115">INDEX('Key inputs'!$B$35:$J$41,MATCH($B115,'Key inputs'!$B$35:$B$41,0),MATCH($G115&amp;S$5,'Key inputs'!$B$35:$J$35&amp;'Key inputs'!$B$36:$J$36,0))</f>
        <v>Zero</v>
      </c>
      <c r="T115" s="21" t="s">
        <v>58</v>
      </c>
    </row>
    <row r="116" spans="2:20" x14ac:dyDescent="0.3">
      <c r="B116" s="3" t="str">
        <f t="shared" si="31"/>
        <v>Essential</v>
      </c>
      <c r="C116" s="3" t="str">
        <f t="shared" si="27"/>
        <v>Residential</v>
      </c>
      <c r="D116" s="3" t="str">
        <f t="shared" si="28"/>
        <v>with CL</v>
      </c>
      <c r="E116" s="3" t="s">
        <v>24</v>
      </c>
      <c r="F116" s="41">
        <f t="array" ref="F116">IFERROR(INDEX(Usage!$B$5:$T$18,MATCH($B116,Usage!$B$5:$B$18,0),MATCH($C116&amp;$D116&amp;$E116&amp;$T116,Usage!$B$5:$W$5&amp;Usage!$B$6:$W$6&amp;Usage!$B$7:$W$7&amp;Usage!$B$13:$W$13,0)),0)</f>
        <v>4600</v>
      </c>
      <c r="G116" s="3" t="s">
        <v>58</v>
      </c>
      <c r="J116" s="99">
        <f>SUM(J114:J115)</f>
        <v>805.43474999999989</v>
      </c>
      <c r="K116" s="44"/>
      <c r="M116" s="49">
        <f>IF(J116=0,"",IF(OR($S115="Draft x-factor",$S115="Zero"),SUMPRODUCT(K114:K115,M114:M115),Q116/J116-1))</f>
        <v>2.7170419453594143E-3</v>
      </c>
      <c r="N116" s="92"/>
      <c r="O116" s="99"/>
      <c r="P116" s="99"/>
      <c r="Q116" s="99">
        <f>IF(AND(Q114="",Q115=""),J116*(1+M116),SUM(Q114:Q115))</f>
        <v>807.62315000000001</v>
      </c>
      <c r="R116" s="44"/>
      <c r="S116" s="92"/>
      <c r="T116" s="21" t="s">
        <v>58</v>
      </c>
    </row>
    <row r="117" spans="2:20" x14ac:dyDescent="0.3">
      <c r="B117" s="3" t="str">
        <f t="shared" si="31"/>
        <v>Essential</v>
      </c>
      <c r="C117" s="3" t="str">
        <f t="shared" si="27"/>
        <v>Residential</v>
      </c>
      <c r="D117" s="3" t="str">
        <f t="shared" si="28"/>
        <v>with CL</v>
      </c>
      <c r="E117" s="3" t="s">
        <v>15</v>
      </c>
      <c r="F117" s="41">
        <f t="array" ref="F117">IFERROR(INDEX(Usage!$B$5:$T$18,MATCH($B117,Usage!$B$5:$B$18,0),MATCH($C117&amp;$D117&amp;$E117,Usage!$B$5:$W$5&amp;Usage!$B$6:$W$6&amp;Usage!$B$7:$W$7,0)),0)</f>
        <v>1540</v>
      </c>
      <c r="G117" s="23" t="s">
        <v>54</v>
      </c>
      <c r="H117" s="93">
        <f t="array" ref="H117">IFERROR(INDEX('Detail inputs'!$B$3:$L$304,MATCH($B117&amp;$C117&amp;$E117&amp;$G117&amp;H$5&amp;$T117,'Detail inputs'!$B$3:$B$304&amp;'Detail inputs'!$D$3:$D$304&amp;'Detail inputs'!$F$3:$F$304&amp;'Detail inputs'!$G$3:$G$304&amp;'Detail inputs'!$H$3:$H$304&amp;'Detail inputs'!$L$3:$L$304,0),MATCH(H$4,'Detail inputs'!$B$3:$L$3,0)),0)</f>
        <v>32.704000000000001</v>
      </c>
      <c r="I117" s="93">
        <f t="array" ref="I117">IFERROR(INDEX('Detail inputs'!$B$3:$L$304,MATCH($B117&amp;$C117&amp;$E117&amp;$G117&amp;I$5&amp;$T117,'Detail inputs'!$B$3:$B$304&amp;'Detail inputs'!$D$3:$D$304&amp;'Detail inputs'!$F$3:$F$304&amp;'Detail inputs'!$G$3:$G$304&amp;'Detail inputs'!$H$3:$H$304&amp;'Detail inputs'!$L$3:$L$304,0),MATCH(I$4,'Detail inputs'!$B$3:$L$3,0)),0)</f>
        <v>3.6480000000000001</v>
      </c>
      <c r="J117" s="93">
        <f>IF(AND(H117="",I117=""),"",H117*INDEX(Usage!$B$4:$Q$18,MATCH($B117,Usage!$B$4:$B$18,0),MATCH(IF($E117="CL1","CL1 Proportion","CL2 Proportion"),Usage!$B$8:$Q$8,0))+I117*F117/1000)</f>
        <v>30.800000000000004</v>
      </c>
      <c r="K117" s="44">
        <f>IFERROR(J117/J121,"")</f>
        <v>0.52876480541455162</v>
      </c>
      <c r="L117" s="44"/>
      <c r="M117" s="49" t="str">
        <f t="array" ref="M117">IFERROR(IF($S117="Indicative tariff",$Q117/$J117-1,IF($S117="Zero",0,IF($S117="NA","",IF($S117="Draft x-factor",INDEX('Detail inputs'!$B$3:$P$304,MATCH($B117&amp;$G117&amp;$S117,'Detail inputs'!$B$3:$B$304&amp;'Detail inputs'!$G$3:$G$304&amp;'Detail inputs'!$H$3:$H$304,0),MATCH(M$4,'Detail inputs'!$B$3:$P$3,0)))))),"")</f>
        <v/>
      </c>
      <c r="N117" s="44"/>
      <c r="O117" s="93" t="str">
        <f t="array" ref="O117">IFERROR(IF(OR($S117="NA",$S117="Draft x-factor",$S117="Zero"),"",INDEX('Detail inputs'!$B$3:$L$304,MATCH($B117&amp;$C117&amp;$E117&amp;$G117&amp;O$5&amp;$T117,'Detail inputs'!$B$3:$B$304&amp;'Detail inputs'!$D$3:$D$304&amp;'Detail inputs'!$F$3:$F$304&amp;'Detail inputs'!$G$3:$G$304&amp;'Detail inputs'!$H$3:$H$304&amp;'Detail inputs'!$L$3:$L$304,0),MATCH(O$4,'Detail inputs'!$B$3:$L$3,0))),0)</f>
        <v/>
      </c>
      <c r="P117" s="93" t="str">
        <f t="array" ref="P117">IFERROR(IF(OR($S117="NA",$S117="Draft x-factor",$S117="Zero"),"",INDEX('Detail inputs'!$B$3:$L$304,MATCH($B117&amp;$C117&amp;$E117&amp;$G117&amp;P$5&amp;$T117,'Detail inputs'!$B$3:$B$304&amp;'Detail inputs'!$D$3:$D$304&amp;'Detail inputs'!$F$3:$F$304&amp;'Detail inputs'!$G$3:$G$304&amp;'Detail inputs'!$H$3:$H$304&amp;'Detail inputs'!$L$3:$L$304,0),MATCH(P$4,'Detail inputs'!$B$3:$L$3,0))),0)</f>
        <v/>
      </c>
      <c r="Q117" s="93" t="str">
        <f>IF(AND(O117="",P117=""),"",O117*INDEX(Usage!$B$4:$Q$18,MATCH($B117,Usage!$B$4:$B$18,0),MATCH(IF($E117="CL1","CL1 Proportion","CL2 Proportion"),Usage!$B$8:$Q$8,0))+P117*$F117/1000)</f>
        <v/>
      </c>
      <c r="R117" s="44" t="str">
        <f>IFERROR(Q117/Q121,"")</f>
        <v/>
      </c>
      <c r="S117" s="21" t="str">
        <f t="array" ref="S117">INDEX('Key inputs'!$B$35:$J$41,MATCH($B117,'Key inputs'!$B$35:$B$41,0),MATCH($G117&amp;S$5,'Key inputs'!$B$35:$J$35&amp;'Key inputs'!$B$36:$J$36,0))</f>
        <v>NA</v>
      </c>
    </row>
    <row r="118" spans="2:20" x14ac:dyDescent="0.3">
      <c r="B118" s="3" t="str">
        <f t="shared" si="31"/>
        <v>Essential</v>
      </c>
      <c r="C118" s="3" t="str">
        <f t="shared" si="27"/>
        <v>Residential</v>
      </c>
      <c r="D118" s="3" t="str">
        <f t="shared" si="28"/>
        <v>with CL</v>
      </c>
      <c r="E118" s="3" t="s">
        <v>15</v>
      </c>
      <c r="F118" s="41">
        <f t="array" ref="F118">IFERROR(INDEX(Usage!$B$5:$T$18,MATCH($B118,Usage!$B$5:$B$18,0),MATCH($C118&amp;$D118&amp;$E118,Usage!$B$5:$W$5&amp;Usage!$B$6:$W$6&amp;Usage!$B$7:$W$7,0)),0)</f>
        <v>1540</v>
      </c>
      <c r="G118" s="23" t="s">
        <v>55</v>
      </c>
      <c r="H118" s="93">
        <f t="array" ref="H118">IFERROR(INDEX('Detail inputs'!$B$3:$L$304,MATCH($B118&amp;$C118&amp;$E118&amp;$G118&amp;H$5&amp;$T118,'Detail inputs'!$B$3:$B$304&amp;'Detail inputs'!$D$3:$D$304&amp;'Detail inputs'!$F$3:$F$304&amp;'Detail inputs'!$G$3:$G$304&amp;'Detail inputs'!$H$3:$H$304&amp;'Detail inputs'!$L$3:$L$304,0),MATCH(H$4,'Detail inputs'!$B$3:$L$3,0)),0)</f>
        <v>0</v>
      </c>
      <c r="I118" s="93">
        <f t="array" ref="I118">IFERROR(INDEX('Detail inputs'!$B$3:$L$304,MATCH($B118&amp;$C118&amp;$E118&amp;$G118&amp;I$5&amp;$T118,'Detail inputs'!$B$3:$B$304&amp;'Detail inputs'!$D$3:$D$304&amp;'Detail inputs'!$F$3:$F$304&amp;'Detail inputs'!$G$3:$G$304&amp;'Detail inputs'!$H$3:$H$304&amp;'Detail inputs'!$L$3:$L$304,0),MATCH(I$4,'Detail inputs'!$B$3:$L$3,0)),0)</f>
        <v>14.826999999999998</v>
      </c>
      <c r="J118" s="93">
        <f>IF(AND(H118="",I118=""),"",H118*INDEX(Usage!$B$4:$Q$18,MATCH($B118,Usage!$B$4:$B$18,0),MATCH(IF($E118="CL1","CL1 Proportion","CL2 Proportion"),Usage!$B$8:$Q$8,0))+I118*F118/1000)</f>
        <v>22.833579999999998</v>
      </c>
      <c r="K118" s="44">
        <f>IFERROR(J118/J121,"")</f>
        <v>0.39199978849407779</v>
      </c>
      <c r="L118" s="44"/>
      <c r="M118" s="49" t="str">
        <f t="array" ref="M118">IFERROR(IF($S118="Indicative tariff",$Q118/$J118-1,IF($S118="Zero",0,IF($S118="NA","",IF($S118="Draft x-factor",INDEX('Detail inputs'!$B$3:$P$304,MATCH($B118&amp;$G118&amp;$S118,'Detail inputs'!$B$3:$B$304&amp;'Detail inputs'!$G$3:$G$304&amp;'Detail inputs'!$H$3:$H$304,0),MATCH(M$4,'Detail inputs'!$B$3:$P$3,0)))))),"")</f>
        <v/>
      </c>
      <c r="N118" s="44"/>
      <c r="O118" s="93" t="str">
        <f t="array" ref="O118">IFERROR(IF(OR($S118="NA",$S118="Draft x-factor",$S118="Zero"),"",INDEX('Detail inputs'!$B$3:$L$304,MATCH($B118&amp;$C118&amp;$E118&amp;$G118&amp;O$5&amp;$T118,'Detail inputs'!$B$3:$B$304&amp;'Detail inputs'!$D$3:$D$304&amp;'Detail inputs'!$F$3:$F$304&amp;'Detail inputs'!$G$3:$G$304&amp;'Detail inputs'!$H$3:$H$304&amp;'Detail inputs'!$L$3:$L$304,0),MATCH(O$4,'Detail inputs'!$B$3:$L$3,0))),0)</f>
        <v/>
      </c>
      <c r="P118" s="93" t="str">
        <f t="array" ref="P118">IFERROR(IF(OR($S118="NA",$S118="Draft x-factor",$S118="Zero"),"",INDEX('Detail inputs'!$B$3:$L$304,MATCH($B118&amp;$C118&amp;$E118&amp;$G118&amp;P$5&amp;$T118,'Detail inputs'!$B$3:$B$304&amp;'Detail inputs'!$D$3:$D$304&amp;'Detail inputs'!$F$3:$F$304&amp;'Detail inputs'!$G$3:$G$304&amp;'Detail inputs'!$H$3:$H$304&amp;'Detail inputs'!$L$3:$L$304,0),MATCH(P$4,'Detail inputs'!$B$3:$L$3,0))),0)</f>
        <v/>
      </c>
      <c r="Q118" s="93" t="str">
        <f>IF(AND(O118="",P118=""),"",O118*INDEX(Usage!$B$4:$Q$18,MATCH($B118,Usage!$B$4:$B$18,0),MATCH(IF($E118="CL1","CL1 Proportion","CL2 Proportion"),Usage!$B$8:$Q$8,0))+P118*$F118/1000)</f>
        <v/>
      </c>
      <c r="R118" s="44" t="str">
        <f>IFERROR(Q118/Q121,"")</f>
        <v/>
      </c>
      <c r="S118" s="21" t="str">
        <f t="array" ref="S118">INDEX('Key inputs'!$B$35:$J$41,MATCH($B118,'Key inputs'!$B$35:$B$41,0),MATCH($G118&amp;S$5,'Key inputs'!$B$35:$J$35&amp;'Key inputs'!$B$36:$J$36,0))</f>
        <v>NA</v>
      </c>
    </row>
    <row r="119" spans="2:20" x14ac:dyDescent="0.3">
      <c r="B119" s="3" t="str">
        <f t="shared" si="31"/>
        <v>Essential</v>
      </c>
      <c r="C119" s="3" t="str">
        <f t="shared" si="27"/>
        <v>Residential</v>
      </c>
      <c r="D119" s="3" t="str">
        <f t="shared" si="28"/>
        <v>with CL</v>
      </c>
      <c r="E119" s="3" t="s">
        <v>15</v>
      </c>
      <c r="F119" s="41">
        <f t="array" ref="F119">IFERROR(INDEX(Usage!$B$5:$T$18,MATCH($B119,Usage!$B$5:$B$18,0),MATCH($C119&amp;$D119&amp;$E119,Usage!$B$5:$W$5&amp;Usage!$B$6:$W$6&amp;Usage!$B$7:$W$7,0)),0)</f>
        <v>1540</v>
      </c>
      <c r="G119" s="23" t="s">
        <v>56</v>
      </c>
      <c r="H119" s="93">
        <f t="array" ref="H119">IFERROR(INDEX('Detail inputs'!$B$3:$L$304,MATCH($B119&amp;$C119&amp;$E119&amp;$G119&amp;H$5&amp;$T119,'Detail inputs'!$B$3:$B$304&amp;'Detail inputs'!$D$3:$D$304&amp;'Detail inputs'!$F$3:$F$304&amp;'Detail inputs'!$G$3:$G$304&amp;'Detail inputs'!$H$3:$H$304&amp;'Detail inputs'!$L$3:$L$304,0),MATCH(H$4,'Detail inputs'!$B$3:$L$3,0)),0)</f>
        <v>0</v>
      </c>
      <c r="I119" s="93">
        <f t="array" ref="I119">IFERROR(INDEX('Detail inputs'!$B$3:$L$304,MATCH($B119&amp;$C119&amp;$E119&amp;$G119&amp;I$5&amp;$T119,'Detail inputs'!$B$3:$B$304&amp;'Detail inputs'!$D$3:$D$304&amp;'Detail inputs'!$F$3:$F$304&amp;'Detail inputs'!$G$3:$G$304&amp;'Detail inputs'!$H$3:$H$304&amp;'Detail inputs'!$L$3:$L$304,0),MATCH(I$4,'Detail inputs'!$B$3:$L$3,0)),0)</f>
        <v>2.88</v>
      </c>
      <c r="J119" s="93">
        <f>IF(AND(H119="",I119=""),"",H119*INDEX(Usage!$B$4:$Q$18,MATCH($B119,Usage!$B$4:$B$18,0),MATCH(IF($E119="CL1","CL1 Proportion","CL2 Proportion"),Usage!$B$8:$Q$8,0))+I119*F119/1000)</f>
        <v>4.4352</v>
      </c>
      <c r="K119" s="44">
        <f>IFERROR(J119/J121,"")</f>
        <v>7.6142131979695424E-2</v>
      </c>
      <c r="L119" s="44"/>
      <c r="M119" s="49" t="str">
        <f t="array" ref="M119">IFERROR(IF($S119="Indicative tariff",$Q119/$J119-1,IF($S119="Zero",0,IF($S119="NA","",IF($S119="Draft x-factor",INDEX('Detail inputs'!$B$3:$P$304,MATCH($B119&amp;$G119&amp;$S119,'Detail inputs'!$B$3:$B$304&amp;'Detail inputs'!$G$3:$G$304&amp;'Detail inputs'!$H$3:$H$304,0),MATCH(M$4,'Detail inputs'!$B$3:$P$3,0)))))),"")</f>
        <v/>
      </c>
      <c r="N119" s="44"/>
      <c r="O119" s="93" t="str">
        <f t="array" ref="O119">IFERROR(IF(OR($S119="NA",$S119="Draft x-factor",$S119="Zero"),"",INDEX('Detail inputs'!$B$3:$L$304,MATCH($B119&amp;$C119&amp;$E119&amp;$G119&amp;O$5&amp;$T119,'Detail inputs'!$B$3:$B$304&amp;'Detail inputs'!$D$3:$D$304&amp;'Detail inputs'!$F$3:$F$304&amp;'Detail inputs'!$G$3:$G$304&amp;'Detail inputs'!$H$3:$H$304&amp;'Detail inputs'!$L$3:$L$304,0),MATCH(O$4,'Detail inputs'!$B$3:$L$3,0))),0)</f>
        <v/>
      </c>
      <c r="P119" s="93" t="str">
        <f t="array" ref="P119">IFERROR(IF(OR($S119="NA",$S119="Draft x-factor",$S119="Zero"),"",INDEX('Detail inputs'!$B$3:$L$304,MATCH($B119&amp;$C119&amp;$E119&amp;$G119&amp;P$5&amp;$T119,'Detail inputs'!$B$3:$B$304&amp;'Detail inputs'!$D$3:$D$304&amp;'Detail inputs'!$F$3:$F$304&amp;'Detail inputs'!$G$3:$G$304&amp;'Detail inputs'!$H$3:$H$304&amp;'Detail inputs'!$L$3:$L$304,0),MATCH(P$4,'Detail inputs'!$B$3:$L$3,0))),0)</f>
        <v/>
      </c>
      <c r="Q119" s="93" t="str">
        <f>IF(AND(O119="",P119=""),"",O119*INDEX(Usage!$B$4:$Q$18,MATCH($B119,Usage!$B$4:$B$18,0),MATCH(IF($E119="CL1","CL1 Proportion","CL2 Proportion"),Usage!$B$8:$Q$8,0))+P119*$F119/1000)</f>
        <v/>
      </c>
      <c r="R119" s="44" t="str">
        <f>IFERROR(Q119/Q121,"")</f>
        <v/>
      </c>
      <c r="S119" s="21" t="str">
        <f t="array" ref="S119">INDEX('Key inputs'!$B$35:$J$41,MATCH($B119,'Key inputs'!$B$35:$B$41,0),MATCH($G119&amp;S$5,'Key inputs'!$B$35:$J$35&amp;'Key inputs'!$B$36:$J$36,0))</f>
        <v>NA</v>
      </c>
    </row>
    <row r="120" spans="2:20" x14ac:dyDescent="0.3">
      <c r="B120" s="3" t="str">
        <f t="shared" ref="B120:D121" si="33">B119</f>
        <v>Essential</v>
      </c>
      <c r="C120" s="3" t="str">
        <f t="shared" si="33"/>
        <v>Residential</v>
      </c>
      <c r="D120" s="3" t="str">
        <f t="shared" si="33"/>
        <v>with CL</v>
      </c>
      <c r="E120" s="3" t="s">
        <v>15</v>
      </c>
      <c r="F120" s="41">
        <f t="array" ref="F120">IFERROR(INDEX(Usage!$B$5:$T$18,MATCH($B120,Usage!$B$5:$B$18,0),MATCH($C120&amp;$D120&amp;$E120,Usage!$B$5:$W$5&amp;Usage!$B$6:$W$6&amp;Usage!$B$7:$W$7,0)),0)</f>
        <v>1540</v>
      </c>
      <c r="G120" s="23" t="s">
        <v>86</v>
      </c>
      <c r="H120" s="93">
        <f t="array" ref="H120">IFERROR(INDEX('Detail inputs'!$B$3:$L$304,MATCH($B120&amp;$C120&amp;$E120&amp;$G120&amp;H$5&amp;$T120,'Detail inputs'!$B$3:$B$304&amp;'Detail inputs'!$D$3:$D$304&amp;'Detail inputs'!$F$3:$F$304&amp;'Detail inputs'!$G$3:$G$304&amp;'Detail inputs'!$H$3:$H$304&amp;'Detail inputs'!$L$3:$L$304,0),MATCH(H$4,'Detail inputs'!$B$3:$L$3,0)),0)</f>
        <v>0</v>
      </c>
      <c r="I120" s="93">
        <f t="array" ref="I120">IFERROR(INDEX('Detail inputs'!$B$3:$L$304,MATCH($B120&amp;$C120&amp;$E120&amp;$G120&amp;I$5&amp;$T120,'Detail inputs'!$B$3:$B$304&amp;'Detail inputs'!$D$3:$D$304&amp;'Detail inputs'!$F$3:$F$304&amp;'Detail inputs'!$G$3:$G$304&amp;'Detail inputs'!$H$3:$H$304&amp;'Detail inputs'!$L$3:$L$304,0),MATCH(I$4,'Detail inputs'!$B$3:$L$3,0)),0)</f>
        <v>0.11700000000000001</v>
      </c>
      <c r="J120" s="93">
        <f>IF(AND(H120="",I120=""),"",H120*INDEX(Usage!$B$4:$Q$18,MATCH($B120,Usage!$B$4:$B$18,0),MATCH(IF($E120="CL1","CL1 Proportion","CL2 Proportion"),Usage!$B$8:$Q$8,0))+I120*F120/1000)</f>
        <v>0.18018000000000001</v>
      </c>
      <c r="K120" s="44">
        <f>IFERROR(J120/J121,"")</f>
        <v>3.0932741116751266E-3</v>
      </c>
      <c r="L120" s="44"/>
      <c r="M120" s="49" t="str">
        <f t="array" ref="M120">IFERROR(IF($S120="Indicative tariff",$Q120/$J120-1,IF($S120="Zero",0,IF($S120="NA","",IF($S120="Draft x-factor",INDEX('Detail inputs'!$B$3:$P$304,MATCH($B120&amp;$G120&amp;$S120,'Detail inputs'!$B$3:$B$304&amp;'Detail inputs'!$G$3:$G$304&amp;'Detail inputs'!$H$3:$H$304,0),MATCH(M$4,'Detail inputs'!$B$3:$P$3,0)))))),"")</f>
        <v/>
      </c>
      <c r="N120" s="44"/>
      <c r="O120" s="93" t="str">
        <f t="array" ref="O120">IFERROR(IF(OR($S120="NA",$S120="Draft x-factor",$S120="Zero"),"",INDEX('Detail inputs'!$B$3:$L$304,MATCH($B120&amp;$C120&amp;$E120&amp;$G120&amp;O$5&amp;$T120,'Detail inputs'!$B$3:$B$304&amp;'Detail inputs'!$D$3:$D$304&amp;'Detail inputs'!$F$3:$F$304&amp;'Detail inputs'!$G$3:$G$304&amp;'Detail inputs'!$H$3:$H$304&amp;'Detail inputs'!$L$3:$L$304,0),MATCH(O$4,'Detail inputs'!$B$3:$L$3,0))),0)</f>
        <v/>
      </c>
      <c r="P120" s="93" t="str">
        <f t="array" ref="P120">IFERROR(IF(OR($S120="NA",$S120="Draft x-factor",$S120="Zero"),"",INDEX('Detail inputs'!$B$3:$L$304,MATCH($B120&amp;$C120&amp;$E120&amp;$G120&amp;P$5&amp;$T120,'Detail inputs'!$B$3:$B$304&amp;'Detail inputs'!$D$3:$D$304&amp;'Detail inputs'!$F$3:$F$304&amp;'Detail inputs'!$G$3:$G$304&amp;'Detail inputs'!$H$3:$H$304&amp;'Detail inputs'!$L$3:$L$304,0),MATCH(P$4,'Detail inputs'!$B$3:$L$3,0))),0)</f>
        <v/>
      </c>
      <c r="Q120" s="93" t="str">
        <f>IF(AND(O120="",P120=""),"",O120*INDEX(Usage!$B$4:$Q$18,MATCH($B120,Usage!$B$4:$B$18,0),MATCH(IF($E120="CL1","CL1 Proportion","CL2 Proportion"),Usage!$B$8:$Q$8,0))+P120*$F120/1000)</f>
        <v/>
      </c>
      <c r="R120" s="44" t="str">
        <f>IFERROR(Q120/Q121,"")</f>
        <v/>
      </c>
      <c r="S120" s="21" t="str">
        <f t="array" ref="S120">INDEX('Key inputs'!$B$35:$J$41,MATCH($B120,'Key inputs'!$B$35:$B$41,0),MATCH($G120&amp;S$5,'Key inputs'!$B$35:$J$35&amp;'Key inputs'!$B$36:$J$36,0))</f>
        <v>NA</v>
      </c>
    </row>
    <row r="121" spans="2:20" x14ac:dyDescent="0.3">
      <c r="B121" s="3" t="str">
        <f t="shared" si="33"/>
        <v>Essential</v>
      </c>
      <c r="C121" s="3" t="str">
        <f t="shared" si="33"/>
        <v>Residential</v>
      </c>
      <c r="D121" s="3" t="str">
        <f t="shared" si="33"/>
        <v>with CL</v>
      </c>
      <c r="E121" s="3" t="s">
        <v>15</v>
      </c>
      <c r="F121" s="41">
        <f t="array" ref="F121">IFERROR(INDEX(Usage!$B$5:$T$18,MATCH($B121,Usage!$B$5:$B$18,0),MATCH($C121&amp;$D121&amp;$E121,Usage!$B$5:$W$5&amp;Usage!$B$6:$W$6&amp;Usage!$B$7:$W$7,0)),0)</f>
        <v>1540</v>
      </c>
      <c r="G121" s="23" t="s">
        <v>65</v>
      </c>
      <c r="J121" s="93">
        <f>SUM(J117:J120)</f>
        <v>58.248960000000004</v>
      </c>
      <c r="K121" s="44">
        <f>IFERROR(J121/J123,"")</f>
        <v>0.88319509086992642</v>
      </c>
      <c r="L121" s="44"/>
      <c r="M121" s="49">
        <f>IF(J121=0,"",IF(Q121="",SUMPRODUCT(K117:K120,M117:M120),Q121/J121-1))</f>
        <v>2.5486463620981281E-2</v>
      </c>
      <c r="N121" s="44"/>
      <c r="O121" s="93">
        <f t="array" ref="O121">IFERROR(IF(OR($S121="NA",$S121="Draft x-factor",$S121="Sum"),"",INDEX('Detail inputs'!$B$3:$L$304,MATCH($B121&amp;$C121&amp;$E121&amp;$G121&amp;O$5&amp;$T121,'Detail inputs'!$B$3:$B$304&amp;'Detail inputs'!$D$3:$D$304&amp;'Detail inputs'!$F$3:$F$304&amp;'Detail inputs'!$G$3:$G$304&amp;'Detail inputs'!$H$3:$H$304&amp;'Detail inputs'!$L$3:$L$304,0),MATCH(O$4,'Detail inputs'!$B$3:$L$3,0))),0)</f>
        <v>32.299999999999997</v>
      </c>
      <c r="P121" s="93">
        <f t="array" ref="P121">IFERROR(IF(OR($S121="NA",$S121="Draft x-factor",$S121="Sum"),"",INDEX('Detail inputs'!$B$3:$L$304,MATCH($B121&amp;$C121&amp;$E121&amp;$G121&amp;P$5&amp;$T121,'Detail inputs'!$B$3:$B$304&amp;'Detail inputs'!$D$3:$D$304&amp;'Detail inputs'!$F$3:$F$304&amp;'Detail inputs'!$G$3:$G$304&amp;'Detail inputs'!$H$3:$H$304&amp;'Detail inputs'!$L$3:$L$304,0),MATCH(P$4,'Detail inputs'!$B$3:$L$3,0))),0)</f>
        <v>22.637999999999998</v>
      </c>
      <c r="Q121" s="93">
        <f>IF($S121="NA","",IF($S121="Indicative tariff",O121*INDEX(Usage!$B$4:$Q$18,MATCH($B121,Usage!$B$4:$B$18,0),MATCH(IF($E121="CL1","CL1 Proportion","CL2 Proportion"),Usage!$B$8:$Q$8,0))+P121*$F121/1000,IF($S121="Sum",SUM(Q117:Q120))))</f>
        <v>59.733519999999999</v>
      </c>
      <c r="R121" s="44">
        <f>IFERROR(Q121/Q123,"")</f>
        <v>0.85653982603787859</v>
      </c>
      <c r="S121" s="21" t="str">
        <f t="array" ref="S121">INDEX('Key inputs'!$B$35:$J$41,MATCH($B121,'Key inputs'!$B$35:$B$41,0),MATCH($G121&amp;S$5,'Key inputs'!$B$35:$J$35&amp;'Key inputs'!$B$36:$J$36,0))</f>
        <v>Indicative tariff</v>
      </c>
    </row>
    <row r="122" spans="2:20" x14ac:dyDescent="0.3">
      <c r="B122" s="3" t="str">
        <f t="shared" si="31"/>
        <v>Essential</v>
      </c>
      <c r="C122" s="3" t="str">
        <f t="shared" si="27"/>
        <v>Residential</v>
      </c>
      <c r="D122" s="3" t="str">
        <f t="shared" si="28"/>
        <v>with CL</v>
      </c>
      <c r="E122" s="3" t="s">
        <v>15</v>
      </c>
      <c r="F122" s="41">
        <f t="array" ref="F122">IFERROR(INDEX(Usage!$B$5:$T$18,MATCH($B122,Usage!$B$5:$B$18,0),MATCH($C122&amp;$D122&amp;$E122,Usage!$B$5:$W$5&amp;Usage!$B$6:$W$6&amp;Usage!$B$7:$W$7,0)),0)</f>
        <v>1540</v>
      </c>
      <c r="G122" s="23" t="s">
        <v>67</v>
      </c>
      <c r="H122" s="93">
        <f t="array" ref="H122">IFERROR(INDEX('Detail inputs'!$B$3:$L$304,MATCH($B122&amp;$C122&amp;$E122&amp;$G122&amp;H$5&amp;$T122,'Detail inputs'!$B$3:$B$304&amp;'Detail inputs'!$D$3:$D$304&amp;'Detail inputs'!$F$3:$F$304&amp;'Detail inputs'!$G$3:$G$304&amp;'Detail inputs'!$H$3:$H$304&amp;'Detail inputs'!$L$3:$L$304,0),MATCH(H$4,'Detail inputs'!$B$3:$L$3,0)),0)</f>
        <v>10.00465</v>
      </c>
      <c r="I122" s="93">
        <f t="array" ref="I122">IFERROR(INDEX('Detail inputs'!$B$3:$L$304,MATCH($B122&amp;$C122&amp;$E122&amp;$G122&amp;I$5&amp;$T122,'Detail inputs'!$B$3:$B$304&amp;'Detail inputs'!$D$3:$D$304&amp;'Detail inputs'!$F$3:$F$304&amp;'Detail inputs'!$G$3:$G$304&amp;'Detail inputs'!$H$3:$H$304&amp;'Detail inputs'!$L$3:$L$304,0),MATCH(I$4,'Detail inputs'!$B$3:$L$3,0)),0)</f>
        <v>0</v>
      </c>
      <c r="J122" s="93">
        <f>IF(AND(H122="",I122=""),"",H122*INDEX(Usage!$B$4:$Q$18,MATCH($B122,Usage!$B$4:$B$18,0),MATCH(IF($E122="CL1","CL1 Proportion","CL2 Proportion"),Usage!$B$8:$Q$8,0))+I122*F122/1000)</f>
        <v>7.7035805000000002</v>
      </c>
      <c r="K122" s="44">
        <f>IFERROR(J122/J123,"")</f>
        <v>0.11680490913007362</v>
      </c>
      <c r="L122" s="44"/>
      <c r="M122" s="49">
        <f t="array" ref="M122">IFERROR(IF($S122="Indicative tariff",$Q122/$J122-1,IF($S122="Zero",0,IF($S122="NA","",IF($S122="Draft x-factor",INDEX('Detail inputs'!$B$3:$P$304,MATCH($B122&amp;$G122&amp;$S122,'Detail inputs'!$B$3:$B$304&amp;'Detail inputs'!$G$3:$G$304&amp;'Detail inputs'!$H$3:$H$304,0),MATCH(M$4,'Detail inputs'!$B$3:$P$3,0)))))),"")</f>
        <v>0</v>
      </c>
      <c r="N122" s="44"/>
      <c r="O122" s="93">
        <f t="array" ref="O122">IFERROR(IF(OR($S122="NA",$S122="Draft x-factor"),"",IF($S122="Zero",H122,INDEX('Detail inputs'!$B$3:$L$304,MATCH($B122&amp;$C122&amp;$E122&amp;$G122&amp;O$5&amp;$T122,'Detail inputs'!$B$3:$B$304&amp;'Detail inputs'!$D$3:$D$304&amp;'Detail inputs'!$F$3:$F$304&amp;'Detail inputs'!$G$3:$G$304&amp;'Detail inputs'!$H$3:$H$304&amp;'Detail inputs'!$L$3:$L$304,0),MATCH(O$4,'Detail inputs'!$B$3:$L$3,0)))),0)</f>
        <v>10.00465</v>
      </c>
      <c r="P122" s="93">
        <f t="array" ref="P122">IFERROR(IF(OR($S122="NA",$S122="Draft x-factor"),"",IF($S122="Zero",I122,INDEX('Detail inputs'!$B$3:$L$304,MATCH($B122&amp;$C122&amp;$E122&amp;$G122&amp;P$5&amp;$T122,'Detail inputs'!$B$3:$B$304&amp;'Detail inputs'!$D$3:$D$304&amp;'Detail inputs'!$F$3:$F$304&amp;'Detail inputs'!$G$3:$G$304&amp;'Detail inputs'!$H$3:$H$304&amp;'Detail inputs'!$L$3:$L$304,0),MATCH(P$4,'Detail inputs'!$B$3:$L$3,0)))),0)</f>
        <v>0</v>
      </c>
      <c r="Q122" s="93">
        <f>IF(AND(O122="",P122=""),"",O122+P122*F122/1000)</f>
        <v>10.00465</v>
      </c>
      <c r="R122" s="44">
        <f>IFERROR(Q122/Q123,"")</f>
        <v>0.14346017396212146</v>
      </c>
      <c r="S122" s="21" t="str">
        <f t="array" ref="S122">INDEX('Key inputs'!$B$35:$J$41,MATCH($B122,'Key inputs'!$B$35:$B$41,0),MATCH($G122&amp;S$5,'Key inputs'!$B$35:$J$35&amp;'Key inputs'!$B$36:$J$36,0))</f>
        <v>Zero</v>
      </c>
    </row>
    <row r="123" spans="2:20" x14ac:dyDescent="0.3">
      <c r="B123" s="3" t="str">
        <f t="shared" si="31"/>
        <v>Essential</v>
      </c>
      <c r="C123" s="3" t="str">
        <f t="shared" si="27"/>
        <v>Residential</v>
      </c>
      <c r="D123" s="3" t="str">
        <f t="shared" si="28"/>
        <v>with CL</v>
      </c>
      <c r="E123" s="3" t="s">
        <v>15</v>
      </c>
      <c r="F123" s="41">
        <f t="array" ref="F123">IFERROR(INDEX(Usage!$B$5:$T$18,MATCH($B123,Usage!$B$5:$B$18,0),MATCH($C123&amp;$D123&amp;$E123,Usage!$B$5:$W$5&amp;Usage!$B$6:$W$6&amp;Usage!$B$7:$W$7,0)),0)</f>
        <v>1540</v>
      </c>
      <c r="G123" s="3" t="s">
        <v>58</v>
      </c>
      <c r="J123" s="99">
        <f>SUM(J121:J122)</f>
        <v>65.952540499999998</v>
      </c>
      <c r="K123" s="44"/>
      <c r="M123" s="49">
        <f>IF(J123=0,"",IF(OR($S122="Draft x-factor",$S122="Zero"),SUMPRODUCT(K121:K122,M121:M122),Q123/J123-1))</f>
        <v>2.2509519553685638E-2</v>
      </c>
      <c r="N123" s="92"/>
      <c r="O123" s="99"/>
      <c r="P123" s="99"/>
      <c r="Q123" s="99">
        <f>IF(AND(Q121="",Q122=""),J123*(1+M123),SUM(Q121:Q122))</f>
        <v>69.738169999999997</v>
      </c>
      <c r="R123" s="44"/>
      <c r="S123" s="27"/>
    </row>
    <row r="124" spans="2:20" x14ac:dyDescent="0.3">
      <c r="B124" s="3" t="str">
        <f t="shared" si="31"/>
        <v>Essential</v>
      </c>
      <c r="C124" s="3" t="str">
        <f t="shared" si="27"/>
        <v>Residential</v>
      </c>
      <c r="D124" s="3" t="str">
        <f t="shared" si="28"/>
        <v>with CL</v>
      </c>
      <c r="E124" s="3" t="s">
        <v>16</v>
      </c>
      <c r="F124" s="41">
        <f t="array" ref="F124">IFERROR(INDEX(Usage!$B$5:$T$18,MATCH($B124,Usage!$B$5:$B$18,0),MATCH($C124&amp;$D124&amp;$E124,Usage!$B$5:$W$5&amp;Usage!$B$6:$W$6&amp;Usage!$B$7:$W$7,0)),0)</f>
        <v>460</v>
      </c>
      <c r="G124" s="23" t="s">
        <v>54</v>
      </c>
      <c r="H124" s="93">
        <f t="array" ref="H124">IFERROR(INDEX('Detail inputs'!$B$3:$L$304,MATCH($B124&amp;$C124&amp;$E124&amp;$G124&amp;H$5&amp;$T124,'Detail inputs'!$B$3:$B$304&amp;'Detail inputs'!$D$3:$D$304&amp;'Detail inputs'!$F$3:$F$304&amp;'Detail inputs'!$G$3:$G$304&amp;'Detail inputs'!$H$3:$H$304&amp;'Detail inputs'!$L$3:$L$304,0),MATCH(H$4,'Detail inputs'!$B$3:$L$3,0)),0)</f>
        <v>32.704000000000001</v>
      </c>
      <c r="I124" s="93">
        <f t="array" ref="I124">IFERROR(INDEX('Detail inputs'!$B$3:$L$304,MATCH($B124&amp;$C124&amp;$E124&amp;$G124&amp;I$5&amp;$T124,'Detail inputs'!$B$3:$B$304&amp;'Detail inputs'!$D$3:$D$304&amp;'Detail inputs'!$F$3:$F$304&amp;'Detail inputs'!$G$3:$G$304&amp;'Detail inputs'!$H$3:$H$304&amp;'Detail inputs'!$L$3:$L$304,0),MATCH(I$4,'Detail inputs'!$B$3:$L$3,0)),0)</f>
        <v>24.338999999999999</v>
      </c>
      <c r="J124" s="93">
        <f>IF(AND(H124="",I124=""),"",H124*INDEX(Usage!$B$4:$Q$18,MATCH($B124,Usage!$B$4:$B$18,0),MATCH(IF($E124="CL1","CL1 Proportion","CL2 Proportion"),Usage!$B$8:$Q$8,0))+I124*F124/1000)</f>
        <v>18.717859999999998</v>
      </c>
      <c r="K124" s="44">
        <f>IFERROR(J124/J128,"")</f>
        <v>0.6478117587123684</v>
      </c>
      <c r="L124" s="44"/>
      <c r="M124" s="49" t="str">
        <f t="array" ref="M124">IFERROR(IF($S124="Indicative tariff",$Q124/$J124-1,IF($S124="Zero",0,IF($S124="NA","",IF($S124="Draft x-factor",INDEX('Detail inputs'!$B$3:$P$304,MATCH($B124&amp;$G124&amp;$S124,'Detail inputs'!$B$3:$B$304&amp;'Detail inputs'!$G$3:$G$304&amp;'Detail inputs'!$H$3:$H$304,0),MATCH(M$4,'Detail inputs'!$B$3:$P$3,0)))))),"")</f>
        <v/>
      </c>
      <c r="N124" s="44"/>
      <c r="O124" s="93" t="str">
        <f t="array" ref="O124">IFERROR(IF(OR($S124="NA",$S124="Draft x-factor",$S124="Zero"),"",INDEX('Detail inputs'!$B$3:$L$304,MATCH($B124&amp;$C124&amp;$E124&amp;$G124&amp;O$5&amp;$T124,'Detail inputs'!$B$3:$B$304&amp;'Detail inputs'!$D$3:$D$304&amp;'Detail inputs'!$F$3:$F$304&amp;'Detail inputs'!$G$3:$G$304&amp;'Detail inputs'!$H$3:$H$304&amp;'Detail inputs'!$L$3:$L$304,0),MATCH(O$4,'Detail inputs'!$B$3:$L$3,0))),0)</f>
        <v/>
      </c>
      <c r="P124" s="93" t="str">
        <f t="array" ref="P124">IFERROR(IF(OR($S124="NA",$S124="Draft x-factor",$S124="Zero"),"",INDEX('Detail inputs'!$B$3:$L$304,MATCH($B124&amp;$C124&amp;$E124&amp;$G124&amp;P$5&amp;$T124,'Detail inputs'!$B$3:$B$304&amp;'Detail inputs'!$D$3:$D$304&amp;'Detail inputs'!$F$3:$F$304&amp;'Detail inputs'!$G$3:$G$304&amp;'Detail inputs'!$H$3:$H$304&amp;'Detail inputs'!$L$3:$L$304,0),MATCH(P$4,'Detail inputs'!$B$3:$L$3,0))),0)</f>
        <v/>
      </c>
      <c r="Q124" s="93" t="str">
        <f>IF(AND(O124="",P124=""),"",O124*INDEX(Usage!$B$4:$Q$18,MATCH($B124,Usage!$B$4:$B$18,0),MATCH(IF($E124="CL1","CL1 Proportion","CL2 Proportion"),Usage!$B$8:$Q$8,0))+P124*$F124/1000)</f>
        <v/>
      </c>
      <c r="R124" s="44" t="str">
        <f>IFERROR(Q124/Q128,"")</f>
        <v/>
      </c>
      <c r="S124" s="21" t="str">
        <f t="array" ref="S124">INDEX('Key inputs'!$B$35:$J$41,MATCH($B124,'Key inputs'!$B$35:$B$41,0),MATCH($G124&amp;S$5,'Key inputs'!$B$35:$J$35&amp;'Key inputs'!$B$36:$J$36,0))</f>
        <v>NA</v>
      </c>
    </row>
    <row r="125" spans="2:20" x14ac:dyDescent="0.3">
      <c r="B125" s="3" t="str">
        <f t="shared" si="31"/>
        <v>Essential</v>
      </c>
      <c r="C125" s="3" t="str">
        <f t="shared" si="27"/>
        <v>Residential</v>
      </c>
      <c r="D125" s="3" t="str">
        <f t="shared" si="28"/>
        <v>with CL</v>
      </c>
      <c r="E125" s="3" t="s">
        <v>16</v>
      </c>
      <c r="F125" s="41">
        <f t="array" ref="F125">IFERROR(INDEX(Usage!$B$5:$T$18,MATCH($B125,Usage!$B$5:$B$18,0),MATCH($C125&amp;$D125&amp;$E125,Usage!$B$5:$W$5&amp;Usage!$B$6:$W$6&amp;Usage!$B$7:$W$7,0)),0)</f>
        <v>460</v>
      </c>
      <c r="G125" s="23" t="s">
        <v>55</v>
      </c>
      <c r="H125" s="93">
        <f t="array" ref="H125">IFERROR(INDEX('Detail inputs'!$B$3:$L$304,MATCH($B125&amp;$C125&amp;$E125&amp;$G125&amp;H$5&amp;$T125,'Detail inputs'!$B$3:$B$304&amp;'Detail inputs'!$D$3:$D$304&amp;'Detail inputs'!$F$3:$F$304&amp;'Detail inputs'!$G$3:$G$304&amp;'Detail inputs'!$H$3:$H$304&amp;'Detail inputs'!$L$3:$L$304,0),MATCH(H$4,'Detail inputs'!$B$3:$L$3,0)),0)</f>
        <v>0</v>
      </c>
      <c r="I125" s="93">
        <f t="array" ref="I125">IFERROR(INDEX('Detail inputs'!$B$3:$L$304,MATCH($B125&amp;$C125&amp;$E125&amp;$G125&amp;I$5&amp;$T125,'Detail inputs'!$B$3:$B$304&amp;'Detail inputs'!$D$3:$D$304&amp;'Detail inputs'!$F$3:$F$304&amp;'Detail inputs'!$G$3:$G$304&amp;'Detail inputs'!$H$3:$H$304&amp;'Detail inputs'!$L$3:$L$304,0),MATCH(I$4,'Detail inputs'!$B$3:$L$3,0)),0)</f>
        <v>19.125</v>
      </c>
      <c r="J125" s="93">
        <f>IF(AND(H125="",I125=""),"",H125*INDEX(Usage!$B$4:$Q$18,MATCH($B125,Usage!$B$4:$B$18,0),MATCH(IF($E125="CL1","CL1 Proportion","CL2 Proportion"),Usage!$B$8:$Q$8,0))+I125*F125/1000)</f>
        <v>8.7974999999999994</v>
      </c>
      <c r="K125" s="44">
        <f>IFERROR(J125/J128,"")</f>
        <v>0.30447518825720787</v>
      </c>
      <c r="L125" s="44"/>
      <c r="M125" s="49" t="str">
        <f t="array" ref="M125">IFERROR(IF($S125="Indicative tariff",$Q125/$J125-1,IF($S125="Zero",0,IF($S125="NA","",IF($S125="Draft x-factor",INDEX('Detail inputs'!$B$3:$P$304,MATCH($B125&amp;$G125&amp;$S125,'Detail inputs'!$B$3:$B$304&amp;'Detail inputs'!$G$3:$G$304&amp;'Detail inputs'!$H$3:$H$304,0),MATCH(M$4,'Detail inputs'!$B$3:$P$3,0)))))),"")</f>
        <v/>
      </c>
      <c r="N125" s="44"/>
      <c r="O125" s="93" t="str">
        <f t="array" ref="O125">IFERROR(IF(OR($S125="NA",$S125="Draft x-factor",$S125="Zero"),"",INDEX('Detail inputs'!$B$3:$L$304,MATCH($B125&amp;$C125&amp;$E125&amp;$G125&amp;O$5&amp;$T125,'Detail inputs'!$B$3:$B$304&amp;'Detail inputs'!$D$3:$D$304&amp;'Detail inputs'!$F$3:$F$304&amp;'Detail inputs'!$G$3:$G$304&amp;'Detail inputs'!$H$3:$H$304&amp;'Detail inputs'!$L$3:$L$304,0),MATCH(O$4,'Detail inputs'!$B$3:$L$3,0))),0)</f>
        <v/>
      </c>
      <c r="P125" s="93" t="str">
        <f t="array" ref="P125">IFERROR(IF(OR($S125="NA",$S125="Draft x-factor",$S125="Zero"),"",INDEX('Detail inputs'!$B$3:$L$304,MATCH($B125&amp;$C125&amp;$E125&amp;$G125&amp;P$5&amp;$T125,'Detail inputs'!$B$3:$B$304&amp;'Detail inputs'!$D$3:$D$304&amp;'Detail inputs'!$F$3:$F$304&amp;'Detail inputs'!$G$3:$G$304&amp;'Detail inputs'!$H$3:$H$304&amp;'Detail inputs'!$L$3:$L$304,0),MATCH(P$4,'Detail inputs'!$B$3:$L$3,0))),0)</f>
        <v/>
      </c>
      <c r="Q125" s="93" t="str">
        <f>IF(AND(O125="",P125=""),"",O125*INDEX(Usage!$B$4:$Q$18,MATCH($B125,Usage!$B$4:$B$18,0),MATCH(IF($E125="CL1","CL1 Proportion","CL2 Proportion"),Usage!$B$8:$Q$8,0))+P125*$F125/1000)</f>
        <v/>
      </c>
      <c r="R125" s="44" t="str">
        <f>IFERROR(Q125/Q128,"")</f>
        <v/>
      </c>
      <c r="S125" s="21" t="str">
        <f t="array" ref="S125">INDEX('Key inputs'!$B$35:$J$41,MATCH($B125,'Key inputs'!$B$35:$B$41,0),MATCH($G125&amp;S$5,'Key inputs'!$B$35:$J$35&amp;'Key inputs'!$B$36:$J$36,0))</f>
        <v>NA</v>
      </c>
    </row>
    <row r="126" spans="2:20" x14ac:dyDescent="0.3">
      <c r="B126" s="3" t="str">
        <f t="shared" si="31"/>
        <v>Essential</v>
      </c>
      <c r="C126" s="3" t="str">
        <f t="shared" si="27"/>
        <v>Residential</v>
      </c>
      <c r="D126" s="3" t="str">
        <f t="shared" si="28"/>
        <v>with CL</v>
      </c>
      <c r="E126" s="3" t="s">
        <v>16</v>
      </c>
      <c r="F126" s="41">
        <f t="array" ref="F126">IFERROR(INDEX(Usage!$B$5:$T$18,MATCH($B126,Usage!$B$5:$B$18,0),MATCH($C126&amp;$D126&amp;$E126,Usage!$B$5:$W$5&amp;Usage!$B$6:$W$6&amp;Usage!$B$7:$W$7,0)),0)</f>
        <v>460</v>
      </c>
      <c r="G126" s="23" t="s">
        <v>56</v>
      </c>
      <c r="H126" s="93">
        <f t="array" ref="H126">IFERROR(INDEX('Detail inputs'!$B$3:$L$304,MATCH($B126&amp;$C126&amp;$E126&amp;$G126&amp;H$5&amp;$T126,'Detail inputs'!$B$3:$B$304&amp;'Detail inputs'!$D$3:$D$304&amp;'Detail inputs'!$F$3:$F$304&amp;'Detail inputs'!$G$3:$G$304&amp;'Detail inputs'!$H$3:$H$304&amp;'Detail inputs'!$L$3:$L$304,0),MATCH(H$4,'Detail inputs'!$B$3:$L$3,0)),0)</f>
        <v>0</v>
      </c>
      <c r="I126" s="93">
        <f t="array" ref="I126">IFERROR(INDEX('Detail inputs'!$B$3:$L$304,MATCH($B126&amp;$C126&amp;$E126&amp;$G126&amp;I$5&amp;$T126,'Detail inputs'!$B$3:$B$304&amp;'Detail inputs'!$D$3:$D$304&amp;'Detail inputs'!$F$3:$F$304&amp;'Detail inputs'!$G$3:$G$304&amp;'Detail inputs'!$H$3:$H$304&amp;'Detail inputs'!$L$3:$L$304,0),MATCH(I$4,'Detail inputs'!$B$3:$L$3,0)),0)</f>
        <v>2.88</v>
      </c>
      <c r="J126" s="93">
        <f>IF(AND(H126="",I126=""),"",H126*INDEX(Usage!$B$4:$Q$18,MATCH($B126,Usage!$B$4:$B$18,0),MATCH(IF($E126="CL1","CL1 Proportion","CL2 Proportion"),Usage!$B$8:$Q$8,0))+I126*F126/1000)</f>
        <v>1.3248</v>
      </c>
      <c r="K126" s="44">
        <f>IFERROR(J126/J128,"")</f>
        <v>4.5850381290497191E-2</v>
      </c>
      <c r="L126" s="44"/>
      <c r="M126" s="49" t="str">
        <f t="array" ref="M126">IFERROR(IF($S126="Indicative tariff",$Q126/$J126-1,IF($S126="Zero",0,IF($S126="NA","",IF($S126="Draft x-factor",INDEX('Detail inputs'!$B$3:$P$304,MATCH($B126&amp;$G126&amp;$S126,'Detail inputs'!$B$3:$B$304&amp;'Detail inputs'!$G$3:$G$304&amp;'Detail inputs'!$H$3:$H$304,0),MATCH(M$4,'Detail inputs'!$B$3:$P$3,0)))))),"")</f>
        <v/>
      </c>
      <c r="N126" s="44"/>
      <c r="O126" s="93" t="str">
        <f t="array" ref="O126">IFERROR(IF(OR($S126="NA",$S126="Draft x-factor",$S126="Zero"),"",INDEX('Detail inputs'!$B$3:$L$304,MATCH($B126&amp;$C126&amp;$E126&amp;$G126&amp;O$5&amp;$T126,'Detail inputs'!$B$3:$B$304&amp;'Detail inputs'!$D$3:$D$304&amp;'Detail inputs'!$F$3:$F$304&amp;'Detail inputs'!$G$3:$G$304&amp;'Detail inputs'!$H$3:$H$304&amp;'Detail inputs'!$L$3:$L$304,0),MATCH(O$4,'Detail inputs'!$B$3:$L$3,0))),0)</f>
        <v/>
      </c>
      <c r="P126" s="93" t="str">
        <f t="array" ref="P126">IFERROR(IF(OR($S126="NA",$S126="Draft x-factor",$S126="Zero"),"",INDEX('Detail inputs'!$B$3:$L$304,MATCH($B126&amp;$C126&amp;$E126&amp;$G126&amp;P$5&amp;$T126,'Detail inputs'!$B$3:$B$304&amp;'Detail inputs'!$D$3:$D$304&amp;'Detail inputs'!$F$3:$F$304&amp;'Detail inputs'!$G$3:$G$304&amp;'Detail inputs'!$H$3:$H$304&amp;'Detail inputs'!$L$3:$L$304,0),MATCH(P$4,'Detail inputs'!$B$3:$L$3,0))),0)</f>
        <v/>
      </c>
      <c r="Q126" s="93" t="str">
        <f>IF(AND(O126="",P126=""),"",O126*INDEX(Usage!$B$4:$Q$18,MATCH($B126,Usage!$B$4:$B$18,0),MATCH(IF($E126="CL1","CL1 Proportion","CL2 Proportion"),Usage!$B$8:$Q$8,0))+P126*$F126/1000)</f>
        <v/>
      </c>
      <c r="R126" s="44" t="str">
        <f>IFERROR(Q126/Q128,"")</f>
        <v/>
      </c>
      <c r="S126" s="21" t="str">
        <f t="array" ref="S126">INDEX('Key inputs'!$B$35:$J$41,MATCH($B126,'Key inputs'!$B$35:$B$41,0),MATCH($G126&amp;S$5,'Key inputs'!$B$35:$J$35&amp;'Key inputs'!$B$36:$J$36,0))</f>
        <v>NA</v>
      </c>
    </row>
    <row r="127" spans="2:20" x14ac:dyDescent="0.3">
      <c r="B127" s="3" t="str">
        <f t="shared" ref="B127:D128" si="34">B126</f>
        <v>Essential</v>
      </c>
      <c r="C127" s="3" t="str">
        <f t="shared" si="34"/>
        <v>Residential</v>
      </c>
      <c r="D127" s="3" t="str">
        <f t="shared" si="34"/>
        <v>with CL</v>
      </c>
      <c r="E127" s="3" t="s">
        <v>16</v>
      </c>
      <c r="F127" s="41">
        <f t="array" ref="F127">IFERROR(INDEX(Usage!$B$5:$T$18,MATCH($B127,Usage!$B$5:$B$18,0),MATCH($C127&amp;$D127&amp;$E127,Usage!$B$5:$W$5&amp;Usage!$B$6:$W$6&amp;Usage!$B$7:$W$7,0)),0)</f>
        <v>460</v>
      </c>
      <c r="G127" s="23" t="s">
        <v>86</v>
      </c>
      <c r="H127" s="93">
        <f t="array" ref="H127">IFERROR(INDEX('Detail inputs'!$B$3:$L$304,MATCH($B127&amp;$C127&amp;$E127&amp;$G127&amp;H$5&amp;$T127,'Detail inputs'!$B$3:$B$304&amp;'Detail inputs'!$D$3:$D$304&amp;'Detail inputs'!$F$3:$F$304&amp;'Detail inputs'!$G$3:$G$304&amp;'Detail inputs'!$H$3:$H$304&amp;'Detail inputs'!$L$3:$L$304,0),MATCH(H$4,'Detail inputs'!$B$3:$L$3,0)),0)</f>
        <v>0</v>
      </c>
      <c r="I127" s="93">
        <f t="array" ref="I127">IFERROR(INDEX('Detail inputs'!$B$3:$L$304,MATCH($B127&amp;$C127&amp;$E127&amp;$G127&amp;I$5&amp;$T127,'Detail inputs'!$B$3:$B$304&amp;'Detail inputs'!$D$3:$D$304&amp;'Detail inputs'!$F$3:$F$304&amp;'Detail inputs'!$G$3:$G$304&amp;'Detail inputs'!$H$3:$H$304&amp;'Detail inputs'!$L$3:$L$304,0),MATCH(I$4,'Detail inputs'!$B$3:$L$3,0)),0)</f>
        <v>0.11700000000000001</v>
      </c>
      <c r="J127" s="93">
        <f>IF(AND(H127="",I127=""),"",H127*INDEX(Usage!$B$4:$Q$18,MATCH($B127,Usage!$B$4:$B$18,0),MATCH(IF($E127="CL1","CL1 Proportion","CL2 Proportion"),Usage!$B$8:$Q$8,0))+I127*F127/1000)</f>
        <v>5.382E-2</v>
      </c>
      <c r="K127" s="44">
        <f>IFERROR(J127/J128,"")</f>
        <v>1.8626717399264484E-3</v>
      </c>
      <c r="L127" s="44"/>
      <c r="M127" s="49" t="str">
        <f t="array" ref="M127">IFERROR(IF($S127="Indicative tariff",$Q127/$J127-1,IF($S127="Zero",0,IF($S127="NA","",IF($S127="Draft x-factor",INDEX('Detail inputs'!$B$3:$P$304,MATCH($B127&amp;$G127&amp;$S127,'Detail inputs'!$B$3:$B$304&amp;'Detail inputs'!$G$3:$G$304&amp;'Detail inputs'!$H$3:$H$304,0),MATCH(M$4,'Detail inputs'!$B$3:$P$3,0)))))),"")</f>
        <v/>
      </c>
      <c r="N127" s="44"/>
      <c r="O127" s="93" t="str">
        <f t="array" ref="O127">IFERROR(IF(OR($S127="NA",$S127="Draft x-factor",$S127="Zero"),"",INDEX('Detail inputs'!$B$3:$L$304,MATCH($B127&amp;$C127&amp;$E127&amp;$G127&amp;O$5&amp;$T127,'Detail inputs'!$B$3:$B$304&amp;'Detail inputs'!$D$3:$D$304&amp;'Detail inputs'!$F$3:$F$304&amp;'Detail inputs'!$G$3:$G$304&amp;'Detail inputs'!$H$3:$H$304&amp;'Detail inputs'!$L$3:$L$304,0),MATCH(O$4,'Detail inputs'!$B$3:$L$3,0))),0)</f>
        <v/>
      </c>
      <c r="P127" s="93" t="str">
        <f t="array" ref="P127">IFERROR(IF(OR($S127="NA",$S127="Draft x-factor",$S127="Zero"),"",INDEX('Detail inputs'!$B$3:$L$304,MATCH($B127&amp;$C127&amp;$E127&amp;$G127&amp;P$5&amp;$T127,'Detail inputs'!$B$3:$B$304&amp;'Detail inputs'!$D$3:$D$304&amp;'Detail inputs'!$F$3:$F$304&amp;'Detail inputs'!$G$3:$G$304&amp;'Detail inputs'!$H$3:$H$304&amp;'Detail inputs'!$L$3:$L$304,0),MATCH(P$4,'Detail inputs'!$B$3:$L$3,0))),0)</f>
        <v/>
      </c>
      <c r="Q127" s="93" t="str">
        <f>IF(AND(O127="",P127=""),"",O127*INDEX(Usage!$B$4:$Q$18,MATCH($B127,Usage!$B$4:$B$18,0),MATCH(IF($E127="CL1","CL1 Proportion","CL2 Proportion"),Usage!$B$8:$Q$8,0))+P127*$F127/1000)</f>
        <v/>
      </c>
      <c r="R127" s="44" t="str">
        <f>IFERROR(Q127/Q128,"")</f>
        <v/>
      </c>
      <c r="S127" s="21" t="str">
        <f t="array" ref="S127">INDEX('Key inputs'!$B$35:$J$41,MATCH($B127,'Key inputs'!$B$35:$B$41,0),MATCH($G127&amp;S$5,'Key inputs'!$B$35:$J$35&amp;'Key inputs'!$B$36:$J$36,0))</f>
        <v>NA</v>
      </c>
    </row>
    <row r="128" spans="2:20" x14ac:dyDescent="0.3">
      <c r="B128" s="3" t="str">
        <f t="shared" si="34"/>
        <v>Essential</v>
      </c>
      <c r="C128" s="3" t="str">
        <f t="shared" si="34"/>
        <v>Residential</v>
      </c>
      <c r="D128" s="3" t="str">
        <f t="shared" si="34"/>
        <v>with CL</v>
      </c>
      <c r="E128" s="3" t="s">
        <v>16</v>
      </c>
      <c r="F128" s="41">
        <f t="array" ref="F128">IFERROR(INDEX(Usage!$B$5:$T$18,MATCH($B128,Usage!$B$5:$B$18,0),MATCH($C128&amp;$D128&amp;$E128,Usage!$B$5:$W$5&amp;Usage!$B$6:$W$6&amp;Usage!$B$7:$W$7,0)),0)</f>
        <v>460</v>
      </c>
      <c r="G128" s="23" t="s">
        <v>65</v>
      </c>
      <c r="J128" s="93">
        <f>SUM(J124:J127)</f>
        <v>28.893979999999999</v>
      </c>
      <c r="K128" s="44">
        <f>IFERROR(J128/J130,"")</f>
        <v>0.92623606832231509</v>
      </c>
      <c r="L128" s="44"/>
      <c r="M128" s="49">
        <f>IF(J128=0,"",IF(Q128="",SUMPRODUCT(K124:K127,M124:M127),Q128/J128-1))</f>
        <v>1.4965055004537264E-2</v>
      </c>
      <c r="N128" s="44"/>
      <c r="O128" s="93">
        <f t="array" ref="O128">IFERROR(IF(OR($S128="NA",$S128="Draft x-factor",$S128="Sum"),"",INDEX('Detail inputs'!$B$3:$L$304,MATCH($B128&amp;$C128&amp;$E128&amp;$G128&amp;O$5&amp;$T128,'Detail inputs'!$B$3:$B$304&amp;'Detail inputs'!$D$3:$D$304&amp;'Detail inputs'!$F$3:$F$304&amp;'Detail inputs'!$G$3:$G$304&amp;'Detail inputs'!$H$3:$H$304&amp;'Detail inputs'!$L$3:$L$304,0),MATCH(O$4,'Detail inputs'!$B$3:$L$3,0))),0)</f>
        <v>32.299999999999997</v>
      </c>
      <c r="P128" s="93">
        <f t="array" ref="P128">IFERROR(IF(OR($S128="NA",$S128="Draft x-factor",$S128="Sum"),"",INDEX('Detail inputs'!$B$3:$L$304,MATCH($B128&amp;$C128&amp;$E128&amp;$G128&amp;P$5&amp;$T128,'Detail inputs'!$B$3:$B$304&amp;'Detail inputs'!$D$3:$D$304&amp;'Detail inputs'!$F$3:$F$304&amp;'Detail inputs'!$G$3:$G$304&amp;'Detail inputs'!$H$3:$H$304&amp;'Detail inputs'!$L$3:$L$304,0),MATCH(P$4,'Detail inputs'!$B$3:$L$3,0))),0)</f>
        <v>47.603000000000002</v>
      </c>
      <c r="Q128" s="93">
        <f>IF($S128="NA","",IF($S128="Indicative tariff",O128*INDEX(Usage!$B$4:$Q$18,MATCH($B128,Usage!$B$4:$B$18,0),MATCH(IF($E128="CL1","CL1 Proportion","CL2 Proportion"),Usage!$B$8:$Q$8,0))+P128*$F128/1000,IF($S128="Sum",SUM(Q124:Q127))))</f>
        <v>29.32638</v>
      </c>
      <c r="R128" s="44">
        <f>IFERROR(Q128/Q130,"")</f>
        <v>0.74562959576700638</v>
      </c>
      <c r="S128" s="21" t="str">
        <f t="array" ref="S128">INDEX('Key inputs'!$B$35:$J$41,MATCH($B128,'Key inputs'!$B$35:$B$41,0),MATCH($G128&amp;S$5,'Key inputs'!$B$35:$J$35&amp;'Key inputs'!$B$36:$J$36,0))</f>
        <v>Indicative tariff</v>
      </c>
    </row>
    <row r="129" spans="2:20" x14ac:dyDescent="0.3">
      <c r="B129" s="3" t="str">
        <f t="shared" si="31"/>
        <v>Essential</v>
      </c>
      <c r="C129" s="3" t="str">
        <f t="shared" si="27"/>
        <v>Residential</v>
      </c>
      <c r="D129" s="3" t="str">
        <f t="shared" si="28"/>
        <v>with CL</v>
      </c>
      <c r="E129" s="3" t="s">
        <v>16</v>
      </c>
      <c r="F129" s="41">
        <f t="array" ref="F129">IFERROR(INDEX(Usage!$B$5:$T$18,MATCH($B129,Usage!$B$5:$B$18,0),MATCH($C129&amp;$D129&amp;$E129,Usage!$B$5:$W$5&amp;Usage!$B$6:$W$6&amp;Usage!$B$7:$W$7,0)),0)</f>
        <v>460</v>
      </c>
      <c r="G129" s="23" t="s">
        <v>67</v>
      </c>
      <c r="H129" s="93">
        <f t="array" ref="H129">IFERROR(INDEX('Detail inputs'!$B$3:$L$304,MATCH($B129&amp;$C129&amp;$E129&amp;$G129&amp;H$5&amp;$T129,'Detail inputs'!$B$3:$B$304&amp;'Detail inputs'!$D$3:$D$304&amp;'Detail inputs'!$F$3:$F$304&amp;'Detail inputs'!$G$3:$G$304&amp;'Detail inputs'!$H$3:$H$304&amp;'Detail inputs'!$L$3:$L$304,0),MATCH(H$4,'Detail inputs'!$B$3:$L$3,0)),0)</f>
        <v>10.00465</v>
      </c>
      <c r="I129" s="93">
        <f t="array" ref="I129">IFERROR(INDEX('Detail inputs'!$B$3:$L$304,MATCH($B129&amp;$C129&amp;$E129&amp;$G129&amp;I$5&amp;$T129,'Detail inputs'!$B$3:$B$304&amp;'Detail inputs'!$D$3:$D$304&amp;'Detail inputs'!$F$3:$F$304&amp;'Detail inputs'!$G$3:$G$304&amp;'Detail inputs'!$H$3:$H$304&amp;'Detail inputs'!$L$3:$L$304,0),MATCH(I$4,'Detail inputs'!$B$3:$L$3,0)),0)</f>
        <v>0</v>
      </c>
      <c r="J129" s="93">
        <f>IF(AND(H129="",I129=""),"",H129*INDEX(Usage!$B$4:$Q$18,MATCH($B129,Usage!$B$4:$B$18,0),MATCH(IF($E129="CL1","CL1 Proportion","CL2 Proportion"),Usage!$B$8:$Q$8,0))+I129*F129/1000)</f>
        <v>2.3010694999999997</v>
      </c>
      <c r="K129" s="44">
        <f>IFERROR(J129/J130,"")</f>
        <v>7.3763931677684941E-2</v>
      </c>
      <c r="L129" s="44"/>
      <c r="M129" s="49">
        <f t="array" ref="M129">IFERROR(IF($S129="Indicative tariff",$Q129/$J129-1,IF($S129="Zero",0,IF($S129="NA","",IF($S129="Draft x-factor",INDEX('Detail inputs'!$B$3:$P$304,MATCH($B129&amp;$G129&amp;$S129,'Detail inputs'!$B$3:$B$304&amp;'Detail inputs'!$G$3:$G$304&amp;'Detail inputs'!$H$3:$H$304,0),MATCH(M$4,'Detail inputs'!$B$3:$P$3,0)))))),"")</f>
        <v>0</v>
      </c>
      <c r="N129" s="44"/>
      <c r="O129" s="93">
        <f t="array" ref="O129">IFERROR(IF(OR($S129="NA",$S129="Draft x-factor"),"",IF($S129="Zero",H129,INDEX('Detail inputs'!$B$3:$L$304,MATCH($B129&amp;$C129&amp;$E129&amp;$G129&amp;O$5&amp;$T129,'Detail inputs'!$B$3:$B$304&amp;'Detail inputs'!$D$3:$D$304&amp;'Detail inputs'!$F$3:$F$304&amp;'Detail inputs'!$G$3:$G$304&amp;'Detail inputs'!$H$3:$H$304&amp;'Detail inputs'!$L$3:$L$304,0),MATCH(O$4,'Detail inputs'!$B$3:$L$3,0)))),0)</f>
        <v>10.00465</v>
      </c>
      <c r="P129" s="93">
        <f t="array" ref="P129">IFERROR(IF(OR($S129="NA",$S129="Draft x-factor"),"",IF($S129="Zero",I129,INDEX('Detail inputs'!$B$3:$L$304,MATCH($B129&amp;$C129&amp;$E129&amp;$G129&amp;P$5&amp;$T129,'Detail inputs'!$B$3:$B$304&amp;'Detail inputs'!$D$3:$D$304&amp;'Detail inputs'!$F$3:$F$304&amp;'Detail inputs'!$G$3:$G$304&amp;'Detail inputs'!$H$3:$H$304&amp;'Detail inputs'!$L$3:$L$304,0),MATCH(P$4,'Detail inputs'!$B$3:$L$3,0)))),0)</f>
        <v>0</v>
      </c>
      <c r="Q129" s="93">
        <f>IF(AND(O129="",P129=""),"",O129+P129*F129/1000)</f>
        <v>10.00465</v>
      </c>
      <c r="R129" s="44">
        <f>IFERROR(Q129/Q130,"")</f>
        <v>0.25437040423299367</v>
      </c>
      <c r="S129" s="21" t="str">
        <f t="array" ref="S129">INDEX('Key inputs'!$B$35:$J$41,MATCH($B129,'Key inputs'!$B$35:$B$41,0),MATCH($G129&amp;S$5,'Key inputs'!$B$35:$J$35&amp;'Key inputs'!$B$36:$J$36,0))</f>
        <v>Zero</v>
      </c>
    </row>
    <row r="130" spans="2:20" x14ac:dyDescent="0.3">
      <c r="B130" s="3" t="str">
        <f t="shared" si="31"/>
        <v>Essential</v>
      </c>
      <c r="C130" s="3" t="str">
        <f t="shared" si="27"/>
        <v>Residential</v>
      </c>
      <c r="D130" s="3" t="str">
        <f t="shared" si="28"/>
        <v>with CL</v>
      </c>
      <c r="E130" s="3" t="s">
        <v>16</v>
      </c>
      <c r="F130" s="41">
        <f t="array" ref="F130">IFERROR(INDEX(Usage!$B$5:$T$18,MATCH($B130,Usage!$B$5:$B$18,0),MATCH($C130&amp;$D130&amp;$E130,Usage!$B$5:$W$5&amp;Usage!$B$6:$W$6&amp;Usage!$B$7:$W$7,0)),0)</f>
        <v>460</v>
      </c>
      <c r="G130" s="3" t="s">
        <v>58</v>
      </c>
      <c r="J130" s="99">
        <f>SUM(J128:J129)</f>
        <v>31.1950495</v>
      </c>
      <c r="K130" s="44"/>
      <c r="M130" s="49">
        <f>IF(J130=0,"",IF(OR($S129="Draft x-factor",$S129="Zero"),SUMPRODUCT(K128:K129,M128:M129),Q130/J130-1))</f>
        <v>1.3861173709629781E-2</v>
      </c>
      <c r="N130" s="92"/>
      <c r="O130" s="99"/>
      <c r="P130" s="99"/>
      <c r="Q130" s="99">
        <f>IF(AND(Q128="",Q129=""),J130*(1+M130),SUM(Q128:Q129))</f>
        <v>39.331029999999998</v>
      </c>
      <c r="R130" s="44"/>
      <c r="S130" s="27"/>
    </row>
    <row r="131" spans="2:20" s="81" customFormat="1" x14ac:dyDescent="0.3">
      <c r="B131" s="81" t="str">
        <f t="shared" si="31"/>
        <v>Essential</v>
      </c>
      <c r="C131" s="81" t="str">
        <f t="shared" si="27"/>
        <v>Residential</v>
      </c>
      <c r="D131" s="81" t="str">
        <f t="shared" si="28"/>
        <v>with CL</v>
      </c>
      <c r="E131" s="81" t="s">
        <v>58</v>
      </c>
      <c r="F131" s="41">
        <f t="array" ref="F131">IFERROR(INDEX(Usage!$B$5:$T$18,MATCH($B131,Usage!$B$5:$B$18,0),MATCH($C131&amp;$D131&amp;$E131,Usage!$B$5:$W$5&amp;Usage!$B$6:$W$6&amp;Usage!$B$7:$W$7,0)),0)</f>
        <v>6600</v>
      </c>
      <c r="G131" s="81" t="s">
        <v>58</v>
      </c>
      <c r="H131" s="99"/>
      <c r="I131" s="99"/>
      <c r="J131" s="99">
        <f>J116+J123+J130</f>
        <v>902.58233999999982</v>
      </c>
      <c r="K131" s="91"/>
      <c r="L131" s="92"/>
      <c r="M131" s="83">
        <f t="shared" ref="M131" si="35">IF(OR(J131=0,Q131=""),"",Q131/J131-1)</f>
        <v>1.5632933832940177E-2</v>
      </c>
      <c r="N131" s="92"/>
      <c r="O131" s="99"/>
      <c r="P131" s="99"/>
      <c r="Q131" s="99">
        <f>Q116+Q123+Q130</f>
        <v>916.69235000000003</v>
      </c>
      <c r="R131" s="91"/>
      <c r="S131" s="92"/>
      <c r="T131" s="92"/>
    </row>
    <row r="132" spans="2:20" x14ac:dyDescent="0.3">
      <c r="B132" s="3" t="str">
        <f t="shared" ref="B132:D133" si="36">B131</f>
        <v>Essential</v>
      </c>
      <c r="C132" s="3" t="str">
        <f t="shared" si="36"/>
        <v>Residential</v>
      </c>
      <c r="D132" s="3" t="str">
        <f t="shared" si="36"/>
        <v>with CL</v>
      </c>
      <c r="E132" s="81"/>
      <c r="F132" s="82"/>
      <c r="G132" s="81" t="s">
        <v>41</v>
      </c>
      <c r="H132" s="99"/>
      <c r="I132" s="99"/>
      <c r="J132" s="99">
        <f>J131*GST</f>
        <v>90.258233999999987</v>
      </c>
      <c r="K132" s="91"/>
      <c r="L132" s="92"/>
      <c r="M132" s="83"/>
      <c r="N132" s="92"/>
      <c r="O132" s="99"/>
      <c r="P132" s="99"/>
      <c r="Q132" s="99">
        <f>Q131*GST</f>
        <v>91.669235000000015</v>
      </c>
      <c r="R132" s="91"/>
      <c r="S132" s="27"/>
      <c r="T132" s="27"/>
    </row>
    <row r="133" spans="2:20" x14ac:dyDescent="0.3">
      <c r="B133" s="3" t="str">
        <f t="shared" si="36"/>
        <v>Essential</v>
      </c>
      <c r="C133" s="3" t="str">
        <f t="shared" si="36"/>
        <v>Residential</v>
      </c>
      <c r="D133" s="3" t="str">
        <f t="shared" si="36"/>
        <v>with CL</v>
      </c>
      <c r="E133" s="81"/>
      <c r="F133" s="82"/>
      <c r="G133" s="5" t="s">
        <v>91</v>
      </c>
      <c r="H133" s="98"/>
      <c r="I133" s="98"/>
      <c r="J133" s="98">
        <f>SUM(J131:J132)</f>
        <v>992.84057399999983</v>
      </c>
      <c r="K133" s="79"/>
      <c r="L133" s="27"/>
      <c r="M133" s="80">
        <f>IF(OR(J133=0,Q133=""),"",Q133/J133-1)</f>
        <v>1.5632933832940177E-2</v>
      </c>
      <c r="N133" s="27"/>
      <c r="O133" s="98"/>
      <c r="P133" s="98"/>
      <c r="Q133" s="98">
        <f>SUM(Q131:Q132)</f>
        <v>1008.3615850000001</v>
      </c>
      <c r="R133" s="79"/>
      <c r="S133" s="27"/>
      <c r="T133" s="27"/>
    </row>
    <row r="134" spans="2:20" x14ac:dyDescent="0.3">
      <c r="F134" s="41"/>
      <c r="K134" s="44"/>
      <c r="M134" s="49"/>
      <c r="R134" s="44"/>
    </row>
    <row r="135" spans="2:20" x14ac:dyDescent="0.3">
      <c r="B135" s="5" t="s">
        <v>3</v>
      </c>
      <c r="C135" s="5" t="s">
        <v>14</v>
      </c>
      <c r="D135" s="5" t="s">
        <v>158</v>
      </c>
      <c r="E135" s="5"/>
      <c r="F135" s="78"/>
      <c r="K135" s="44"/>
      <c r="M135" s="49"/>
      <c r="R135" s="44"/>
    </row>
    <row r="136" spans="2:20" x14ac:dyDescent="0.3">
      <c r="B136" s="3" t="str">
        <f>B135</f>
        <v>Essential</v>
      </c>
      <c r="C136" s="3" t="str">
        <f t="shared" ref="C136:C142" si="37">C135</f>
        <v>Small business</v>
      </c>
      <c r="D136" s="3" t="str">
        <f t="shared" ref="D136:D142" si="38">D135</f>
        <v>without CL</v>
      </c>
      <c r="E136" s="3" t="s">
        <v>24</v>
      </c>
      <c r="F136" s="41">
        <f t="array" ref="F136">IFERROR(INDEX(Usage!$B$5:$T$18,MATCH($B136,Usage!$B$5:$B$18,0),MATCH($C136&amp;$D136&amp;$E136,Usage!$B$5:$W$5&amp;Usage!$B$6:$W$6&amp;Usage!$B$7:$W$7,0)),0)</f>
        <v>20000</v>
      </c>
      <c r="G136" s="3" t="s">
        <v>54</v>
      </c>
      <c r="H136" s="93">
        <f t="array" ref="H136">IFERROR(INDEX('Detail inputs'!$B$3:$L$304,MATCH($B136&amp;$C136&amp;$E136&amp;$G136&amp;H$5&amp;$T136,'Detail inputs'!$B$3:$B$304&amp;'Detail inputs'!$D$3:$D$304&amp;'Detail inputs'!$F$3:$F$304&amp;'Detail inputs'!$G$3:$G$304&amp;'Detail inputs'!$H$3:$H$304&amp;'Detail inputs'!$L$3:$L$304,0),MATCH(H$4,'Detail inputs'!$B$3:$L$3,0)),0)</f>
        <v>297.40199999999999</v>
      </c>
      <c r="I136" s="93">
        <f t="array" ref="I136">IFERROR(INDEX('Detail inputs'!$B$3:$L$304,MATCH($B136&amp;$C136&amp;$E136&amp;$G136&amp;I$5&amp;$T136,'Detail inputs'!$B$3:$B$304&amp;'Detail inputs'!$D$3:$D$304&amp;'Detail inputs'!$F$3:$F$304&amp;'Detail inputs'!$G$3:$G$304&amp;'Detail inputs'!$H$3:$H$304&amp;'Detail inputs'!$L$3:$L$304,0),MATCH(I$4,'Detail inputs'!$B$3:$L$3,0)),0)</f>
        <v>115.88499999999999</v>
      </c>
      <c r="J136" s="93">
        <f t="shared" ref="J136:J141" si="39">IF(AND(H136="",I136=""),"",H136+I136*F136/1000)</f>
        <v>2615.1019999999999</v>
      </c>
      <c r="K136" s="44">
        <f>IFERROR(J136/J140,"")</f>
        <v>0.82921658419216515</v>
      </c>
      <c r="L136" s="44"/>
      <c r="M136" s="49" t="str">
        <f t="array" ref="M136">IFERROR(IF($S136="Indicative tariff",$Q136/$J136-1,IF($S136="Zero",0,IF($S136="NA","",IF($S136="Draft x-factor",INDEX('Detail inputs'!$B$3:$P$304,MATCH($B136&amp;$G136&amp;$S136,'Detail inputs'!$B$3:$B$304&amp;'Detail inputs'!$G$3:$G$304&amp;'Detail inputs'!$H$3:$H$304,0),MATCH(M$4,'Detail inputs'!$B$3:$P$3,0)))))),"")</f>
        <v/>
      </c>
      <c r="N136" s="44"/>
      <c r="O136" s="93" t="str">
        <f t="array" ref="O136">IFERROR(IF(OR($S136="NA",$S136="Draft x-factor",$S136="Zero"),"",INDEX('Detail inputs'!$B$3:$L$304,MATCH($B136&amp;$C136&amp;$E136&amp;$G136&amp;O$5&amp;$T136,'Detail inputs'!$B$3:$B$304&amp;'Detail inputs'!$D$3:$D$304&amp;'Detail inputs'!$F$3:$F$304&amp;'Detail inputs'!$G$3:$G$304&amp;'Detail inputs'!$H$3:$H$304&amp;'Detail inputs'!$L$3:$L$304,0),MATCH(O$4,'Detail inputs'!$B$3:$L$3,0))),0)</f>
        <v/>
      </c>
      <c r="P136" s="93" t="str">
        <f t="array" ref="P136">IFERROR(IF(OR($S136="NA",$S136="Draft x-factor",$S136="Zero"),"",INDEX('Detail inputs'!$B$3:$L$304,MATCH($B136&amp;$C136&amp;$E136&amp;$G136&amp;P$5&amp;$T136,'Detail inputs'!$B$3:$B$304&amp;'Detail inputs'!$D$3:$D$304&amp;'Detail inputs'!$F$3:$F$304&amp;'Detail inputs'!$G$3:$G$304&amp;'Detail inputs'!$H$3:$H$304&amp;'Detail inputs'!$L$3:$L$304,0),MATCH(P$4,'Detail inputs'!$B$3:$L$3,0))),0)</f>
        <v/>
      </c>
      <c r="Q136" s="93" t="str">
        <f>IF(AND(O136="",P136=""),"",O136+P136*F136/1000)</f>
        <v/>
      </c>
      <c r="R136" s="44" t="str">
        <f>IFERROR(Q136/Q140,"")</f>
        <v/>
      </c>
      <c r="S136" s="21" t="str">
        <f t="array" ref="S136">INDEX('Key inputs'!$B$35:$J$41,MATCH($B136,'Key inputs'!$B$35:$B$41,0),MATCH($G136&amp;S$5,'Key inputs'!$B$35:$J$35&amp;'Key inputs'!$B$36:$J$36,0))</f>
        <v>NA</v>
      </c>
    </row>
    <row r="137" spans="2:20" x14ac:dyDescent="0.3">
      <c r="B137" s="3" t="str">
        <f t="shared" ref="B137:B142" si="40">B136</f>
        <v>Essential</v>
      </c>
      <c r="C137" s="3" t="str">
        <f t="shared" si="37"/>
        <v>Small business</v>
      </c>
      <c r="D137" s="3" t="str">
        <f t="shared" si="38"/>
        <v>without CL</v>
      </c>
      <c r="E137" s="3" t="s">
        <v>24</v>
      </c>
      <c r="F137" s="41">
        <f t="array" ref="F137">IFERROR(INDEX(Usage!$B$5:$T$18,MATCH($B137,Usage!$B$5:$B$18,0),MATCH($C137&amp;$D137&amp;$E137,Usage!$B$5:$W$5&amp;Usage!$B$6:$W$6&amp;Usage!$B$7:$W$7,0)),0)</f>
        <v>20000</v>
      </c>
      <c r="G137" s="3" t="s">
        <v>55</v>
      </c>
      <c r="H137" s="93">
        <f t="array" ref="H137">IFERROR(INDEX('Detail inputs'!$B$3:$L$304,MATCH($B137&amp;$C137&amp;$E137&amp;$G137&amp;H$5&amp;$T137,'Detail inputs'!$B$3:$B$304&amp;'Detail inputs'!$D$3:$D$304&amp;'Detail inputs'!$F$3:$F$304&amp;'Detail inputs'!$G$3:$G$304&amp;'Detail inputs'!$H$3:$H$304&amp;'Detail inputs'!$L$3:$L$304,0),MATCH(H$4,'Detail inputs'!$B$3:$L$3,0)),0)</f>
        <v>0</v>
      </c>
      <c r="I137" s="93">
        <f t="array" ref="I137">IFERROR(INDEX('Detail inputs'!$B$3:$L$304,MATCH($B137&amp;$C137&amp;$E137&amp;$G137&amp;I$5&amp;$T137,'Detail inputs'!$B$3:$B$304&amp;'Detail inputs'!$D$3:$D$304&amp;'Detail inputs'!$F$3:$F$304&amp;'Detail inputs'!$G$3:$G$304&amp;'Detail inputs'!$H$3:$H$304&amp;'Detail inputs'!$L$3:$L$304,0),MATCH(I$4,'Detail inputs'!$B$3:$L$3,0)),0)</f>
        <v>20.07</v>
      </c>
      <c r="J137" s="93">
        <f t="shared" si="39"/>
        <v>401.4</v>
      </c>
      <c r="K137" s="44">
        <f>IFERROR(J137/J140,"")</f>
        <v>0.12727898831278286</v>
      </c>
      <c r="L137" s="44"/>
      <c r="M137" s="49" t="str">
        <f t="array" ref="M137">IFERROR(IF($S137="Indicative tariff",$Q137/$J137-1,IF($S137="Zero",0,IF($S137="NA","",IF($S137="Draft x-factor",INDEX('Detail inputs'!$B$3:$P$304,MATCH($B137&amp;$G137&amp;$S137,'Detail inputs'!$B$3:$B$304&amp;'Detail inputs'!$G$3:$G$304&amp;'Detail inputs'!$H$3:$H$304,0),MATCH(M$4,'Detail inputs'!$B$3:$P$3,0)))))),"")</f>
        <v/>
      </c>
      <c r="N137" s="44"/>
      <c r="O137" s="93" t="str">
        <f t="array" ref="O137">IFERROR(IF(OR($S137="NA",$S137="Draft x-factor",$S137="Zero"),"",INDEX('Detail inputs'!$B$3:$L$304,MATCH($B137&amp;$C137&amp;$E137&amp;$G137&amp;O$5&amp;$T137,'Detail inputs'!$B$3:$B$304&amp;'Detail inputs'!$D$3:$D$304&amp;'Detail inputs'!$F$3:$F$304&amp;'Detail inputs'!$G$3:$G$304&amp;'Detail inputs'!$H$3:$H$304&amp;'Detail inputs'!$L$3:$L$304,0),MATCH(O$4,'Detail inputs'!$B$3:$L$3,0))),0)</f>
        <v/>
      </c>
      <c r="P137" s="93" t="str">
        <f t="array" ref="P137">IFERROR(IF(OR($S137="NA",$S137="Draft x-factor",$S137="Zero"),"",INDEX('Detail inputs'!$B$3:$L$304,MATCH($B137&amp;$C137&amp;$E137&amp;$G137&amp;P$5&amp;$T137,'Detail inputs'!$B$3:$B$304&amp;'Detail inputs'!$D$3:$D$304&amp;'Detail inputs'!$F$3:$F$304&amp;'Detail inputs'!$G$3:$G$304&amp;'Detail inputs'!$H$3:$H$304&amp;'Detail inputs'!$L$3:$L$304,0),MATCH(P$4,'Detail inputs'!$B$3:$L$3,0))),0)</f>
        <v/>
      </c>
      <c r="Q137" s="93" t="str">
        <f>IF(AND(O137="",P137=""),"",O137+P137*F137/1000)</f>
        <v/>
      </c>
      <c r="R137" s="44" t="str">
        <f>IFERROR(Q137/Q140,"")</f>
        <v/>
      </c>
      <c r="S137" s="21" t="str">
        <f t="array" ref="S137">INDEX('Key inputs'!$B$35:$J$41,MATCH($B137,'Key inputs'!$B$35:$B$41,0),MATCH($G137&amp;S$5,'Key inputs'!$B$35:$J$35&amp;'Key inputs'!$B$36:$J$36,0))</f>
        <v>NA</v>
      </c>
    </row>
    <row r="138" spans="2:20" x14ac:dyDescent="0.3">
      <c r="B138" s="3" t="str">
        <f t="shared" si="40"/>
        <v>Essential</v>
      </c>
      <c r="C138" s="3" t="str">
        <f t="shared" si="37"/>
        <v>Small business</v>
      </c>
      <c r="D138" s="3" t="str">
        <f t="shared" si="38"/>
        <v>without CL</v>
      </c>
      <c r="E138" s="3" t="s">
        <v>24</v>
      </c>
      <c r="F138" s="41">
        <f t="array" ref="F138">IFERROR(INDEX(Usage!$B$5:$T$18,MATCH($B138,Usage!$B$5:$B$18,0),MATCH($C138&amp;$D138&amp;$E138,Usage!$B$5:$W$5&amp;Usage!$B$6:$W$6&amp;Usage!$B$7:$W$7,0)),0)</f>
        <v>20000</v>
      </c>
      <c r="G138" s="3" t="s">
        <v>56</v>
      </c>
      <c r="H138" s="93">
        <f t="array" ref="H138">IFERROR(INDEX('Detail inputs'!$B$3:$L$304,MATCH($B138&amp;$C138&amp;$E138&amp;$G138&amp;H$5&amp;$T138,'Detail inputs'!$B$3:$B$304&amp;'Detail inputs'!$D$3:$D$304&amp;'Detail inputs'!$F$3:$F$304&amp;'Detail inputs'!$G$3:$G$304&amp;'Detail inputs'!$H$3:$H$304&amp;'Detail inputs'!$L$3:$L$304,0),MATCH(H$4,'Detail inputs'!$B$3:$L$3,0)),0)</f>
        <v>0</v>
      </c>
      <c r="I138" s="93">
        <f t="array" ref="I138">IFERROR(INDEX('Detail inputs'!$B$3:$L$304,MATCH($B138&amp;$C138&amp;$E138&amp;$G138&amp;I$5&amp;$T138,'Detail inputs'!$B$3:$B$304&amp;'Detail inputs'!$D$3:$D$304&amp;'Detail inputs'!$F$3:$F$304&amp;'Detail inputs'!$G$3:$G$304&amp;'Detail inputs'!$H$3:$H$304&amp;'Detail inputs'!$L$3:$L$304,0),MATCH(I$4,'Detail inputs'!$B$3:$L$3,0)),0)</f>
        <v>6.7430000000000003</v>
      </c>
      <c r="J138" s="93">
        <f t="shared" si="39"/>
        <v>134.86000000000001</v>
      </c>
      <c r="K138" s="44">
        <f>IFERROR(J138/J140,"")</f>
        <v>4.2762442361389888E-2</v>
      </c>
      <c r="L138" s="44"/>
      <c r="M138" s="49" t="str">
        <f t="array" ref="M138">IFERROR(IF($S138="Indicative tariff",$Q138/$J138-1,IF($S138="Zero",0,IF($S138="NA","",IF($S138="Draft x-factor",INDEX('Detail inputs'!$B$3:$P$304,MATCH($B138&amp;$G138&amp;$S138,'Detail inputs'!$B$3:$B$304&amp;'Detail inputs'!$G$3:$G$304&amp;'Detail inputs'!$H$3:$H$304,0),MATCH(M$4,'Detail inputs'!$B$3:$P$3,0)))))),"")</f>
        <v/>
      </c>
      <c r="N138" s="44"/>
      <c r="O138" s="93" t="str">
        <f t="array" ref="O138">IFERROR(IF(OR($S138="NA",$S138="Draft x-factor",$S138="Zero"),"",INDEX('Detail inputs'!$B$3:$L$304,MATCH($B138&amp;$C138&amp;$E138&amp;$G138&amp;O$5&amp;$T138,'Detail inputs'!$B$3:$B$304&amp;'Detail inputs'!$D$3:$D$304&amp;'Detail inputs'!$F$3:$F$304&amp;'Detail inputs'!$G$3:$G$304&amp;'Detail inputs'!$H$3:$H$304&amp;'Detail inputs'!$L$3:$L$304,0),MATCH(O$4,'Detail inputs'!$B$3:$L$3,0))),0)</f>
        <v/>
      </c>
      <c r="P138" s="93" t="str">
        <f t="array" ref="P138">IFERROR(IF(OR($S138="NA",$S138="Draft x-factor",$S138="Zero"),"",INDEX('Detail inputs'!$B$3:$L$304,MATCH($B138&amp;$C138&amp;$E138&amp;$G138&amp;P$5&amp;$T138,'Detail inputs'!$B$3:$B$304&amp;'Detail inputs'!$D$3:$D$304&amp;'Detail inputs'!$F$3:$F$304&amp;'Detail inputs'!$G$3:$G$304&amp;'Detail inputs'!$H$3:$H$304&amp;'Detail inputs'!$L$3:$L$304,0),MATCH(P$4,'Detail inputs'!$B$3:$L$3,0))),0)</f>
        <v/>
      </c>
      <c r="Q138" s="93" t="str">
        <f>IF(AND(O138="",P138=""),"",O138+P138*F138/1000)</f>
        <v/>
      </c>
      <c r="R138" s="44" t="str">
        <f>IFERROR(Q138/Q140,"")</f>
        <v/>
      </c>
      <c r="S138" s="21" t="str">
        <f t="array" ref="S138">INDEX('Key inputs'!$B$35:$J$41,MATCH($B138,'Key inputs'!$B$35:$B$41,0),MATCH($G138&amp;S$5,'Key inputs'!$B$35:$J$35&amp;'Key inputs'!$B$36:$J$36,0))</f>
        <v>NA</v>
      </c>
    </row>
    <row r="139" spans="2:20" x14ac:dyDescent="0.3">
      <c r="B139" s="3" t="str">
        <f t="shared" ref="B139:D140" si="41">B138</f>
        <v>Essential</v>
      </c>
      <c r="C139" s="3" t="str">
        <f t="shared" si="41"/>
        <v>Small business</v>
      </c>
      <c r="D139" s="3" t="str">
        <f t="shared" si="41"/>
        <v>without CL</v>
      </c>
      <c r="E139" s="3" t="s">
        <v>24</v>
      </c>
      <c r="F139" s="41">
        <f t="array" ref="F139">IFERROR(INDEX(Usage!$B$5:$T$18,MATCH($B139,Usage!$B$5:$B$18,0),MATCH($C139&amp;$D139&amp;$E139,Usage!$B$5:$W$5&amp;Usage!$B$6:$W$6&amp;Usage!$B$7:$W$7,0)),0)</f>
        <v>20000</v>
      </c>
      <c r="G139" s="3" t="s">
        <v>86</v>
      </c>
      <c r="H139" s="93">
        <f t="array" ref="H139">IFERROR(INDEX('Detail inputs'!$B$3:$L$304,MATCH($B139&amp;$C139&amp;$E139&amp;$G139&amp;H$5&amp;$T139,'Detail inputs'!$B$3:$B$304&amp;'Detail inputs'!$D$3:$D$304&amp;'Detail inputs'!$F$3:$F$304&amp;'Detail inputs'!$G$3:$G$304&amp;'Detail inputs'!$H$3:$H$304&amp;'Detail inputs'!$L$3:$L$304,0),MATCH(H$4,'Detail inputs'!$B$3:$L$3,0)),0)</f>
        <v>0</v>
      </c>
      <c r="I139" s="93">
        <f t="array" ref="I139">IFERROR(INDEX('Detail inputs'!$B$3:$L$304,MATCH($B139&amp;$C139&amp;$E139&amp;$G139&amp;I$5&amp;$T139,'Detail inputs'!$B$3:$B$304&amp;'Detail inputs'!$D$3:$D$304&amp;'Detail inputs'!$F$3:$F$304&amp;'Detail inputs'!$G$3:$G$304&amp;'Detail inputs'!$H$3:$H$304&amp;'Detail inputs'!$L$3:$L$304,0),MATCH(I$4,'Detail inputs'!$B$3:$L$3,0)),0)</f>
        <v>0.11700000000000001</v>
      </c>
      <c r="J139" s="93">
        <f>IF(AND(H139="",I139=""),"",H139+I139*F139/1000)</f>
        <v>2.34</v>
      </c>
      <c r="K139" s="44">
        <f>IFERROR(J139/J140,"")</f>
        <v>7.4198513366196292E-4</v>
      </c>
      <c r="L139" s="44"/>
      <c r="M139" s="49" t="str">
        <f t="array" ref="M139">IFERROR(IF($S139="Indicative tariff",$Q139/$J139-1,IF($S139="Zero",0,IF($S139="NA","",IF($S139="Draft x-factor",INDEX('Detail inputs'!$B$3:$P$304,MATCH($B139&amp;$G139&amp;$S139,'Detail inputs'!$B$3:$B$304&amp;'Detail inputs'!$G$3:$G$304&amp;'Detail inputs'!$H$3:$H$304,0),MATCH(M$4,'Detail inputs'!$B$3:$P$3,0)))))),"")</f>
        <v/>
      </c>
      <c r="N139" s="44"/>
      <c r="O139" s="93" t="str">
        <f t="array" ref="O139">IFERROR(IF(OR($S139="NA",$S139="Draft x-factor",$S139="Zero"),"",INDEX('Detail inputs'!$B$3:$L$304,MATCH($B139&amp;$C139&amp;$E139&amp;$G139&amp;O$5&amp;$T139,'Detail inputs'!$B$3:$B$304&amp;'Detail inputs'!$D$3:$D$304&amp;'Detail inputs'!$F$3:$F$304&amp;'Detail inputs'!$G$3:$G$304&amp;'Detail inputs'!$H$3:$H$304&amp;'Detail inputs'!$L$3:$L$304,0),MATCH(O$4,'Detail inputs'!$B$3:$L$3,0))),0)</f>
        <v/>
      </c>
      <c r="P139" s="93" t="str">
        <f t="array" ref="P139">IFERROR(IF(OR($S139="NA",$S139="Draft x-factor",$S139="Zero"),"",INDEX('Detail inputs'!$B$3:$L$304,MATCH($B139&amp;$C139&amp;$E139&amp;$G139&amp;P$5&amp;$T139,'Detail inputs'!$B$3:$B$304&amp;'Detail inputs'!$D$3:$D$304&amp;'Detail inputs'!$F$3:$F$304&amp;'Detail inputs'!$G$3:$G$304&amp;'Detail inputs'!$H$3:$H$304&amp;'Detail inputs'!$L$3:$L$304,0),MATCH(P$4,'Detail inputs'!$B$3:$L$3,0))),0)</f>
        <v/>
      </c>
      <c r="Q139" s="93" t="str">
        <f>IF(AND(O139="",P139=""),"",O139+P139*F139/1000)</f>
        <v/>
      </c>
      <c r="R139" s="44" t="str">
        <f>IFERROR(Q139/Q140,"")</f>
        <v/>
      </c>
      <c r="S139" s="21" t="str">
        <f t="array" ref="S139">INDEX('Key inputs'!$B$35:$J$41,MATCH($B139,'Key inputs'!$B$35:$B$41,0),MATCH($G139&amp;S$5,'Key inputs'!$B$35:$J$35&amp;'Key inputs'!$B$36:$J$36,0))</f>
        <v>NA</v>
      </c>
    </row>
    <row r="140" spans="2:20" x14ac:dyDescent="0.3">
      <c r="B140" s="3" t="str">
        <f t="shared" si="41"/>
        <v>Essential</v>
      </c>
      <c r="C140" s="3" t="str">
        <f t="shared" si="41"/>
        <v>Small business</v>
      </c>
      <c r="D140" s="3" t="str">
        <f t="shared" si="41"/>
        <v>without CL</v>
      </c>
      <c r="E140" s="3" t="s">
        <v>24</v>
      </c>
      <c r="F140" s="41">
        <f t="array" ref="F140">IFERROR(INDEX(Usage!$B$5:$T$18,MATCH($B140,Usage!$B$5:$B$18,0),MATCH($C140&amp;$D140&amp;$E140,Usage!$B$5:$W$5&amp;Usage!$B$6:$W$6&amp;Usage!$B$7:$W$7,0)),0)</f>
        <v>20000</v>
      </c>
      <c r="G140" s="3" t="s">
        <v>65</v>
      </c>
      <c r="J140" s="93">
        <f>SUM(J136:J139)</f>
        <v>3153.7020000000002</v>
      </c>
      <c r="K140" s="44">
        <f>IFERROR(J140/J142,"")</f>
        <v>0.98996886906636472</v>
      </c>
      <c r="L140" s="44"/>
      <c r="M140" s="49">
        <f>IF(J140=0,"",IF(Q140="",SUMPRODUCT(K136:K139,M136:M139),Q140/J140-1))</f>
        <v>2.076290023597549E-3</v>
      </c>
      <c r="N140" s="44"/>
      <c r="O140" s="93">
        <f t="array" ref="O140">IFERROR(IF(OR($S140="NA",$S140="Draft x-factor",$S140="Sum"),"",INDEX('Detail inputs'!$B$3:$L$304,MATCH($B140&amp;$C140&amp;$E140&amp;$G140&amp;O$5&amp;$T140,'Detail inputs'!$B$3:$B$304&amp;'Detail inputs'!$D$3:$D$304&amp;'Detail inputs'!$F$3:$F$304&amp;'Detail inputs'!$G$3:$G$304&amp;'Detail inputs'!$H$3:$H$304&amp;'Detail inputs'!$L$3:$L$304,0),MATCH(O$4,'Detail inputs'!$B$3:$L$3,0))),0)</f>
        <v>303.20999999999998</v>
      </c>
      <c r="P140" s="93">
        <f t="array" ref="P140">IFERROR(IF(OR($S140="NA",$S140="Draft x-factor",$S140="Sum"),"",INDEX('Detail inputs'!$B$3:$L$304,MATCH($B140&amp;$C140&amp;$E140&amp;$G140&amp;P$5&amp;$T140,'Detail inputs'!$B$3:$B$304&amp;'Detail inputs'!$D$3:$D$304&amp;'Detail inputs'!$F$3:$F$304&amp;'Detail inputs'!$G$3:$G$304&amp;'Detail inputs'!$H$3:$H$304&amp;'Detail inputs'!$L$3:$L$304,0),MATCH(P$4,'Detail inputs'!$B$3:$L$3,0))),0)</f>
        <v>142.852</v>
      </c>
      <c r="Q140" s="93">
        <f>IF($S140="NA","",IF($S140="Indicative tariff",O140+P140*F140/1000,IF($S140="Sum",SUM(Q136:Q139))))</f>
        <v>3160.25</v>
      </c>
      <c r="R140" s="44">
        <f>IFERROR(Q140/Q142,"")</f>
        <v>0.98998944538584333</v>
      </c>
      <c r="S140" s="21" t="str">
        <f t="array" ref="S140">INDEX('Key inputs'!$B$35:$J$41,MATCH($B140,'Key inputs'!$B$35:$B$41,0),MATCH($G140&amp;S$5,'Key inputs'!$B$35:$J$35&amp;'Key inputs'!$B$36:$J$36,0))</f>
        <v>Indicative tariff</v>
      </c>
    </row>
    <row r="141" spans="2:20" x14ac:dyDescent="0.3">
      <c r="B141" s="3" t="str">
        <f t="shared" si="40"/>
        <v>Essential</v>
      </c>
      <c r="C141" s="3" t="str">
        <f t="shared" si="37"/>
        <v>Small business</v>
      </c>
      <c r="D141" s="3" t="str">
        <f t="shared" si="38"/>
        <v>without CL</v>
      </c>
      <c r="E141" s="3" t="s">
        <v>24</v>
      </c>
      <c r="F141" s="41">
        <f t="array" ref="F141">IFERROR(INDEX(Usage!$B$5:$T$18,MATCH($B141,Usage!$B$5:$B$18,0),MATCH($C141&amp;$D141&amp;$E141,Usage!$B$5:$W$5&amp;Usage!$B$6:$W$6&amp;Usage!$B$7:$W$7,0)),0)</f>
        <v>20000</v>
      </c>
      <c r="G141" s="3" t="s">
        <v>67</v>
      </c>
      <c r="H141" s="93">
        <f t="array" ref="H141">IFERROR(INDEX('Detail inputs'!$B$3:$L$304,MATCH($B141&amp;$C141&amp;$E141&amp;$G141&amp;H$5&amp;$T141,'Detail inputs'!$B$3:$B$304&amp;'Detail inputs'!$D$3:$D$304&amp;'Detail inputs'!$F$3:$F$304&amp;'Detail inputs'!$G$3:$G$304&amp;'Detail inputs'!$H$3:$H$304&amp;'Detail inputs'!$L$3:$L$304,0),MATCH(H$4,'Detail inputs'!$B$3:$L$3,0)),0)</f>
        <v>31.955749999999998</v>
      </c>
      <c r="I141" s="93">
        <f t="array" ref="I141">IFERROR(INDEX('Detail inputs'!$B$3:$L$304,MATCH($B141&amp;$C141&amp;$E141&amp;$G141&amp;I$5&amp;$T141,'Detail inputs'!$B$3:$B$304&amp;'Detail inputs'!$D$3:$D$304&amp;'Detail inputs'!$F$3:$F$304&amp;'Detail inputs'!$G$3:$G$304&amp;'Detail inputs'!$H$3:$H$304&amp;'Detail inputs'!$L$3:$L$304,0),MATCH(I$4,'Detail inputs'!$B$3:$L$3,0)),0)</f>
        <v>0</v>
      </c>
      <c r="J141" s="93">
        <f t="shared" si="39"/>
        <v>31.955749999999998</v>
      </c>
      <c r="K141" s="44">
        <f>IFERROR(J141/J142,"")</f>
        <v>1.003113093363529E-2</v>
      </c>
      <c r="L141" s="44"/>
      <c r="M141" s="49">
        <f t="array" ref="M141">IFERROR(IF($S141="Indicative tariff",$Q141/$J141-1,IF($S141="Zero",0,IF($S141="NA","",IF($S141="Draft x-factor",INDEX('Detail inputs'!$B$3:$P$304,MATCH($B141&amp;$G141&amp;$S141,'Detail inputs'!$B$3:$B$304&amp;'Detail inputs'!$G$3:$G$304&amp;'Detail inputs'!$H$3:$H$304,0),MATCH(M$4,'Detail inputs'!$B$3:$P$3,0)))))),"")</f>
        <v>0</v>
      </c>
      <c r="N141" s="44"/>
      <c r="O141" s="93">
        <f t="array" ref="O141">IFERROR(IF(OR($S141="NA",$S141="Draft x-factor"),"",IF($S141="Zero",H141,INDEX('Detail inputs'!$B$3:$L$304,MATCH($B141&amp;$C141&amp;$E141&amp;$G141&amp;O$5&amp;$T141,'Detail inputs'!$B$3:$B$304&amp;'Detail inputs'!$D$3:$D$304&amp;'Detail inputs'!$F$3:$F$304&amp;'Detail inputs'!$G$3:$G$304&amp;'Detail inputs'!$H$3:$H$304&amp;'Detail inputs'!$L$3:$L$304,0),MATCH(O$4,'Detail inputs'!$B$3:$L$3,0)))),0)</f>
        <v>31.955749999999998</v>
      </c>
      <c r="P141" s="93">
        <f t="array" ref="P141">IFERROR(IF(OR($S141="NA",$S141="Draft x-factor"),"",IF($S141="Zero",I141,INDEX('Detail inputs'!$B$3:$L$304,MATCH($B141&amp;$C141&amp;$E141&amp;$G141&amp;P$5&amp;$T141,'Detail inputs'!$B$3:$B$304&amp;'Detail inputs'!$D$3:$D$304&amp;'Detail inputs'!$F$3:$F$304&amp;'Detail inputs'!$G$3:$G$304&amp;'Detail inputs'!$H$3:$H$304&amp;'Detail inputs'!$L$3:$L$304,0),MATCH(P$4,'Detail inputs'!$B$3:$L$3,0)))),0)</f>
        <v>0</v>
      </c>
      <c r="Q141" s="93">
        <f>IF(AND(O141="",P141=""),"",O141+P141*F141/1000)</f>
        <v>31.955749999999998</v>
      </c>
      <c r="R141" s="44">
        <f>IFERROR(Q141/Q142,"")</f>
        <v>1.0010554614156683E-2</v>
      </c>
      <c r="S141" s="21" t="str">
        <f t="array" ref="S141">INDEX('Key inputs'!$B$35:$J$41,MATCH($B141,'Key inputs'!$B$35:$B$41,0),MATCH($G141&amp;S$5,'Key inputs'!$B$35:$J$35&amp;'Key inputs'!$B$36:$J$36,0))</f>
        <v>Zero</v>
      </c>
    </row>
    <row r="142" spans="2:20" s="81" customFormat="1" x14ac:dyDescent="0.3">
      <c r="B142" s="81" t="str">
        <f t="shared" si="40"/>
        <v>Essential</v>
      </c>
      <c r="C142" s="81" t="str">
        <f t="shared" si="37"/>
        <v>Small business</v>
      </c>
      <c r="D142" s="81" t="str">
        <f t="shared" si="38"/>
        <v>without CL</v>
      </c>
      <c r="E142" s="3" t="s">
        <v>24</v>
      </c>
      <c r="F142" s="41">
        <f t="array" ref="F142">IFERROR(INDEX(Usage!$B$5:$T$18,MATCH($B142,Usage!$B$5:$B$18,0),MATCH($C142&amp;$D142&amp;$E142,Usage!$B$5:$W$5&amp;Usage!$B$6:$W$6&amp;Usage!$B$7:$W$7,0)),0)</f>
        <v>20000</v>
      </c>
      <c r="G142" s="81" t="s">
        <v>58</v>
      </c>
      <c r="H142" s="99"/>
      <c r="I142" s="99"/>
      <c r="J142" s="99">
        <f>SUM(J140:J141)</f>
        <v>3185.6577500000003</v>
      </c>
      <c r="K142" s="91"/>
      <c r="L142" s="92"/>
      <c r="M142" s="49">
        <f>IF(J142=0,"",IF(OR($S141="Draft x-factor",$S141="Zero"),SUMPRODUCT(K140:K141,M140:M141),Q142/J142-1))</f>
        <v>2.0554624865146412E-3</v>
      </c>
      <c r="N142" s="92"/>
      <c r="O142" s="99"/>
      <c r="P142" s="99"/>
      <c r="Q142" s="99">
        <f>IF(AND(Q140="",Q141=""),J142*(1+M142),SUM(Q140:Q141))</f>
        <v>3192.2057500000001</v>
      </c>
      <c r="R142" s="91"/>
      <c r="S142" s="92"/>
      <c r="T142" s="92"/>
    </row>
    <row r="143" spans="2:20" x14ac:dyDescent="0.3">
      <c r="B143" s="3" t="str">
        <f t="shared" ref="B143:D144" si="42">B142</f>
        <v>Essential</v>
      </c>
      <c r="C143" s="3" t="str">
        <f t="shared" si="42"/>
        <v>Small business</v>
      </c>
      <c r="D143" s="3" t="str">
        <f t="shared" si="42"/>
        <v>without CL</v>
      </c>
      <c r="E143" s="81"/>
      <c r="F143" s="82"/>
      <c r="G143" s="81" t="s">
        <v>41</v>
      </c>
      <c r="H143" s="99"/>
      <c r="I143" s="99"/>
      <c r="J143" s="99">
        <f>J142*GST</f>
        <v>318.56577500000003</v>
      </c>
      <c r="K143" s="91"/>
      <c r="L143" s="92"/>
      <c r="M143" s="83"/>
      <c r="N143" s="92"/>
      <c r="O143" s="99"/>
      <c r="P143" s="99"/>
      <c r="Q143" s="99">
        <f>Q142*GST</f>
        <v>319.22057500000005</v>
      </c>
      <c r="R143" s="91"/>
      <c r="S143" s="27"/>
      <c r="T143" s="27"/>
    </row>
    <row r="144" spans="2:20" x14ac:dyDescent="0.3">
      <c r="B144" s="3" t="str">
        <f t="shared" si="42"/>
        <v>Essential</v>
      </c>
      <c r="C144" s="3" t="str">
        <f t="shared" si="42"/>
        <v>Small business</v>
      </c>
      <c r="D144" s="3" t="str">
        <f t="shared" si="42"/>
        <v>without CL</v>
      </c>
      <c r="E144" s="81"/>
      <c r="F144" s="82"/>
      <c r="G144" s="5" t="s">
        <v>91</v>
      </c>
      <c r="H144" s="98"/>
      <c r="I144" s="98"/>
      <c r="J144" s="98">
        <f>SUM(J142:J143)</f>
        <v>3504.2235250000003</v>
      </c>
      <c r="K144" s="79"/>
      <c r="L144" s="27"/>
      <c r="M144" s="80">
        <f>IF(OR(J144=0,Q144=""),"",Q144/J144-1)</f>
        <v>2.0554624865147808E-3</v>
      </c>
      <c r="N144" s="27"/>
      <c r="O144" s="98"/>
      <c r="P144" s="98"/>
      <c r="Q144" s="98">
        <f>SUM(Q142:Q143)</f>
        <v>3511.4263250000004</v>
      </c>
      <c r="R144" s="79"/>
      <c r="S144" s="27"/>
      <c r="T144" s="27"/>
    </row>
    <row r="145" spans="2:20" x14ac:dyDescent="0.3"/>
    <row r="146" spans="2:20" x14ac:dyDescent="0.3">
      <c r="B146" s="5" t="s">
        <v>0</v>
      </c>
      <c r="C146" s="5" t="s">
        <v>6</v>
      </c>
      <c r="D146" s="5" t="s">
        <v>158</v>
      </c>
      <c r="E146" s="81"/>
      <c r="F146" s="82"/>
      <c r="K146" s="44"/>
      <c r="L146" s="44"/>
      <c r="M146" s="49"/>
      <c r="N146" s="44"/>
      <c r="R146" s="44"/>
    </row>
    <row r="147" spans="2:20" x14ac:dyDescent="0.3">
      <c r="B147" s="81" t="str">
        <f t="shared" ref="B147:D154" si="43">B146</f>
        <v>Energex</v>
      </c>
      <c r="C147" s="81" t="str">
        <f t="shared" si="43"/>
        <v>Residential</v>
      </c>
      <c r="D147" s="81" t="str">
        <f t="shared" si="43"/>
        <v>without CL</v>
      </c>
      <c r="E147" s="81" t="s">
        <v>24</v>
      </c>
      <c r="F147" s="41">
        <f t="array" ref="F147">IFERROR(INDEX(Usage!$B$5:$T$18,MATCH($B147,Usage!$B$5:$B$18,0),MATCH($C147&amp;$D147&amp;$E147&amp;$T147,Usage!$B$5:$W$5&amp;Usage!$B$6:$W$6&amp;Usage!$B$7:$W$7&amp;Usage!$B$13:$W$13,0)),0)</f>
        <v>4600</v>
      </c>
      <c r="G147" s="3" t="s">
        <v>54</v>
      </c>
      <c r="H147" s="93">
        <f t="array" ref="H147">IFERROR(INDEX('Detail inputs'!$B$3:$L$304,MATCH($B147&amp;$C147&amp;$E147&amp;$G147&amp;H$5&amp;$T147,'Detail inputs'!$B$3:$B$304&amp;'Detail inputs'!$D$3:$D$304&amp;'Detail inputs'!$F$3:$F$304&amp;'Detail inputs'!$G$3:$G$304&amp;'Detail inputs'!$H$3:$H$304&amp;'Detail inputs'!$L$3:$L$304,0),MATCH(H$4,'Detail inputs'!$B$3:$L$3,0)),0)</f>
        <v>153.66499999999999</v>
      </c>
      <c r="I147" s="93">
        <f t="array" ref="I147">IFERROR(INDEX('Detail inputs'!$B$3:$L$304,MATCH($B147&amp;$C147&amp;$E147&amp;$G147&amp;I$5&amp;$T147,'Detail inputs'!$B$3:$B$304&amp;'Detail inputs'!$D$3:$D$304&amp;'Detail inputs'!$F$3:$F$304&amp;'Detail inputs'!$G$3:$G$304&amp;'Detail inputs'!$H$3:$H$304&amp;'Detail inputs'!$L$3:$L$304,0),MATCH(I$4,'Detail inputs'!$B$3:$L$3,0)),0)</f>
        <v>69.989999999999995</v>
      </c>
      <c r="J147" s="93">
        <f>IF(AND(H147="",I147=""),"",H147+I147*F147/1000)</f>
        <v>475.61900000000003</v>
      </c>
      <c r="K147" s="44">
        <f>IFERROR(J147/J150,"")</f>
        <v>0.84087485679532692</v>
      </c>
      <c r="L147" s="44"/>
      <c r="M147" s="49">
        <f t="array" ref="M147">IFERROR(IF($S147="Indicative tariff",$Q147/$J147-1,IF($S147="Zero",0,IF($S147="NA","",IF($S147="Draft x-factor",INDEX('Detail inputs'!$B$3:$P$304,MATCH($B147&amp;$G147&amp;$S147,'Detail inputs'!$B$3:$B$304&amp;'Detail inputs'!$G$3:$G$304&amp;'Detail inputs'!$H$3:$H$304,0),MATCH(M$4,'Detail inputs'!$B$3:$P$3,0)))))),"")</f>
        <v>-0.12066801368322133</v>
      </c>
      <c r="N147" s="44"/>
      <c r="O147" s="93">
        <f t="array" ref="O147">IFERROR(IF(OR($S147="NA",$S147="Draft x-factor",$S147="Zero"),"",INDEX('Detail inputs'!$B$3:$L$304,MATCH($B147&amp;$C147&amp;$E147&amp;$G147&amp;O$5&amp;$T147,'Detail inputs'!$B$3:$B$304&amp;'Detail inputs'!$D$3:$D$304&amp;'Detail inputs'!$F$3:$F$304&amp;'Detail inputs'!$G$3:$G$304&amp;'Detail inputs'!$H$3:$H$304&amp;'Detail inputs'!$L$3:$L$304,0),MATCH(O$4,'Detail inputs'!$B$3:$L$3,0))),0)</f>
        <v>157.315</v>
      </c>
      <c r="P147" s="93">
        <f t="array" ref="P147">IFERROR(IF(OR($S147="NA",$S147="Draft x-factor",$S147="Zero"),"",INDEX('Detail inputs'!$B$3:$L$304,MATCH($B147&amp;$C147&amp;$E147&amp;$G147&amp;P$5&amp;$T147,'Detail inputs'!$B$3:$B$304&amp;'Detail inputs'!$D$3:$D$304&amp;'Detail inputs'!$F$3:$F$304&amp;'Detail inputs'!$G$3:$G$304&amp;'Detail inputs'!$H$3:$H$304&amp;'Detail inputs'!$L$3:$L$304,0),MATCH(P$4,'Detail inputs'!$B$3:$L$3,0))),0)</f>
        <v>56.72</v>
      </c>
      <c r="Q147" s="93">
        <f>IF(AND(O147="",P147=""),"",O147+P147*F147/1000)</f>
        <v>418.22699999999998</v>
      </c>
      <c r="R147" s="44">
        <f>IFERROR(Q147/Q150,"")</f>
        <v>0.82061288879470695</v>
      </c>
      <c r="S147" s="21" t="str">
        <f t="array" ref="S147">INDEX('Key inputs'!$B$35:$J$41,MATCH($B147,'Key inputs'!$B$35:$B$41,0),MATCH($G147&amp;S$5,'Key inputs'!$B$35:$J$35&amp;'Key inputs'!$B$36:$J$36,0))</f>
        <v>Indicative tariff</v>
      </c>
      <c r="T147" s="21" t="s">
        <v>58</v>
      </c>
    </row>
    <row r="148" spans="2:20" x14ac:dyDescent="0.3">
      <c r="B148" s="81" t="str">
        <f t="shared" si="43"/>
        <v>Energex</v>
      </c>
      <c r="C148" s="81" t="str">
        <f t="shared" si="43"/>
        <v>Residential</v>
      </c>
      <c r="D148" s="81" t="str">
        <f t="shared" si="43"/>
        <v>without CL</v>
      </c>
      <c r="E148" s="81" t="s">
        <v>24</v>
      </c>
      <c r="F148" s="41">
        <f t="array" ref="F148">IFERROR(INDEX(Usage!$B$5:$T$18,MATCH($B148,Usage!$B$5:$B$18,0),MATCH($C148&amp;$D148&amp;$E148&amp;$T148,Usage!$B$5:$W$5&amp;Usage!$B$6:$W$6&amp;Usage!$B$7:$W$7&amp;Usage!$B$13:$W$13,0)),0)</f>
        <v>4600</v>
      </c>
      <c r="G148" s="3" t="s">
        <v>55</v>
      </c>
      <c r="H148" s="93">
        <f t="array" ref="H148">IFERROR(INDEX('Detail inputs'!$B$3:$L$304,MATCH($B148&amp;$C148&amp;$E148&amp;$G148&amp;H$5&amp;$T148,'Detail inputs'!$B$3:$B$304&amp;'Detail inputs'!$D$3:$D$304&amp;'Detail inputs'!$F$3:$F$304&amp;'Detail inputs'!$G$3:$G$304&amp;'Detail inputs'!$H$3:$H$304&amp;'Detail inputs'!$L$3:$L$304,0),MATCH(H$4,'Detail inputs'!$B$3:$L$3,0)),0)</f>
        <v>24.454999999999998</v>
      </c>
      <c r="I148" s="93">
        <f t="array" ref="I148">IFERROR(INDEX('Detail inputs'!$B$3:$L$304,MATCH($B148&amp;$C148&amp;$E148&amp;$G148&amp;I$5&amp;$T148,'Detail inputs'!$B$3:$B$304&amp;'Detail inputs'!$D$3:$D$304&amp;'Detail inputs'!$F$3:$F$304&amp;'Detail inputs'!$G$3:$G$304&amp;'Detail inputs'!$H$3:$H$304&amp;'Detail inputs'!$L$3:$L$304,0),MATCH(I$4,'Detail inputs'!$B$3:$L$3,0)),0)</f>
        <v>14.25</v>
      </c>
      <c r="J148" s="93">
        <f>IF(AND(H148="",I148=""),"",H148+I148*F148/1000)</f>
        <v>90.004999999999995</v>
      </c>
      <c r="K148" s="44">
        <f>IFERROR(J148/J150,"")</f>
        <v>0.15912514320467305</v>
      </c>
      <c r="L148" s="44"/>
      <c r="M148" s="49">
        <f t="array" ref="M148">IFERROR(IF($S148="Indicative tariff",$Q148/$J148-1,IF($S148="Zero",0,IF($S148="NA","",IF($S148="Draft x-factor",INDEX('Detail inputs'!$B$3:$P$304,MATCH($B148&amp;$G148&amp;$S148,'Detail inputs'!$B$3:$B$304&amp;'Detail inputs'!$G$3:$G$304&amp;'Detail inputs'!$H$3:$H$304,0),MATCH(M$4,'Detail inputs'!$B$3:$P$3,0)))))),"")</f>
        <v>1.5776901283262035E-2</v>
      </c>
      <c r="N148" s="44"/>
      <c r="O148" s="93">
        <f t="array" ref="O148">IFERROR(IF(OR($S148="NA",$S148="Draft x-factor",$S148="Zero"),"",INDEX('Detail inputs'!$B$3:$L$304,MATCH($B148&amp;$C148&amp;$E148&amp;$G148&amp;O$5&amp;$T148,'Detail inputs'!$B$3:$B$304&amp;'Detail inputs'!$D$3:$D$304&amp;'Detail inputs'!$F$3:$F$304&amp;'Detail inputs'!$G$3:$G$304&amp;'Detail inputs'!$H$3:$H$304&amp;'Detail inputs'!$L$3:$L$304,0),MATCH(O$4,'Detail inputs'!$B$3:$L$3,0))),0)</f>
        <v>25.185000000000002</v>
      </c>
      <c r="P148" s="93">
        <f t="array" ref="P148">IFERROR(IF(OR($S148="NA",$S148="Draft x-factor",$S148="Zero"),"",INDEX('Detail inputs'!$B$3:$L$304,MATCH($B148&amp;$C148&amp;$E148&amp;$G148&amp;P$5&amp;$T148,'Detail inputs'!$B$3:$B$304&amp;'Detail inputs'!$D$3:$D$304&amp;'Detail inputs'!$F$3:$F$304&amp;'Detail inputs'!$G$3:$G$304&amp;'Detail inputs'!$H$3:$H$304&amp;'Detail inputs'!$L$3:$L$304,0),MATCH(P$4,'Detail inputs'!$B$3:$L$3,0))),0)</f>
        <v>14.399999999999999</v>
      </c>
      <c r="Q148" s="93">
        <f>IF(AND(O148="",P148=""),"",O148+P148*F148/1000)</f>
        <v>91.424999999999997</v>
      </c>
      <c r="R148" s="44">
        <f>IFERROR(Q148/Q150,"")</f>
        <v>0.17938711120529302</v>
      </c>
      <c r="S148" s="21" t="str">
        <f t="array" ref="S148">INDEX('Key inputs'!$B$35:$J$41,MATCH($B148,'Key inputs'!$B$35:$B$41,0),MATCH($G148&amp;S$5,'Key inputs'!$B$35:$J$35&amp;'Key inputs'!$B$36:$J$36,0))</f>
        <v>Indicative tariff</v>
      </c>
      <c r="T148" s="21" t="s">
        <v>58</v>
      </c>
    </row>
    <row r="149" spans="2:20" x14ac:dyDescent="0.3">
      <c r="B149" s="81" t="str">
        <f t="shared" si="43"/>
        <v>Energex</v>
      </c>
      <c r="C149" s="81" t="str">
        <f t="shared" si="43"/>
        <v>Residential</v>
      </c>
      <c r="D149" s="81" t="str">
        <f t="shared" si="43"/>
        <v>without CL</v>
      </c>
      <c r="E149" s="81" t="s">
        <v>24</v>
      </c>
      <c r="F149" s="41">
        <f t="array" ref="F149">IFERROR(INDEX(Usage!$B$5:$T$18,MATCH($B149,Usage!$B$5:$B$18,0),MATCH($C149&amp;$D149&amp;$E149&amp;$T149,Usage!$B$5:$W$5&amp;Usage!$B$6:$W$6&amp;Usage!$B$7:$W$7&amp;Usage!$B$13:$W$13,0)),0)</f>
        <v>4600</v>
      </c>
      <c r="G149" s="3" t="s">
        <v>86</v>
      </c>
      <c r="H149" s="93">
        <f t="array" ref="H149">IFERROR(INDEX('Detail inputs'!$B$3:$L$304,MATCH($B149&amp;$C149&amp;$E149&amp;$G149&amp;H$5&amp;$T149,'Detail inputs'!$B$3:$B$304&amp;'Detail inputs'!$D$3:$D$304&amp;'Detail inputs'!$F$3:$F$304&amp;'Detail inputs'!$G$3:$G$304&amp;'Detail inputs'!$H$3:$H$304&amp;'Detail inputs'!$L$3:$L$304,0),MATCH(H$4,'Detail inputs'!$B$3:$L$3,0)),0)</f>
        <v>0</v>
      </c>
      <c r="I149" s="93">
        <f t="array" ref="I149">IFERROR(INDEX('Detail inputs'!$B$3:$L$304,MATCH($B149&amp;$C149&amp;$E149&amp;$G149&amp;I$5&amp;$T149,'Detail inputs'!$B$3:$B$304&amp;'Detail inputs'!$D$3:$D$304&amp;'Detail inputs'!$F$3:$F$304&amp;'Detail inputs'!$G$3:$G$304&amp;'Detail inputs'!$H$3:$H$304&amp;'Detail inputs'!$L$3:$L$304,0),MATCH(I$4,'Detail inputs'!$B$3:$L$3,0)),0)</f>
        <v>0</v>
      </c>
      <c r="J149" s="93">
        <f>IF(AND(H149="",I149=""),"",H149+I149*F149/1000)</f>
        <v>0</v>
      </c>
      <c r="K149" s="44">
        <f>IFERROR(J149/J150,"")</f>
        <v>0</v>
      </c>
      <c r="L149" s="44"/>
      <c r="M149" s="49" t="str">
        <f t="array" ref="M149">IFERROR(IF($S149="Indicative tariff",$Q149/$J149-1,IF($S149="Zero",0,IF($S149="NA","",IF($S149="Draft x-factor",INDEX('Detail inputs'!$B$3:$P$304,MATCH($B149&amp;$G149&amp;$S149,'Detail inputs'!$B$3:$B$304&amp;'Detail inputs'!$G$3:$G$304&amp;'Detail inputs'!$H$3:$H$304,0),MATCH(M$4,'Detail inputs'!$B$3:$P$3,0)))))),"")</f>
        <v/>
      </c>
      <c r="N149" s="44"/>
      <c r="O149" s="93">
        <f t="array" ref="O149">IFERROR(IF(OR($S149="NA",$S149="Draft x-factor",$S149="Zero"),"",INDEX('Detail inputs'!$B$3:$L$304,MATCH($B149&amp;$C149&amp;$E149&amp;$G149&amp;O$5&amp;$T149,'Detail inputs'!$B$3:$B$304&amp;'Detail inputs'!$D$3:$D$304&amp;'Detail inputs'!$F$3:$F$304&amp;'Detail inputs'!$G$3:$G$304&amp;'Detail inputs'!$H$3:$H$304&amp;'Detail inputs'!$L$3:$L$304,0),MATCH(O$4,'Detail inputs'!$B$3:$L$3,0))),0)</f>
        <v>0</v>
      </c>
      <c r="P149" s="93">
        <f t="array" ref="P149">IFERROR(IF(OR($S149="NA",$S149="Draft x-factor",$S149="Zero"),"",INDEX('Detail inputs'!$B$3:$L$304,MATCH($B149&amp;$C149&amp;$E149&amp;$G149&amp;P$5&amp;$T149,'Detail inputs'!$B$3:$B$304&amp;'Detail inputs'!$D$3:$D$304&amp;'Detail inputs'!$F$3:$F$304&amp;'Detail inputs'!$G$3:$G$304&amp;'Detail inputs'!$H$3:$H$304&amp;'Detail inputs'!$L$3:$L$304,0),MATCH(P$4,'Detail inputs'!$B$3:$L$3,0))),0)</f>
        <v>0</v>
      </c>
      <c r="Q149" s="93">
        <f>IF(AND(O149="",P149=""),"",O149+P149*F149/1000)</f>
        <v>0</v>
      </c>
      <c r="R149" s="44">
        <f>IFERROR(Q149/Q150,"")</f>
        <v>0</v>
      </c>
      <c r="S149" s="21" t="str">
        <f t="array" ref="S149">INDEX('Key inputs'!$B$35:$J$41,MATCH($B149,'Key inputs'!$B$35:$B$41,0),MATCH($G149&amp;S$5,'Key inputs'!$B$35:$J$35&amp;'Key inputs'!$B$36:$J$36,0))</f>
        <v>Indicative tariff</v>
      </c>
      <c r="T149" s="21" t="s">
        <v>58</v>
      </c>
    </row>
    <row r="150" spans="2:20" x14ac:dyDescent="0.3">
      <c r="B150" s="81" t="str">
        <f t="shared" si="43"/>
        <v>Energex</v>
      </c>
      <c r="C150" s="81" t="str">
        <f t="shared" si="43"/>
        <v>Residential</v>
      </c>
      <c r="D150" s="81" t="str">
        <f t="shared" si="43"/>
        <v>without CL</v>
      </c>
      <c r="E150" s="81" t="s">
        <v>24</v>
      </c>
      <c r="F150" s="41">
        <f t="array" ref="F150">IFERROR(INDEX(Usage!$B$5:$T$18,MATCH($B150,Usage!$B$5:$B$18,0),MATCH($C150&amp;$D150&amp;$E150&amp;$T150,Usage!$B$5:$W$5&amp;Usage!$B$6:$W$6&amp;Usage!$B$7:$W$7&amp;Usage!$B$13:$W$13,0)),0)</f>
        <v>4600</v>
      </c>
      <c r="G150" s="3" t="s">
        <v>65</v>
      </c>
      <c r="J150" s="93">
        <f>SUM(J147:J149)</f>
        <v>565.62400000000002</v>
      </c>
      <c r="K150" s="44">
        <f>IFERROR(J150/J152,"")</f>
        <v>0.94073848496636947</v>
      </c>
      <c r="L150" s="44"/>
      <c r="M150" s="49">
        <f>IF(J150=0,"",IF(Q150="",SUMPRODUCT(K147:K148,M147:M148),Q150/J150-1))</f>
        <v>-9.8956197049630212E-2</v>
      </c>
      <c r="N150" s="44"/>
      <c r="O150" s="93" t="str">
        <f t="array" ref="O150">IFERROR(IF(OR($S150="NA",$S150="Draft x-factor",$S150="Sum"),"",INDEX('Detail inputs'!$B$3:$L$304,MATCH($B150&amp;$C150&amp;$E150&amp;$G150&amp;O$5&amp;$T150,'Detail inputs'!$B$3:$B$304&amp;'Detail inputs'!$D$3:$D$304&amp;'Detail inputs'!$F$3:$F$304&amp;'Detail inputs'!$G$3:$G$304&amp;'Detail inputs'!$H$3:$H$304&amp;'Detail inputs'!$L$3:$L$304,0),MATCH(O$4,'Detail inputs'!$B$3:$L$3,0))),0)</f>
        <v/>
      </c>
      <c r="P150" s="93" t="str">
        <f t="array" ref="P150">IFERROR(IF(OR($S150="NA",$S150="Draft x-factor",$S150="Sum"),"",INDEX('Detail inputs'!$B$3:$L$304,MATCH($B150&amp;$C150&amp;$E150&amp;$G150&amp;P$5&amp;$T150,'Detail inputs'!$B$3:$B$304&amp;'Detail inputs'!$D$3:$D$304&amp;'Detail inputs'!$F$3:$F$304&amp;'Detail inputs'!$G$3:$G$304&amp;'Detail inputs'!$H$3:$H$304&amp;'Detail inputs'!$L$3:$L$304,0),MATCH(P$4,'Detail inputs'!$B$3:$L$3,0))),0)</f>
        <v/>
      </c>
      <c r="Q150" s="93">
        <f>IF($S150="NA","",IF($S150="Indicative tariff",O150+P150*F150/1000,IF($S150="Sum",SUM(Q147:Q149))))</f>
        <v>509.65199999999999</v>
      </c>
      <c r="R150" s="44">
        <f>IFERROR(Q150/Q152,"")</f>
        <v>0.92902751625974056</v>
      </c>
      <c r="S150" s="21" t="str">
        <f t="array" ref="S150">INDEX('Key inputs'!$B$35:$J$41,MATCH($B150,'Key inputs'!$B$35:$B$41,0),MATCH($G150&amp;S$5,'Key inputs'!$B$35:$J$35&amp;'Key inputs'!$B$36:$J$36,0))</f>
        <v>Sum</v>
      </c>
      <c r="T150" s="21" t="s">
        <v>58</v>
      </c>
    </row>
    <row r="151" spans="2:20" x14ac:dyDescent="0.3">
      <c r="B151" s="81" t="str">
        <f t="shared" si="43"/>
        <v>Energex</v>
      </c>
      <c r="C151" s="81" t="str">
        <f t="shared" si="43"/>
        <v>Residential</v>
      </c>
      <c r="D151" s="81" t="str">
        <f t="shared" si="43"/>
        <v>without CL</v>
      </c>
      <c r="E151" s="81" t="s">
        <v>24</v>
      </c>
      <c r="F151" s="41">
        <f t="array" ref="F151">IFERROR(INDEX(Usage!$B$5:$T$18,MATCH($B151,Usage!$B$5:$B$18,0),MATCH($C151&amp;$D151&amp;$E151&amp;$T151,Usage!$B$5:$W$5&amp;Usage!$B$6:$W$6&amp;Usage!$B$7:$W$7&amp;Usage!$B$13:$W$13,0)),0)</f>
        <v>4600</v>
      </c>
      <c r="G151" s="3" t="s">
        <v>67</v>
      </c>
      <c r="H151" s="93">
        <f t="array" ref="H151">IFERROR(INDEX('Detail inputs'!$B$3:$L$304,MATCH($B151&amp;$C151&amp;$E151&amp;$G151&amp;H$5&amp;$T151,'Detail inputs'!$B$3:$B$304&amp;'Detail inputs'!$D$3:$D$304&amp;'Detail inputs'!$F$3:$F$304&amp;'Detail inputs'!$G$3:$G$304&amp;'Detail inputs'!$H$3:$H$304&amp;'Detail inputs'!$L$3:$L$304,0),MATCH(H$4,'Detail inputs'!$B$3:$L$3,0)),0)</f>
        <v>35.631300000000003</v>
      </c>
      <c r="I151" s="93">
        <f t="array" ref="I151">IFERROR(INDEX('Detail inputs'!$B$3:$L$304,MATCH($B151&amp;$C151&amp;$E151&amp;$G151&amp;I$5&amp;$T151,'Detail inputs'!$B$3:$B$304&amp;'Detail inputs'!$D$3:$D$304&amp;'Detail inputs'!$F$3:$F$304&amp;'Detail inputs'!$G$3:$G$304&amp;'Detail inputs'!$H$3:$H$304&amp;'Detail inputs'!$L$3:$L$304,0),MATCH(I$4,'Detail inputs'!$B$3:$L$3,0)),0)</f>
        <v>0</v>
      </c>
      <c r="J151" s="93">
        <f>IF(AND(H151="",I151=""),"",H151+I151*F151/1000)</f>
        <v>35.631300000000003</v>
      </c>
      <c r="K151" s="44">
        <f>IFERROR(J151/J152,"")</f>
        <v>5.9261515033630474E-2</v>
      </c>
      <c r="L151" s="44"/>
      <c r="M151" s="49">
        <f t="array" ref="M151">IFERROR(IF($S151="Indicative tariff",$Q151/$J151-1,IF($S151="Zero",0,IF($S151="NA","",IF($S151="Draft x-factor",INDEX('Detail inputs'!$B$3:$P$304,MATCH($B151&amp;$G151&amp;$S151,'Detail inputs'!$B$3:$B$304&amp;'Detail inputs'!$G$3:$G$304&amp;'Detail inputs'!$H$3:$H$304,0),MATCH(M$4,'Detail inputs'!$B$3:$P$3,0)))))),"")</f>
        <v>9.270641262036472E-2</v>
      </c>
      <c r="N151" s="44"/>
      <c r="O151" s="93">
        <f t="array" ref="O151">IFERROR(IF(OR($S151="NA",$S151="Draft x-factor"),"",IF($S151="Zero",H151,INDEX('Detail inputs'!$B$3:$L$304,MATCH($B151&amp;$C151&amp;$E151&amp;$G151&amp;O$5&amp;$T151,'Detail inputs'!$B$3:$B$304&amp;'Detail inputs'!$D$3:$D$304&amp;'Detail inputs'!$F$3:$F$304&amp;'Detail inputs'!$G$3:$G$304&amp;'Detail inputs'!$H$3:$H$304&amp;'Detail inputs'!$L$3:$L$304,0),MATCH(O$4,'Detail inputs'!$B$3:$L$3,0)))),0)</f>
        <v>38.934550000000002</v>
      </c>
      <c r="P151" s="93">
        <f t="array" ref="P151">IFERROR(IF(OR($S151="NA",$S151="Draft x-factor"),"",IF($S151="Zero",I151,INDEX('Detail inputs'!$B$3:$L$304,MATCH($B151&amp;$C151&amp;$E151&amp;$G151&amp;P$5&amp;$T151,'Detail inputs'!$B$3:$B$304&amp;'Detail inputs'!$D$3:$D$304&amp;'Detail inputs'!$F$3:$F$304&amp;'Detail inputs'!$G$3:$G$304&amp;'Detail inputs'!$H$3:$H$304&amp;'Detail inputs'!$L$3:$L$304,0),MATCH(P$4,'Detail inputs'!$B$3:$L$3,0)))),0)</f>
        <v>0</v>
      </c>
      <c r="Q151" s="93">
        <f>IF(AND(O151="",P151=""),"",O151+P151*F151/1000)</f>
        <v>38.934550000000002</v>
      </c>
      <c r="R151" s="44">
        <f>IFERROR(Q151/Q152,"")</f>
        <v>7.0972483740259398E-2</v>
      </c>
      <c r="S151" s="21" t="str">
        <f t="array" ref="S151">INDEX('Key inputs'!$B$35:$J$41,MATCH($B151,'Key inputs'!$B$35:$B$41,0),MATCH($G151&amp;S$5,'Key inputs'!$B$35:$J$35&amp;'Key inputs'!$B$36:$J$36,0))</f>
        <v>Indicative tariff</v>
      </c>
      <c r="T151" s="21" t="s">
        <v>58</v>
      </c>
    </row>
    <row r="152" spans="2:20" s="81" customFormat="1" x14ac:dyDescent="0.3">
      <c r="B152" s="81" t="str">
        <f t="shared" si="43"/>
        <v>Energex</v>
      </c>
      <c r="C152" s="81" t="str">
        <f t="shared" si="43"/>
        <v>Residential</v>
      </c>
      <c r="D152" s="81" t="str">
        <f t="shared" si="43"/>
        <v>without CL</v>
      </c>
      <c r="E152" s="81" t="s">
        <v>24</v>
      </c>
      <c r="F152" s="41">
        <f t="array" ref="F152">IFERROR(INDEX(Usage!$B$5:$T$18,MATCH($B152,Usage!$B$5:$B$18,0),MATCH($C152&amp;$D152&amp;$E152&amp;$T152,Usage!$B$5:$W$5&amp;Usage!$B$6:$W$6&amp;Usage!$B$7:$W$7&amp;Usage!$B$13:$W$13,0)),0)</f>
        <v>4600</v>
      </c>
      <c r="G152" s="81" t="s">
        <v>58</v>
      </c>
      <c r="H152" s="99"/>
      <c r="I152" s="99"/>
      <c r="J152" s="99">
        <f>SUM(J150:J151)</f>
        <v>601.25530000000003</v>
      </c>
      <c r="K152" s="91"/>
      <c r="L152" s="92"/>
      <c r="M152" s="49">
        <f>IF(J152=0,"",IF(OR($S151="Draft x-factor",$S151="Zero"),SUMPRODUCT(K150:K151,M150:M151),Q152/J152-1))</f>
        <v>-8.7597980425286992E-2</v>
      </c>
      <c r="N152" s="92"/>
      <c r="O152" s="99"/>
      <c r="P152" s="99"/>
      <c r="Q152" s="99">
        <f>IF(AND(Q150="",Q151=""),J152*(1+M152),SUM(Q150:Q151))</f>
        <v>548.58654999999999</v>
      </c>
      <c r="R152" s="91"/>
      <c r="S152" s="92"/>
      <c r="T152" s="21" t="s">
        <v>58</v>
      </c>
    </row>
    <row r="153" spans="2:20" x14ac:dyDescent="0.3">
      <c r="B153" s="81" t="str">
        <f t="shared" si="43"/>
        <v>Energex</v>
      </c>
      <c r="C153" s="81" t="str">
        <f t="shared" si="43"/>
        <v>Residential</v>
      </c>
      <c r="D153" s="81" t="str">
        <f t="shared" si="43"/>
        <v>without CL</v>
      </c>
      <c r="E153" s="81"/>
      <c r="F153" s="82"/>
      <c r="G153" s="81" t="s">
        <v>41</v>
      </c>
      <c r="H153" s="99"/>
      <c r="I153" s="99"/>
      <c r="J153" s="99">
        <f>J152*GST</f>
        <v>60.125530000000005</v>
      </c>
      <c r="K153" s="91"/>
      <c r="L153" s="92"/>
      <c r="M153" s="83"/>
      <c r="N153" s="92"/>
      <c r="O153" s="99"/>
      <c r="P153" s="99"/>
      <c r="Q153" s="99">
        <f>Q152*GST</f>
        <v>54.858654999999999</v>
      </c>
      <c r="R153" s="91"/>
      <c r="S153" s="27"/>
      <c r="T153" s="27"/>
    </row>
    <row r="154" spans="2:20" x14ac:dyDescent="0.3">
      <c r="B154" s="81" t="str">
        <f t="shared" si="43"/>
        <v>Energex</v>
      </c>
      <c r="C154" s="81" t="str">
        <f t="shared" si="43"/>
        <v>Residential</v>
      </c>
      <c r="D154" s="81" t="str">
        <f t="shared" si="43"/>
        <v>without CL</v>
      </c>
      <c r="E154" s="81"/>
      <c r="F154" s="82"/>
      <c r="G154" s="5" t="s">
        <v>91</v>
      </c>
      <c r="H154" s="98"/>
      <c r="I154" s="98"/>
      <c r="J154" s="98">
        <f>SUM(J152:J153)</f>
        <v>661.38083000000006</v>
      </c>
      <c r="K154" s="79"/>
      <c r="L154" s="27"/>
      <c r="M154" s="80">
        <f>IF(OR(J154=0,Q154=""),"",Q154/J154-1)</f>
        <v>-8.7597980425286992E-2</v>
      </c>
      <c r="N154" s="27"/>
      <c r="O154" s="98"/>
      <c r="P154" s="98"/>
      <c r="Q154" s="98">
        <f>SUM(Q152:Q153)</f>
        <v>603.44520499999999</v>
      </c>
      <c r="R154" s="79"/>
      <c r="S154" s="27"/>
      <c r="T154" s="27"/>
    </row>
    <row r="155" spans="2:20" x14ac:dyDescent="0.3">
      <c r="F155" s="41"/>
      <c r="K155" s="44"/>
      <c r="M155" s="49"/>
      <c r="R155" s="44"/>
    </row>
    <row r="156" spans="2:20" x14ac:dyDescent="0.3">
      <c r="B156" s="5" t="s">
        <v>0</v>
      </c>
      <c r="C156" s="5" t="s">
        <v>6</v>
      </c>
      <c r="D156" s="5" t="s">
        <v>159</v>
      </c>
      <c r="E156" s="81"/>
      <c r="F156" s="82"/>
      <c r="K156" s="44"/>
      <c r="M156" s="49"/>
      <c r="R156" s="44"/>
    </row>
    <row r="157" spans="2:20" x14ac:dyDescent="0.3">
      <c r="B157" s="3" t="str">
        <f t="shared" ref="B157:D160" si="44">B156</f>
        <v>Energex</v>
      </c>
      <c r="C157" s="3" t="str">
        <f t="shared" si="44"/>
        <v>Residential</v>
      </c>
      <c r="D157" s="3" t="str">
        <f t="shared" si="44"/>
        <v>with CL</v>
      </c>
      <c r="E157" s="3" t="s">
        <v>24</v>
      </c>
      <c r="F157" s="41">
        <f t="array" ref="F157">IFERROR(INDEX(Usage!$B$5:$T$18,MATCH($B157,Usage!$B$5:$B$18,0),MATCH($C157&amp;$D157&amp;$E157&amp;$T157,Usage!$B$5:$W$5&amp;Usage!$B$6:$W$6&amp;Usage!$B$7:$W$7&amp;Usage!$B$13:$W$13,0)),0)</f>
        <v>4400</v>
      </c>
      <c r="G157" s="23" t="s">
        <v>54</v>
      </c>
      <c r="H157" s="93">
        <f t="array" ref="H157">IFERROR(INDEX('Detail inputs'!$B$3:$L$304,MATCH($B157&amp;$C157&amp;$E157&amp;$G157&amp;H$5&amp;$T157,'Detail inputs'!$B$3:$B$304&amp;'Detail inputs'!$D$3:$D$304&amp;'Detail inputs'!$F$3:$F$304&amp;'Detail inputs'!$G$3:$G$304&amp;'Detail inputs'!$H$3:$H$304&amp;'Detail inputs'!$L$3:$L$304,0),MATCH(H$4,'Detail inputs'!$B$3:$L$3,0)),0)</f>
        <v>153.66499999999999</v>
      </c>
      <c r="I157" s="93">
        <f t="array" ref="I157">IFERROR(INDEX('Detail inputs'!$B$3:$L$304,MATCH($B157&amp;$C157&amp;$E157&amp;$G157&amp;I$5&amp;$T157,'Detail inputs'!$B$3:$B$304&amp;'Detail inputs'!$D$3:$D$304&amp;'Detail inputs'!$F$3:$F$304&amp;'Detail inputs'!$G$3:$G$304&amp;'Detail inputs'!$H$3:$H$304&amp;'Detail inputs'!$L$3:$L$304,0),MATCH(I$4,'Detail inputs'!$B$3:$L$3,0)),0)</f>
        <v>69.989999999999995</v>
      </c>
      <c r="J157" s="93">
        <f>IF(AND(H157="",I157=""),"",H157+I157*F157/1000)</f>
        <v>461.62099999999998</v>
      </c>
      <c r="K157" s="44">
        <f>IFERROR(J157/J160,"")</f>
        <v>0.84118292345146295</v>
      </c>
      <c r="L157" s="44"/>
      <c r="M157" s="49">
        <f t="array" ref="M157">IFERROR(IF($S157="Indicative tariff",$Q157/$J157-1,IF($S157="Zero",0,IF($S157="NA","",IF($S157="Draft x-factor",INDEX('Detail inputs'!$B$3:$P$304,MATCH($B157&amp;$G157&amp;$S157,'Detail inputs'!$B$3:$B$304&amp;'Detail inputs'!$G$3:$G$304&amp;'Detail inputs'!$H$3:$H$304,0),MATCH(M$4,'Detail inputs'!$B$3:$P$3,0)))))),"")</f>
        <v>-0.11857779433777915</v>
      </c>
      <c r="N157" s="44"/>
      <c r="O157" s="93">
        <f t="array" ref="O157">IFERROR(IF(OR($S157="NA",$S157="Draft x-factor",$S157="Zero"),"",INDEX('Detail inputs'!$B$3:$L$304,MATCH($B157&amp;$C157&amp;$E157&amp;$G157&amp;O$5&amp;$T157,'Detail inputs'!$B$3:$B$304&amp;'Detail inputs'!$D$3:$D$304&amp;'Detail inputs'!$F$3:$F$304&amp;'Detail inputs'!$G$3:$G$304&amp;'Detail inputs'!$H$3:$H$304&amp;'Detail inputs'!$L$3:$L$304,0),MATCH(O$4,'Detail inputs'!$B$3:$L$3,0))),0)</f>
        <v>157.315</v>
      </c>
      <c r="P157" s="93">
        <f t="array" ref="P157">IFERROR(IF(OR($S157="NA",$S157="Draft x-factor",$S157="Zero"),"",INDEX('Detail inputs'!$B$3:$L$304,MATCH($B157&amp;$C157&amp;$E157&amp;$G157&amp;P$5&amp;$T157,'Detail inputs'!$B$3:$B$304&amp;'Detail inputs'!$D$3:$D$304&amp;'Detail inputs'!$F$3:$F$304&amp;'Detail inputs'!$G$3:$G$304&amp;'Detail inputs'!$H$3:$H$304&amp;'Detail inputs'!$L$3:$L$304,0),MATCH(P$4,'Detail inputs'!$B$3:$L$3,0))),0)</f>
        <v>56.72</v>
      </c>
      <c r="Q157" s="93">
        <f>IF(AND(O157="",P157=""),"",O157+P157*F157/1000)</f>
        <v>406.88300000000004</v>
      </c>
      <c r="R157" s="44">
        <f>IFERROR(Q157/Q160,"")</f>
        <v>0.82127574541608472</v>
      </c>
      <c r="S157" s="21" t="str">
        <f t="array" ref="S157">INDEX('Key inputs'!$B$35:$J$41,MATCH($B157,'Key inputs'!$B$35:$B$41,0),MATCH($G157&amp;S$5,'Key inputs'!$B$35:$J$35&amp;'Key inputs'!$B$36:$J$36,0))</f>
        <v>Indicative tariff</v>
      </c>
      <c r="T157" s="21" t="s">
        <v>58</v>
      </c>
    </row>
    <row r="158" spans="2:20" x14ac:dyDescent="0.3">
      <c r="B158" s="3" t="str">
        <f t="shared" si="44"/>
        <v>Energex</v>
      </c>
      <c r="C158" s="3" t="str">
        <f t="shared" si="44"/>
        <v>Residential</v>
      </c>
      <c r="D158" s="3" t="str">
        <f t="shared" si="44"/>
        <v>with CL</v>
      </c>
      <c r="E158" s="3" t="s">
        <v>24</v>
      </c>
      <c r="F158" s="41">
        <f t="array" ref="F158">IFERROR(INDEX(Usage!$B$5:$T$18,MATCH($B158,Usage!$B$5:$B$18,0),MATCH($C158&amp;$D158&amp;$E158&amp;$T158,Usage!$B$5:$W$5&amp;Usage!$B$6:$W$6&amp;Usage!$B$7:$W$7&amp;Usage!$B$13:$W$13,0)),0)</f>
        <v>4400</v>
      </c>
      <c r="G158" s="23" t="s">
        <v>55</v>
      </c>
      <c r="H158" s="93">
        <f t="array" ref="H158">IFERROR(INDEX('Detail inputs'!$B$3:$L$304,MATCH($B158&amp;$C158&amp;$E158&amp;$G158&amp;H$5&amp;$T158,'Detail inputs'!$B$3:$B$304&amp;'Detail inputs'!$D$3:$D$304&amp;'Detail inputs'!$F$3:$F$304&amp;'Detail inputs'!$G$3:$G$304&amp;'Detail inputs'!$H$3:$H$304&amp;'Detail inputs'!$L$3:$L$304,0),MATCH(H$4,'Detail inputs'!$B$3:$L$3,0)),0)</f>
        <v>24.454999999999998</v>
      </c>
      <c r="I158" s="93">
        <f t="array" ref="I158">IFERROR(INDEX('Detail inputs'!$B$3:$L$304,MATCH($B158&amp;$C158&amp;$E158&amp;$G158&amp;I$5&amp;$T158,'Detail inputs'!$B$3:$B$304&amp;'Detail inputs'!$D$3:$D$304&amp;'Detail inputs'!$F$3:$F$304&amp;'Detail inputs'!$G$3:$G$304&amp;'Detail inputs'!$H$3:$H$304&amp;'Detail inputs'!$L$3:$L$304,0),MATCH(I$4,'Detail inputs'!$B$3:$L$3,0)),0)</f>
        <v>14.25</v>
      </c>
      <c r="J158" s="93">
        <f>IF(AND(H158="",I158=""),"",H158+I158*F158/1000)</f>
        <v>87.155000000000001</v>
      </c>
      <c r="K158" s="44">
        <f>IFERROR(J158/J160,"")</f>
        <v>0.15881707654853713</v>
      </c>
      <c r="L158" s="44"/>
      <c r="M158" s="49">
        <f t="array" ref="M158">IFERROR(IF($S158="Indicative tariff",$Q158/$J158-1,IF($S158="Zero",0,IF($S158="NA","",IF($S158="Draft x-factor",INDEX('Detail inputs'!$B$3:$P$304,MATCH($B158&amp;$G158&amp;$S158,'Detail inputs'!$B$3:$B$304&amp;'Detail inputs'!$G$3:$G$304&amp;'Detail inputs'!$H$3:$H$304,0),MATCH(M$4,'Detail inputs'!$B$3:$P$3,0)))))),"")</f>
        <v>1.594859732660181E-2</v>
      </c>
      <c r="N158" s="44"/>
      <c r="O158" s="93">
        <f t="array" ref="O158">IFERROR(IF(OR($S158="NA",$S158="Draft x-factor",$S158="Zero"),"",INDEX('Detail inputs'!$B$3:$L$304,MATCH($B158&amp;$C158&amp;$E158&amp;$G158&amp;O$5&amp;$T158,'Detail inputs'!$B$3:$B$304&amp;'Detail inputs'!$D$3:$D$304&amp;'Detail inputs'!$F$3:$F$304&amp;'Detail inputs'!$G$3:$G$304&amp;'Detail inputs'!$H$3:$H$304&amp;'Detail inputs'!$L$3:$L$304,0),MATCH(O$4,'Detail inputs'!$B$3:$L$3,0))),0)</f>
        <v>25.185000000000002</v>
      </c>
      <c r="P158" s="93">
        <f t="array" ref="P158">IFERROR(IF(OR($S158="NA",$S158="Draft x-factor",$S158="Zero"),"",INDEX('Detail inputs'!$B$3:$L$304,MATCH($B158&amp;$C158&amp;$E158&amp;$G158&amp;P$5&amp;$T158,'Detail inputs'!$B$3:$B$304&amp;'Detail inputs'!$D$3:$D$304&amp;'Detail inputs'!$F$3:$F$304&amp;'Detail inputs'!$G$3:$G$304&amp;'Detail inputs'!$H$3:$H$304&amp;'Detail inputs'!$L$3:$L$304,0),MATCH(P$4,'Detail inputs'!$B$3:$L$3,0))),0)</f>
        <v>14.399999999999999</v>
      </c>
      <c r="Q158" s="93">
        <f>IF(AND(O158="",P158=""),"",O158+P158*F158/1000)</f>
        <v>88.544999999999987</v>
      </c>
      <c r="R158" s="44">
        <f>IFERROR(Q158/Q160,"")</f>
        <v>0.1787242545839153</v>
      </c>
      <c r="S158" s="21" t="str">
        <f t="array" ref="S158">INDEX('Key inputs'!$B$35:$J$41,MATCH($B158,'Key inputs'!$B$35:$B$41,0),MATCH($G158&amp;S$5,'Key inputs'!$B$35:$J$35&amp;'Key inputs'!$B$36:$J$36,0))</f>
        <v>Indicative tariff</v>
      </c>
      <c r="T158" s="21" t="s">
        <v>58</v>
      </c>
    </row>
    <row r="159" spans="2:20" x14ac:dyDescent="0.3">
      <c r="B159" s="3" t="str">
        <f t="shared" si="44"/>
        <v>Energex</v>
      </c>
      <c r="C159" s="3" t="str">
        <f t="shared" si="44"/>
        <v>Residential</v>
      </c>
      <c r="D159" s="3" t="str">
        <f t="shared" si="44"/>
        <v>with CL</v>
      </c>
      <c r="E159" s="3" t="s">
        <v>24</v>
      </c>
      <c r="F159" s="41">
        <f t="array" ref="F159">IFERROR(INDEX(Usage!$B$5:$T$18,MATCH($B159,Usage!$B$5:$B$18,0),MATCH($C159&amp;$D159&amp;$E159&amp;$T159,Usage!$B$5:$W$5&amp;Usage!$B$6:$W$6&amp;Usage!$B$7:$W$7&amp;Usage!$B$13:$W$13,0)),0)</f>
        <v>4400</v>
      </c>
      <c r="G159" s="23" t="s">
        <v>86</v>
      </c>
      <c r="H159" s="93">
        <f t="array" ref="H159">IFERROR(INDEX('Detail inputs'!$B$3:$L$304,MATCH($B159&amp;$C159&amp;$E159&amp;$G159&amp;H$5&amp;$T159,'Detail inputs'!$B$3:$B$304&amp;'Detail inputs'!$D$3:$D$304&amp;'Detail inputs'!$F$3:$F$304&amp;'Detail inputs'!$G$3:$G$304&amp;'Detail inputs'!$H$3:$H$304&amp;'Detail inputs'!$L$3:$L$304,0),MATCH(H$4,'Detail inputs'!$B$3:$L$3,0)),0)</f>
        <v>0</v>
      </c>
      <c r="I159" s="93">
        <f t="array" ref="I159">IFERROR(INDEX('Detail inputs'!$B$3:$L$304,MATCH($B159&amp;$C159&amp;$E159&amp;$G159&amp;I$5&amp;$T159,'Detail inputs'!$B$3:$B$304&amp;'Detail inputs'!$D$3:$D$304&amp;'Detail inputs'!$F$3:$F$304&amp;'Detail inputs'!$G$3:$G$304&amp;'Detail inputs'!$H$3:$H$304&amp;'Detail inputs'!$L$3:$L$304,0),MATCH(I$4,'Detail inputs'!$B$3:$L$3,0)),0)</f>
        <v>0</v>
      </c>
      <c r="J159" s="93">
        <f>IF(AND(H159="",I159=""),"",H159+I159*F159/1000)</f>
        <v>0</v>
      </c>
      <c r="K159" s="44">
        <f>IFERROR(J159/J160,"")</f>
        <v>0</v>
      </c>
      <c r="L159" s="44"/>
      <c r="M159" s="49" t="str">
        <f t="array" ref="M159">IFERROR(IF($S159="Indicative tariff",$Q159/$J159-1,IF($S159="Zero",0,IF($S159="NA","",IF($S159="Draft x-factor",INDEX('Detail inputs'!$B$3:$P$304,MATCH($B159&amp;$G159&amp;$S159,'Detail inputs'!$B$3:$B$304&amp;'Detail inputs'!$G$3:$G$304&amp;'Detail inputs'!$H$3:$H$304,0),MATCH(M$4,'Detail inputs'!$B$3:$P$3,0)))))),"")</f>
        <v/>
      </c>
      <c r="N159" s="44"/>
      <c r="O159" s="93">
        <f t="array" ref="O159">IFERROR(IF(OR($S159="NA",$S159="Draft x-factor",$S159="Zero"),"",INDEX('Detail inputs'!$B$3:$L$304,MATCH($B159&amp;$C159&amp;$E159&amp;$G159&amp;O$5&amp;$T159,'Detail inputs'!$B$3:$B$304&amp;'Detail inputs'!$D$3:$D$304&amp;'Detail inputs'!$F$3:$F$304&amp;'Detail inputs'!$G$3:$G$304&amp;'Detail inputs'!$H$3:$H$304&amp;'Detail inputs'!$L$3:$L$304,0),MATCH(O$4,'Detail inputs'!$B$3:$L$3,0))),0)</f>
        <v>0</v>
      </c>
      <c r="P159" s="93">
        <f t="array" ref="P159">IFERROR(IF(OR($S159="NA",$S159="Draft x-factor",$S159="Zero"),"",INDEX('Detail inputs'!$B$3:$L$304,MATCH($B159&amp;$C159&amp;$E159&amp;$G159&amp;P$5&amp;$T159,'Detail inputs'!$B$3:$B$304&amp;'Detail inputs'!$D$3:$D$304&amp;'Detail inputs'!$F$3:$F$304&amp;'Detail inputs'!$G$3:$G$304&amp;'Detail inputs'!$H$3:$H$304&amp;'Detail inputs'!$L$3:$L$304,0),MATCH(P$4,'Detail inputs'!$B$3:$L$3,0))),0)</f>
        <v>0</v>
      </c>
      <c r="Q159" s="93">
        <f>IF(AND(O159="",P159=""),"",O159+P159*F159/1000)</f>
        <v>0</v>
      </c>
      <c r="R159" s="44">
        <f>IFERROR(Q159/Q160,"")</f>
        <v>0</v>
      </c>
      <c r="S159" s="21" t="str">
        <f t="array" ref="S159">INDEX('Key inputs'!$B$35:$J$41,MATCH($B159,'Key inputs'!$B$35:$B$41,0),MATCH($G159&amp;S$5,'Key inputs'!$B$35:$J$35&amp;'Key inputs'!$B$36:$J$36,0))</f>
        <v>Indicative tariff</v>
      </c>
      <c r="T159" s="21" t="s">
        <v>58</v>
      </c>
    </row>
    <row r="160" spans="2:20" x14ac:dyDescent="0.3">
      <c r="B160" s="3" t="str">
        <f t="shared" si="44"/>
        <v>Energex</v>
      </c>
      <c r="C160" s="3" t="str">
        <f t="shared" si="44"/>
        <v>Residential</v>
      </c>
      <c r="D160" s="3" t="str">
        <f t="shared" si="44"/>
        <v>with CL</v>
      </c>
      <c r="E160" s="3" t="s">
        <v>24</v>
      </c>
      <c r="F160" s="41">
        <f t="array" ref="F160">IFERROR(INDEX(Usage!$B$5:$T$18,MATCH($B160,Usage!$B$5:$B$18,0),MATCH($C160&amp;$D160&amp;$E160&amp;$T160,Usage!$B$5:$W$5&amp;Usage!$B$6:$W$6&amp;Usage!$B$7:$W$7&amp;Usage!$B$13:$W$13,0)),0)</f>
        <v>4400</v>
      </c>
      <c r="G160" s="23" t="s">
        <v>65</v>
      </c>
      <c r="J160" s="93">
        <f>SUM(J157:J159)</f>
        <v>548.77599999999995</v>
      </c>
      <c r="K160" s="44">
        <f>IFERROR(J160/J162,"")</f>
        <v>0.93903002238336175</v>
      </c>
      <c r="L160" s="44"/>
      <c r="M160" s="49">
        <f>IF(J160=0,"",IF(Q160="",SUMPRODUCT(K157:K158,M157:M158),Q160/J160-1))</f>
        <v>-9.7212706095018642E-2</v>
      </c>
      <c r="N160" s="44"/>
      <c r="O160" s="93" t="str">
        <f t="array" ref="O160">IFERROR(IF(OR($S160="NA",$S160="Draft x-factor",$S160="Sum"),"",INDEX('Detail inputs'!$B$3:$L$304,MATCH($B160&amp;$C160&amp;$E160&amp;$G160&amp;O$5&amp;$T160,'Detail inputs'!$B$3:$B$304&amp;'Detail inputs'!$D$3:$D$304&amp;'Detail inputs'!$F$3:$F$304&amp;'Detail inputs'!$G$3:$G$304&amp;'Detail inputs'!$H$3:$H$304&amp;'Detail inputs'!$L$3:$L$304,0),MATCH(O$4,'Detail inputs'!$B$3:$L$3,0))),0)</f>
        <v/>
      </c>
      <c r="P160" s="93" t="str">
        <f t="array" ref="P160">IFERROR(IF(OR($S160="NA",$S160="Draft x-factor",$S160="Sum"),"",INDEX('Detail inputs'!$B$3:$L$304,MATCH($B160&amp;$C160&amp;$E160&amp;$G160&amp;P$5&amp;$T160,'Detail inputs'!$B$3:$B$304&amp;'Detail inputs'!$D$3:$D$304&amp;'Detail inputs'!$F$3:$F$304&amp;'Detail inputs'!$G$3:$G$304&amp;'Detail inputs'!$H$3:$H$304&amp;'Detail inputs'!$L$3:$L$304,0),MATCH(P$4,'Detail inputs'!$B$3:$L$3,0))),0)</f>
        <v/>
      </c>
      <c r="Q160" s="93">
        <f>IF($S160="NA","",IF($S160="Indicative tariff",O160+P160*F160/1000,IF($S160="Sum",SUM(Q157:Q159))))</f>
        <v>495.428</v>
      </c>
      <c r="R160" s="44">
        <f>IFERROR(Q160/Q162,"")</f>
        <v>0.92713832584263245</v>
      </c>
      <c r="S160" s="21" t="str">
        <f t="array" ref="S160">INDEX('Key inputs'!$B$35:$J$41,MATCH($B160,'Key inputs'!$B$35:$B$41,0),MATCH($G160&amp;S$5,'Key inputs'!$B$35:$J$35&amp;'Key inputs'!$B$36:$J$36,0))</f>
        <v>Sum</v>
      </c>
      <c r="T160" s="21" t="s">
        <v>58</v>
      </c>
    </row>
    <row r="161" spans="2:20" x14ac:dyDescent="0.3">
      <c r="B161" s="3" t="str">
        <f t="shared" ref="B161:B175" si="45">B160</f>
        <v>Energex</v>
      </c>
      <c r="C161" s="3" t="str">
        <f t="shared" ref="C161:C175" si="46">C160</f>
        <v>Residential</v>
      </c>
      <c r="D161" s="3" t="str">
        <f t="shared" ref="D161:D175" si="47">D160</f>
        <v>with CL</v>
      </c>
      <c r="E161" s="3" t="s">
        <v>24</v>
      </c>
      <c r="F161" s="41">
        <f t="array" ref="F161">IFERROR(INDEX(Usage!$B$5:$T$18,MATCH($B161,Usage!$B$5:$B$18,0),MATCH($C161&amp;$D161&amp;$E161&amp;$T161,Usage!$B$5:$W$5&amp;Usage!$B$6:$W$6&amp;Usage!$B$7:$W$7&amp;Usage!$B$13:$W$13,0)),0)</f>
        <v>4400</v>
      </c>
      <c r="G161" s="23" t="s">
        <v>67</v>
      </c>
      <c r="H161" s="93">
        <f t="array" ref="H161">IFERROR(INDEX('Detail inputs'!$B$3:$L$304,MATCH($B161&amp;$C161&amp;$E161&amp;$G161&amp;H$5&amp;$T161,'Detail inputs'!$B$3:$B$304&amp;'Detail inputs'!$D$3:$D$304&amp;'Detail inputs'!$F$3:$F$304&amp;'Detail inputs'!$G$3:$G$304&amp;'Detail inputs'!$H$3:$H$304&amp;'Detail inputs'!$L$3:$L$304,0),MATCH(H$4,'Detail inputs'!$B$3:$L$3,0)),0)</f>
        <v>35.631300000000003</v>
      </c>
      <c r="I161" s="93">
        <f t="array" ref="I161">IFERROR(INDEX('Detail inputs'!$B$3:$L$304,MATCH($B161&amp;$C161&amp;$E161&amp;$G161&amp;I$5&amp;$T161,'Detail inputs'!$B$3:$B$304&amp;'Detail inputs'!$D$3:$D$304&amp;'Detail inputs'!$F$3:$F$304&amp;'Detail inputs'!$G$3:$G$304&amp;'Detail inputs'!$H$3:$H$304&amp;'Detail inputs'!$L$3:$L$304,0),MATCH(I$4,'Detail inputs'!$B$3:$L$3,0)),0)</f>
        <v>0</v>
      </c>
      <c r="J161" s="93">
        <f>IF(AND(H161="",I161=""),"",H161+I161*F161/1000)</f>
        <v>35.631300000000003</v>
      </c>
      <c r="K161" s="44">
        <f>IFERROR(J161/J162,"")</f>
        <v>6.096997761663827E-2</v>
      </c>
      <c r="L161" s="44"/>
      <c r="M161" s="49">
        <f t="array" ref="M161">IFERROR(IF($S161="Indicative tariff",$Q161/$J161-1,IF($S161="Zero",0,IF($S161="NA","",IF($S161="Draft x-factor",INDEX('Detail inputs'!$B$3:$P$304,MATCH($B161&amp;$G161&amp;$S161,'Detail inputs'!$B$3:$B$304&amp;'Detail inputs'!$G$3:$G$304&amp;'Detail inputs'!$H$3:$H$304,0),MATCH(M$4,'Detail inputs'!$B$3:$P$3,0)))))),"")</f>
        <v>9.270641262036472E-2</v>
      </c>
      <c r="N161" s="44"/>
      <c r="O161" s="93">
        <f t="array" ref="O161">IFERROR(IF(OR($S161="NA",$S161="Draft x-factor"),"",IF($S161="Zero",H161,INDEX('Detail inputs'!$B$3:$L$304,MATCH($B161&amp;$C161&amp;$E161&amp;$G161&amp;O$5&amp;$T161,'Detail inputs'!$B$3:$B$304&amp;'Detail inputs'!$D$3:$D$304&amp;'Detail inputs'!$F$3:$F$304&amp;'Detail inputs'!$G$3:$G$304&amp;'Detail inputs'!$H$3:$H$304&amp;'Detail inputs'!$L$3:$L$304,0),MATCH(O$4,'Detail inputs'!$B$3:$L$3,0)))),0)</f>
        <v>38.934550000000002</v>
      </c>
      <c r="P161" s="93">
        <f t="array" ref="P161">IFERROR(IF(OR($S161="NA",$S161="Draft x-factor"),"",IF($S161="Zero",I161,INDEX('Detail inputs'!$B$3:$L$304,MATCH($B161&amp;$C161&amp;$E161&amp;$G161&amp;P$5&amp;$T161,'Detail inputs'!$B$3:$B$304&amp;'Detail inputs'!$D$3:$D$304&amp;'Detail inputs'!$F$3:$F$304&amp;'Detail inputs'!$G$3:$G$304&amp;'Detail inputs'!$H$3:$H$304&amp;'Detail inputs'!$L$3:$L$304,0),MATCH(P$4,'Detail inputs'!$B$3:$L$3,0)))),0)</f>
        <v>0</v>
      </c>
      <c r="Q161" s="93">
        <f>IF(AND(O161="",P161=""),"",O161+P161*F161/1000)</f>
        <v>38.934550000000002</v>
      </c>
      <c r="R161" s="44">
        <f>IFERROR(Q161/Q162,"")</f>
        <v>7.2861674157367495E-2</v>
      </c>
      <c r="S161" s="21" t="str">
        <f t="array" ref="S161">INDEX('Key inputs'!$B$35:$J$41,MATCH($B161,'Key inputs'!$B$35:$B$41,0),MATCH($G161&amp;S$5,'Key inputs'!$B$35:$J$35&amp;'Key inputs'!$B$36:$J$36,0))</f>
        <v>Indicative tariff</v>
      </c>
      <c r="T161" s="21" t="s">
        <v>58</v>
      </c>
    </row>
    <row r="162" spans="2:20" x14ac:dyDescent="0.3">
      <c r="B162" s="3" t="str">
        <f t="shared" si="45"/>
        <v>Energex</v>
      </c>
      <c r="C162" s="3" t="str">
        <f t="shared" si="46"/>
        <v>Residential</v>
      </c>
      <c r="D162" s="3" t="str">
        <f t="shared" si="47"/>
        <v>with CL</v>
      </c>
      <c r="E162" s="3" t="s">
        <v>24</v>
      </c>
      <c r="F162" s="41">
        <f t="array" ref="F162">IFERROR(INDEX(Usage!$B$5:$T$18,MATCH($B162,Usage!$B$5:$B$18,0),MATCH($C162&amp;$D162&amp;$E162&amp;$T162,Usage!$B$5:$W$5&amp;Usage!$B$6:$W$6&amp;Usage!$B$7:$W$7&amp;Usage!$B$13:$W$13,0)),0)</f>
        <v>4400</v>
      </c>
      <c r="G162" s="3" t="s">
        <v>58</v>
      </c>
      <c r="J162" s="99">
        <f>SUM(J160:J161)</f>
        <v>584.40729999999996</v>
      </c>
      <c r="K162" s="44"/>
      <c r="M162" s="49">
        <f>IF(J162=0,"",IF(OR($S161="Draft x-factor",$S161="Zero"),SUMPRODUCT(K160:K161,M160:M161),Q162/J162-1))</f>
        <v>-8.5633341677969987E-2</v>
      </c>
      <c r="N162" s="92"/>
      <c r="O162" s="99"/>
      <c r="P162" s="99"/>
      <c r="Q162" s="99">
        <f>IF(AND(Q160="",Q161=""),J162*(1+M162),SUM(Q160:Q161))</f>
        <v>534.36255000000006</v>
      </c>
      <c r="R162" s="44"/>
      <c r="S162" s="92"/>
      <c r="T162" s="21" t="s">
        <v>58</v>
      </c>
    </row>
    <row r="163" spans="2:20" x14ac:dyDescent="0.3">
      <c r="B163" s="3" t="str">
        <f t="shared" si="45"/>
        <v>Energex</v>
      </c>
      <c r="C163" s="3" t="str">
        <f t="shared" si="46"/>
        <v>Residential</v>
      </c>
      <c r="D163" s="3" t="str">
        <f t="shared" si="47"/>
        <v>with CL</v>
      </c>
      <c r="E163" s="3" t="s">
        <v>15</v>
      </c>
      <c r="F163" s="41">
        <f t="array" ref="F163">IFERROR(INDEX(Usage!$B$5:$T$18,MATCH($B163,Usage!$B$5:$B$18,0),MATCH($C163&amp;$D163&amp;$E163,Usage!$B$5:$W$5&amp;Usage!$B$6:$W$6&amp;Usage!$B$7:$W$7,0)),0)</f>
        <v>551</v>
      </c>
      <c r="G163" s="23" t="s">
        <v>54</v>
      </c>
      <c r="H163" s="93">
        <f t="array" ref="H163">IFERROR(INDEX('Detail inputs'!$B$3:$L$304,MATCH($B163&amp;$C163&amp;$E163&amp;$G163&amp;H$5&amp;$T163,'Detail inputs'!$B$3:$B$304&amp;'Detail inputs'!$D$3:$D$304&amp;'Detail inputs'!$F$3:$F$304&amp;'Detail inputs'!$G$3:$G$304&amp;'Detail inputs'!$H$3:$H$304&amp;'Detail inputs'!$L$3:$L$304,0),MATCH(H$4,'Detail inputs'!$B$3:$L$3,0)),0)</f>
        <v>0</v>
      </c>
      <c r="I163" s="93">
        <f t="array" ref="I163">IFERROR(INDEX('Detail inputs'!$B$3:$L$304,MATCH($B163&amp;$C163&amp;$E163&amp;$G163&amp;I$5&amp;$T163,'Detail inputs'!$B$3:$B$304&amp;'Detail inputs'!$D$3:$D$304&amp;'Detail inputs'!$F$3:$F$304&amp;'Detail inputs'!$G$3:$G$304&amp;'Detail inputs'!$H$3:$H$304&amp;'Detail inputs'!$L$3:$L$304,0),MATCH(I$4,'Detail inputs'!$B$3:$L$3,0)),0)</f>
        <v>49.42</v>
      </c>
      <c r="J163" s="93">
        <f>IF(AND(H163="",I163=""),"",H163*INDEX(Usage!$B$4:$Q$18,MATCH($B163,Usage!$B$4:$B$18,0),MATCH(IF($E163="CL1","CL1 Proportion","CL2 Proportion"),Usage!$B$8:$Q$8,0))+I163*F163/1000)</f>
        <v>27.230420000000002</v>
      </c>
      <c r="K163" s="44">
        <f>IFERROR(J163/J166,"")</f>
        <v>0.81189420075570884</v>
      </c>
      <c r="L163" s="44"/>
      <c r="M163" s="49">
        <f t="array" ref="M163">IFERROR(IF($S163="Indicative tariff",$Q163/$J163-1,IF($S163="Zero",0,IF($S163="NA","",IF($S163="Draft x-factor",INDEX('Detail inputs'!$B$3:$P$304,MATCH($B163&amp;$G163&amp;$S163,'Detail inputs'!$B$3:$B$304&amp;'Detail inputs'!$G$3:$G$304&amp;'Detail inputs'!$H$3:$H$304,0),MATCH(M$4,'Detail inputs'!$B$3:$P$3,0)))))),"")</f>
        <v>-0.6280857952246055</v>
      </c>
      <c r="N163" s="44"/>
      <c r="O163" s="93">
        <f t="array" ref="O163">IFERROR(IF(OR($S163="NA",$S163="Draft x-factor",$S163="Zero"),"",INDEX('Detail inputs'!$B$3:$L$304,MATCH($B163&amp;$C163&amp;$E163&amp;$G163&amp;O$5&amp;$T163,'Detail inputs'!$B$3:$B$304&amp;'Detail inputs'!$D$3:$D$304&amp;'Detail inputs'!$F$3:$F$304&amp;'Detail inputs'!$G$3:$G$304&amp;'Detail inputs'!$H$3:$H$304&amp;'Detail inputs'!$L$3:$L$304,0),MATCH(O$4,'Detail inputs'!$B$3:$L$3,0))),0)</f>
        <v>0</v>
      </c>
      <c r="P163" s="93">
        <f t="array" ref="P163">IFERROR(IF(OR($S163="NA",$S163="Draft x-factor",$S163="Zero"),"",INDEX('Detail inputs'!$B$3:$L$304,MATCH($B163&amp;$C163&amp;$E163&amp;$G163&amp;P$5&amp;$T163,'Detail inputs'!$B$3:$B$304&amp;'Detail inputs'!$D$3:$D$304&amp;'Detail inputs'!$F$3:$F$304&amp;'Detail inputs'!$G$3:$G$304&amp;'Detail inputs'!$H$3:$H$304&amp;'Detail inputs'!$L$3:$L$304,0),MATCH(P$4,'Detail inputs'!$B$3:$L$3,0))),0)</f>
        <v>18.380000000000003</v>
      </c>
      <c r="Q163" s="93">
        <f>IF(AND(O163="",P163=""),"",O163*INDEX(Usage!$B$4:$Q$18,MATCH($B163,Usage!$B$4:$B$18,0),MATCH(IF($E163="CL1","CL1 Proportion","CL2 Proportion"),Usage!$B$8:$Q$8,0))+P163*$F163/1000)</f>
        <v>10.12738</v>
      </c>
      <c r="R163" s="44">
        <f>IFERROR(Q163/Q166,"")</f>
        <v>0.61287095698566196</v>
      </c>
      <c r="S163" s="21" t="str">
        <f t="array" ref="S163">INDEX('Key inputs'!$B$35:$J$41,MATCH($B163,'Key inputs'!$B$35:$B$41,0),MATCH($G163&amp;S$5,'Key inputs'!$B$35:$J$35&amp;'Key inputs'!$B$36:$J$36,0))</f>
        <v>Indicative tariff</v>
      </c>
    </row>
    <row r="164" spans="2:20" x14ac:dyDescent="0.3">
      <c r="B164" s="3" t="str">
        <f t="shared" si="45"/>
        <v>Energex</v>
      </c>
      <c r="C164" s="3" t="str">
        <f t="shared" si="46"/>
        <v>Residential</v>
      </c>
      <c r="D164" s="3" t="str">
        <f t="shared" si="47"/>
        <v>with CL</v>
      </c>
      <c r="E164" s="3" t="s">
        <v>15</v>
      </c>
      <c r="F164" s="41">
        <f t="array" ref="F164">IFERROR(INDEX(Usage!$B$5:$T$18,MATCH($B164,Usage!$B$5:$B$18,0),MATCH($C164&amp;$D164&amp;$E164,Usage!$B$5:$W$5&amp;Usage!$B$6:$W$6&amp;Usage!$B$7:$W$7,0)),0)</f>
        <v>551</v>
      </c>
      <c r="G164" s="23" t="s">
        <v>55</v>
      </c>
      <c r="H164" s="93">
        <f t="array" ref="H164">IFERROR(INDEX('Detail inputs'!$B$3:$L$304,MATCH($B164&amp;$C164&amp;$E164&amp;$G164&amp;H$5&amp;$T164,'Detail inputs'!$B$3:$B$304&amp;'Detail inputs'!$D$3:$D$304&amp;'Detail inputs'!$F$3:$F$304&amp;'Detail inputs'!$G$3:$G$304&amp;'Detail inputs'!$H$3:$H$304&amp;'Detail inputs'!$L$3:$L$304,0),MATCH(H$4,'Detail inputs'!$B$3:$L$3,0)),0)</f>
        <v>0</v>
      </c>
      <c r="I164" s="93">
        <f t="array" ref="I164">IFERROR(INDEX('Detail inputs'!$B$3:$L$304,MATCH($B164&amp;$C164&amp;$E164&amp;$G164&amp;I$5&amp;$T164,'Detail inputs'!$B$3:$B$304&amp;'Detail inputs'!$D$3:$D$304&amp;'Detail inputs'!$F$3:$F$304&amp;'Detail inputs'!$G$3:$G$304&amp;'Detail inputs'!$H$3:$H$304&amp;'Detail inputs'!$L$3:$L$304,0),MATCH(I$4,'Detail inputs'!$B$3:$L$3,0)),0)</f>
        <v>11.45</v>
      </c>
      <c r="J164" s="93">
        <f>IF(AND(H164="",I164=""),"",H164*INDEX(Usage!$B$4:$Q$18,MATCH($B164,Usage!$B$4:$B$18,0),MATCH(IF($E164="CL1","CL1 Proportion","CL2 Proportion"),Usage!$B$8:$Q$8,0))+I164*F164/1000)</f>
        <v>6.3089499999999994</v>
      </c>
      <c r="K164" s="44">
        <f>IFERROR(J164/J166,"")</f>
        <v>0.18810579924429108</v>
      </c>
      <c r="L164" s="44"/>
      <c r="M164" s="49">
        <f t="array" ref="M164">IFERROR(IF($S164="Indicative tariff",$Q164/$J164-1,IF($S164="Zero",0,IF($S164="NA","",IF($S164="Draft x-factor",INDEX('Detail inputs'!$B$3:$P$304,MATCH($B164&amp;$G164&amp;$S164,'Detail inputs'!$B$3:$B$304&amp;'Detail inputs'!$G$3:$G$304&amp;'Detail inputs'!$H$3:$H$304,0),MATCH(M$4,'Detail inputs'!$B$3:$P$3,0)))))),"")</f>
        <v>1.3973799126637543E-2</v>
      </c>
      <c r="N164" s="44"/>
      <c r="O164" s="93">
        <f t="array" ref="O164">IFERROR(IF(OR($S164="NA",$S164="Draft x-factor",$S164="Zero"),"",INDEX('Detail inputs'!$B$3:$L$304,MATCH($B164&amp;$C164&amp;$E164&amp;$G164&amp;O$5&amp;$T164,'Detail inputs'!$B$3:$B$304&amp;'Detail inputs'!$D$3:$D$304&amp;'Detail inputs'!$F$3:$F$304&amp;'Detail inputs'!$G$3:$G$304&amp;'Detail inputs'!$H$3:$H$304&amp;'Detail inputs'!$L$3:$L$304,0),MATCH(O$4,'Detail inputs'!$B$3:$L$3,0))),0)</f>
        <v>0</v>
      </c>
      <c r="P164" s="93">
        <f t="array" ref="P164">IFERROR(IF(OR($S164="NA",$S164="Draft x-factor",$S164="Zero"),"",INDEX('Detail inputs'!$B$3:$L$304,MATCH($B164&amp;$C164&amp;$E164&amp;$G164&amp;P$5&amp;$T164,'Detail inputs'!$B$3:$B$304&amp;'Detail inputs'!$D$3:$D$304&amp;'Detail inputs'!$F$3:$F$304&amp;'Detail inputs'!$G$3:$G$304&amp;'Detail inputs'!$H$3:$H$304&amp;'Detail inputs'!$L$3:$L$304,0),MATCH(P$4,'Detail inputs'!$B$3:$L$3,0))),0)</f>
        <v>11.61</v>
      </c>
      <c r="Q164" s="93">
        <f>IF(AND(O164="",P164=""),"",O164*INDEX(Usage!$B$4:$Q$18,MATCH($B164,Usage!$B$4:$B$18,0),MATCH(IF($E164="CL1","CL1 Proportion","CL2 Proportion"),Usage!$B$8:$Q$8,0))+P164*$F164/1000)</f>
        <v>6.3971099999999996</v>
      </c>
      <c r="R164" s="44">
        <f>IFERROR(Q164/Q166,"")</f>
        <v>0.38712904301433809</v>
      </c>
      <c r="S164" s="21" t="str">
        <f t="array" ref="S164">INDEX('Key inputs'!$B$35:$J$41,MATCH($B164,'Key inputs'!$B$35:$B$41,0),MATCH($G164&amp;S$5,'Key inputs'!$B$35:$J$35&amp;'Key inputs'!$B$36:$J$36,0))</f>
        <v>Indicative tariff</v>
      </c>
    </row>
    <row r="165" spans="2:20" x14ac:dyDescent="0.3">
      <c r="B165" s="3" t="str">
        <f t="shared" si="45"/>
        <v>Energex</v>
      </c>
      <c r="C165" s="3" t="str">
        <f t="shared" si="46"/>
        <v>Residential</v>
      </c>
      <c r="D165" s="3" t="str">
        <f t="shared" si="47"/>
        <v>with CL</v>
      </c>
      <c r="E165" s="3" t="s">
        <v>15</v>
      </c>
      <c r="F165" s="41">
        <f t="array" ref="F165">IFERROR(INDEX(Usage!$B$5:$T$18,MATCH($B165,Usage!$B$5:$B$18,0),MATCH($C165&amp;$D165&amp;$E165,Usage!$B$5:$W$5&amp;Usage!$B$6:$W$6&amp;Usage!$B$7:$W$7,0)),0)</f>
        <v>551</v>
      </c>
      <c r="G165" s="23" t="s">
        <v>86</v>
      </c>
      <c r="H165" s="93">
        <f t="array" ref="H165">IFERROR(INDEX('Detail inputs'!$B$3:$L$304,MATCH($B165&amp;$C165&amp;$E165&amp;$G165&amp;H$5&amp;$T165,'Detail inputs'!$B$3:$B$304&amp;'Detail inputs'!$D$3:$D$304&amp;'Detail inputs'!$F$3:$F$304&amp;'Detail inputs'!$G$3:$G$304&amp;'Detail inputs'!$H$3:$H$304&amp;'Detail inputs'!$L$3:$L$304,0),MATCH(H$4,'Detail inputs'!$B$3:$L$3,0)),0)</f>
        <v>0</v>
      </c>
      <c r="I165" s="93">
        <f t="array" ref="I165">IFERROR(INDEX('Detail inputs'!$B$3:$L$304,MATCH($B165&amp;$C165&amp;$E165&amp;$G165&amp;I$5&amp;$T165,'Detail inputs'!$B$3:$B$304&amp;'Detail inputs'!$D$3:$D$304&amp;'Detail inputs'!$F$3:$F$304&amp;'Detail inputs'!$G$3:$G$304&amp;'Detail inputs'!$H$3:$H$304&amp;'Detail inputs'!$L$3:$L$304,0),MATCH(I$4,'Detail inputs'!$B$3:$L$3,0)),0)</f>
        <v>0</v>
      </c>
      <c r="J165" s="93">
        <f>IF(AND(H165="",I165=""),"",H165*INDEX(Usage!$B$4:$Q$18,MATCH($B165,Usage!$B$4:$B$18,0),MATCH(IF($E165="CL1","CL1 Proportion","CL2 Proportion"),Usage!$B$8:$Q$8,0))+I165*F165/1000)</f>
        <v>0</v>
      </c>
      <c r="K165" s="44">
        <f>IFERROR(J165/J166,"")</f>
        <v>0</v>
      </c>
      <c r="L165" s="44"/>
      <c r="M165" s="49" t="str">
        <f t="array" ref="M165">IFERROR(IF($S165="Indicative tariff",$Q165/$J165-1,IF($S165="Zero",0,IF($S165="NA","",IF($S165="Draft x-factor",INDEX('Detail inputs'!$B$3:$P$304,MATCH($B165&amp;$G165&amp;$S165,'Detail inputs'!$B$3:$B$304&amp;'Detail inputs'!$G$3:$G$304&amp;'Detail inputs'!$H$3:$H$304,0),MATCH(M$4,'Detail inputs'!$B$3:$P$3,0)))))),"")</f>
        <v/>
      </c>
      <c r="N165" s="44"/>
      <c r="O165" s="93">
        <f t="array" ref="O165">IFERROR(IF(OR($S165="NA",$S165="Draft x-factor",$S165="Zero"),"",INDEX('Detail inputs'!$B$3:$L$304,MATCH($B165&amp;$C165&amp;$E165&amp;$G165&amp;O$5&amp;$T165,'Detail inputs'!$B$3:$B$304&amp;'Detail inputs'!$D$3:$D$304&amp;'Detail inputs'!$F$3:$F$304&amp;'Detail inputs'!$G$3:$G$304&amp;'Detail inputs'!$H$3:$H$304&amp;'Detail inputs'!$L$3:$L$304,0),MATCH(O$4,'Detail inputs'!$B$3:$L$3,0))),0)</f>
        <v>0</v>
      </c>
      <c r="P165" s="93">
        <f t="array" ref="P165">IFERROR(IF(OR($S165="NA",$S165="Draft x-factor",$S165="Zero"),"",INDEX('Detail inputs'!$B$3:$L$304,MATCH($B165&amp;$C165&amp;$E165&amp;$G165&amp;P$5&amp;$T165,'Detail inputs'!$B$3:$B$304&amp;'Detail inputs'!$D$3:$D$304&amp;'Detail inputs'!$F$3:$F$304&amp;'Detail inputs'!$G$3:$G$304&amp;'Detail inputs'!$H$3:$H$304&amp;'Detail inputs'!$L$3:$L$304,0),MATCH(P$4,'Detail inputs'!$B$3:$L$3,0))),0)</f>
        <v>0</v>
      </c>
      <c r="Q165" s="93">
        <f>IF(AND(O165="",P165=""),"",O165*INDEX(Usage!$B$4:$Q$18,MATCH($B165,Usage!$B$4:$B$18,0),MATCH(IF($E165="CL1","CL1 Proportion","CL2 Proportion"),Usage!$B$8:$Q$8,0))+P165*$F165/1000)</f>
        <v>0</v>
      </c>
      <c r="R165" s="44">
        <f>IFERROR(Q165/Q166,"")</f>
        <v>0</v>
      </c>
      <c r="S165" s="21" t="str">
        <f t="array" ref="S165">INDEX('Key inputs'!$B$35:$J$41,MATCH($B165,'Key inputs'!$B$35:$B$41,0),MATCH($G165&amp;S$5,'Key inputs'!$B$35:$J$35&amp;'Key inputs'!$B$36:$J$36,0))</f>
        <v>Indicative tariff</v>
      </c>
    </row>
    <row r="166" spans="2:20" x14ac:dyDescent="0.3">
      <c r="B166" s="3" t="str">
        <f t="shared" si="45"/>
        <v>Energex</v>
      </c>
      <c r="C166" s="3" t="str">
        <f t="shared" si="46"/>
        <v>Residential</v>
      </c>
      <c r="D166" s="3" t="str">
        <f t="shared" si="47"/>
        <v>with CL</v>
      </c>
      <c r="E166" s="3" t="s">
        <v>15</v>
      </c>
      <c r="F166" s="41">
        <f t="array" ref="F166">IFERROR(INDEX(Usage!$B$5:$T$18,MATCH($B166,Usage!$B$5:$B$18,0),MATCH($C166&amp;$D166&amp;$E166,Usage!$B$5:$W$5&amp;Usage!$B$6:$W$6&amp;Usage!$B$7:$W$7,0)),0)</f>
        <v>551</v>
      </c>
      <c r="G166" s="23" t="s">
        <v>65</v>
      </c>
      <c r="J166" s="93">
        <f>SUM(J163:J165)</f>
        <v>33.539370000000005</v>
      </c>
      <c r="K166" s="44">
        <f>IFERROR(J166/J168,"")</f>
        <v>0.91538290150252666</v>
      </c>
      <c r="L166" s="44"/>
      <c r="M166" s="49">
        <f>IF(J166=0,"",IF(Q166="",SUMPRODUCT(K163:K164,M163:M164),Q166/J166-1))</f>
        <v>-0.50731066206669961</v>
      </c>
      <c r="N166" s="44"/>
      <c r="O166" s="93" t="str">
        <f t="array" ref="O166">IFERROR(IF(OR($S166="NA",$S166="Draft x-factor",$S166="Sum"),"",INDEX('Detail inputs'!$B$3:$L$304,MATCH($B166&amp;$C166&amp;$E166&amp;$G166&amp;O$5&amp;$T166,'Detail inputs'!$B$3:$B$304&amp;'Detail inputs'!$D$3:$D$304&amp;'Detail inputs'!$F$3:$F$304&amp;'Detail inputs'!$G$3:$G$304&amp;'Detail inputs'!$H$3:$H$304&amp;'Detail inputs'!$L$3:$L$304,0),MATCH(O$4,'Detail inputs'!$B$3:$L$3,0))),0)</f>
        <v/>
      </c>
      <c r="P166" s="93" t="str">
        <f t="array" ref="P166">IFERROR(IF(OR($S166="NA",$S166="Draft x-factor",$S166="Sum"),"",INDEX('Detail inputs'!$B$3:$L$304,MATCH($B166&amp;$C166&amp;$E166&amp;$G166&amp;P$5&amp;$T166,'Detail inputs'!$B$3:$B$304&amp;'Detail inputs'!$D$3:$D$304&amp;'Detail inputs'!$F$3:$F$304&amp;'Detail inputs'!$G$3:$G$304&amp;'Detail inputs'!$H$3:$H$304&amp;'Detail inputs'!$L$3:$L$304,0),MATCH(P$4,'Detail inputs'!$B$3:$L$3,0))),0)</f>
        <v/>
      </c>
      <c r="Q166" s="93">
        <f>IF($S166="NA","",IF($S166="Indicative tariff",O166*INDEX(Usage!$B$4:$Q$18,MATCH($B166,Usage!$B$4:$B$18,0),MATCH(IF($E166="CL1","CL1 Proportion","CL2 Proportion"),Usage!$B$8:$Q$8,0))+P166*$F166/1000,IF($S166="Sum",SUM(Q163:Q165))))</f>
        <v>16.52449</v>
      </c>
      <c r="R166" s="44">
        <f>IFERROR(Q166/Q168,"")</f>
        <v>0.82988887432458014</v>
      </c>
      <c r="S166" s="21" t="str">
        <f t="array" ref="S166">INDEX('Key inputs'!$B$35:$J$41,MATCH($B166,'Key inputs'!$B$35:$B$41,0),MATCH($G166&amp;S$5,'Key inputs'!$B$35:$J$35&amp;'Key inputs'!$B$36:$J$36,0))</f>
        <v>Sum</v>
      </c>
    </row>
    <row r="167" spans="2:20" x14ac:dyDescent="0.3">
      <c r="B167" s="3" t="str">
        <f t="shared" si="45"/>
        <v>Energex</v>
      </c>
      <c r="C167" s="3" t="str">
        <f t="shared" si="46"/>
        <v>Residential</v>
      </c>
      <c r="D167" s="3" t="str">
        <f t="shared" si="47"/>
        <v>with CL</v>
      </c>
      <c r="E167" s="3" t="s">
        <v>15</v>
      </c>
      <c r="F167" s="41">
        <f t="array" ref="F167">IFERROR(INDEX(Usage!$B$5:$T$18,MATCH($B167,Usage!$B$5:$B$18,0),MATCH($C167&amp;$D167&amp;$E167,Usage!$B$5:$W$5&amp;Usage!$B$6:$W$6&amp;Usage!$B$7:$W$7,0)),0)</f>
        <v>551</v>
      </c>
      <c r="G167" s="23" t="s">
        <v>67</v>
      </c>
      <c r="H167" s="93">
        <f t="array" ref="H167">IFERROR(INDEX('Detail inputs'!$B$3:$L$304,MATCH($B167&amp;$C167&amp;$E167&amp;$G167&amp;H$5&amp;$T167,'Detail inputs'!$B$3:$B$304&amp;'Detail inputs'!$D$3:$D$304&amp;'Detail inputs'!$F$3:$F$304&amp;'Detail inputs'!$G$3:$G$304&amp;'Detail inputs'!$H$3:$H$304&amp;'Detail inputs'!$L$3:$L$304,0),MATCH(H$4,'Detail inputs'!$B$3:$L$3,0)),0)</f>
        <v>10.690849999999999</v>
      </c>
      <c r="I167" s="93">
        <f t="array" ref="I167">IFERROR(INDEX('Detail inputs'!$B$3:$L$304,MATCH($B167&amp;$C167&amp;$E167&amp;$G167&amp;I$5&amp;$T167,'Detail inputs'!$B$3:$B$304&amp;'Detail inputs'!$D$3:$D$304&amp;'Detail inputs'!$F$3:$F$304&amp;'Detail inputs'!$G$3:$G$304&amp;'Detail inputs'!$H$3:$H$304&amp;'Detail inputs'!$L$3:$L$304,0),MATCH(I$4,'Detail inputs'!$B$3:$L$3,0)),0)</f>
        <v>0</v>
      </c>
      <c r="J167" s="93">
        <f>IF(AND(H167="",I167=""),"",H167*INDEX(Usage!$B$4:$Q$18,MATCH($B167,Usage!$B$4:$B$18,0),MATCH(IF($E167="CL1","CL1 Proportion","CL2 Proportion"),Usage!$B$8:$Q$8,0))+I167*F167/1000)</f>
        <v>3.1003464999999997</v>
      </c>
      <c r="K167" s="44">
        <f>IFERROR(J167/J168,"")</f>
        <v>8.4617098497473342E-2</v>
      </c>
      <c r="L167" s="44"/>
      <c r="M167" s="49">
        <f t="array" ref="M167">IFERROR(IF($S167="Indicative tariff",$Q167/$J167-1,IF($S167="Zero",0,IF($S167="NA","",IF($S167="Draft x-factor",INDEX('Detail inputs'!$B$3:$P$304,MATCH($B167&amp;$G167&amp;$S167,'Detail inputs'!$B$3:$B$304&amp;'Detail inputs'!$G$3:$G$304&amp;'Detail inputs'!$H$3:$H$304,0),MATCH(M$4,'Detail inputs'!$B$3:$P$3,0)))))),"")</f>
        <v>9.2523045407989057E-2</v>
      </c>
      <c r="N167" s="44"/>
      <c r="O167" s="93">
        <f t="array" ref="O167">IFERROR(IF(OR($S167="NA",$S167="Draft x-factor"),"",IF($S167="Zero",H167,INDEX('Detail inputs'!$B$3:$L$304,MATCH($B167&amp;$C167&amp;$E167&amp;$G167&amp;O$5&amp;$T167,'Detail inputs'!$B$3:$B$304&amp;'Detail inputs'!$D$3:$D$304&amp;'Detail inputs'!$F$3:$F$304&amp;'Detail inputs'!$G$3:$G$304&amp;'Detail inputs'!$H$3:$H$304&amp;'Detail inputs'!$L$3:$L$304,0),MATCH(O$4,'Detail inputs'!$B$3:$L$3,0)))),0)</f>
        <v>11.68</v>
      </c>
      <c r="P167" s="93">
        <f t="array" ref="P167">IFERROR(IF(OR($S167="NA",$S167="Draft x-factor"),"",IF($S167="Zero",I167,INDEX('Detail inputs'!$B$3:$L$304,MATCH($B167&amp;$C167&amp;$E167&amp;$G167&amp;P$5&amp;$T167,'Detail inputs'!$B$3:$B$304&amp;'Detail inputs'!$D$3:$D$304&amp;'Detail inputs'!$F$3:$F$304&amp;'Detail inputs'!$G$3:$G$304&amp;'Detail inputs'!$H$3:$H$304&amp;'Detail inputs'!$L$3:$L$304,0),MATCH(P$4,'Detail inputs'!$B$3:$L$3,0)))),0)</f>
        <v>0</v>
      </c>
      <c r="Q167" s="93">
        <f>IF(AND(O167="",P167=""),"",O167*INDEX(Usage!$B$4:$Q$18,MATCH($B167,Usage!$B$4:$B$18,0),MATCH(IF($E167="CL1","CL1 Proportion","CL2 Proportion"),Usage!$B$8:$Q$8,0))+P167*$F167/1000)</f>
        <v>3.3871999999999995</v>
      </c>
      <c r="R167" s="44">
        <f>IFERROR(Q167/Q168,"")</f>
        <v>0.17011112567541981</v>
      </c>
      <c r="S167" s="21" t="str">
        <f t="array" ref="S167">INDEX('Key inputs'!$B$35:$J$41,MATCH($B167,'Key inputs'!$B$35:$B$41,0),MATCH($G167&amp;S$5,'Key inputs'!$B$35:$J$35&amp;'Key inputs'!$B$36:$J$36,0))</f>
        <v>Indicative tariff</v>
      </c>
    </row>
    <row r="168" spans="2:20" x14ac:dyDescent="0.3">
      <c r="B168" s="3" t="str">
        <f t="shared" si="45"/>
        <v>Energex</v>
      </c>
      <c r="C168" s="3" t="str">
        <f t="shared" si="46"/>
        <v>Residential</v>
      </c>
      <c r="D168" s="3" t="str">
        <f t="shared" si="47"/>
        <v>with CL</v>
      </c>
      <c r="E168" s="3" t="s">
        <v>15</v>
      </c>
      <c r="F168" s="41">
        <f t="array" ref="F168">IFERROR(INDEX(Usage!$B$5:$T$18,MATCH($B168,Usage!$B$5:$B$18,0),MATCH($C168&amp;$D168&amp;$E168,Usage!$B$5:$W$5&amp;Usage!$B$6:$W$6&amp;Usage!$B$7:$W$7,0)),0)</f>
        <v>551</v>
      </c>
      <c r="G168" s="3" t="s">
        <v>58</v>
      </c>
      <c r="J168" s="99">
        <f>SUM(J166:J167)</f>
        <v>36.639716500000006</v>
      </c>
      <c r="K168" s="44"/>
      <c r="M168" s="49">
        <f>IF(J168=0,"",IF(OR($S167="Draft x-factor",$S167="Zero"),SUMPRODUCT(K166:K167,M166:M167),Q168/J168-1))</f>
        <v>-0.45655447415920924</v>
      </c>
      <c r="N168" s="92"/>
      <c r="O168" s="99"/>
      <c r="P168" s="99"/>
      <c r="Q168" s="99">
        <f>IF(AND(Q166="",Q167=""),J168*(1+M168),SUM(Q166:Q167))</f>
        <v>19.91169</v>
      </c>
      <c r="R168" s="44"/>
      <c r="S168" s="27"/>
    </row>
    <row r="169" spans="2:20" x14ac:dyDescent="0.3">
      <c r="B169" s="3" t="str">
        <f t="shared" si="45"/>
        <v>Energex</v>
      </c>
      <c r="C169" s="3" t="str">
        <f t="shared" si="46"/>
        <v>Residential</v>
      </c>
      <c r="D169" s="3" t="str">
        <f t="shared" si="47"/>
        <v>with CL</v>
      </c>
      <c r="E169" s="3" t="s">
        <v>16</v>
      </c>
      <c r="F169" s="41">
        <f t="array" ref="F169">IFERROR(INDEX(Usage!$B$5:$T$18,MATCH($B169,Usage!$B$5:$B$18,0),MATCH($C169&amp;$D169&amp;$E169,Usage!$B$5:$W$5&amp;Usage!$B$6:$W$6&amp;Usage!$B$7:$W$7,0)),0)</f>
        <v>1349</v>
      </c>
      <c r="G169" s="23" t="s">
        <v>54</v>
      </c>
      <c r="H169" s="93">
        <f t="array" ref="H169">IFERROR(INDEX('Detail inputs'!$B$3:$L$304,MATCH($B169&amp;$C169&amp;$E169&amp;$G169&amp;H$5&amp;$T169,'Detail inputs'!$B$3:$B$304&amp;'Detail inputs'!$D$3:$D$304&amp;'Detail inputs'!$F$3:$F$304&amp;'Detail inputs'!$G$3:$G$304&amp;'Detail inputs'!$H$3:$H$304&amp;'Detail inputs'!$L$3:$L$304,0),MATCH(H$4,'Detail inputs'!$B$3:$L$3,0)),0)</f>
        <v>0</v>
      </c>
      <c r="I169" s="93">
        <f t="array" ref="I169">IFERROR(INDEX('Detail inputs'!$B$3:$L$304,MATCH($B169&amp;$C169&amp;$E169&amp;$G169&amp;I$5&amp;$T169,'Detail inputs'!$B$3:$B$304&amp;'Detail inputs'!$D$3:$D$304&amp;'Detail inputs'!$F$3:$F$304&amp;'Detail inputs'!$G$3:$G$304&amp;'Detail inputs'!$H$3:$H$304&amp;'Detail inputs'!$L$3:$L$304,0),MATCH(I$4,'Detail inputs'!$B$3:$L$3,0)),0)</f>
        <v>52.56</v>
      </c>
      <c r="J169" s="93">
        <f>IF(AND(H169="",I169=""),"",H169*INDEX(Usage!$B$4:$Q$18,MATCH($B169,Usage!$B$4:$B$18,0),MATCH(IF($E169="CL1","CL1 Proportion","CL2 Proportion"),Usage!$B$8:$Q$8,0))+I169*F169/1000)</f>
        <v>70.903440000000003</v>
      </c>
      <c r="K169" s="44">
        <f>IFERROR(J169/J172,"")</f>
        <v>0.82112169973441651</v>
      </c>
      <c r="L169" s="44"/>
      <c r="M169" s="49">
        <f t="array" ref="M169">IFERROR(IF($S169="Indicative tariff",$Q169/$J169-1,IF($S169="Zero",0,IF($S169="NA","",IF($S169="Draft x-factor",INDEX('Detail inputs'!$B$3:$P$304,MATCH($B169&amp;$G169&amp;$S169,'Detail inputs'!$B$3:$B$304&amp;'Detail inputs'!$G$3:$G$304&amp;'Detail inputs'!$H$3:$H$304,0),MATCH(M$4,'Detail inputs'!$B$3:$P$3,0)))))),"")</f>
        <v>-0.46004566210045661</v>
      </c>
      <c r="N169" s="44"/>
      <c r="O169" s="93">
        <f t="array" ref="O169">IFERROR(IF(OR($S169="NA",$S169="Draft x-factor",$S169="Zero"),"",INDEX('Detail inputs'!$B$3:$L$304,MATCH($B169&amp;$C169&amp;$E169&amp;$G169&amp;O$5&amp;$T169,'Detail inputs'!$B$3:$B$304&amp;'Detail inputs'!$D$3:$D$304&amp;'Detail inputs'!$F$3:$F$304&amp;'Detail inputs'!$G$3:$G$304&amp;'Detail inputs'!$H$3:$H$304&amp;'Detail inputs'!$L$3:$L$304,0),MATCH(O$4,'Detail inputs'!$B$3:$L$3,0))),0)</f>
        <v>0</v>
      </c>
      <c r="P169" s="93">
        <f t="array" ref="P169">IFERROR(IF(OR($S169="NA",$S169="Draft x-factor",$S169="Zero"),"",INDEX('Detail inputs'!$B$3:$L$304,MATCH($B169&amp;$C169&amp;$E169&amp;$G169&amp;P$5&amp;$T169,'Detail inputs'!$B$3:$B$304&amp;'Detail inputs'!$D$3:$D$304&amp;'Detail inputs'!$F$3:$F$304&amp;'Detail inputs'!$G$3:$G$304&amp;'Detail inputs'!$H$3:$H$304&amp;'Detail inputs'!$L$3:$L$304,0),MATCH(P$4,'Detail inputs'!$B$3:$L$3,0))),0)</f>
        <v>28.380000000000003</v>
      </c>
      <c r="Q169" s="93">
        <f>IF(AND(O169="",P169=""),"",O169*INDEX(Usage!$B$4:$Q$18,MATCH($B169,Usage!$B$4:$B$18,0),MATCH(IF($E169="CL1","CL1 Proportion","CL2 Proportion"),Usage!$B$8:$Q$8,0))+P169*$F169/1000)</f>
        <v>38.284620000000004</v>
      </c>
      <c r="R169" s="44">
        <f>IFERROR(Q169/Q172,"")</f>
        <v>0.70967741935483875</v>
      </c>
      <c r="S169" s="21" t="str">
        <f t="array" ref="S169">INDEX('Key inputs'!$B$35:$J$41,MATCH($B169,'Key inputs'!$B$35:$B$41,0),MATCH($G169&amp;S$5,'Key inputs'!$B$35:$J$35&amp;'Key inputs'!$B$36:$J$36,0))</f>
        <v>Indicative tariff</v>
      </c>
    </row>
    <row r="170" spans="2:20" x14ac:dyDescent="0.3">
      <c r="B170" s="3" t="str">
        <f t="shared" si="45"/>
        <v>Energex</v>
      </c>
      <c r="C170" s="3" t="str">
        <f t="shared" si="46"/>
        <v>Residential</v>
      </c>
      <c r="D170" s="3" t="str">
        <f t="shared" si="47"/>
        <v>with CL</v>
      </c>
      <c r="E170" s="3" t="s">
        <v>16</v>
      </c>
      <c r="F170" s="41">
        <f t="array" ref="F170">IFERROR(INDEX(Usage!$B$5:$T$18,MATCH($B170,Usage!$B$5:$B$18,0),MATCH($C170&amp;$D170&amp;$E170,Usage!$B$5:$W$5&amp;Usage!$B$6:$W$6&amp;Usage!$B$7:$W$7,0)),0)</f>
        <v>1349</v>
      </c>
      <c r="G170" s="23" t="s">
        <v>55</v>
      </c>
      <c r="H170" s="93">
        <f t="array" ref="H170">IFERROR(INDEX('Detail inputs'!$B$3:$L$304,MATCH($B170&amp;$C170&amp;$E170&amp;$G170&amp;H$5&amp;$T170,'Detail inputs'!$B$3:$B$304&amp;'Detail inputs'!$D$3:$D$304&amp;'Detail inputs'!$F$3:$F$304&amp;'Detail inputs'!$G$3:$G$304&amp;'Detail inputs'!$H$3:$H$304&amp;'Detail inputs'!$L$3:$L$304,0),MATCH(H$4,'Detail inputs'!$B$3:$L$3,0)),0)</f>
        <v>0</v>
      </c>
      <c r="I170" s="93">
        <f t="array" ref="I170">IFERROR(INDEX('Detail inputs'!$B$3:$L$304,MATCH($B170&amp;$C170&amp;$E170&amp;$G170&amp;I$5&amp;$T170,'Detail inputs'!$B$3:$B$304&amp;'Detail inputs'!$D$3:$D$304&amp;'Detail inputs'!$F$3:$F$304&amp;'Detail inputs'!$G$3:$G$304&amp;'Detail inputs'!$H$3:$H$304&amp;'Detail inputs'!$L$3:$L$304,0),MATCH(I$4,'Detail inputs'!$B$3:$L$3,0)),0)</f>
        <v>11.45</v>
      </c>
      <c r="J170" s="93">
        <f>IF(AND(H170="",I170=""),"",H170*INDEX(Usage!$B$4:$Q$18,MATCH($B170,Usage!$B$4:$B$18,0),MATCH(IF($E170="CL1","CL1 Proportion","CL2 Proportion"),Usage!$B$8:$Q$8,0))+I170*F170/1000)</f>
        <v>15.44605</v>
      </c>
      <c r="K170" s="44">
        <f>IFERROR(J170/J172,"")</f>
        <v>0.17887830026558349</v>
      </c>
      <c r="L170" s="44"/>
      <c r="M170" s="49">
        <f t="array" ref="M170">IFERROR(IF($S170="Indicative tariff",$Q170/$J170-1,IF($S170="Zero",0,IF($S170="NA","",IF($S170="Draft x-factor",INDEX('Detail inputs'!$B$3:$P$304,MATCH($B170&amp;$G170&amp;$S170,'Detail inputs'!$B$3:$B$304&amp;'Detail inputs'!$G$3:$G$304&amp;'Detail inputs'!$H$3:$H$304,0),MATCH(M$4,'Detail inputs'!$B$3:$P$3,0)))))),"")</f>
        <v>1.3973799126637543E-2</v>
      </c>
      <c r="N170" s="44"/>
      <c r="O170" s="93">
        <f t="array" ref="O170">IFERROR(IF(OR($S170="NA",$S170="Draft x-factor",$S170="Zero"),"",INDEX('Detail inputs'!$B$3:$L$304,MATCH($B170&amp;$C170&amp;$E170&amp;$G170&amp;O$5&amp;$T170,'Detail inputs'!$B$3:$B$304&amp;'Detail inputs'!$D$3:$D$304&amp;'Detail inputs'!$F$3:$F$304&amp;'Detail inputs'!$G$3:$G$304&amp;'Detail inputs'!$H$3:$H$304&amp;'Detail inputs'!$L$3:$L$304,0),MATCH(O$4,'Detail inputs'!$B$3:$L$3,0))),0)</f>
        <v>0</v>
      </c>
      <c r="P170" s="93">
        <f t="array" ref="P170">IFERROR(IF(OR($S170="NA",$S170="Draft x-factor",$S170="Zero"),"",INDEX('Detail inputs'!$B$3:$L$304,MATCH($B170&amp;$C170&amp;$E170&amp;$G170&amp;P$5&amp;$T170,'Detail inputs'!$B$3:$B$304&amp;'Detail inputs'!$D$3:$D$304&amp;'Detail inputs'!$F$3:$F$304&amp;'Detail inputs'!$G$3:$G$304&amp;'Detail inputs'!$H$3:$H$304&amp;'Detail inputs'!$L$3:$L$304,0),MATCH(P$4,'Detail inputs'!$B$3:$L$3,0))),0)</f>
        <v>11.61</v>
      </c>
      <c r="Q170" s="93">
        <f>IF(AND(O170="",P170=""),"",O170*INDEX(Usage!$B$4:$Q$18,MATCH($B170,Usage!$B$4:$B$18,0),MATCH(IF($E170="CL1","CL1 Proportion","CL2 Proportion"),Usage!$B$8:$Q$8,0))+P170*$F170/1000)</f>
        <v>15.66189</v>
      </c>
      <c r="R170" s="44">
        <f>IFERROR(Q170/Q172,"")</f>
        <v>0.29032258064516125</v>
      </c>
      <c r="S170" s="21" t="str">
        <f t="array" ref="S170">INDEX('Key inputs'!$B$35:$J$41,MATCH($B170,'Key inputs'!$B$35:$B$41,0),MATCH($G170&amp;S$5,'Key inputs'!$B$35:$J$35&amp;'Key inputs'!$B$36:$J$36,0))</f>
        <v>Indicative tariff</v>
      </c>
    </row>
    <row r="171" spans="2:20" x14ac:dyDescent="0.3">
      <c r="B171" s="3" t="str">
        <f t="shared" si="45"/>
        <v>Energex</v>
      </c>
      <c r="C171" s="3" t="str">
        <f t="shared" si="46"/>
        <v>Residential</v>
      </c>
      <c r="D171" s="3" t="str">
        <f t="shared" si="47"/>
        <v>with CL</v>
      </c>
      <c r="E171" s="3" t="s">
        <v>16</v>
      </c>
      <c r="F171" s="41">
        <f t="array" ref="F171">IFERROR(INDEX(Usage!$B$5:$T$18,MATCH($B171,Usage!$B$5:$B$18,0),MATCH($C171&amp;$D171&amp;$E171,Usage!$B$5:$W$5&amp;Usage!$B$6:$W$6&amp;Usage!$B$7:$W$7,0)),0)</f>
        <v>1349</v>
      </c>
      <c r="G171" s="23" t="s">
        <v>86</v>
      </c>
      <c r="H171" s="93">
        <f t="array" ref="H171">IFERROR(INDEX('Detail inputs'!$B$3:$L$304,MATCH($B171&amp;$C171&amp;$E171&amp;$G171&amp;H$5&amp;$T171,'Detail inputs'!$B$3:$B$304&amp;'Detail inputs'!$D$3:$D$304&amp;'Detail inputs'!$F$3:$F$304&amp;'Detail inputs'!$G$3:$G$304&amp;'Detail inputs'!$H$3:$H$304&amp;'Detail inputs'!$L$3:$L$304,0),MATCH(H$4,'Detail inputs'!$B$3:$L$3,0)),0)</f>
        <v>0</v>
      </c>
      <c r="I171" s="93">
        <f t="array" ref="I171">IFERROR(INDEX('Detail inputs'!$B$3:$L$304,MATCH($B171&amp;$C171&amp;$E171&amp;$G171&amp;I$5&amp;$T171,'Detail inputs'!$B$3:$B$304&amp;'Detail inputs'!$D$3:$D$304&amp;'Detail inputs'!$F$3:$F$304&amp;'Detail inputs'!$G$3:$G$304&amp;'Detail inputs'!$H$3:$H$304&amp;'Detail inputs'!$L$3:$L$304,0),MATCH(I$4,'Detail inputs'!$B$3:$L$3,0)),0)</f>
        <v>0</v>
      </c>
      <c r="J171" s="93">
        <f>IF(AND(H171="",I171=""),"",H171*INDEX(Usage!$B$4:$Q$18,MATCH($B171,Usage!$B$4:$B$18,0),MATCH(IF($E171="CL1","CL1 Proportion","CL2 Proportion"),Usage!$B$8:$Q$8,0))+I171*F171/1000)</f>
        <v>0</v>
      </c>
      <c r="K171" s="44">
        <f>IFERROR(J171/J172,"")</f>
        <v>0</v>
      </c>
      <c r="L171" s="44"/>
      <c r="M171" s="49" t="str">
        <f t="array" ref="M171">IFERROR(IF($S171="Indicative tariff",$Q171/$J171-1,IF($S171="Zero",0,IF($S171="NA","",IF($S171="Draft x-factor",INDEX('Detail inputs'!$B$3:$P$304,MATCH($B171&amp;$G171&amp;$S171,'Detail inputs'!$B$3:$B$304&amp;'Detail inputs'!$G$3:$G$304&amp;'Detail inputs'!$H$3:$H$304,0),MATCH(M$4,'Detail inputs'!$B$3:$P$3,0)))))),"")</f>
        <v/>
      </c>
      <c r="N171" s="44"/>
      <c r="O171" s="93">
        <f t="array" ref="O171">IFERROR(IF(OR($S171="NA",$S171="Draft x-factor",$S171="Zero"),"",INDEX('Detail inputs'!$B$3:$L$304,MATCH($B171&amp;$C171&amp;$E171&amp;$G171&amp;O$5&amp;$T171,'Detail inputs'!$B$3:$B$304&amp;'Detail inputs'!$D$3:$D$304&amp;'Detail inputs'!$F$3:$F$304&amp;'Detail inputs'!$G$3:$G$304&amp;'Detail inputs'!$H$3:$H$304&amp;'Detail inputs'!$L$3:$L$304,0),MATCH(O$4,'Detail inputs'!$B$3:$L$3,0))),0)</f>
        <v>0</v>
      </c>
      <c r="P171" s="93">
        <f t="array" ref="P171">IFERROR(IF(OR($S171="NA",$S171="Draft x-factor",$S171="Zero"),"",INDEX('Detail inputs'!$B$3:$L$304,MATCH($B171&amp;$C171&amp;$E171&amp;$G171&amp;P$5&amp;$T171,'Detail inputs'!$B$3:$B$304&amp;'Detail inputs'!$D$3:$D$304&amp;'Detail inputs'!$F$3:$F$304&amp;'Detail inputs'!$G$3:$G$304&amp;'Detail inputs'!$H$3:$H$304&amp;'Detail inputs'!$L$3:$L$304,0),MATCH(P$4,'Detail inputs'!$B$3:$L$3,0))),0)</f>
        <v>0</v>
      </c>
      <c r="Q171" s="93">
        <f>IF(AND(O171="",P171=""),"",O171*INDEX(Usage!$B$4:$Q$18,MATCH($B171,Usage!$B$4:$B$18,0),MATCH(IF($E171="CL1","CL1 Proportion","CL2 Proportion"),Usage!$B$8:$Q$8,0))+P171*$F171/1000)</f>
        <v>0</v>
      </c>
      <c r="R171" s="44">
        <f>IFERROR(Q171/Q172,"")</f>
        <v>0</v>
      </c>
      <c r="S171" s="21" t="str">
        <f t="array" ref="S171">INDEX('Key inputs'!$B$35:$J$41,MATCH($B171,'Key inputs'!$B$35:$B$41,0),MATCH($G171&amp;S$5,'Key inputs'!$B$35:$J$35&amp;'Key inputs'!$B$36:$J$36,0))</f>
        <v>Indicative tariff</v>
      </c>
    </row>
    <row r="172" spans="2:20" x14ac:dyDescent="0.3">
      <c r="B172" s="3" t="str">
        <f t="shared" si="45"/>
        <v>Energex</v>
      </c>
      <c r="C172" s="3" t="str">
        <f t="shared" si="46"/>
        <v>Residential</v>
      </c>
      <c r="D172" s="3" t="str">
        <f t="shared" si="47"/>
        <v>with CL</v>
      </c>
      <c r="E172" s="3" t="s">
        <v>16</v>
      </c>
      <c r="F172" s="41">
        <f t="array" ref="F172">IFERROR(INDEX(Usage!$B$5:$T$18,MATCH($B172,Usage!$B$5:$B$18,0),MATCH($C172&amp;$D172&amp;$E172,Usage!$B$5:$W$5&amp;Usage!$B$6:$W$6&amp;Usage!$B$7:$W$7,0)),0)</f>
        <v>1349</v>
      </c>
      <c r="G172" s="23" t="s">
        <v>65</v>
      </c>
      <c r="J172" s="93">
        <f>SUM(J169:J171)</f>
        <v>86.349490000000003</v>
      </c>
      <c r="K172" s="44">
        <f>IFERROR(J172/J174,"")</f>
        <v>0.91919838167755463</v>
      </c>
      <c r="L172" s="44"/>
      <c r="M172" s="49">
        <f>IF(J172=0,"",IF(Q172="",SUMPRODUCT(K169:K170,M169:M170),Q172/J172-1))</f>
        <v>-0.37525386658334636</v>
      </c>
      <c r="N172" s="44"/>
      <c r="O172" s="93" t="str">
        <f t="array" ref="O172">IFERROR(IF(OR($S172="NA",$S172="Draft x-factor",$S172="Sum"),"",INDEX('Detail inputs'!$B$3:$L$304,MATCH($B172&amp;$C172&amp;$E172&amp;$G172&amp;O$5&amp;$T172,'Detail inputs'!$B$3:$B$304&amp;'Detail inputs'!$D$3:$D$304&amp;'Detail inputs'!$F$3:$F$304&amp;'Detail inputs'!$G$3:$G$304&amp;'Detail inputs'!$H$3:$H$304&amp;'Detail inputs'!$L$3:$L$304,0),MATCH(O$4,'Detail inputs'!$B$3:$L$3,0))),0)</f>
        <v/>
      </c>
      <c r="P172" s="93" t="str">
        <f t="array" ref="P172">IFERROR(IF(OR($S172="NA",$S172="Draft x-factor",$S172="Sum"),"",INDEX('Detail inputs'!$B$3:$L$304,MATCH($B172&amp;$C172&amp;$E172&amp;$G172&amp;P$5&amp;$T172,'Detail inputs'!$B$3:$B$304&amp;'Detail inputs'!$D$3:$D$304&amp;'Detail inputs'!$F$3:$F$304&amp;'Detail inputs'!$G$3:$G$304&amp;'Detail inputs'!$H$3:$H$304&amp;'Detail inputs'!$L$3:$L$304,0),MATCH(P$4,'Detail inputs'!$B$3:$L$3,0))),0)</f>
        <v/>
      </c>
      <c r="Q172" s="93">
        <f>IF($S172="NA","",IF($S172="Indicative tariff",O172*INDEX(Usage!$B$4:$Q$18,MATCH($B172,Usage!$B$4:$B$18,0),MATCH(IF($E172="CL1","CL1 Proportion","CL2 Proportion"),Usage!$B$8:$Q$8,0))+P172*$F172/1000,IF($S172="Sum",SUM(Q169:Q171))))</f>
        <v>53.946510000000004</v>
      </c>
      <c r="R172" s="44">
        <f>IFERROR(Q172/Q174,"")</f>
        <v>0.86675944832935969</v>
      </c>
      <c r="S172" s="21" t="str">
        <f t="array" ref="S172">INDEX('Key inputs'!$B$35:$J$41,MATCH($B172,'Key inputs'!$B$35:$B$41,0),MATCH($G172&amp;S$5,'Key inputs'!$B$35:$J$35&amp;'Key inputs'!$B$36:$J$36,0))</f>
        <v>Sum</v>
      </c>
    </row>
    <row r="173" spans="2:20" x14ac:dyDescent="0.3">
      <c r="B173" s="3" t="str">
        <f t="shared" si="45"/>
        <v>Energex</v>
      </c>
      <c r="C173" s="3" t="str">
        <f t="shared" si="46"/>
        <v>Residential</v>
      </c>
      <c r="D173" s="3" t="str">
        <f t="shared" si="47"/>
        <v>with CL</v>
      </c>
      <c r="E173" s="3" t="s">
        <v>16</v>
      </c>
      <c r="F173" s="41">
        <f t="array" ref="F173">IFERROR(INDEX(Usage!$B$5:$T$18,MATCH($B173,Usage!$B$5:$B$18,0),MATCH($C173&amp;$D173&amp;$E173,Usage!$B$5:$W$5&amp;Usage!$B$6:$W$6&amp;Usage!$B$7:$W$7,0)),0)</f>
        <v>1349</v>
      </c>
      <c r="G173" s="23" t="s">
        <v>67</v>
      </c>
      <c r="H173" s="93">
        <f t="array" ref="H173">IFERROR(INDEX('Detail inputs'!$B$3:$L$304,MATCH($B173&amp;$C173&amp;$E173&amp;$G173&amp;H$5&amp;$T173,'Detail inputs'!$B$3:$B$304&amp;'Detail inputs'!$D$3:$D$304&amp;'Detail inputs'!$F$3:$F$304&amp;'Detail inputs'!$G$3:$G$304&amp;'Detail inputs'!$H$3:$H$304&amp;'Detail inputs'!$L$3:$L$304,0),MATCH(H$4,'Detail inputs'!$B$3:$L$3,0)),0)</f>
        <v>10.690849999999999</v>
      </c>
      <c r="I173" s="93">
        <f t="array" ref="I173">IFERROR(INDEX('Detail inputs'!$B$3:$L$304,MATCH($B173&amp;$C173&amp;$E173&amp;$G173&amp;I$5&amp;$T173,'Detail inputs'!$B$3:$B$304&amp;'Detail inputs'!$D$3:$D$304&amp;'Detail inputs'!$F$3:$F$304&amp;'Detail inputs'!$G$3:$G$304&amp;'Detail inputs'!$H$3:$H$304&amp;'Detail inputs'!$L$3:$L$304,0),MATCH(I$4,'Detail inputs'!$B$3:$L$3,0)),0)</f>
        <v>0</v>
      </c>
      <c r="J173" s="93">
        <f>IF(AND(H173="",I173=""),"",H173*INDEX(Usage!$B$4:$Q$18,MATCH($B173,Usage!$B$4:$B$18,0),MATCH(IF($E173="CL1","CL1 Proportion","CL2 Proportion"),Usage!$B$8:$Q$8,0))+I173*F173/1000)</f>
        <v>7.5905034999999987</v>
      </c>
      <c r="K173" s="44">
        <f>IFERROR(J173/J174,"")</f>
        <v>8.0801618322445368E-2</v>
      </c>
      <c r="L173" s="44"/>
      <c r="M173" s="49">
        <f t="array" ref="M173">IFERROR(IF($S173="Indicative tariff",$Q173/$J173-1,IF($S173="Zero",0,IF($S173="NA","",IF($S173="Draft x-factor",INDEX('Detail inputs'!$B$3:$P$304,MATCH($B173&amp;$G173&amp;$S173,'Detail inputs'!$B$3:$B$304&amp;'Detail inputs'!$G$3:$G$304&amp;'Detail inputs'!$H$3:$H$304,0),MATCH(M$4,'Detail inputs'!$B$3:$P$3,0)))))),"")</f>
        <v>9.2523045407989279E-2</v>
      </c>
      <c r="N173" s="44"/>
      <c r="O173" s="93">
        <f t="array" ref="O173">IFERROR(IF(OR($S173="NA",$S173="Draft x-factor"),"",IF($S173="Zero",H173,INDEX('Detail inputs'!$B$3:$L$304,MATCH($B173&amp;$C173&amp;$E173&amp;$G173&amp;O$5&amp;$T173,'Detail inputs'!$B$3:$B$304&amp;'Detail inputs'!$D$3:$D$304&amp;'Detail inputs'!$F$3:$F$304&amp;'Detail inputs'!$G$3:$G$304&amp;'Detail inputs'!$H$3:$H$304&amp;'Detail inputs'!$L$3:$L$304,0),MATCH(O$4,'Detail inputs'!$B$3:$L$3,0)))),0)</f>
        <v>11.68</v>
      </c>
      <c r="P173" s="93">
        <f t="array" ref="P173">IFERROR(IF(OR($S173="NA",$S173="Draft x-factor"),"",IF($S173="Zero",I173,INDEX('Detail inputs'!$B$3:$L$304,MATCH($B173&amp;$C173&amp;$E173&amp;$G173&amp;P$5&amp;$T173,'Detail inputs'!$B$3:$B$304&amp;'Detail inputs'!$D$3:$D$304&amp;'Detail inputs'!$F$3:$F$304&amp;'Detail inputs'!$G$3:$G$304&amp;'Detail inputs'!$H$3:$H$304&amp;'Detail inputs'!$L$3:$L$304,0),MATCH(P$4,'Detail inputs'!$B$3:$L$3,0)))),0)</f>
        <v>0</v>
      </c>
      <c r="Q173" s="93">
        <f>IF(AND(O173="",P173=""),"",O173*INDEX(Usage!$B$4:$Q$18,MATCH($B173,Usage!$B$4:$B$18,0),MATCH(IF($E173="CL1","CL1 Proportion","CL2 Proportion"),Usage!$B$8:$Q$8,0))+P173*$F173/1000)</f>
        <v>8.2927999999999997</v>
      </c>
      <c r="R173" s="44">
        <f>IFERROR(Q173/Q174,"")</f>
        <v>0.13324055167064031</v>
      </c>
      <c r="S173" s="21" t="str">
        <f t="array" ref="S173">INDEX('Key inputs'!$B$35:$J$41,MATCH($B173,'Key inputs'!$B$35:$B$41,0),MATCH($G173&amp;S$5,'Key inputs'!$B$35:$J$35&amp;'Key inputs'!$B$36:$J$36,0))</f>
        <v>Indicative tariff</v>
      </c>
    </row>
    <row r="174" spans="2:20" x14ac:dyDescent="0.3">
      <c r="B174" s="3" t="str">
        <f t="shared" si="45"/>
        <v>Energex</v>
      </c>
      <c r="C174" s="3" t="str">
        <f t="shared" si="46"/>
        <v>Residential</v>
      </c>
      <c r="D174" s="3" t="str">
        <f t="shared" si="47"/>
        <v>with CL</v>
      </c>
      <c r="E174" s="3" t="s">
        <v>16</v>
      </c>
      <c r="F174" s="41">
        <f t="array" ref="F174">IFERROR(INDEX(Usage!$B$5:$T$18,MATCH($B174,Usage!$B$5:$B$18,0),MATCH($C174&amp;$D174&amp;$E174,Usage!$B$5:$W$5&amp;Usage!$B$6:$W$6&amp;Usage!$B$7:$W$7,0)),0)</f>
        <v>1349</v>
      </c>
      <c r="G174" s="3" t="s">
        <v>58</v>
      </c>
      <c r="J174" s="99">
        <f>SUM(J172:J173)</f>
        <v>93.9399935</v>
      </c>
      <c r="K174" s="44"/>
      <c r="M174" s="49">
        <f>IF(J174=0,"",IF(OR($S173="Draft x-factor",$S173="Zero"),SUMPRODUCT(K172:K173,M172:M173),Q174/J174-1))</f>
        <v>-0.33745673508057028</v>
      </c>
      <c r="N174" s="92"/>
      <c r="O174" s="99"/>
      <c r="P174" s="99"/>
      <c r="Q174" s="99">
        <f>IF(AND(Q172="",Q173=""),J174*(1+M174),SUM(Q172:Q173))</f>
        <v>62.239310000000003</v>
      </c>
      <c r="R174" s="44"/>
      <c r="S174" s="27"/>
    </row>
    <row r="175" spans="2:20" s="81" customFormat="1" x14ac:dyDescent="0.3">
      <c r="B175" s="81" t="str">
        <f t="shared" si="45"/>
        <v>Energex</v>
      </c>
      <c r="C175" s="81" t="str">
        <f t="shared" si="46"/>
        <v>Residential</v>
      </c>
      <c r="D175" s="81" t="str">
        <f t="shared" si="47"/>
        <v>with CL</v>
      </c>
      <c r="E175" s="81" t="s">
        <v>58</v>
      </c>
      <c r="F175" s="41">
        <f t="array" ref="F175">IFERROR(INDEX(Usage!$B$5:$T$18,MATCH($B175,Usage!$B$5:$B$18,0),MATCH($C175&amp;$D175&amp;$E175,Usage!$B$5:$W$5&amp;Usage!$B$6:$W$6&amp;Usage!$B$7:$W$7,0)),0)</f>
        <v>6300</v>
      </c>
      <c r="G175" s="81" t="s">
        <v>58</v>
      </c>
      <c r="H175" s="99"/>
      <c r="I175" s="99"/>
      <c r="J175" s="99">
        <f>J162+J168+J174</f>
        <v>714.98700999999994</v>
      </c>
      <c r="K175" s="91"/>
      <c r="L175" s="92"/>
      <c r="M175" s="83">
        <f t="shared" ref="M175" si="48">IF(OR(J175=0,Q175=""),"",Q175/J175-1)</f>
        <v>-0.13772762109342351</v>
      </c>
      <c r="N175" s="92"/>
      <c r="O175" s="99"/>
      <c r="P175" s="99"/>
      <c r="Q175" s="99">
        <f>Q162+Q168+Q174</f>
        <v>616.51355000000012</v>
      </c>
      <c r="R175" s="91"/>
      <c r="S175" s="92"/>
      <c r="T175" s="92"/>
    </row>
    <row r="176" spans="2:20" x14ac:dyDescent="0.3">
      <c r="B176" s="3" t="str">
        <f t="shared" ref="B176:D177" si="49">B175</f>
        <v>Energex</v>
      </c>
      <c r="C176" s="3" t="str">
        <f t="shared" si="49"/>
        <v>Residential</v>
      </c>
      <c r="D176" s="3" t="str">
        <f t="shared" si="49"/>
        <v>with CL</v>
      </c>
      <c r="E176" s="81"/>
      <c r="F176" s="82"/>
      <c r="G176" s="81" t="s">
        <v>41</v>
      </c>
      <c r="H176" s="99"/>
      <c r="I176" s="99"/>
      <c r="J176" s="99">
        <f>J175*GST</f>
        <v>71.498700999999997</v>
      </c>
      <c r="K176" s="91"/>
      <c r="L176" s="92"/>
      <c r="M176" s="83"/>
      <c r="N176" s="92"/>
      <c r="O176" s="99"/>
      <c r="P176" s="99"/>
      <c r="Q176" s="99">
        <f>Q175*GST</f>
        <v>61.651355000000017</v>
      </c>
      <c r="R176" s="91"/>
      <c r="S176" s="27"/>
      <c r="T176" s="27"/>
    </row>
    <row r="177" spans="2:20" x14ac:dyDescent="0.3">
      <c r="B177" s="3" t="str">
        <f t="shared" si="49"/>
        <v>Energex</v>
      </c>
      <c r="C177" s="3" t="str">
        <f t="shared" si="49"/>
        <v>Residential</v>
      </c>
      <c r="D177" s="3" t="str">
        <f t="shared" si="49"/>
        <v>with CL</v>
      </c>
      <c r="E177" s="81"/>
      <c r="F177" s="82"/>
      <c r="G177" s="5" t="s">
        <v>91</v>
      </c>
      <c r="H177" s="98"/>
      <c r="I177" s="98"/>
      <c r="J177" s="98">
        <f>SUM(J175:J176)</f>
        <v>786.48571099999992</v>
      </c>
      <c r="K177" s="79"/>
      <c r="L177" s="27"/>
      <c r="M177" s="80">
        <f>IF(OR(J177=0,Q177=""),"",Q177/J177-1)</f>
        <v>-0.13772762109342362</v>
      </c>
      <c r="N177" s="27"/>
      <c r="O177" s="98"/>
      <c r="P177" s="98"/>
      <c r="Q177" s="98">
        <f>SUM(Q175:Q176)</f>
        <v>678.16490500000009</v>
      </c>
      <c r="R177" s="79"/>
      <c r="S177" s="27"/>
      <c r="T177" s="27"/>
    </row>
    <row r="178" spans="2:20" x14ac:dyDescent="0.3">
      <c r="F178" s="41"/>
      <c r="K178" s="44"/>
      <c r="M178" s="49"/>
      <c r="R178" s="44"/>
    </row>
    <row r="179" spans="2:20" x14ac:dyDescent="0.3">
      <c r="B179" s="5" t="s">
        <v>0</v>
      </c>
      <c r="C179" s="5" t="s">
        <v>14</v>
      </c>
      <c r="D179" s="5" t="s">
        <v>158</v>
      </c>
      <c r="E179" s="5"/>
      <c r="F179" s="78"/>
      <c r="K179" s="44"/>
      <c r="M179" s="49"/>
      <c r="R179" s="44"/>
    </row>
    <row r="180" spans="2:20" x14ac:dyDescent="0.3">
      <c r="B180" s="3" t="str">
        <f t="shared" ref="B180:D187" si="50">B179</f>
        <v>Energex</v>
      </c>
      <c r="C180" s="3" t="str">
        <f t="shared" si="50"/>
        <v>Small business</v>
      </c>
      <c r="D180" s="3" t="str">
        <f t="shared" si="50"/>
        <v>without CL</v>
      </c>
      <c r="E180" s="3" t="s">
        <v>24</v>
      </c>
      <c r="F180" s="41">
        <f t="array" ref="F180">IFERROR(INDEX(Usage!$B$5:$T$18,MATCH($B180,Usage!$B$5:$B$18,0),MATCH($C180&amp;$D180&amp;$E180,Usage!$B$5:$W$5&amp;Usage!$B$6:$W$6&amp;Usage!$B$7:$W$7,0)),0)</f>
        <v>20000</v>
      </c>
      <c r="G180" s="3" t="s">
        <v>54</v>
      </c>
      <c r="H180" s="93">
        <f t="array" ref="H180">IFERROR(INDEX('Detail inputs'!$B$3:$L$304,MATCH($B180&amp;$C180&amp;$E180&amp;$G180&amp;H$5&amp;$T180,'Detail inputs'!$B$3:$B$304&amp;'Detail inputs'!$D$3:$D$304&amp;'Detail inputs'!$F$3:$F$304&amp;'Detail inputs'!$G$3:$G$304&amp;'Detail inputs'!$H$3:$H$304&amp;'Detail inputs'!$L$3:$L$304,0),MATCH(H$4,'Detail inputs'!$B$3:$L$3,0)),0)</f>
        <v>173.01</v>
      </c>
      <c r="I180" s="93">
        <f t="array" ref="I180">IFERROR(INDEX('Detail inputs'!$B$3:$L$304,MATCH($B180&amp;$C180&amp;$E180&amp;$G180&amp;I$5&amp;$T180,'Detail inputs'!$B$3:$B$304&amp;'Detail inputs'!$D$3:$D$304&amp;'Detail inputs'!$F$3:$F$304&amp;'Detail inputs'!$G$3:$G$304&amp;'Detail inputs'!$H$3:$H$304&amp;'Detail inputs'!$L$3:$L$304,0),MATCH(I$4,'Detail inputs'!$B$3:$L$3,0)),0)</f>
        <v>76.95</v>
      </c>
      <c r="J180" s="93">
        <f>IF(AND(H180="",I180=""),"",H180+I180*F180/1000)</f>
        <v>1712.01</v>
      </c>
      <c r="K180" s="44">
        <f>IFERROR(J180/J183,"")</f>
        <v>0.85522247143863372</v>
      </c>
      <c r="L180" s="44"/>
      <c r="M180" s="49">
        <f t="array" ref="M180">IFERROR(IF($S180="Indicative tariff",$Q180/$J180-1,IF($S180="Zero",0,IF($S180="NA","",IF($S180="Draft x-factor",INDEX('Detail inputs'!$B$3:$P$304,MATCH($B180&amp;$G180&amp;$S180,'Detail inputs'!$B$3:$B$304&amp;'Detail inputs'!$G$3:$G$304&amp;'Detail inputs'!$H$3:$H$304,0),MATCH(M$4,'Detail inputs'!$B$3:$P$3,0)))))),"")</f>
        <v>-0.13164934784259441</v>
      </c>
      <c r="N180" s="44"/>
      <c r="O180" s="93">
        <f t="array" ref="O180">IFERROR(IF(OR($S180="NA",$S180="Draft x-factor",$S180="Zero"),"",INDEX('Detail inputs'!$B$3:$L$304,MATCH($B180&amp;$C180&amp;$E180&amp;$G180&amp;O$5&amp;$T180,'Detail inputs'!$B$3:$B$304&amp;'Detail inputs'!$D$3:$D$304&amp;'Detail inputs'!$F$3:$F$304&amp;'Detail inputs'!$G$3:$G$304&amp;'Detail inputs'!$H$3:$H$304&amp;'Detail inputs'!$L$3:$L$304,0),MATCH(O$4,'Detail inputs'!$B$3:$L$3,0))),0)</f>
        <v>177.02500000000001</v>
      </c>
      <c r="P180" s="93">
        <f t="array" ref="P180">IFERROR(IF(OR($S180="NA",$S180="Draft x-factor",$S180="Zero"),"",INDEX('Detail inputs'!$B$3:$L$304,MATCH($B180&amp;$C180&amp;$E180&amp;$G180&amp;P$5&amp;$T180,'Detail inputs'!$B$3:$B$304&amp;'Detail inputs'!$D$3:$D$304&amp;'Detail inputs'!$F$3:$F$304&amp;'Detail inputs'!$G$3:$G$304&amp;'Detail inputs'!$H$3:$H$304&amp;'Detail inputs'!$L$3:$L$304,0),MATCH(P$4,'Detail inputs'!$B$3:$L$3,0))),0)</f>
        <v>65.48</v>
      </c>
      <c r="Q180" s="93">
        <f>IF(AND(O180="",P180=""),"",O180+P180*F180/1000)</f>
        <v>1486.625</v>
      </c>
      <c r="R180" s="44">
        <f>IFERROR(Q180/Q183,"")</f>
        <v>0.84015270109128726</v>
      </c>
      <c r="S180" s="21" t="str">
        <f t="array" ref="S180">INDEX('Key inputs'!$B$35:$J$41,MATCH($B180,'Key inputs'!$B$35:$B$41,0),MATCH($G180&amp;S$5,'Key inputs'!$B$35:$J$35&amp;'Key inputs'!$B$36:$J$36,0))</f>
        <v>Indicative tariff</v>
      </c>
    </row>
    <row r="181" spans="2:20" x14ac:dyDescent="0.3">
      <c r="B181" s="3" t="str">
        <f t="shared" si="50"/>
        <v>Energex</v>
      </c>
      <c r="C181" s="3" t="str">
        <f t="shared" si="50"/>
        <v>Small business</v>
      </c>
      <c r="D181" s="3" t="str">
        <f t="shared" si="50"/>
        <v>without CL</v>
      </c>
      <c r="E181" s="3" t="s">
        <v>24</v>
      </c>
      <c r="F181" s="41">
        <f t="array" ref="F181">IFERROR(INDEX(Usage!$B$5:$T$18,MATCH($B181,Usage!$B$5:$B$18,0),MATCH($C181&amp;$D181&amp;$E181,Usage!$B$5:$W$5&amp;Usage!$B$6:$W$6&amp;Usage!$B$7:$W$7,0)),0)</f>
        <v>20000</v>
      </c>
      <c r="G181" s="3" t="s">
        <v>55</v>
      </c>
      <c r="H181" s="93">
        <f t="array" ref="H181">IFERROR(INDEX('Detail inputs'!$B$3:$L$304,MATCH($B181&amp;$C181&amp;$E181&amp;$G181&amp;H$5&amp;$T181,'Detail inputs'!$B$3:$B$304&amp;'Detail inputs'!$D$3:$D$304&amp;'Detail inputs'!$F$3:$F$304&amp;'Detail inputs'!$G$3:$G$304&amp;'Detail inputs'!$H$3:$H$304&amp;'Detail inputs'!$L$3:$L$304,0),MATCH(H$4,'Detail inputs'!$B$3:$L$3,0)),0)</f>
        <v>68.62</v>
      </c>
      <c r="I181" s="93">
        <f t="array" ref="I181">IFERROR(INDEX('Detail inputs'!$B$3:$L$304,MATCH($B181&amp;$C181&amp;$E181&amp;$G181&amp;I$5&amp;$T181,'Detail inputs'!$B$3:$B$304&amp;'Detail inputs'!$D$3:$D$304&amp;'Detail inputs'!$F$3:$F$304&amp;'Detail inputs'!$G$3:$G$304&amp;'Detail inputs'!$H$3:$H$304&amp;'Detail inputs'!$L$3:$L$304,0),MATCH(I$4,'Detail inputs'!$B$3:$L$3,0)),0)</f>
        <v>11.06</v>
      </c>
      <c r="J181" s="93">
        <f>IF(AND(H181="",I181=""),"",H181+I181*F181/1000)</f>
        <v>289.82</v>
      </c>
      <c r="K181" s="44">
        <f>IFERROR(J181/J183,"")</f>
        <v>0.14477752856136636</v>
      </c>
      <c r="L181" s="44"/>
      <c r="M181" s="49">
        <f t="array" ref="M181">IFERROR(IF($S181="Indicative tariff",$Q181/$J181-1,IF($S181="Zero",0,IF($S181="NA","",IF($S181="Draft x-factor",INDEX('Detail inputs'!$B$3:$P$304,MATCH($B181&amp;$G181&amp;$S181,'Detail inputs'!$B$3:$B$304&amp;'Detail inputs'!$G$3:$G$304&amp;'Detail inputs'!$H$3:$H$304,0),MATCH(M$4,'Detail inputs'!$B$3:$P$3,0)))))),"")</f>
        <v>-2.4066662066109856E-2</v>
      </c>
      <c r="N181" s="44"/>
      <c r="O181" s="93">
        <f t="array" ref="O181">IFERROR(IF(OR($S181="NA",$S181="Draft x-factor",$S181="Zero"),"",INDEX('Detail inputs'!$B$3:$L$304,MATCH($B181&amp;$C181&amp;$E181&amp;$G181&amp;O$5&amp;$T181,'Detail inputs'!$B$3:$B$304&amp;'Detail inputs'!$D$3:$D$304&amp;'Detail inputs'!$F$3:$F$304&amp;'Detail inputs'!$G$3:$G$304&amp;'Detail inputs'!$H$3:$H$304&amp;'Detail inputs'!$L$3:$L$304,0),MATCH(O$4,'Detail inputs'!$B$3:$L$3,0))),0)</f>
        <v>70.445000000000007</v>
      </c>
      <c r="P181" s="93">
        <f t="array" ref="P181">IFERROR(IF(OR($S181="NA",$S181="Draft x-factor",$S181="Zero"),"",INDEX('Detail inputs'!$B$3:$L$304,MATCH($B181&amp;$C181&amp;$E181&amp;$G181&amp;P$5&amp;$T181,'Detail inputs'!$B$3:$B$304&amp;'Detail inputs'!$D$3:$D$304&amp;'Detail inputs'!$F$3:$F$304&amp;'Detail inputs'!$G$3:$G$304&amp;'Detail inputs'!$H$3:$H$304&amp;'Detail inputs'!$L$3:$L$304,0),MATCH(P$4,'Detail inputs'!$B$3:$L$3,0))),0)</f>
        <v>10.620000000000001</v>
      </c>
      <c r="Q181" s="93">
        <f>IF(AND(O181="",P181=""),"",O181+P181*F181/1000)</f>
        <v>282.84500000000003</v>
      </c>
      <c r="R181" s="44">
        <f>IFERROR(Q181/Q183,"")</f>
        <v>0.1598472989087128</v>
      </c>
      <c r="S181" s="21" t="str">
        <f t="array" ref="S181">INDEX('Key inputs'!$B$35:$J$41,MATCH($B181,'Key inputs'!$B$35:$B$41,0),MATCH($G181&amp;S$5,'Key inputs'!$B$35:$J$35&amp;'Key inputs'!$B$36:$J$36,0))</f>
        <v>Indicative tariff</v>
      </c>
    </row>
    <row r="182" spans="2:20" x14ac:dyDescent="0.3">
      <c r="B182" s="3" t="str">
        <f t="shared" si="50"/>
        <v>Energex</v>
      </c>
      <c r="C182" s="3" t="str">
        <f t="shared" si="50"/>
        <v>Small business</v>
      </c>
      <c r="D182" s="3" t="str">
        <f t="shared" si="50"/>
        <v>without CL</v>
      </c>
      <c r="E182" s="3" t="s">
        <v>24</v>
      </c>
      <c r="F182" s="41">
        <f t="array" ref="F182">IFERROR(INDEX(Usage!$B$5:$T$18,MATCH($B182,Usage!$B$5:$B$18,0),MATCH($C182&amp;$D182&amp;$E182,Usage!$B$5:$W$5&amp;Usage!$B$6:$W$6&amp;Usage!$B$7:$W$7,0)),0)</f>
        <v>20000</v>
      </c>
      <c r="G182" s="3" t="s">
        <v>86</v>
      </c>
      <c r="H182" s="93">
        <f t="array" ref="H182">IFERROR(INDEX('Detail inputs'!$B$3:$L$304,MATCH($B182&amp;$C182&amp;$E182&amp;$G182&amp;H$5&amp;$T182,'Detail inputs'!$B$3:$B$304&amp;'Detail inputs'!$D$3:$D$304&amp;'Detail inputs'!$F$3:$F$304&amp;'Detail inputs'!$G$3:$G$304&amp;'Detail inputs'!$H$3:$H$304&amp;'Detail inputs'!$L$3:$L$304,0),MATCH(H$4,'Detail inputs'!$B$3:$L$3,0)),0)</f>
        <v>0</v>
      </c>
      <c r="I182" s="93">
        <f t="array" ref="I182">IFERROR(INDEX('Detail inputs'!$B$3:$L$304,MATCH($B182&amp;$C182&amp;$E182&amp;$G182&amp;I$5&amp;$T182,'Detail inputs'!$B$3:$B$304&amp;'Detail inputs'!$D$3:$D$304&amp;'Detail inputs'!$F$3:$F$304&amp;'Detail inputs'!$G$3:$G$304&amp;'Detail inputs'!$H$3:$H$304&amp;'Detail inputs'!$L$3:$L$304,0),MATCH(I$4,'Detail inputs'!$B$3:$L$3,0)),0)</f>
        <v>0</v>
      </c>
      <c r="J182" s="93">
        <f>IF(AND(H182="",I182=""),"",H182+I182*F182/1000)</f>
        <v>0</v>
      </c>
      <c r="K182" s="44">
        <f>IFERROR(J182/J183,"")</f>
        <v>0</v>
      </c>
      <c r="L182" s="44"/>
      <c r="M182" s="49" t="str">
        <f t="array" ref="M182">IFERROR(IF($S182="Indicative tariff",$Q182/$J182-1,IF($S182="Zero",0,IF($S182="NA","",IF($S182="Draft x-factor",INDEX('Detail inputs'!$B$3:$P$304,MATCH($B182&amp;$G182&amp;$S182,'Detail inputs'!$B$3:$B$304&amp;'Detail inputs'!$G$3:$G$304&amp;'Detail inputs'!$H$3:$H$304,0),MATCH(M$4,'Detail inputs'!$B$3:$P$3,0)))))),"")</f>
        <v/>
      </c>
      <c r="N182" s="44"/>
      <c r="O182" s="93">
        <f t="array" ref="O182">IFERROR(IF(OR($S182="NA",$S182="Draft x-factor",$S182="Zero"),"",INDEX('Detail inputs'!$B$3:$L$304,MATCH($B182&amp;$C182&amp;$E182&amp;$G182&amp;O$5&amp;$T182,'Detail inputs'!$B$3:$B$304&amp;'Detail inputs'!$D$3:$D$304&amp;'Detail inputs'!$F$3:$F$304&amp;'Detail inputs'!$G$3:$G$304&amp;'Detail inputs'!$H$3:$H$304&amp;'Detail inputs'!$L$3:$L$304,0),MATCH(O$4,'Detail inputs'!$B$3:$L$3,0))),0)</f>
        <v>0</v>
      </c>
      <c r="P182" s="93">
        <f t="array" ref="P182">IFERROR(IF(OR($S182="NA",$S182="Draft x-factor",$S182="Zero"),"",INDEX('Detail inputs'!$B$3:$L$304,MATCH($B182&amp;$C182&amp;$E182&amp;$G182&amp;P$5&amp;$T182,'Detail inputs'!$B$3:$B$304&amp;'Detail inputs'!$D$3:$D$304&amp;'Detail inputs'!$F$3:$F$304&amp;'Detail inputs'!$G$3:$G$304&amp;'Detail inputs'!$H$3:$H$304&amp;'Detail inputs'!$L$3:$L$304,0),MATCH(P$4,'Detail inputs'!$B$3:$L$3,0))),0)</f>
        <v>0</v>
      </c>
      <c r="Q182" s="93">
        <f>IF(AND(O182="",P182=""),"",O182+P182*F182/1000)</f>
        <v>0</v>
      </c>
      <c r="R182" s="44">
        <f>IFERROR(Q182/Q183,"")</f>
        <v>0</v>
      </c>
      <c r="S182" s="21" t="str">
        <f t="array" ref="S182">INDEX('Key inputs'!$B$35:$J$41,MATCH($B182,'Key inputs'!$B$35:$B$41,0),MATCH($G182&amp;S$5,'Key inputs'!$B$35:$J$35&amp;'Key inputs'!$B$36:$J$36,0))</f>
        <v>Indicative tariff</v>
      </c>
    </row>
    <row r="183" spans="2:20" x14ac:dyDescent="0.3">
      <c r="B183" s="3" t="str">
        <f t="shared" si="50"/>
        <v>Energex</v>
      </c>
      <c r="C183" s="3" t="str">
        <f t="shared" si="50"/>
        <v>Small business</v>
      </c>
      <c r="D183" s="3" t="str">
        <f t="shared" si="50"/>
        <v>without CL</v>
      </c>
      <c r="E183" s="3" t="s">
        <v>24</v>
      </c>
      <c r="F183" s="41">
        <f t="array" ref="F183">IFERROR(INDEX(Usage!$B$5:$T$18,MATCH($B183,Usage!$B$5:$B$18,0),MATCH($C183&amp;$D183&amp;$E183,Usage!$B$5:$W$5&amp;Usage!$B$6:$W$6&amp;Usage!$B$7:$W$7,0)),0)</f>
        <v>20000</v>
      </c>
      <c r="G183" s="3" t="s">
        <v>65</v>
      </c>
      <c r="J183" s="93">
        <f>SUM(J180:J182)</f>
        <v>2001.83</v>
      </c>
      <c r="K183" s="44">
        <f>IFERROR(J183/J185,"")</f>
        <v>0.98251191323241327</v>
      </c>
      <c r="L183" s="44"/>
      <c r="M183" s="49">
        <f>IF(J183=0,"",IF(Q183="",SUMPRODUCT(K180:K181,M180:M181),Q183/J183-1))</f>
        <v>-0.11607379247988081</v>
      </c>
      <c r="N183" s="44"/>
      <c r="O183" s="93" t="str">
        <f t="array" ref="O183">IFERROR(IF(OR($S183="NA",$S183="Draft x-factor",$S183="Sum"),"",INDEX('Detail inputs'!$B$3:$L$304,MATCH($B183&amp;$C183&amp;$E183&amp;$G183&amp;O$5&amp;$T183,'Detail inputs'!$B$3:$B$304&amp;'Detail inputs'!$D$3:$D$304&amp;'Detail inputs'!$F$3:$F$304&amp;'Detail inputs'!$G$3:$G$304&amp;'Detail inputs'!$H$3:$H$304&amp;'Detail inputs'!$L$3:$L$304,0),MATCH(O$4,'Detail inputs'!$B$3:$L$3,0))),0)</f>
        <v/>
      </c>
      <c r="P183" s="93" t="str">
        <f t="array" ref="P183">IFERROR(IF(OR($S183="NA",$S183="Draft x-factor",$S183="Sum"),"",INDEX('Detail inputs'!$B$3:$L$304,MATCH($B183&amp;$C183&amp;$E183&amp;$G183&amp;P$5&amp;$T183,'Detail inputs'!$B$3:$B$304&amp;'Detail inputs'!$D$3:$D$304&amp;'Detail inputs'!$F$3:$F$304&amp;'Detail inputs'!$G$3:$G$304&amp;'Detail inputs'!$H$3:$H$304&amp;'Detail inputs'!$L$3:$L$304,0),MATCH(P$4,'Detail inputs'!$B$3:$L$3,0))),0)</f>
        <v/>
      </c>
      <c r="Q183" s="93">
        <f>IF($S183="NA","",IF($S183="Indicative tariff",O183+P183*F183/1000,IF($S183="Sum",SUM(Q180:Q182))))</f>
        <v>1769.47</v>
      </c>
      <c r="R183" s="44">
        <f>IFERROR(Q183/Q185,"")</f>
        <v>0.97847022116815618</v>
      </c>
      <c r="S183" s="21" t="str">
        <f t="array" ref="S183">INDEX('Key inputs'!$B$35:$J$41,MATCH($B183,'Key inputs'!$B$35:$B$41,0),MATCH($G183&amp;S$5,'Key inputs'!$B$35:$J$35&amp;'Key inputs'!$B$36:$J$36,0))</f>
        <v>Sum</v>
      </c>
    </row>
    <row r="184" spans="2:20" x14ac:dyDescent="0.3">
      <c r="B184" s="3" t="str">
        <f t="shared" si="50"/>
        <v>Energex</v>
      </c>
      <c r="C184" s="3" t="str">
        <f t="shared" si="50"/>
        <v>Small business</v>
      </c>
      <c r="D184" s="3" t="str">
        <f t="shared" si="50"/>
        <v>without CL</v>
      </c>
      <c r="E184" s="3" t="s">
        <v>24</v>
      </c>
      <c r="F184" s="41">
        <f t="array" ref="F184">IFERROR(INDEX(Usage!$B$5:$T$18,MATCH($B184,Usage!$B$5:$B$18,0),MATCH($C184&amp;$D184&amp;$E184,Usage!$B$5:$W$5&amp;Usage!$B$6:$W$6&amp;Usage!$B$7:$W$7,0)),0)</f>
        <v>20000</v>
      </c>
      <c r="G184" s="3" t="s">
        <v>67</v>
      </c>
      <c r="H184" s="93">
        <f t="array" ref="H184">IFERROR(INDEX('Detail inputs'!$B$3:$L$304,MATCH($B184&amp;$C184&amp;$E184&amp;$G184&amp;H$5&amp;$T184,'Detail inputs'!$B$3:$B$304&amp;'Detail inputs'!$D$3:$D$304&amp;'Detail inputs'!$F$3:$F$304&amp;'Detail inputs'!$G$3:$G$304&amp;'Detail inputs'!$H$3:$H$304&amp;'Detail inputs'!$L$3:$L$304,0),MATCH(H$4,'Detail inputs'!$B$3:$L$3,0)),0)</f>
        <v>35.631300000000003</v>
      </c>
      <c r="I184" s="93">
        <f t="array" ref="I184">IFERROR(INDEX('Detail inputs'!$B$3:$L$304,MATCH($B184&amp;$C184&amp;$E184&amp;$G184&amp;I$5&amp;$T184,'Detail inputs'!$B$3:$B$304&amp;'Detail inputs'!$D$3:$D$304&amp;'Detail inputs'!$F$3:$F$304&amp;'Detail inputs'!$G$3:$G$304&amp;'Detail inputs'!$H$3:$H$304&amp;'Detail inputs'!$L$3:$L$304,0),MATCH(I$4,'Detail inputs'!$B$3:$L$3,0)),0)</f>
        <v>0</v>
      </c>
      <c r="J184" s="93">
        <f>IF(AND(H184="",I184=""),"",H184+I184*F184/1000)</f>
        <v>35.631300000000003</v>
      </c>
      <c r="K184" s="44">
        <f>IFERROR(J184/J185,"")</f>
        <v>1.7488086767586706E-2</v>
      </c>
      <c r="L184" s="44"/>
      <c r="M184" s="49">
        <f t="array" ref="M184">IFERROR(IF($S184="Indicative tariff",$Q184/$J184-1,IF($S184="Zero",0,IF($S184="NA","",IF($S184="Draft x-factor",INDEX('Detail inputs'!$B$3:$P$304,MATCH($B184&amp;$G184&amp;$S184,'Detail inputs'!$B$3:$B$304&amp;'Detail inputs'!$G$3:$G$304&amp;'Detail inputs'!$H$3:$H$304,0),MATCH(M$4,'Detail inputs'!$B$3:$P$3,0)))))),"")</f>
        <v>9.270641262036472E-2</v>
      </c>
      <c r="N184" s="44"/>
      <c r="O184" s="93">
        <f t="array" ref="O184">IFERROR(IF(OR($S184="NA",$S184="Draft x-factor"),"",IF($S184="Zero",H184,INDEX('Detail inputs'!$B$3:$L$304,MATCH($B184&amp;$C184&amp;$E184&amp;$G184&amp;O$5&amp;$T184,'Detail inputs'!$B$3:$B$304&amp;'Detail inputs'!$D$3:$D$304&amp;'Detail inputs'!$F$3:$F$304&amp;'Detail inputs'!$G$3:$G$304&amp;'Detail inputs'!$H$3:$H$304&amp;'Detail inputs'!$L$3:$L$304,0),MATCH(O$4,'Detail inputs'!$B$3:$L$3,0)))),0)</f>
        <v>38.934550000000002</v>
      </c>
      <c r="P184" s="93">
        <f t="array" ref="P184">IFERROR(IF(OR($S184="NA",$S184="Draft x-factor"),"",IF($S184="Zero",I184,INDEX('Detail inputs'!$B$3:$L$304,MATCH($B184&amp;$C184&amp;$E184&amp;$G184&amp;P$5&amp;$T184,'Detail inputs'!$B$3:$B$304&amp;'Detail inputs'!$D$3:$D$304&amp;'Detail inputs'!$F$3:$F$304&amp;'Detail inputs'!$G$3:$G$304&amp;'Detail inputs'!$H$3:$H$304&amp;'Detail inputs'!$L$3:$L$304,0),MATCH(P$4,'Detail inputs'!$B$3:$L$3,0)))),0)</f>
        <v>0</v>
      </c>
      <c r="Q184" s="93">
        <f>IF(AND(O184="",P184=""),"",O184+P184*F184/1000)</f>
        <v>38.934550000000002</v>
      </c>
      <c r="R184" s="44">
        <f>IFERROR(Q184/Q185,"")</f>
        <v>2.1529778831843795E-2</v>
      </c>
      <c r="S184" s="21" t="str">
        <f t="array" ref="S184">INDEX('Key inputs'!$B$35:$J$41,MATCH($B184,'Key inputs'!$B$35:$B$41,0),MATCH($G184&amp;S$5,'Key inputs'!$B$35:$J$35&amp;'Key inputs'!$B$36:$J$36,0))</f>
        <v>Indicative tariff</v>
      </c>
    </row>
    <row r="185" spans="2:20" s="81" customFormat="1" x14ac:dyDescent="0.3">
      <c r="B185" s="81" t="str">
        <f t="shared" si="50"/>
        <v>Energex</v>
      </c>
      <c r="C185" s="81" t="str">
        <f t="shared" si="50"/>
        <v>Small business</v>
      </c>
      <c r="D185" s="81" t="str">
        <f t="shared" si="50"/>
        <v>without CL</v>
      </c>
      <c r="E185" s="3" t="s">
        <v>24</v>
      </c>
      <c r="F185" s="41">
        <f t="array" ref="F185">IFERROR(INDEX(Usage!$B$5:$T$18,MATCH($B185,Usage!$B$5:$B$18,0),MATCH($C185&amp;$D185&amp;$E185,Usage!$B$5:$W$5&amp;Usage!$B$6:$W$6&amp;Usage!$B$7:$W$7,0)),0)</f>
        <v>20000</v>
      </c>
      <c r="G185" s="81" t="s">
        <v>58</v>
      </c>
      <c r="H185" s="99"/>
      <c r="I185" s="99"/>
      <c r="J185" s="99">
        <f>SUM(J183:J184)</f>
        <v>2037.4612999999999</v>
      </c>
      <c r="K185" s="91"/>
      <c r="L185" s="92"/>
      <c r="M185" s="49">
        <f>IF(J185=0,"",IF(OR($S184="Draft x-factor",$S184="Zero"),SUMPRODUCT(K183:K184,M183:M184),Q185/J185-1))</f>
        <v>-0.11242262613773324</v>
      </c>
      <c r="N185" s="92"/>
      <c r="O185" s="99"/>
      <c r="P185" s="99"/>
      <c r="Q185" s="99">
        <f>IF(AND(Q183="",Q184=""),J185*(1+M185),SUM(Q183:Q184))</f>
        <v>1808.40455</v>
      </c>
      <c r="R185" s="91"/>
      <c r="S185" s="92"/>
      <c r="T185" s="92"/>
    </row>
    <row r="186" spans="2:20" x14ac:dyDescent="0.3">
      <c r="B186" s="3" t="str">
        <f t="shared" si="50"/>
        <v>Energex</v>
      </c>
      <c r="C186" s="3" t="str">
        <f t="shared" si="50"/>
        <v>Small business</v>
      </c>
      <c r="D186" s="3" t="str">
        <f t="shared" si="50"/>
        <v>without CL</v>
      </c>
      <c r="E186" s="81"/>
      <c r="F186" s="82"/>
      <c r="G186" s="81" t="s">
        <v>41</v>
      </c>
      <c r="H186" s="99"/>
      <c r="I186" s="99"/>
      <c r="J186" s="99">
        <f>J185*GST</f>
        <v>203.74612999999999</v>
      </c>
      <c r="K186" s="91"/>
      <c r="L186" s="92"/>
      <c r="M186" s="83"/>
      <c r="N186" s="92"/>
      <c r="O186" s="99"/>
      <c r="P186" s="99"/>
      <c r="Q186" s="99">
        <f>Q185*GST</f>
        <v>180.84045500000002</v>
      </c>
      <c r="R186" s="91"/>
      <c r="S186" s="27"/>
      <c r="T186" s="27"/>
    </row>
    <row r="187" spans="2:20" x14ac:dyDescent="0.3">
      <c r="B187" s="3" t="str">
        <f t="shared" si="50"/>
        <v>Energex</v>
      </c>
      <c r="C187" s="3" t="str">
        <f t="shared" si="50"/>
        <v>Small business</v>
      </c>
      <c r="D187" s="3" t="str">
        <f t="shared" si="50"/>
        <v>without CL</v>
      </c>
      <c r="E187" s="81"/>
      <c r="F187" s="82"/>
      <c r="G187" s="5" t="s">
        <v>91</v>
      </c>
      <c r="H187" s="98"/>
      <c r="I187" s="98"/>
      <c r="J187" s="98">
        <f>SUM(J185:J186)</f>
        <v>2241.2074299999999</v>
      </c>
      <c r="K187" s="79"/>
      <c r="L187" s="27"/>
      <c r="M187" s="80">
        <f>IF(OR(J187=0,Q187=""),"",Q187/J187-1)</f>
        <v>-0.11242262613773324</v>
      </c>
      <c r="N187" s="27"/>
      <c r="O187" s="98"/>
      <c r="P187" s="98"/>
      <c r="Q187" s="98">
        <f>SUM(Q185:Q186)</f>
        <v>1989.245005</v>
      </c>
      <c r="R187" s="79"/>
      <c r="S187" s="27"/>
      <c r="T187" s="27"/>
    </row>
    <row r="188" spans="2:20" x14ac:dyDescent="0.3"/>
    <row r="189" spans="2:20" x14ac:dyDescent="0.3">
      <c r="B189" s="5" t="s">
        <v>5</v>
      </c>
      <c r="C189" s="5" t="s">
        <v>6</v>
      </c>
      <c r="D189" s="5" t="s">
        <v>158</v>
      </c>
      <c r="F189" s="41"/>
      <c r="G189" s="77"/>
      <c r="K189" s="44"/>
      <c r="M189" s="49"/>
      <c r="R189" s="44"/>
    </row>
    <row r="190" spans="2:20" x14ac:dyDescent="0.3">
      <c r="B190" s="3" t="str">
        <f t="shared" ref="B190:B199" si="51">B189</f>
        <v>SAPN</v>
      </c>
      <c r="C190" s="3" t="str">
        <f t="shared" ref="C190:C199" si="52">C189</f>
        <v>Residential</v>
      </c>
      <c r="D190" s="3" t="str">
        <f t="shared" ref="D190:D199" si="53">D189</f>
        <v>without CL</v>
      </c>
      <c r="E190" s="3" t="s">
        <v>24</v>
      </c>
      <c r="F190" s="41">
        <f t="array" ref="F190">IFERROR(INDEX(Usage!$B$5:$T$18,MATCH($B190,Usage!$B$5:$B$18,0),MATCH($C190&amp;$D190&amp;$E190&amp;$T190,Usage!$B$5:$W$5&amp;Usage!$B$6:$W$6&amp;Usage!$B$7:$W$7&amp;Usage!$B$13:$W$13,0)),0)</f>
        <v>4000</v>
      </c>
      <c r="G190" s="3" t="s">
        <v>54</v>
      </c>
      <c r="H190" s="93">
        <f t="array" ref="H190">IFERROR(INDEX('Detail inputs'!$B$3:$L$304,MATCH($B190&amp;$C190&amp;$E190&amp;$G190&amp;H$5&amp;$T190,'Detail inputs'!$B$3:$B$304&amp;'Detail inputs'!$D$3:$D$304&amp;'Detail inputs'!$F$3:$F$304&amp;'Detail inputs'!$G$3:$G$304&amp;'Detail inputs'!$H$3:$H$304&amp;'Detail inputs'!$L$3:$L$304,0),MATCH(H$4,'Detail inputs'!$B$3:$L$3,0)),0)</f>
        <v>146.62049999999999</v>
      </c>
      <c r="I190" s="93">
        <f t="array" ref="I190">IFERROR(INDEX('Detail inputs'!$B$3:$L$304,MATCH($B190&amp;$C190&amp;$E190&amp;$G190&amp;I$5&amp;$T190,'Detail inputs'!$B$3:$B$304&amp;'Detail inputs'!$D$3:$D$304&amp;'Detail inputs'!$F$3:$F$304&amp;'Detail inputs'!$G$3:$G$304&amp;'Detail inputs'!$H$3:$H$304&amp;'Detail inputs'!$L$3:$L$304,0),MATCH(I$4,'Detail inputs'!$B$3:$L$3,0)),0)</f>
        <v>98.3</v>
      </c>
      <c r="J190" s="93">
        <f>IF(AND(H190="",I190=""),"",H190+I190*F190/1000)</f>
        <v>539.82050000000004</v>
      </c>
      <c r="K190" s="44">
        <f>IFERROR(J190/J192,"")</f>
        <v>1</v>
      </c>
      <c r="L190" s="44"/>
      <c r="M190" s="49">
        <f t="array" ref="M190">IFERROR(IF($S190="Indicative tariff",$Q190/$J190-1,IF($S190="Zero",0,IF($S190="NA","",IF($S190="Draft x-factor",INDEX('Detail inputs'!$B$3:$P$304,MATCH($B190&amp;$G190&amp;$S190,'Detail inputs'!$B$3:$B$304&amp;'Detail inputs'!$G$3:$G$304&amp;'Detail inputs'!$H$3:$H$304,0),MATCH(M$4,'Detail inputs'!$B$3:$P$3,0)))))),"")</f>
        <v>-6.7467797165909782E-2</v>
      </c>
      <c r="N190" s="44"/>
      <c r="O190" s="93">
        <f t="array" ref="O190">IFERROR(IF(OR($S190="NA",$S190="Draft x-factor",$S190="Zero"),"",INDEX('Detail inputs'!$B$3:$L$304,MATCH($B190&amp;$C190&amp;$E190&amp;$G190&amp;O$5&amp;$T190,'Detail inputs'!$B$3:$B$304&amp;'Detail inputs'!$D$3:$D$304&amp;'Detail inputs'!$F$3:$F$304&amp;'Detail inputs'!$G$3:$G$304&amp;'Detail inputs'!$H$3:$H$304&amp;'Detail inputs'!$L$3:$L$304,0),MATCH(O$4,'Detail inputs'!$B$3:$L$3,0))),0)</f>
        <v>155</v>
      </c>
      <c r="P190" s="93">
        <f t="array" ref="P190">IFERROR(IF(OR($S190="NA",$S190="Draft x-factor",$S190="Zero"),"",INDEX('Detail inputs'!$B$3:$L$304,MATCH($B190&amp;$C190&amp;$E190&amp;$G190&amp;P$5&amp;$T190,'Detail inputs'!$B$3:$B$304&amp;'Detail inputs'!$D$3:$D$304&amp;'Detail inputs'!$F$3:$F$304&amp;'Detail inputs'!$G$3:$G$304&amp;'Detail inputs'!$H$3:$H$304&amp;'Detail inputs'!$L$3:$L$304,0),MATCH(P$4,'Detail inputs'!$B$3:$L$3,0))),0)</f>
        <v>87.100000000000009</v>
      </c>
      <c r="Q190" s="93">
        <f t="shared" ref="Q190:Q191" si="54">IF(AND(O190="",P190=""),"",O190+P190*F190/1000)</f>
        <v>503.40000000000003</v>
      </c>
      <c r="R190" s="44">
        <f>IFERROR(Q190/Q192,"")</f>
        <v>1</v>
      </c>
      <c r="S190" s="21" t="str">
        <f t="array" ref="S190">INDEX('Key inputs'!$B$35:$J$41,MATCH($B190,'Key inputs'!$B$35:$B$41,0),MATCH($G190&amp;S$5,'Key inputs'!$B$35:$J$35&amp;'Key inputs'!$B$36:$J$36,0))</f>
        <v>Indicative tariff</v>
      </c>
      <c r="T190" s="21" t="s">
        <v>60</v>
      </c>
    </row>
    <row r="191" spans="2:20" x14ac:dyDescent="0.3">
      <c r="B191" s="3" t="str">
        <f t="shared" si="51"/>
        <v>SAPN</v>
      </c>
      <c r="C191" s="3" t="str">
        <f t="shared" si="52"/>
        <v>Residential</v>
      </c>
      <c r="D191" s="3" t="str">
        <f t="shared" si="53"/>
        <v>without CL</v>
      </c>
      <c r="E191" s="3" t="s">
        <v>24</v>
      </c>
      <c r="F191" s="41">
        <f t="array" ref="F191">IFERROR(INDEX(Usage!$B$5:$T$18,MATCH($B191,Usage!$B$5:$B$18,0),MATCH($C191&amp;$D191&amp;$E191&amp;$T191,Usage!$B$5:$W$5&amp;Usage!$B$6:$W$6&amp;Usage!$B$7:$W$7&amp;Usage!$B$13:$W$13,0)),0)</f>
        <v>0</v>
      </c>
      <c r="G191" s="3" t="s">
        <v>54</v>
      </c>
      <c r="H191" s="93">
        <f t="array" ref="H191">IFERROR(INDEX('Detail inputs'!$B$3:$L$304,MATCH($B191&amp;$C191&amp;$E191&amp;$G191&amp;H$5&amp;$T191,'Detail inputs'!$B$3:$B$304&amp;'Detail inputs'!$D$3:$D$304&amp;'Detail inputs'!$F$3:$F$304&amp;'Detail inputs'!$G$3:$G$304&amp;'Detail inputs'!$H$3:$H$304&amp;'Detail inputs'!$L$3:$L$304,0),MATCH(H$4,'Detail inputs'!$B$3:$L$3,0)),0)</f>
        <v>0</v>
      </c>
      <c r="I191" s="93">
        <f t="array" ref="I191">IFERROR(INDEX('Detail inputs'!$B$3:$L$304,MATCH($B191&amp;$C191&amp;$E191&amp;$G191&amp;I$5&amp;$T191,'Detail inputs'!$B$3:$B$304&amp;'Detail inputs'!$D$3:$D$304&amp;'Detail inputs'!$F$3:$F$304&amp;'Detail inputs'!$G$3:$G$304&amp;'Detail inputs'!$H$3:$H$304&amp;'Detail inputs'!$L$3:$L$304,0),MATCH(I$4,'Detail inputs'!$B$3:$L$3,0)),0)</f>
        <v>104.9</v>
      </c>
      <c r="J191" s="93">
        <f>IF(AND(H191="",I191=""),"",H191+I191*F191/1000)</f>
        <v>0</v>
      </c>
      <c r="K191" s="44">
        <f>IFERROR(J191/J192,"")</f>
        <v>0</v>
      </c>
      <c r="L191" s="44"/>
      <c r="M191" s="49" t="str">
        <f t="array" ref="M191">IFERROR(IF($S191="Indicative tariff",$Q191/$J191-1,IF($S191="Zero",0,IF($S191="NA","",IF($S191="Draft x-factor",INDEX('Detail inputs'!$B$3:$P$304,MATCH($B191&amp;$G191&amp;$S191,'Detail inputs'!$B$3:$B$304&amp;'Detail inputs'!$G$3:$G$304&amp;'Detail inputs'!$H$3:$H$304,0),MATCH(M$4,'Detail inputs'!$B$3:$P$3,0)))))),"")</f>
        <v/>
      </c>
      <c r="N191" s="44"/>
      <c r="O191" s="93">
        <f t="array" ref="O191">IFERROR(IF(OR($S191="NA",$S191="Draft x-factor",$S191="Zero"),"",INDEX('Detail inputs'!$B$3:$L$304,MATCH($B191&amp;$C191&amp;$E191&amp;$G191&amp;O$5&amp;$T191,'Detail inputs'!$B$3:$B$304&amp;'Detail inputs'!$D$3:$D$304&amp;'Detail inputs'!$F$3:$F$304&amp;'Detail inputs'!$G$3:$G$304&amp;'Detail inputs'!$H$3:$H$304&amp;'Detail inputs'!$L$3:$L$304,0),MATCH(O$4,'Detail inputs'!$B$3:$L$3,0))),0)</f>
        <v>0</v>
      </c>
      <c r="P191" s="93">
        <f t="array" ref="P191">IFERROR(IF(OR($S191="NA",$S191="Draft x-factor",$S191="Zero"),"",INDEX('Detail inputs'!$B$3:$L$304,MATCH($B191&amp;$C191&amp;$E191&amp;$G191&amp;P$5&amp;$T191,'Detail inputs'!$B$3:$B$304&amp;'Detail inputs'!$D$3:$D$304&amp;'Detail inputs'!$F$3:$F$304&amp;'Detail inputs'!$G$3:$G$304&amp;'Detail inputs'!$H$3:$H$304&amp;'Detail inputs'!$L$3:$L$304,0),MATCH(P$4,'Detail inputs'!$B$3:$L$3,0))),0)</f>
        <v>87.100000000000009</v>
      </c>
      <c r="Q191" s="93">
        <f t="shared" si="54"/>
        <v>0</v>
      </c>
      <c r="R191" s="44">
        <f>IFERROR(Q191/Q192,"")</f>
        <v>0</v>
      </c>
      <c r="S191" s="21" t="str">
        <f t="array" ref="S191">INDEX('Key inputs'!$B$35:$J$41,MATCH($B191,'Key inputs'!$B$35:$B$41,0),MATCH($G191&amp;S$5,'Key inputs'!$B$35:$J$35&amp;'Key inputs'!$B$36:$J$36,0))</f>
        <v>Indicative tariff</v>
      </c>
      <c r="T191" s="21" t="s">
        <v>61</v>
      </c>
    </row>
    <row r="192" spans="2:20" x14ac:dyDescent="0.3">
      <c r="B192" s="3" t="str">
        <f t="shared" si="51"/>
        <v>SAPN</v>
      </c>
      <c r="C192" s="3" t="str">
        <f t="shared" si="52"/>
        <v>Residential</v>
      </c>
      <c r="D192" s="3" t="str">
        <f t="shared" si="53"/>
        <v>without CL</v>
      </c>
      <c r="E192" s="3" t="s">
        <v>24</v>
      </c>
      <c r="F192" s="41">
        <f>SUM(F190:F191)</f>
        <v>4000</v>
      </c>
      <c r="G192" s="3" t="s">
        <v>88</v>
      </c>
      <c r="J192" s="93">
        <f>SUM(J190:J191)</f>
        <v>539.82050000000004</v>
      </c>
      <c r="K192" s="44">
        <f>IFERROR(J192/J195,"")</f>
        <v>0.73853925820530009</v>
      </c>
      <c r="L192" s="44"/>
      <c r="M192" s="49">
        <f>IF(J192=0,"",IF(Q192="",SUMPRODUCT(K190:K191,M190:M191),Q192/J192-1))</f>
        <v>-6.7467797165909782E-2</v>
      </c>
      <c r="N192" s="44"/>
      <c r="Q192" s="93">
        <f>IF(AND(Q190="",Q191=""),"",SUM(Q190:Q191))</f>
        <v>503.40000000000003</v>
      </c>
      <c r="R192" s="44">
        <f>IFERROR(Q192/Q195,"")</f>
        <v>0.71996567505720821</v>
      </c>
    </row>
    <row r="193" spans="2:20" x14ac:dyDescent="0.3">
      <c r="B193" s="3" t="str">
        <f t="shared" si="51"/>
        <v>SAPN</v>
      </c>
      <c r="C193" s="3" t="str">
        <f t="shared" si="52"/>
        <v>Residential</v>
      </c>
      <c r="D193" s="3" t="str">
        <f t="shared" si="53"/>
        <v>without CL</v>
      </c>
      <c r="E193" s="3" t="s">
        <v>24</v>
      </c>
      <c r="F193" s="41">
        <f t="array" ref="F193">IFERROR(INDEX(Usage!$B$5:$T$18,MATCH($B193,Usage!$B$5:$B$18,0),MATCH($C193&amp;$D193&amp;$E193&amp;$T193,Usage!$B$5:$W$5&amp;Usage!$B$6:$W$6&amp;Usage!$B$7:$W$7&amp;Usage!$B$13:$W$13,0)),0)</f>
        <v>4000</v>
      </c>
      <c r="G193" s="3" t="s">
        <v>55</v>
      </c>
      <c r="H193" s="93">
        <f t="array" ref="H193">IFERROR(INDEX('Detail inputs'!$B$3:$L$304,MATCH($B193&amp;$C193&amp;$E193&amp;$G193&amp;H$5&amp;$T193,'Detail inputs'!$B$3:$B$304&amp;'Detail inputs'!$D$3:$D$304&amp;'Detail inputs'!$F$3:$F$304&amp;'Detail inputs'!$G$3:$G$304&amp;'Detail inputs'!$H$3:$H$304&amp;'Detail inputs'!$L$3:$L$304,0),MATCH(H$4,'Detail inputs'!$B$3:$L$3,0)),0)</f>
        <v>0</v>
      </c>
      <c r="I193" s="93">
        <f t="array" ref="I193">IFERROR(INDEX('Detail inputs'!$B$3:$L$304,MATCH($B193&amp;$C193&amp;$E193&amp;$G193&amp;I$5&amp;$T193,'Detail inputs'!$B$3:$B$304&amp;'Detail inputs'!$D$3:$D$304&amp;'Detail inputs'!$F$3:$F$304&amp;'Detail inputs'!$G$3:$G$304&amp;'Detail inputs'!$H$3:$H$304&amp;'Detail inputs'!$L$3:$L$304,0),MATCH(I$4,'Detail inputs'!$B$3:$L$3,0)),0)</f>
        <v>32.5</v>
      </c>
      <c r="J193" s="93">
        <f>IF(AND(H193="",I193=""),"",H193+I193*F193/1000)</f>
        <v>130</v>
      </c>
      <c r="K193" s="44">
        <f>IFERROR(J193/J195,"")</f>
        <v>0.17785560860821145</v>
      </c>
      <c r="L193" s="44"/>
      <c r="M193" s="49">
        <f t="array" ref="M193">IFERROR(IF($S193="Indicative tariff",$Q193/$J193-1,IF($S193="Zero",0,IF($S193="NA","",IF($S193="Draft x-factor",INDEX('Detail inputs'!$B$3:$P$304,MATCH($B193&amp;$G193&amp;$S193,'Detail inputs'!$B$3:$B$304&amp;'Detail inputs'!$G$3:$G$304&amp;'Detail inputs'!$H$3:$H$304,0),MATCH(M$4,'Detail inputs'!$B$3:$P$3,0)))))),"")</f>
        <v>4.9230769230769189E-2</v>
      </c>
      <c r="N193" s="44"/>
      <c r="O193" s="93">
        <f t="array" ref="O193">IFERROR(IF(OR($S193="NA",$S193="Draft x-factor",$S193="Zero"),"",INDEX('Detail inputs'!$B$3:$L$304,MATCH($B193&amp;$C193&amp;$E193&amp;$G193&amp;O$5&amp;$T193,'Detail inputs'!$B$3:$B$304&amp;'Detail inputs'!$D$3:$D$304&amp;'Detail inputs'!$F$3:$F$304&amp;'Detail inputs'!$G$3:$G$304&amp;'Detail inputs'!$H$3:$H$304&amp;'Detail inputs'!$L$3:$L$304,0),MATCH(O$4,'Detail inputs'!$B$3:$L$3,0))),0)</f>
        <v>0</v>
      </c>
      <c r="P193" s="93">
        <f t="array" ref="P193">IFERROR(IF(OR($S193="NA",$S193="Draft x-factor",$S193="Zero"),"",INDEX('Detail inputs'!$B$3:$L$304,MATCH($B193&amp;$C193&amp;$E193&amp;$G193&amp;P$5&amp;$T193,'Detail inputs'!$B$3:$B$304&amp;'Detail inputs'!$D$3:$D$304&amp;'Detail inputs'!$F$3:$F$304&amp;'Detail inputs'!$G$3:$G$304&amp;'Detail inputs'!$H$3:$H$304&amp;'Detail inputs'!$L$3:$L$304,0),MATCH(P$4,'Detail inputs'!$B$3:$L$3,0))),0)</f>
        <v>34.1</v>
      </c>
      <c r="Q193" s="93">
        <f>IF(AND(O193="",P193=""),"",O193+P193*F193/1000)</f>
        <v>136.4</v>
      </c>
      <c r="R193" s="44">
        <f>IFERROR(Q193/Q195,"")</f>
        <v>0.19508009153318076</v>
      </c>
      <c r="S193" s="21" t="str">
        <f t="array" ref="S193">INDEX('Key inputs'!$B$35:$J$41,MATCH($B193,'Key inputs'!$B$35:$B$41,0),MATCH($G193&amp;S$5,'Key inputs'!$B$35:$J$35&amp;'Key inputs'!$B$36:$J$36,0))</f>
        <v>Indicative tariff</v>
      </c>
      <c r="T193" s="21" t="s">
        <v>58</v>
      </c>
    </row>
    <row r="194" spans="2:20" x14ac:dyDescent="0.3">
      <c r="B194" s="3" t="str">
        <f t="shared" si="51"/>
        <v>SAPN</v>
      </c>
      <c r="C194" s="3" t="str">
        <f t="shared" si="52"/>
        <v>Residential</v>
      </c>
      <c r="D194" s="3" t="str">
        <f t="shared" si="53"/>
        <v>without CL</v>
      </c>
      <c r="E194" s="3" t="s">
        <v>24</v>
      </c>
      <c r="F194" s="41">
        <f t="array" ref="F194">IFERROR(INDEX(Usage!$B$5:$T$18,MATCH($B194,Usage!$B$5:$B$18,0),MATCH($C194&amp;$D194&amp;$E194&amp;$T194,Usage!$B$5:$W$5&amp;Usage!$B$6:$W$6&amp;Usage!$B$7:$W$7&amp;Usage!$B$13:$W$13,0)),0)</f>
        <v>4000</v>
      </c>
      <c r="G194" s="3" t="s">
        <v>87</v>
      </c>
      <c r="H194" s="93">
        <f t="array" ref="H194">IFERROR(INDEX('Detail inputs'!$B$3:$L$304,MATCH($B194&amp;$C194&amp;$E194&amp;$G194&amp;H$5&amp;$T194,'Detail inputs'!$B$3:$B$304&amp;'Detail inputs'!$D$3:$D$304&amp;'Detail inputs'!$F$3:$F$304&amp;'Detail inputs'!$G$3:$G$304&amp;'Detail inputs'!$H$3:$H$304&amp;'Detail inputs'!$L$3:$L$304,0),MATCH(H$4,'Detail inputs'!$B$3:$L$3,0)),0)</f>
        <v>14.7095</v>
      </c>
      <c r="I194" s="93">
        <f t="array" ref="I194">IFERROR(INDEX('Detail inputs'!$B$3:$L$304,MATCH($B194&amp;$C194&amp;$E194&amp;$G194&amp;I$5&amp;$T194,'Detail inputs'!$B$3:$B$304&amp;'Detail inputs'!$D$3:$D$304&amp;'Detail inputs'!$F$3:$F$304&amp;'Detail inputs'!$G$3:$G$304&amp;'Detail inputs'!$H$3:$H$304&amp;'Detail inputs'!$L$3:$L$304,0),MATCH(I$4,'Detail inputs'!$B$3:$L$3,0)),0)</f>
        <v>11.6</v>
      </c>
      <c r="J194" s="93">
        <f>IF(AND(H194="",I194=""),"",H194+I194*F194/1000)</f>
        <v>61.109499999999997</v>
      </c>
      <c r="K194" s="44">
        <f>IFERROR(J194/J195,"")</f>
        <v>8.3605133186488434E-2</v>
      </c>
      <c r="L194" s="44"/>
      <c r="M194" s="49">
        <f t="array" ref="M194">IFERROR(IF($S194="Indicative tariff",$Q194/$J194-1,IF($S194="Zero",0,IF($S194="NA","",IF($S194="Draft x-factor",INDEX('Detail inputs'!$B$3:$P$304,MATCH($B194&amp;$G194&amp;$S194,'Detail inputs'!$B$3:$B$304&amp;'Detail inputs'!$G$3:$G$304&amp;'Detail inputs'!$H$3:$H$304,0),MATCH(M$4,'Detail inputs'!$B$3:$P$3,0)))))),"")</f>
        <v>-2.7974373869856461E-2</v>
      </c>
      <c r="N194" s="44"/>
      <c r="O194" s="93">
        <f t="array" ref="O194">IFERROR(IF(OR($S194="NA",$S194="Draft x-factor",$S194="Zero"),"",INDEX('Detail inputs'!$B$3:$L$304,MATCH($B194&amp;$C194&amp;$E194&amp;$G194&amp;O$5&amp;$T194,'Detail inputs'!$B$3:$B$304&amp;'Detail inputs'!$D$3:$D$304&amp;'Detail inputs'!$F$3:$F$304&amp;'Detail inputs'!$G$3:$G$304&amp;'Detail inputs'!$H$3:$H$304&amp;'Detail inputs'!$L$3:$L$304,0),MATCH(O$4,'Detail inputs'!$B$3:$L$3,0))),0)</f>
        <v>15</v>
      </c>
      <c r="P194" s="93">
        <f t="array" ref="P194">IFERROR(IF(OR($S194="NA",$S194="Draft x-factor",$S194="Zero"),"",INDEX('Detail inputs'!$B$3:$L$304,MATCH($B194&amp;$C194&amp;$E194&amp;$G194&amp;P$5&amp;$T194,'Detail inputs'!$B$3:$B$304&amp;'Detail inputs'!$D$3:$D$304&amp;'Detail inputs'!$F$3:$F$304&amp;'Detail inputs'!$G$3:$G$304&amp;'Detail inputs'!$H$3:$H$304&amp;'Detail inputs'!$L$3:$L$304,0),MATCH(P$4,'Detail inputs'!$B$3:$L$3,0))),0)</f>
        <v>11.100000000000001</v>
      </c>
      <c r="Q194" s="93">
        <f t="shared" ref="Q194" si="55">IF(AND(O194="",P194=""),"",O194+P194*F194/1000)</f>
        <v>59.400000000000006</v>
      </c>
      <c r="R194" s="44">
        <f>IFERROR(Q194/Q195,"")</f>
        <v>8.4954233409610988E-2</v>
      </c>
      <c r="S194" s="21" t="str">
        <f t="array" ref="S194">INDEX('Key inputs'!$B$35:$J$41,MATCH($B194,'Key inputs'!$B$35:$B$41,0),MATCH($G194&amp;S$5,'Key inputs'!$B$35:$J$35&amp;'Key inputs'!$B$36:$J$36,0))</f>
        <v>Indicative tariff</v>
      </c>
      <c r="T194" s="21" t="s">
        <v>58</v>
      </c>
    </row>
    <row r="195" spans="2:20" x14ac:dyDescent="0.3">
      <c r="B195" s="3" t="str">
        <f t="shared" si="51"/>
        <v>SAPN</v>
      </c>
      <c r="C195" s="3" t="str">
        <f t="shared" si="52"/>
        <v>Residential</v>
      </c>
      <c r="D195" s="3" t="str">
        <f t="shared" si="53"/>
        <v>without CL</v>
      </c>
      <c r="E195" s="3" t="s">
        <v>24</v>
      </c>
      <c r="F195" s="41">
        <f t="array" ref="F195">IFERROR(INDEX(Usage!$B$5:$T$18,MATCH($B195,Usage!$B$5:$B$18,0),MATCH($C195&amp;$D195&amp;$E195&amp;$T195,Usage!$B$5:$W$5&amp;Usage!$B$6:$W$6&amp;Usage!$B$7:$W$7&amp;Usage!$B$13:$W$13,0)),0)</f>
        <v>4000</v>
      </c>
      <c r="G195" s="3" t="s">
        <v>65</v>
      </c>
      <c r="J195" s="93">
        <f>SUM(J192:J194)</f>
        <v>730.93000000000006</v>
      </c>
      <c r="K195" s="44">
        <f>IFERROR(J195/J197,"")</f>
        <v>0.95546405228758169</v>
      </c>
      <c r="L195" s="44"/>
      <c r="M195" s="49">
        <f>IF(J195=0,"",IF(Q195="",SUMPRODUCT(K192:K194,M192:M194),Q195/J195-1))</f>
        <v>-4.3410449701065779E-2</v>
      </c>
      <c r="N195" s="44"/>
      <c r="O195" s="93" t="str">
        <f t="array" ref="O195">IFERROR(IF(OR($S195="NA",$S195="Draft x-factor",$S195="Sum"),"",INDEX('Detail inputs'!$B$3:$L$304,MATCH($B195&amp;$C195&amp;$E195&amp;$G195&amp;O$5&amp;$T195,'Detail inputs'!$B$3:$B$304&amp;'Detail inputs'!$D$3:$D$304&amp;'Detail inputs'!$F$3:$F$304&amp;'Detail inputs'!$G$3:$G$304&amp;'Detail inputs'!$H$3:$H$304&amp;'Detail inputs'!$L$3:$L$304,0),MATCH(O$4,'Detail inputs'!$B$3:$L$3,0))),0)</f>
        <v/>
      </c>
      <c r="P195" s="93" t="str">
        <f t="array" ref="P195">IFERROR(IF(OR($S195="NA",$S195="Draft x-factor",$S195="Sum"),"",INDEX('Detail inputs'!$B$3:$L$304,MATCH($B195&amp;$C195&amp;$E195&amp;$G195&amp;P$5&amp;$T195,'Detail inputs'!$B$3:$B$304&amp;'Detail inputs'!$D$3:$D$304&amp;'Detail inputs'!$F$3:$F$304&amp;'Detail inputs'!$G$3:$G$304&amp;'Detail inputs'!$H$3:$H$304&amp;'Detail inputs'!$L$3:$L$304,0),MATCH(P$4,'Detail inputs'!$B$3:$L$3,0))),0)</f>
        <v/>
      </c>
      <c r="Q195" s="93">
        <f>IF($S195="NA","",IF($S195="Indicative tariff",O195+P195*F195/1000,IF($S195="Sum",SUM(Q192:Q194))))</f>
        <v>699.2</v>
      </c>
      <c r="R195" s="44">
        <f>IFERROR(Q195/Q197,"")</f>
        <v>0.96862228994943556</v>
      </c>
      <c r="S195" s="21" t="str">
        <f t="array" ref="S195">INDEX('Key inputs'!$B$35:$J$41,MATCH($B195,'Key inputs'!$B$35:$B$41,0),MATCH($G195&amp;S$5,'Key inputs'!$B$35:$J$35&amp;'Key inputs'!$B$36:$J$36,0))</f>
        <v>Sum</v>
      </c>
      <c r="T195" s="21" t="s">
        <v>58</v>
      </c>
    </row>
    <row r="196" spans="2:20" x14ac:dyDescent="0.3">
      <c r="B196" s="3" t="str">
        <f t="shared" si="51"/>
        <v>SAPN</v>
      </c>
      <c r="C196" s="3" t="str">
        <f t="shared" si="52"/>
        <v>Residential</v>
      </c>
      <c r="D196" s="3" t="str">
        <f t="shared" si="53"/>
        <v>without CL</v>
      </c>
      <c r="E196" s="3" t="s">
        <v>24</v>
      </c>
      <c r="F196" s="41">
        <f t="array" ref="F196">IFERROR(INDEX(Usage!$B$5:$T$18,MATCH($B196,Usage!$B$5:$B$18,0),MATCH($C196&amp;$D196&amp;$E196&amp;$T196,Usage!$B$5:$W$5&amp;Usage!$B$6:$W$6&amp;Usage!$B$7:$W$7&amp;Usage!$B$13:$W$13,0)),0)</f>
        <v>4000</v>
      </c>
      <c r="G196" s="3" t="s">
        <v>67</v>
      </c>
      <c r="H196" s="93">
        <f t="array" ref="H196">IFERROR(INDEX('Detail inputs'!$B$3:$L$304,MATCH($B196&amp;$C196&amp;$E196&amp;$G196&amp;H$5&amp;$T196,'Detail inputs'!$B$3:$B$304&amp;'Detail inputs'!$D$3:$D$304&amp;'Detail inputs'!$F$3:$F$304&amp;'Detail inputs'!$G$3:$G$304&amp;'Detail inputs'!$H$3:$H$304&amp;'Detail inputs'!$L$3:$L$304,0),MATCH(H$4,'Detail inputs'!$B$3:$L$3,0)),0)</f>
        <v>34.07</v>
      </c>
      <c r="I196" s="93">
        <f t="array" ref="I196">IFERROR(INDEX('Detail inputs'!$B$3:$L$304,MATCH($B196&amp;$C196&amp;$E196&amp;$G196&amp;I$5&amp;$T196,'Detail inputs'!$B$3:$B$304&amp;'Detail inputs'!$D$3:$D$304&amp;'Detail inputs'!$F$3:$F$304&amp;'Detail inputs'!$G$3:$G$304&amp;'Detail inputs'!$H$3:$H$304&amp;'Detail inputs'!$L$3:$L$304,0),MATCH(I$4,'Detail inputs'!$B$3:$L$3,0)),0)</f>
        <v>0</v>
      </c>
      <c r="J196" s="93">
        <f>IF(AND(H196="",I196=""),"",H196+I196*F196/1000)</f>
        <v>34.07</v>
      </c>
      <c r="K196" s="44">
        <f>IFERROR(J196/J197,"")</f>
        <v>4.4535947712418297E-2</v>
      </c>
      <c r="L196" s="44"/>
      <c r="M196" s="49">
        <f t="array" ref="M196">IFERROR(IF($S196="Indicative tariff",$Q196/$J196-1,IF($S196="Zero",0,IF($S196="NA","",IF($S196="Draft x-factor",INDEX('Detail inputs'!$B$3:$P$304,MATCH($B196&amp;$G196&amp;$S196,'Detail inputs'!$B$3:$B$304&amp;'Detail inputs'!$G$3:$G$304&amp;'Detail inputs'!$H$3:$H$304,0),MATCH(M$4,'Detail inputs'!$B$3:$P$3,0)))))),"")</f>
        <v>-0.33519225124743179</v>
      </c>
      <c r="N196" s="44"/>
      <c r="O196" s="93">
        <f t="array" ref="O196">IFERROR(IF(OR($S196="NA",$S196="Draft x-factor"),"",IF($S196="Zero",H196,INDEX('Detail inputs'!$B$3:$L$304,MATCH($B196&amp;$C196&amp;$E196&amp;$G196&amp;O$5&amp;$T196,'Detail inputs'!$B$3:$B$304&amp;'Detail inputs'!$D$3:$D$304&amp;'Detail inputs'!$F$3:$F$304&amp;'Detail inputs'!$G$3:$G$304&amp;'Detail inputs'!$H$3:$H$304&amp;'Detail inputs'!$L$3:$L$304,0),MATCH(O$4,'Detail inputs'!$B$3:$L$3,0)))),0)</f>
        <v>22.65</v>
      </c>
      <c r="P196" s="93">
        <f t="array" ref="P196">IFERROR(IF(OR($S196="NA",$S196="Draft x-factor"),"",IF($S196="Zero",I196,INDEX('Detail inputs'!$B$3:$L$304,MATCH($B196&amp;$C196&amp;$E196&amp;$G196&amp;P$5&amp;$T196,'Detail inputs'!$B$3:$B$304&amp;'Detail inputs'!$D$3:$D$304&amp;'Detail inputs'!$F$3:$F$304&amp;'Detail inputs'!$G$3:$G$304&amp;'Detail inputs'!$H$3:$H$304&amp;'Detail inputs'!$L$3:$L$304,0),MATCH(P$4,'Detail inputs'!$B$3:$L$3,0)))),0)</f>
        <v>0</v>
      </c>
      <c r="Q196" s="93">
        <f>IF(AND(O196="",P196=""),"",O196+P196*F196/1000)</f>
        <v>22.65</v>
      </c>
      <c r="R196" s="44">
        <f>IFERROR(Q196/Q197,"")</f>
        <v>3.1377710050564521E-2</v>
      </c>
      <c r="S196" s="21" t="str">
        <f t="array" ref="S196">INDEX('Key inputs'!$B$35:$J$41,MATCH($B196,'Key inputs'!$B$35:$B$41,0),MATCH($G196&amp;S$5,'Key inputs'!$B$35:$J$35&amp;'Key inputs'!$B$36:$J$36,0))</f>
        <v>Indicative tariff</v>
      </c>
      <c r="T196" s="21" t="s">
        <v>58</v>
      </c>
    </row>
    <row r="197" spans="2:20" s="81" customFormat="1" x14ac:dyDescent="0.3">
      <c r="B197" s="81" t="str">
        <f t="shared" si="51"/>
        <v>SAPN</v>
      </c>
      <c r="C197" s="81" t="str">
        <f t="shared" si="52"/>
        <v>Residential</v>
      </c>
      <c r="D197" s="81" t="str">
        <f t="shared" si="53"/>
        <v>without CL</v>
      </c>
      <c r="E197" s="3" t="s">
        <v>24</v>
      </c>
      <c r="F197" s="41">
        <f t="array" ref="F197">IFERROR(INDEX(Usage!$B$5:$T$18,MATCH($B197,Usage!$B$5:$B$18,0),MATCH($C197&amp;$D197&amp;$E197&amp;$T197,Usage!$B$5:$W$5&amp;Usage!$B$6:$W$6&amp;Usage!$B$7:$W$7&amp;Usage!$B$13:$W$13,0)),0)</f>
        <v>4000</v>
      </c>
      <c r="G197" s="81" t="s">
        <v>58</v>
      </c>
      <c r="H197" s="99"/>
      <c r="I197" s="99"/>
      <c r="J197" s="99">
        <f>SUM(J195:J196)</f>
        <v>765.00000000000011</v>
      </c>
      <c r="K197" s="91"/>
      <c r="L197" s="92"/>
      <c r="M197" s="49">
        <f>IF(J197=0,"",IF(OR($S196="Draft x-factor",$S196="Zero"),SUMPRODUCT(K195:K196,M195:M196),Q197/J197-1))</f>
        <v>-5.6405228758170001E-2</v>
      </c>
      <c r="N197" s="92"/>
      <c r="O197" s="99"/>
      <c r="P197" s="99"/>
      <c r="Q197" s="99">
        <f>IF(AND(Q195="",Q196=""),J197*(1+M197),SUM(Q195:Q196))</f>
        <v>721.85</v>
      </c>
      <c r="R197" s="91"/>
      <c r="S197" s="92"/>
      <c r="T197" s="21" t="s">
        <v>58</v>
      </c>
    </row>
    <row r="198" spans="2:20" x14ac:dyDescent="0.3">
      <c r="B198" s="3" t="str">
        <f t="shared" si="51"/>
        <v>SAPN</v>
      </c>
      <c r="C198" s="3" t="str">
        <f t="shared" si="52"/>
        <v>Residential</v>
      </c>
      <c r="D198" s="3" t="str">
        <f t="shared" si="53"/>
        <v>without CL</v>
      </c>
      <c r="F198" s="41"/>
      <c r="G198" s="81" t="s">
        <v>41</v>
      </c>
      <c r="H198" s="99"/>
      <c r="I198" s="99"/>
      <c r="J198" s="99">
        <f>J197*GST</f>
        <v>76.500000000000014</v>
      </c>
      <c r="K198" s="91"/>
      <c r="L198" s="92"/>
      <c r="M198" s="83"/>
      <c r="N198" s="92"/>
      <c r="O198" s="99"/>
      <c r="P198" s="99"/>
      <c r="Q198" s="99">
        <f>Q197*GST</f>
        <v>72.185000000000002</v>
      </c>
      <c r="R198" s="91"/>
    </row>
    <row r="199" spans="2:20" x14ac:dyDescent="0.3">
      <c r="B199" s="3" t="str">
        <f t="shared" si="51"/>
        <v>SAPN</v>
      </c>
      <c r="C199" s="3" t="str">
        <f t="shared" si="52"/>
        <v>Residential</v>
      </c>
      <c r="D199" s="3" t="str">
        <f t="shared" si="53"/>
        <v>without CL</v>
      </c>
      <c r="F199" s="41"/>
      <c r="G199" s="5" t="s">
        <v>91</v>
      </c>
      <c r="H199" s="98"/>
      <c r="I199" s="98"/>
      <c r="J199" s="98">
        <f>SUM(J197:J198)</f>
        <v>841.50000000000011</v>
      </c>
      <c r="K199" s="79"/>
      <c r="L199" s="27"/>
      <c r="M199" s="80">
        <f>IF(OR(J199=0,Q199=""),"",Q199/J199-1)</f>
        <v>-5.6405228758170001E-2</v>
      </c>
      <c r="N199" s="27"/>
      <c r="O199" s="98"/>
      <c r="P199" s="98"/>
      <c r="Q199" s="98">
        <f>SUM(Q197:Q198)</f>
        <v>794.03500000000008</v>
      </c>
      <c r="R199" s="79"/>
    </row>
    <row r="200" spans="2:20" x14ac:dyDescent="0.3">
      <c r="F200" s="41"/>
      <c r="K200" s="44"/>
      <c r="M200" s="49"/>
      <c r="R200" s="44"/>
    </row>
    <row r="201" spans="2:20" x14ac:dyDescent="0.3">
      <c r="B201" s="5" t="s">
        <v>5</v>
      </c>
      <c r="C201" s="5" t="s">
        <v>6</v>
      </c>
      <c r="D201" s="5" t="s">
        <v>159</v>
      </c>
      <c r="F201" s="41"/>
      <c r="K201" s="44"/>
      <c r="M201" s="49"/>
      <c r="R201" s="44"/>
    </row>
    <row r="202" spans="2:20" x14ac:dyDescent="0.3">
      <c r="B202" s="3" t="str">
        <f>B201</f>
        <v>SAPN</v>
      </c>
      <c r="C202" s="3" t="str">
        <f t="shared" ref="C202:C215" si="56">C201</f>
        <v>Residential</v>
      </c>
      <c r="D202" s="3" t="str">
        <f t="shared" ref="D202:D215" si="57">D201</f>
        <v>with CL</v>
      </c>
      <c r="E202" s="3" t="s">
        <v>24</v>
      </c>
      <c r="F202" s="41">
        <f t="array" ref="F202">IFERROR(INDEX(Usage!$B$5:$T$18,MATCH($B202,Usage!$B$5:$B$18,0),MATCH($C202&amp;$D202&amp;$E202&amp;$T202,Usage!$B$5:$W$5&amp;Usage!$B$6:$W$6&amp;Usage!$B$7:$W$7&amp;Usage!$B$13:$W$13,0)),0)</f>
        <v>4000</v>
      </c>
      <c r="G202" s="3" t="s">
        <v>54</v>
      </c>
      <c r="H202" s="93">
        <f t="array" ref="H202">IFERROR(INDEX('Detail inputs'!$B$3:$L$304,MATCH($B202&amp;$C202&amp;$E202&amp;$G202&amp;H$5&amp;$T202,'Detail inputs'!$B$3:$B$304&amp;'Detail inputs'!$D$3:$D$304&amp;'Detail inputs'!$F$3:$F$304&amp;'Detail inputs'!$G$3:$G$304&amp;'Detail inputs'!$H$3:$H$304&amp;'Detail inputs'!$L$3:$L$304,0),MATCH(H$4,'Detail inputs'!$B$3:$L$3,0)),0)</f>
        <v>146.62049999999999</v>
      </c>
      <c r="I202" s="93">
        <f t="array" ref="I202">IFERROR(INDEX('Detail inputs'!$B$3:$L$304,MATCH($B202&amp;$C202&amp;$E202&amp;$G202&amp;I$5&amp;$T202,'Detail inputs'!$B$3:$B$304&amp;'Detail inputs'!$D$3:$D$304&amp;'Detail inputs'!$F$3:$F$304&amp;'Detail inputs'!$G$3:$G$304&amp;'Detail inputs'!$H$3:$H$304&amp;'Detail inputs'!$L$3:$L$304,0),MATCH(I$4,'Detail inputs'!$B$3:$L$3,0)),0)</f>
        <v>98.3</v>
      </c>
      <c r="J202" s="93">
        <f>IF(AND(H202="",I202=""),"",H202+I202*F202/1000)</f>
        <v>539.82050000000004</v>
      </c>
      <c r="K202" s="44">
        <f>IFERROR(J202/J204,"")</f>
        <v>0.96258919170007873</v>
      </c>
      <c r="L202" s="44"/>
      <c r="M202" s="49">
        <f t="array" ref="M202">IFERROR(IF($S202="Indicative tariff",$Q202/$J202-1,IF($S202="Zero",0,IF($S202="NA","",IF($S202="Draft x-factor",INDEX('Detail inputs'!$B$3:$P$304,MATCH($B202&amp;$G202&amp;$S202,'Detail inputs'!$B$3:$B$304&amp;'Detail inputs'!$G$3:$G$304&amp;'Detail inputs'!$H$3:$H$304,0),MATCH(M$4,'Detail inputs'!$B$3:$P$3,0)))))),"")</f>
        <v>-6.7467797165909782E-2</v>
      </c>
      <c r="N202" s="44"/>
      <c r="O202" s="93">
        <f t="array" ref="O202">IFERROR(IF(OR($S202="NA",$S202="Draft x-factor",$S202="Zero"),"",INDEX('Detail inputs'!$B$3:$L$304,MATCH($B202&amp;$C202&amp;$E202&amp;$G202&amp;O$5&amp;$T202,'Detail inputs'!$B$3:$B$304&amp;'Detail inputs'!$D$3:$D$304&amp;'Detail inputs'!$F$3:$F$304&amp;'Detail inputs'!$G$3:$G$304&amp;'Detail inputs'!$H$3:$H$304&amp;'Detail inputs'!$L$3:$L$304,0),MATCH(O$4,'Detail inputs'!$B$3:$L$3,0))),0)</f>
        <v>155</v>
      </c>
      <c r="P202" s="93">
        <f t="array" ref="P202">IFERROR(IF(OR($S202="NA",$S202="Draft x-factor",$S202="Zero"),"",INDEX('Detail inputs'!$B$3:$L$304,MATCH($B202&amp;$C202&amp;$E202&amp;$G202&amp;P$5&amp;$T202,'Detail inputs'!$B$3:$B$304&amp;'Detail inputs'!$D$3:$D$304&amp;'Detail inputs'!$F$3:$F$304&amp;'Detail inputs'!$G$3:$G$304&amp;'Detail inputs'!$H$3:$H$304&amp;'Detail inputs'!$L$3:$L$304,0),MATCH(P$4,'Detail inputs'!$B$3:$L$3,0))),0)</f>
        <v>87.100000000000009</v>
      </c>
      <c r="Q202" s="93">
        <f t="shared" ref="Q202:Q203" si="58">IF(AND(O202="",P202=""),"",O202+P202*F202/1000)</f>
        <v>503.40000000000003</v>
      </c>
      <c r="R202" s="44">
        <f>IFERROR(Q202/Q204,"")</f>
        <v>0.96655274375024003</v>
      </c>
      <c r="S202" s="21" t="str">
        <f t="array" ref="S202">INDEX('Key inputs'!$B$35:$J$41,MATCH($B202,'Key inputs'!$B$35:$B$41,0),MATCH($G202&amp;S$5,'Key inputs'!$B$35:$J$35&amp;'Key inputs'!$B$36:$J$36,0))</f>
        <v>Indicative tariff</v>
      </c>
      <c r="T202" s="21" t="s">
        <v>60</v>
      </c>
    </row>
    <row r="203" spans="2:20" x14ac:dyDescent="0.3">
      <c r="B203" s="3" t="str">
        <f t="shared" ref="B203:B215" si="59">B202</f>
        <v>SAPN</v>
      </c>
      <c r="C203" s="3" t="str">
        <f t="shared" si="56"/>
        <v>Residential</v>
      </c>
      <c r="D203" s="3" t="str">
        <f t="shared" si="57"/>
        <v>with CL</v>
      </c>
      <c r="E203" s="3" t="s">
        <v>24</v>
      </c>
      <c r="F203" s="41">
        <f t="array" ref="F203">IFERROR(INDEX(Usage!$B$5:$T$18,MATCH($B203,Usage!$B$5:$B$18,0),MATCH($C203&amp;$D203&amp;$E203&amp;$T203,Usage!$B$5:$W$5&amp;Usage!$B$6:$W$6&amp;Usage!$B$7:$W$7&amp;Usage!$B$13:$W$13,0)),0)</f>
        <v>200</v>
      </c>
      <c r="G203" s="3" t="s">
        <v>54</v>
      </c>
      <c r="H203" s="93">
        <f t="array" ref="H203">IFERROR(INDEX('Detail inputs'!$B$3:$L$304,MATCH($B203&amp;$C203&amp;$E203&amp;$G203&amp;H$5&amp;$T203,'Detail inputs'!$B$3:$B$304&amp;'Detail inputs'!$D$3:$D$304&amp;'Detail inputs'!$F$3:$F$304&amp;'Detail inputs'!$G$3:$G$304&amp;'Detail inputs'!$H$3:$H$304&amp;'Detail inputs'!$L$3:$L$304,0),MATCH(H$4,'Detail inputs'!$B$3:$L$3,0)),0)</f>
        <v>0</v>
      </c>
      <c r="I203" s="93">
        <f t="array" ref="I203">IFERROR(INDEX('Detail inputs'!$B$3:$L$304,MATCH($B203&amp;$C203&amp;$E203&amp;$G203&amp;I$5&amp;$T203,'Detail inputs'!$B$3:$B$304&amp;'Detail inputs'!$D$3:$D$304&amp;'Detail inputs'!$F$3:$F$304&amp;'Detail inputs'!$G$3:$G$304&amp;'Detail inputs'!$H$3:$H$304&amp;'Detail inputs'!$L$3:$L$304,0),MATCH(I$4,'Detail inputs'!$B$3:$L$3,0)),0)</f>
        <v>104.9</v>
      </c>
      <c r="J203" s="93">
        <f>IF(AND(H203="",I203=""),"",H203+I203*F203/1000)</f>
        <v>20.98</v>
      </c>
      <c r="K203" s="44">
        <f>IFERROR(J203/J204,"")</f>
        <v>3.7410808299921272E-2</v>
      </c>
      <c r="L203" s="44"/>
      <c r="M203" s="49">
        <f t="array" ref="M203">IFERROR(IF($S203="Indicative tariff",$Q203/$J203-1,IF($S203="Zero",0,IF($S203="NA","",IF($S203="Draft x-factor",INDEX('Detail inputs'!$B$3:$P$304,MATCH($B203&amp;$G203&amp;$S203,'Detail inputs'!$B$3:$B$304&amp;'Detail inputs'!$G$3:$G$304&amp;'Detail inputs'!$H$3:$H$304,0),MATCH(M$4,'Detail inputs'!$B$3:$P$3,0)))))),"")</f>
        <v>-0.16968541468064813</v>
      </c>
      <c r="N203" s="44"/>
      <c r="O203" s="93">
        <f t="array" ref="O203">IFERROR(IF(OR($S203="NA",$S203="Draft x-factor",$S203="Zero"),"",INDEX('Detail inputs'!$B$3:$L$304,MATCH($B203&amp;$C203&amp;$E203&amp;$G203&amp;O$5&amp;$T203,'Detail inputs'!$B$3:$B$304&amp;'Detail inputs'!$D$3:$D$304&amp;'Detail inputs'!$F$3:$F$304&amp;'Detail inputs'!$G$3:$G$304&amp;'Detail inputs'!$H$3:$H$304&amp;'Detail inputs'!$L$3:$L$304,0),MATCH(O$4,'Detail inputs'!$B$3:$L$3,0))),0)</f>
        <v>0</v>
      </c>
      <c r="P203" s="93">
        <f t="array" ref="P203">IFERROR(IF(OR($S203="NA",$S203="Draft x-factor",$S203="Zero"),"",INDEX('Detail inputs'!$B$3:$L$304,MATCH($B203&amp;$C203&amp;$E203&amp;$G203&amp;P$5&amp;$T203,'Detail inputs'!$B$3:$B$304&amp;'Detail inputs'!$D$3:$D$304&amp;'Detail inputs'!$F$3:$F$304&amp;'Detail inputs'!$G$3:$G$304&amp;'Detail inputs'!$H$3:$H$304&amp;'Detail inputs'!$L$3:$L$304,0),MATCH(P$4,'Detail inputs'!$B$3:$L$3,0))),0)</f>
        <v>87.100000000000009</v>
      </c>
      <c r="Q203" s="93">
        <f t="shared" si="58"/>
        <v>17.420000000000002</v>
      </c>
      <c r="R203" s="44">
        <f>IFERROR(Q203/Q204,"")</f>
        <v>3.3447256249759992E-2</v>
      </c>
      <c r="S203" s="21" t="str">
        <f t="array" ref="S203">INDEX('Key inputs'!$B$35:$J$41,MATCH($B203,'Key inputs'!$B$35:$B$41,0),MATCH($G203&amp;S$5,'Key inputs'!$B$35:$J$35&amp;'Key inputs'!$B$36:$J$36,0))</f>
        <v>Indicative tariff</v>
      </c>
      <c r="T203" s="21" t="s">
        <v>61</v>
      </c>
    </row>
    <row r="204" spans="2:20" x14ac:dyDescent="0.3">
      <c r="B204" s="3" t="str">
        <f t="shared" si="59"/>
        <v>SAPN</v>
      </c>
      <c r="C204" s="3" t="str">
        <f t="shared" si="56"/>
        <v>Residential</v>
      </c>
      <c r="D204" s="3" t="str">
        <f t="shared" si="57"/>
        <v>with CL</v>
      </c>
      <c r="E204" s="3" t="s">
        <v>24</v>
      </c>
      <c r="F204" s="41">
        <f>SUM(F202:F203)</f>
        <v>4200</v>
      </c>
      <c r="G204" s="3" t="s">
        <v>88</v>
      </c>
      <c r="J204" s="93">
        <f>SUM(J202:J203)</f>
        <v>560.80050000000006</v>
      </c>
      <c r="K204" s="44">
        <f>IFERROR(J204/J207,"")</f>
        <v>0.73718730692887102</v>
      </c>
      <c r="L204" s="44"/>
      <c r="M204" s="49">
        <f>IF(J204=0,"",IF(Q204="",SUMPRODUCT(K202:K203,M202:M203),Q204/J204-1))</f>
        <v>-7.1291840859628364E-2</v>
      </c>
      <c r="N204" s="44"/>
      <c r="Q204" s="93">
        <f>IF(AND(Q202="",Q203=""),"",SUM(Q202:Q203))</f>
        <v>520.82000000000005</v>
      </c>
      <c r="R204" s="44">
        <f>IFERROR(Q204/Q207,"")</f>
        <v>0.71771904197558078</v>
      </c>
    </row>
    <row r="205" spans="2:20" x14ac:dyDescent="0.3">
      <c r="B205" s="3" t="str">
        <f t="shared" si="59"/>
        <v>SAPN</v>
      </c>
      <c r="C205" s="3" t="str">
        <f t="shared" si="56"/>
        <v>Residential</v>
      </c>
      <c r="D205" s="3" t="str">
        <f t="shared" si="57"/>
        <v>with CL</v>
      </c>
      <c r="E205" s="3" t="s">
        <v>24</v>
      </c>
      <c r="F205" s="41">
        <f t="array" ref="F205">IFERROR(INDEX(Usage!$B$5:$T$18,MATCH($B205,Usage!$B$5:$B$18,0),MATCH($C205&amp;$D205&amp;$E205&amp;$T205,Usage!$B$5:$W$5&amp;Usage!$B$6:$W$6&amp;Usage!$B$7:$W$7&amp;Usage!$B$13:$W$13,0)),0)</f>
        <v>4200</v>
      </c>
      <c r="G205" s="3" t="s">
        <v>55</v>
      </c>
      <c r="H205" s="93">
        <f t="array" ref="H205">IFERROR(INDEX('Detail inputs'!$B$3:$L$304,MATCH($B205&amp;$C205&amp;$E205&amp;$G205&amp;H$5&amp;$T205,'Detail inputs'!$B$3:$B$304&amp;'Detail inputs'!$D$3:$D$304&amp;'Detail inputs'!$F$3:$F$304&amp;'Detail inputs'!$G$3:$G$304&amp;'Detail inputs'!$H$3:$H$304&amp;'Detail inputs'!$L$3:$L$304,0),MATCH(H$4,'Detail inputs'!$B$3:$L$3,0)),0)</f>
        <v>0</v>
      </c>
      <c r="I205" s="93">
        <f t="array" ref="I205">IFERROR(INDEX('Detail inputs'!$B$3:$L$304,MATCH($B205&amp;$C205&amp;$E205&amp;$G205&amp;I$5&amp;$T205,'Detail inputs'!$B$3:$B$304&amp;'Detail inputs'!$D$3:$D$304&amp;'Detail inputs'!$F$3:$F$304&amp;'Detail inputs'!$G$3:$G$304&amp;'Detail inputs'!$H$3:$H$304&amp;'Detail inputs'!$L$3:$L$304,0),MATCH(I$4,'Detail inputs'!$B$3:$L$3,0)),0)</f>
        <v>32.5</v>
      </c>
      <c r="J205" s="93">
        <f>IF(AND(H205="",I205=""),"",H205+I205*F205/1000)</f>
        <v>136.5</v>
      </c>
      <c r="K205" s="44">
        <f>IFERROR(J205/J207,"")</f>
        <v>0.17943291312292139</v>
      </c>
      <c r="L205" s="44"/>
      <c r="M205" s="49">
        <f t="array" ref="M205">IFERROR(IF($S205="Indicative tariff",$Q205/$J205-1,IF($S205="Zero",0,IF($S205="NA","",IF($S205="Draft x-factor",INDEX('Detail inputs'!$B$3:$P$304,MATCH($B205&amp;$G205&amp;$S205,'Detail inputs'!$B$3:$B$304&amp;'Detail inputs'!$G$3:$G$304&amp;'Detail inputs'!$H$3:$H$304,0),MATCH(M$4,'Detail inputs'!$B$3:$P$3,0)))))),"")</f>
        <v>4.9230769230769189E-2</v>
      </c>
      <c r="N205" s="44"/>
      <c r="O205" s="93">
        <f t="array" ref="O205">IFERROR(IF(OR($S205="NA",$S205="Draft x-factor",$S205="Zero"),"",INDEX('Detail inputs'!$B$3:$L$304,MATCH($B205&amp;$C205&amp;$E205&amp;$G205&amp;O$5&amp;$T205,'Detail inputs'!$B$3:$B$304&amp;'Detail inputs'!$D$3:$D$304&amp;'Detail inputs'!$F$3:$F$304&amp;'Detail inputs'!$G$3:$G$304&amp;'Detail inputs'!$H$3:$H$304&amp;'Detail inputs'!$L$3:$L$304,0),MATCH(O$4,'Detail inputs'!$B$3:$L$3,0))),0)</f>
        <v>0</v>
      </c>
      <c r="P205" s="93">
        <f t="array" ref="P205">IFERROR(IF(OR($S205="NA",$S205="Draft x-factor",$S205="Zero"),"",INDEX('Detail inputs'!$B$3:$L$304,MATCH($B205&amp;$C205&amp;$E205&amp;$G205&amp;P$5&amp;$T205,'Detail inputs'!$B$3:$B$304&amp;'Detail inputs'!$D$3:$D$304&amp;'Detail inputs'!$F$3:$F$304&amp;'Detail inputs'!$G$3:$G$304&amp;'Detail inputs'!$H$3:$H$304&amp;'Detail inputs'!$L$3:$L$304,0),MATCH(P$4,'Detail inputs'!$B$3:$L$3,0))),0)</f>
        <v>34.1</v>
      </c>
      <c r="Q205" s="93">
        <f>IF(AND(O205="",P205=""),"",O205+P205*F205/1000)</f>
        <v>143.22</v>
      </c>
      <c r="R205" s="44">
        <f>IFERROR(Q205/Q207,"")</f>
        <v>0.19736515723617118</v>
      </c>
      <c r="S205" s="21" t="str">
        <f t="array" ref="S205">INDEX('Key inputs'!$B$35:$J$41,MATCH($B205,'Key inputs'!$B$35:$B$41,0),MATCH($G205&amp;S$5,'Key inputs'!$B$35:$J$35&amp;'Key inputs'!$B$36:$J$36,0))</f>
        <v>Indicative tariff</v>
      </c>
      <c r="T205" s="21" t="s">
        <v>58</v>
      </c>
    </row>
    <row r="206" spans="2:20" x14ac:dyDescent="0.3">
      <c r="B206" s="3" t="str">
        <f t="shared" si="59"/>
        <v>SAPN</v>
      </c>
      <c r="C206" s="3" t="str">
        <f t="shared" si="56"/>
        <v>Residential</v>
      </c>
      <c r="D206" s="3" t="str">
        <f t="shared" si="57"/>
        <v>with CL</v>
      </c>
      <c r="E206" s="3" t="s">
        <v>24</v>
      </c>
      <c r="F206" s="41">
        <f t="array" ref="F206">IFERROR(INDEX(Usage!$B$5:$T$18,MATCH($B206,Usage!$B$5:$B$18,0),MATCH($C206&amp;$D206&amp;$E206&amp;$T206,Usage!$B$5:$W$5&amp;Usage!$B$6:$W$6&amp;Usage!$B$7:$W$7&amp;Usage!$B$13:$W$13,0)),0)</f>
        <v>4200</v>
      </c>
      <c r="G206" s="3" t="s">
        <v>87</v>
      </c>
      <c r="H206" s="93">
        <f t="array" ref="H206">IFERROR(INDEX('Detail inputs'!$B$3:$L$304,MATCH($B206&amp;$C206&amp;$E206&amp;$G206&amp;H$5&amp;$T206,'Detail inputs'!$B$3:$B$304&amp;'Detail inputs'!$D$3:$D$304&amp;'Detail inputs'!$F$3:$F$304&amp;'Detail inputs'!$G$3:$G$304&amp;'Detail inputs'!$H$3:$H$304&amp;'Detail inputs'!$L$3:$L$304,0),MATCH(H$4,'Detail inputs'!$B$3:$L$3,0)),0)</f>
        <v>14.7095</v>
      </c>
      <c r="I206" s="93">
        <f t="array" ref="I206">IFERROR(INDEX('Detail inputs'!$B$3:$L$304,MATCH($B206&amp;$C206&amp;$E206&amp;$G206&amp;I$5&amp;$T206,'Detail inputs'!$B$3:$B$304&amp;'Detail inputs'!$D$3:$D$304&amp;'Detail inputs'!$F$3:$F$304&amp;'Detail inputs'!$G$3:$G$304&amp;'Detail inputs'!$H$3:$H$304&amp;'Detail inputs'!$L$3:$L$304,0),MATCH(I$4,'Detail inputs'!$B$3:$L$3,0)),0)</f>
        <v>11.6</v>
      </c>
      <c r="J206" s="93">
        <f>IF(AND(H206="",I206=""),"",H206+I206*F206/1000)</f>
        <v>63.429499999999997</v>
      </c>
      <c r="K206" s="44">
        <f>IFERROR(J206/J207,"")</f>
        <v>8.3379779948207638E-2</v>
      </c>
      <c r="L206" s="44"/>
      <c r="M206" s="49">
        <f t="array" ref="M206">IFERROR(IF($S206="Indicative tariff",$Q206/$J206-1,IF($S206="Zero",0,IF($S206="NA","",IF($S206="Draft x-factor",INDEX('Detail inputs'!$B$3:$P$304,MATCH($B206&amp;$G206&amp;$S206,'Detail inputs'!$B$3:$B$304&amp;'Detail inputs'!$G$3:$G$304&amp;'Detail inputs'!$H$3:$H$304,0),MATCH(M$4,'Detail inputs'!$B$3:$P$3,0)))))),"")</f>
        <v>-2.85277355173853E-2</v>
      </c>
      <c r="N206" s="44"/>
      <c r="O206" s="93">
        <f t="array" ref="O206">IFERROR(IF(OR($S206="NA",$S206="Draft x-factor",$S206="Zero"),"",INDEX('Detail inputs'!$B$3:$L$304,MATCH($B206&amp;$C206&amp;$E206&amp;$G206&amp;O$5&amp;$T206,'Detail inputs'!$B$3:$B$304&amp;'Detail inputs'!$D$3:$D$304&amp;'Detail inputs'!$F$3:$F$304&amp;'Detail inputs'!$G$3:$G$304&amp;'Detail inputs'!$H$3:$H$304&amp;'Detail inputs'!$L$3:$L$304,0),MATCH(O$4,'Detail inputs'!$B$3:$L$3,0))),0)</f>
        <v>15</v>
      </c>
      <c r="P206" s="93">
        <f t="array" ref="P206">IFERROR(IF(OR($S206="NA",$S206="Draft x-factor",$S206="Zero"),"",INDEX('Detail inputs'!$B$3:$L$304,MATCH($B206&amp;$C206&amp;$E206&amp;$G206&amp;P$5&amp;$T206,'Detail inputs'!$B$3:$B$304&amp;'Detail inputs'!$D$3:$D$304&amp;'Detail inputs'!$F$3:$F$304&amp;'Detail inputs'!$G$3:$G$304&amp;'Detail inputs'!$H$3:$H$304&amp;'Detail inputs'!$L$3:$L$304,0),MATCH(P$4,'Detail inputs'!$B$3:$L$3,0))),0)</f>
        <v>11.100000000000001</v>
      </c>
      <c r="Q206" s="93">
        <f t="shared" ref="Q206" si="60">IF(AND(O206="",P206=""),"",O206+P206*F206/1000)</f>
        <v>61.620000000000005</v>
      </c>
      <c r="R206" s="44">
        <f>IFERROR(Q206/Q207,"")</f>
        <v>8.4915800788247939E-2</v>
      </c>
      <c r="S206" s="21" t="str">
        <f t="array" ref="S206">INDEX('Key inputs'!$B$35:$J$41,MATCH($B206,'Key inputs'!$B$35:$B$41,0),MATCH($G206&amp;S$5,'Key inputs'!$B$35:$J$35&amp;'Key inputs'!$B$36:$J$36,0))</f>
        <v>Indicative tariff</v>
      </c>
      <c r="T206" s="21" t="s">
        <v>58</v>
      </c>
    </row>
    <row r="207" spans="2:20" x14ac:dyDescent="0.3">
      <c r="B207" s="3" t="str">
        <f t="shared" si="59"/>
        <v>SAPN</v>
      </c>
      <c r="C207" s="3" t="str">
        <f t="shared" si="56"/>
        <v>Residential</v>
      </c>
      <c r="D207" s="3" t="str">
        <f t="shared" si="57"/>
        <v>with CL</v>
      </c>
      <c r="E207" s="3" t="s">
        <v>24</v>
      </c>
      <c r="F207" s="41">
        <f t="array" ref="F207">IFERROR(INDEX(Usage!$B$5:$T$18,MATCH($B207,Usage!$B$5:$B$18,0),MATCH($C207&amp;$D207&amp;$E207&amp;$T207,Usage!$B$5:$W$5&amp;Usage!$B$6:$W$6&amp;Usage!$B$7:$W$7&amp;Usage!$B$13:$W$13,0)),0)</f>
        <v>4200</v>
      </c>
      <c r="G207" s="3" t="s">
        <v>65</v>
      </c>
      <c r="J207" s="93">
        <f>SUM(J204:J206)</f>
        <v>760.73</v>
      </c>
      <c r="K207" s="44">
        <f>IFERROR(J207/J209,"")</f>
        <v>0.95713387015601403</v>
      </c>
      <c r="L207" s="44"/>
      <c r="M207" s="49">
        <f>IF(J207=0,"",IF(Q207="",SUMPRODUCT(K204:K206,M204:M206),Q207/J207-1))</f>
        <v>-4.6100456140812041E-2</v>
      </c>
      <c r="N207" s="44"/>
      <c r="O207" s="93" t="str">
        <f t="array" ref="O207">IFERROR(IF(OR($S207="NA",$S207="Draft x-factor",$S207="Sum"),"",INDEX('Detail inputs'!$B$3:$L$304,MATCH($B207&amp;$C207&amp;$E207&amp;$G207&amp;O$5&amp;$T207,'Detail inputs'!$B$3:$B$304&amp;'Detail inputs'!$D$3:$D$304&amp;'Detail inputs'!$F$3:$F$304&amp;'Detail inputs'!$G$3:$G$304&amp;'Detail inputs'!$H$3:$H$304&amp;'Detail inputs'!$L$3:$L$304,0),MATCH(O$4,'Detail inputs'!$B$3:$L$3,0))),0)</f>
        <v/>
      </c>
      <c r="P207" s="93" t="str">
        <f t="array" ref="P207">IFERROR(IF(OR($S207="NA",$S207="Draft x-factor",$S207="Sum"),"",INDEX('Detail inputs'!$B$3:$L$304,MATCH($B207&amp;$C207&amp;$E207&amp;$G207&amp;P$5&amp;$T207,'Detail inputs'!$B$3:$B$304&amp;'Detail inputs'!$D$3:$D$304&amp;'Detail inputs'!$F$3:$F$304&amp;'Detail inputs'!$G$3:$G$304&amp;'Detail inputs'!$H$3:$H$304&amp;'Detail inputs'!$L$3:$L$304,0),MATCH(P$4,'Detail inputs'!$B$3:$L$3,0))),0)</f>
        <v/>
      </c>
      <c r="Q207" s="93">
        <f>IF($S207="NA","",IF($S207="Indicative tariff",O207+P207*F207/1000,IF($S207="Sum",SUM(Q204:Q206))))</f>
        <v>725.66000000000008</v>
      </c>
      <c r="R207" s="44">
        <f>IFERROR(Q207/Q209,"")</f>
        <v>0.9697317956461895</v>
      </c>
      <c r="S207" s="21" t="str">
        <f t="array" ref="S207">INDEX('Key inputs'!$B$35:$J$41,MATCH($B207,'Key inputs'!$B$35:$B$41,0),MATCH($G207&amp;S$5,'Key inputs'!$B$35:$J$35&amp;'Key inputs'!$B$36:$J$36,0))</f>
        <v>Sum</v>
      </c>
      <c r="T207" s="21" t="s">
        <v>58</v>
      </c>
    </row>
    <row r="208" spans="2:20" x14ac:dyDescent="0.3">
      <c r="B208" s="3" t="str">
        <f t="shared" si="59"/>
        <v>SAPN</v>
      </c>
      <c r="C208" s="3" t="str">
        <f t="shared" si="56"/>
        <v>Residential</v>
      </c>
      <c r="D208" s="3" t="str">
        <f t="shared" si="57"/>
        <v>with CL</v>
      </c>
      <c r="E208" s="3" t="s">
        <v>24</v>
      </c>
      <c r="F208" s="41">
        <f t="array" ref="F208">IFERROR(INDEX(Usage!$B$5:$T$18,MATCH($B208,Usage!$B$5:$B$18,0),MATCH($C208&amp;$D208&amp;$E208&amp;$T208,Usage!$B$5:$W$5&amp;Usage!$B$6:$W$6&amp;Usage!$B$7:$W$7&amp;Usage!$B$13:$W$13,0)),0)</f>
        <v>4200</v>
      </c>
      <c r="G208" s="3" t="s">
        <v>67</v>
      </c>
      <c r="H208" s="93">
        <f t="array" ref="H208">IFERROR(INDEX('Detail inputs'!$B$3:$L$304,MATCH($B208&amp;$C208&amp;$E208&amp;$G208&amp;H$5&amp;$T208,'Detail inputs'!$B$3:$B$304&amp;'Detail inputs'!$D$3:$D$304&amp;'Detail inputs'!$F$3:$F$304&amp;'Detail inputs'!$G$3:$G$304&amp;'Detail inputs'!$H$3:$H$304&amp;'Detail inputs'!$L$3:$L$304,0),MATCH(H$4,'Detail inputs'!$B$3:$L$3,0)),0)</f>
        <v>34.07</v>
      </c>
      <c r="I208" s="93">
        <f t="array" ref="I208">IFERROR(INDEX('Detail inputs'!$B$3:$L$304,MATCH($B208&amp;$C208&amp;$E208&amp;$G208&amp;I$5&amp;$T208,'Detail inputs'!$B$3:$B$304&amp;'Detail inputs'!$D$3:$D$304&amp;'Detail inputs'!$F$3:$F$304&amp;'Detail inputs'!$G$3:$G$304&amp;'Detail inputs'!$H$3:$H$304&amp;'Detail inputs'!$L$3:$L$304,0),MATCH(I$4,'Detail inputs'!$B$3:$L$3,0)),0)</f>
        <v>0</v>
      </c>
      <c r="J208" s="93">
        <f>IF(AND(H208="",I208=""),"",H208+I208*F208/1000)</f>
        <v>34.07</v>
      </c>
      <c r="K208" s="44">
        <f>IFERROR(J208/J209,"")</f>
        <v>4.2866129843985905E-2</v>
      </c>
      <c r="L208" s="44"/>
      <c r="M208" s="49">
        <f t="array" ref="M208">IFERROR(IF($S208="Indicative tariff",$Q208/$J208-1,IF($S208="Zero",0,IF($S208="NA","",IF($S208="Draft x-factor",INDEX('Detail inputs'!$B$3:$P$304,MATCH($B208&amp;$G208&amp;$S208,'Detail inputs'!$B$3:$B$304&amp;'Detail inputs'!$G$3:$G$304&amp;'Detail inputs'!$H$3:$H$304,0),MATCH(M$4,'Detail inputs'!$B$3:$P$3,0)))))),"")</f>
        <v>-0.33519225124743179</v>
      </c>
      <c r="N208" s="44"/>
      <c r="O208" s="93">
        <f t="array" ref="O208">IFERROR(IF(OR($S208="NA",$S208="Draft x-factor"),"",IF($S208="Zero",H208,INDEX('Detail inputs'!$B$3:$L$304,MATCH($B208&amp;$C208&amp;$E208&amp;$G208&amp;O$5&amp;$T208,'Detail inputs'!$B$3:$B$304&amp;'Detail inputs'!$D$3:$D$304&amp;'Detail inputs'!$F$3:$F$304&amp;'Detail inputs'!$G$3:$G$304&amp;'Detail inputs'!$H$3:$H$304&amp;'Detail inputs'!$L$3:$L$304,0),MATCH(O$4,'Detail inputs'!$B$3:$L$3,0)))),0)</f>
        <v>22.65</v>
      </c>
      <c r="P208" s="93">
        <f t="array" ref="P208">IFERROR(IF(OR($S208="NA",$S208="Draft x-factor"),"",IF($S208="Zero",I208,INDEX('Detail inputs'!$B$3:$L$304,MATCH($B208&amp;$C208&amp;$E208&amp;$G208&amp;P$5&amp;$T208,'Detail inputs'!$B$3:$B$304&amp;'Detail inputs'!$D$3:$D$304&amp;'Detail inputs'!$F$3:$F$304&amp;'Detail inputs'!$G$3:$G$304&amp;'Detail inputs'!$H$3:$H$304&amp;'Detail inputs'!$L$3:$L$304,0),MATCH(P$4,'Detail inputs'!$B$3:$L$3,0)))),0)</f>
        <v>0</v>
      </c>
      <c r="Q208" s="93">
        <f>IF(AND(O208="",P208=""),"",O208+P208*F208/1000)</f>
        <v>22.65</v>
      </c>
      <c r="R208" s="44">
        <f>IFERROR(Q208/Q209,"")</f>
        <v>3.0268204353810581E-2</v>
      </c>
      <c r="S208" s="21" t="str">
        <f t="array" ref="S208">INDEX('Key inputs'!$B$35:$J$41,MATCH($B208,'Key inputs'!$B$35:$B$41,0),MATCH($G208&amp;S$5,'Key inputs'!$B$35:$J$35&amp;'Key inputs'!$B$36:$J$36,0))</f>
        <v>Indicative tariff</v>
      </c>
      <c r="T208" s="21" t="s">
        <v>58</v>
      </c>
    </row>
    <row r="209" spans="2:20" x14ac:dyDescent="0.3">
      <c r="B209" s="3" t="str">
        <f t="shared" si="59"/>
        <v>SAPN</v>
      </c>
      <c r="C209" s="3" t="str">
        <f t="shared" si="56"/>
        <v>Residential</v>
      </c>
      <c r="D209" s="3" t="str">
        <f t="shared" si="57"/>
        <v>with CL</v>
      </c>
      <c r="E209" s="3" t="s">
        <v>24</v>
      </c>
      <c r="F209" s="41">
        <f t="array" ref="F209">IFERROR(INDEX(Usage!$B$5:$T$18,MATCH($B209,Usage!$B$5:$B$18,0),MATCH($C209&amp;$D209&amp;$E209&amp;$T209,Usage!$B$5:$W$5&amp;Usage!$B$6:$W$6&amp;Usage!$B$7:$W$7&amp;Usage!$B$13:$W$13,0)),0)</f>
        <v>4200</v>
      </c>
      <c r="G209" s="3" t="s">
        <v>58</v>
      </c>
      <c r="J209" s="93">
        <f>SUM(J207:J208)</f>
        <v>794.80000000000007</v>
      </c>
      <c r="K209" s="44"/>
      <c r="M209" s="49">
        <f>IF(J209=0,"",IF(OR($S208="Draft x-factor",$S208="Zero"),SUMPRODUCT(K207:K208,M207:M208),Q209/J209-1))</f>
        <v>-5.8492702566683485E-2</v>
      </c>
      <c r="N209" s="92"/>
      <c r="O209" s="99"/>
      <c r="P209" s="99"/>
      <c r="Q209" s="99">
        <f>IF(AND(Q207="",Q208=""),J209*(1+M209),SUM(Q207:Q208))</f>
        <v>748.31000000000006</v>
      </c>
      <c r="R209" s="44"/>
      <c r="S209" s="92"/>
      <c r="T209" s="21" t="s">
        <v>58</v>
      </c>
    </row>
    <row r="210" spans="2:20" x14ac:dyDescent="0.3">
      <c r="B210" s="3" t="str">
        <f t="shared" si="59"/>
        <v>SAPN</v>
      </c>
      <c r="C210" s="3" t="str">
        <f t="shared" si="56"/>
        <v>Residential</v>
      </c>
      <c r="D210" s="3" t="str">
        <f t="shared" si="57"/>
        <v>with CL</v>
      </c>
      <c r="E210" s="3" t="s">
        <v>15</v>
      </c>
      <c r="F210" s="41">
        <f t="array" ref="F210">IFERROR(INDEX(Usage!$B$5:$T$18,MATCH($B210,Usage!$B$5:$B$18,0),MATCH($C210&amp;$D210&amp;$E210,Usage!$B$5:$W$5&amp;Usage!$B$6:$W$6&amp;Usage!$B$7:$W$7,0)),0)</f>
        <v>1800</v>
      </c>
      <c r="G210" s="3" t="s">
        <v>54</v>
      </c>
      <c r="H210" s="93">
        <f t="array" ref="H210">IFERROR(INDEX('Detail inputs'!$B$3:$L$304,MATCH($B210&amp;$C210&amp;$E210&amp;$G210&amp;H$5&amp;$T210,'Detail inputs'!$B$3:$B$304&amp;'Detail inputs'!$D$3:$D$304&amp;'Detail inputs'!$F$3:$F$304&amp;'Detail inputs'!$G$3:$G$304&amp;'Detail inputs'!$H$3:$H$304&amp;'Detail inputs'!$L$3:$L$304,0),MATCH(H$4,'Detail inputs'!$B$3:$L$3,0)),0)</f>
        <v>0</v>
      </c>
      <c r="I210" s="93">
        <f t="array" ref="I210">IFERROR(INDEX('Detail inputs'!$B$3:$L$304,MATCH($B210&amp;$C210&amp;$E210&amp;$G210&amp;I$5&amp;$T210,'Detail inputs'!$B$3:$B$304&amp;'Detail inputs'!$D$3:$D$304&amp;'Detail inputs'!$F$3:$F$304&amp;'Detail inputs'!$G$3:$G$304&amp;'Detail inputs'!$H$3:$H$304&amp;'Detail inputs'!$L$3:$L$304,0),MATCH(I$4,'Detail inputs'!$B$3:$L$3,0)),0)</f>
        <v>45.199999999999996</v>
      </c>
      <c r="J210" s="93">
        <f>IF(AND(H210="",I210=""),"",H210*INDEX(Usage!$B$4:$Q$18,MATCH($B210,Usage!$B$4:$B$18,0),MATCH(IF($E210="CL1","CL1 Proportion","CL2 Proportion"),Usage!$B$8:$Q$8,0))+I210*F210/1000)</f>
        <v>81.359999999999985</v>
      </c>
      <c r="K210" s="44">
        <f>IFERROR(J210/J213,"")</f>
        <v>0.61580381471389645</v>
      </c>
      <c r="L210" s="44"/>
      <c r="M210" s="49">
        <f t="array" ref="M210">IFERROR(IF($S210="Indicative tariff",$Q210/$J210-1,IF($S210="Zero",0,IF($S210="NA","",IF($S210="Draft x-factor",INDEX('Detail inputs'!$B$3:$P$304,MATCH($B210&amp;$G210&amp;$S210,'Detail inputs'!$B$3:$B$304&amp;'Detail inputs'!$G$3:$G$304&amp;'Detail inputs'!$H$3:$H$304,0),MATCH(M$4,'Detail inputs'!$B$3:$P$3,0)))))),"")</f>
        <v>-3.7610619469026441E-2</v>
      </c>
      <c r="N210" s="44"/>
      <c r="O210" s="93">
        <f t="array" ref="O210">IFERROR(IF(OR($S210="NA",$S210="Draft x-factor",$S210="Zero"),"",INDEX('Detail inputs'!$B$3:$L$304,MATCH($B210&amp;$C210&amp;$E210&amp;$G210&amp;O$5&amp;$T210,'Detail inputs'!$B$3:$B$304&amp;'Detail inputs'!$D$3:$D$304&amp;'Detail inputs'!$F$3:$F$304&amp;'Detail inputs'!$G$3:$G$304&amp;'Detail inputs'!$H$3:$H$304&amp;'Detail inputs'!$L$3:$L$304,0),MATCH(O$4,'Detail inputs'!$B$3:$L$3,0))),0)</f>
        <v>0</v>
      </c>
      <c r="P210" s="93">
        <f t="array" ref="P210">IFERROR(IF(OR($S210="NA",$S210="Draft x-factor",$S210="Zero"),"",INDEX('Detail inputs'!$B$3:$L$304,MATCH($B210&amp;$C210&amp;$E210&amp;$G210&amp;P$5&amp;$T210,'Detail inputs'!$B$3:$B$304&amp;'Detail inputs'!$D$3:$D$304&amp;'Detail inputs'!$F$3:$F$304&amp;'Detail inputs'!$G$3:$G$304&amp;'Detail inputs'!$H$3:$H$304&amp;'Detail inputs'!$L$3:$L$304,0),MATCH(P$4,'Detail inputs'!$B$3:$L$3,0))),0)</f>
        <v>43.5</v>
      </c>
      <c r="Q210" s="93">
        <f>IF(AND(O210="",P210=""),"",O210*INDEX(Usage!$B$4:$Q$18,MATCH($B210,Usage!$B$4:$B$18,0),MATCH(IF($E210="CL1","CL1 Proportion","CL2 Proportion"),Usage!$B$8:$Q$8,0))+P210*$F210/1000)</f>
        <v>78.3</v>
      </c>
      <c r="R210" s="44">
        <f>IFERROR(Q210/Q213,"")</f>
        <v>0.60754189944134074</v>
      </c>
      <c r="S210" s="21" t="str">
        <f t="array" ref="S210">INDEX('Key inputs'!$B$35:$J$41,MATCH($B210,'Key inputs'!$B$35:$B$41,0),MATCH($G210&amp;S$5,'Key inputs'!$B$35:$J$35&amp;'Key inputs'!$B$36:$J$36,0))</f>
        <v>Indicative tariff</v>
      </c>
    </row>
    <row r="211" spans="2:20" x14ac:dyDescent="0.3">
      <c r="B211" s="3" t="str">
        <f t="shared" si="59"/>
        <v>SAPN</v>
      </c>
      <c r="C211" s="3" t="str">
        <f t="shared" si="56"/>
        <v>Residential</v>
      </c>
      <c r="D211" s="3" t="str">
        <f t="shared" si="57"/>
        <v>with CL</v>
      </c>
      <c r="E211" s="3" t="s">
        <v>15</v>
      </c>
      <c r="F211" s="41">
        <f t="array" ref="F211">IFERROR(INDEX(Usage!$B$5:$T$18,MATCH($B211,Usage!$B$5:$B$18,0),MATCH($C211&amp;$D211&amp;$E211,Usage!$B$5:$W$5&amp;Usage!$B$6:$W$6&amp;Usage!$B$7:$W$7,0)),0)</f>
        <v>1800</v>
      </c>
      <c r="G211" s="3" t="s">
        <v>55</v>
      </c>
      <c r="H211" s="93">
        <f t="array" ref="H211">IFERROR(INDEX('Detail inputs'!$B$3:$L$304,MATCH($B211&amp;$C211&amp;$E211&amp;$G211&amp;H$5&amp;$T211,'Detail inputs'!$B$3:$B$304&amp;'Detail inputs'!$D$3:$D$304&amp;'Detail inputs'!$F$3:$F$304&amp;'Detail inputs'!$G$3:$G$304&amp;'Detail inputs'!$H$3:$H$304&amp;'Detail inputs'!$L$3:$L$304,0),MATCH(H$4,'Detail inputs'!$B$3:$L$3,0)),0)</f>
        <v>0</v>
      </c>
      <c r="I211" s="93">
        <f t="array" ref="I211">IFERROR(INDEX('Detail inputs'!$B$3:$L$304,MATCH($B211&amp;$C211&amp;$E211&amp;$G211&amp;I$5&amp;$T211,'Detail inputs'!$B$3:$B$304&amp;'Detail inputs'!$D$3:$D$304&amp;'Detail inputs'!$F$3:$F$304&amp;'Detail inputs'!$G$3:$G$304&amp;'Detail inputs'!$H$3:$H$304&amp;'Detail inputs'!$L$3:$L$304,0),MATCH(I$4,'Detail inputs'!$B$3:$L$3,0)),0)</f>
        <v>16.599999999999998</v>
      </c>
      <c r="J211" s="93">
        <f>IF(AND(H211="",I211=""),"",H211*INDEX(Usage!$B$4:$Q$18,MATCH($B211,Usage!$B$4:$B$18,0),MATCH(IF($E211="CL1","CL1 Proportion","CL2 Proportion"),Usage!$B$8:$Q$8,0))+I211*F211/1000)</f>
        <v>29.879999999999995</v>
      </c>
      <c r="K211" s="44">
        <f>IFERROR(J211/J213,"")</f>
        <v>0.22615803814713897</v>
      </c>
      <c r="L211" s="44"/>
      <c r="M211" s="49">
        <f t="array" ref="M211">IFERROR(IF($S211="Indicative tariff",$Q211/$J211-1,IF($S211="Zero",0,IF($S211="NA","",IF($S211="Draft x-factor",INDEX('Detail inputs'!$B$3:$P$304,MATCH($B211&amp;$G211&amp;$S211,'Detail inputs'!$B$3:$B$304&amp;'Detail inputs'!$G$3:$G$304&amp;'Detail inputs'!$H$3:$H$304,0),MATCH(M$4,'Detail inputs'!$B$3:$P$3,0)))))),"")</f>
        <v>2.4096385542168974E-2</v>
      </c>
      <c r="N211" s="44"/>
      <c r="O211" s="93">
        <f t="array" ref="O211">IFERROR(IF(OR($S211="NA",$S211="Draft x-factor",$S211="Zero"),"",INDEX('Detail inputs'!$B$3:$L$304,MATCH($B211&amp;$C211&amp;$E211&amp;$G211&amp;O$5&amp;$T211,'Detail inputs'!$B$3:$B$304&amp;'Detail inputs'!$D$3:$D$304&amp;'Detail inputs'!$F$3:$F$304&amp;'Detail inputs'!$G$3:$G$304&amp;'Detail inputs'!$H$3:$H$304&amp;'Detail inputs'!$L$3:$L$304,0),MATCH(O$4,'Detail inputs'!$B$3:$L$3,0))),0)</f>
        <v>0</v>
      </c>
      <c r="P211" s="93">
        <f t="array" ref="P211">IFERROR(IF(OR($S211="NA",$S211="Draft x-factor",$S211="Zero"),"",INDEX('Detail inputs'!$B$3:$L$304,MATCH($B211&amp;$C211&amp;$E211&amp;$G211&amp;P$5&amp;$T211,'Detail inputs'!$B$3:$B$304&amp;'Detail inputs'!$D$3:$D$304&amp;'Detail inputs'!$F$3:$F$304&amp;'Detail inputs'!$G$3:$G$304&amp;'Detail inputs'!$H$3:$H$304&amp;'Detail inputs'!$L$3:$L$304,0),MATCH(P$4,'Detail inputs'!$B$3:$L$3,0))),0)</f>
        <v>17</v>
      </c>
      <c r="Q211" s="93">
        <f>IF(AND(O211="",P211=""),"",O211*INDEX(Usage!$B$4:$Q$18,MATCH($B211,Usage!$B$4:$B$18,0),MATCH(IF($E211="CL1","CL1 Proportion","CL2 Proportion"),Usage!$B$8:$Q$8,0))+P211*$F211/1000)</f>
        <v>30.6</v>
      </c>
      <c r="R211" s="44">
        <f>IFERROR(Q211/Q213,"")</f>
        <v>0.23743016759776539</v>
      </c>
      <c r="S211" s="21" t="str">
        <f t="array" ref="S211">INDEX('Key inputs'!$B$35:$J$41,MATCH($B211,'Key inputs'!$B$35:$B$41,0),MATCH($G211&amp;S$5,'Key inputs'!$B$35:$J$35&amp;'Key inputs'!$B$36:$J$36,0))</f>
        <v>Indicative tariff</v>
      </c>
    </row>
    <row r="212" spans="2:20" x14ac:dyDescent="0.3">
      <c r="B212" s="3" t="str">
        <f t="shared" si="59"/>
        <v>SAPN</v>
      </c>
      <c r="C212" s="3" t="str">
        <f t="shared" si="56"/>
        <v>Residential</v>
      </c>
      <c r="D212" s="3" t="str">
        <f t="shared" si="57"/>
        <v>with CL</v>
      </c>
      <c r="E212" s="3" t="s">
        <v>15</v>
      </c>
      <c r="F212" s="41">
        <f t="array" ref="F212">IFERROR(INDEX(Usage!$B$5:$T$18,MATCH($B212,Usage!$B$5:$B$18,0),MATCH($C212&amp;$D212&amp;$E212,Usage!$B$5:$W$5&amp;Usage!$B$6:$W$6&amp;Usage!$B$7:$W$7,0)),0)</f>
        <v>1800</v>
      </c>
      <c r="G212" s="3" t="s">
        <v>87</v>
      </c>
      <c r="H212" s="93">
        <f t="array" ref="H212">IFERROR(INDEX('Detail inputs'!$B$3:$L$304,MATCH($B212&amp;$C212&amp;$E212&amp;$G212&amp;H$5&amp;$T212,'Detail inputs'!$B$3:$B$304&amp;'Detail inputs'!$D$3:$D$304&amp;'Detail inputs'!$F$3:$F$304&amp;'Detail inputs'!$G$3:$G$304&amp;'Detail inputs'!$H$3:$H$304&amp;'Detail inputs'!$L$3:$L$304,0),MATCH(H$4,'Detail inputs'!$B$3:$L$3,0)),0)</f>
        <v>0</v>
      </c>
      <c r="I212" s="93">
        <f t="array" ref="I212">IFERROR(INDEX('Detail inputs'!$B$3:$L$304,MATCH($B212&amp;$C212&amp;$E212&amp;$G212&amp;I$5&amp;$T212,'Detail inputs'!$B$3:$B$304&amp;'Detail inputs'!$D$3:$D$304&amp;'Detail inputs'!$F$3:$F$304&amp;'Detail inputs'!$G$3:$G$304&amp;'Detail inputs'!$H$3:$H$304&amp;'Detail inputs'!$L$3:$L$304,0),MATCH(I$4,'Detail inputs'!$B$3:$L$3,0)),0)</f>
        <v>11.6</v>
      </c>
      <c r="J212" s="93">
        <f>IF(AND(H212="",I212=""),"",H212*INDEX(Usage!$B$4:$Q$18,MATCH($B212,Usage!$B$4:$B$18,0),MATCH(IF($E212="CL1","CL1 Proportion","CL2 Proportion"),Usage!$B$8:$Q$8,0))+I212*F212/1000)</f>
        <v>20.88</v>
      </c>
      <c r="K212" s="44">
        <f>IFERROR(J212/J213,"")</f>
        <v>0.15803814713896461</v>
      </c>
      <c r="L212" s="44"/>
      <c r="M212" s="49">
        <f t="array" ref="M212">IFERROR(IF($S212="Indicative tariff",$Q212/$J212-1,IF($S212="Zero",0,IF($S212="NA","",IF($S212="Draft x-factor",INDEX('Detail inputs'!$B$3:$P$304,MATCH($B212&amp;$G212&amp;$S212,'Detail inputs'!$B$3:$B$304&amp;'Detail inputs'!$G$3:$G$304&amp;'Detail inputs'!$H$3:$H$304,0),MATCH(M$4,'Detail inputs'!$B$3:$P$3,0)))))),"")</f>
        <v>-4.3103448275861878E-2</v>
      </c>
      <c r="N212" s="44"/>
      <c r="O212" s="93">
        <f t="array" ref="O212">IFERROR(IF(OR($S212="NA",$S212="Draft x-factor",$S212="Zero"),"",INDEX('Detail inputs'!$B$3:$L$304,MATCH($B212&amp;$C212&amp;$E212&amp;$G212&amp;O$5&amp;$T212,'Detail inputs'!$B$3:$B$304&amp;'Detail inputs'!$D$3:$D$304&amp;'Detail inputs'!$F$3:$F$304&amp;'Detail inputs'!$G$3:$G$304&amp;'Detail inputs'!$H$3:$H$304&amp;'Detail inputs'!$L$3:$L$304,0),MATCH(O$4,'Detail inputs'!$B$3:$L$3,0))),0)</f>
        <v>0</v>
      </c>
      <c r="P212" s="93">
        <f t="array" ref="P212">IFERROR(IF(OR($S212="NA",$S212="Draft x-factor",$S212="Zero"),"",INDEX('Detail inputs'!$B$3:$L$304,MATCH($B212&amp;$C212&amp;$E212&amp;$G212&amp;P$5&amp;$T212,'Detail inputs'!$B$3:$B$304&amp;'Detail inputs'!$D$3:$D$304&amp;'Detail inputs'!$F$3:$F$304&amp;'Detail inputs'!$G$3:$G$304&amp;'Detail inputs'!$H$3:$H$304&amp;'Detail inputs'!$L$3:$L$304,0),MATCH(P$4,'Detail inputs'!$B$3:$L$3,0))),0)</f>
        <v>11.100000000000001</v>
      </c>
      <c r="Q212" s="93">
        <f>IF(AND(O212="",P212=""),"",O212*INDEX(Usage!$B$4:$Q$18,MATCH($B212,Usage!$B$4:$B$18,0),MATCH(IF($E212="CL1","CL1 Proportion","CL2 Proportion"),Usage!$B$8:$Q$8,0))+P212*$F212/1000)</f>
        <v>19.980000000000004</v>
      </c>
      <c r="R212" s="44">
        <f>IFERROR(Q212/Q213,"")</f>
        <v>0.1550279329608939</v>
      </c>
      <c r="S212" s="21" t="str">
        <f t="array" ref="S212">INDEX('Key inputs'!$B$35:$J$41,MATCH($B212,'Key inputs'!$B$35:$B$41,0),MATCH($G212&amp;S$5,'Key inputs'!$B$35:$J$35&amp;'Key inputs'!$B$36:$J$36,0))</f>
        <v>Indicative tariff</v>
      </c>
    </row>
    <row r="213" spans="2:20" x14ac:dyDescent="0.3">
      <c r="B213" s="3" t="str">
        <f t="shared" si="59"/>
        <v>SAPN</v>
      </c>
      <c r="C213" s="3" t="str">
        <f t="shared" si="56"/>
        <v>Residential</v>
      </c>
      <c r="D213" s="3" t="str">
        <f t="shared" si="57"/>
        <v>with CL</v>
      </c>
      <c r="E213" s="3" t="s">
        <v>15</v>
      </c>
      <c r="F213" s="41">
        <f t="array" ref="F213">IFERROR(INDEX(Usage!$B$5:$T$18,MATCH($B213,Usage!$B$5:$B$18,0),MATCH($C213&amp;$D213&amp;$E213,Usage!$B$5:$W$5&amp;Usage!$B$6:$W$6&amp;Usage!$B$7:$W$7,0)),0)</f>
        <v>1800</v>
      </c>
      <c r="G213" s="3" t="s">
        <v>65</v>
      </c>
      <c r="J213" s="93">
        <f>SUM(J210:J212)</f>
        <v>132.11999999999998</v>
      </c>
      <c r="K213" s="44">
        <f>IFERROR(J213/J215,"")</f>
        <v>0.79499368193032072</v>
      </c>
      <c r="L213" s="44"/>
      <c r="M213" s="49">
        <f>IF(J213=0,"",IF(Q213="",SUMPRODUCT(K210:K212,M210:M212),Q213/J213-1))</f>
        <v>-2.4523160762942586E-2</v>
      </c>
      <c r="N213" s="44"/>
      <c r="O213" s="93" t="str">
        <f t="array" ref="O213">IFERROR(IF(OR($S213="NA",$S213="Draft x-factor",$S213="Sum"),"",INDEX('Detail inputs'!$B$3:$L$304,MATCH($B213&amp;$C213&amp;$E213&amp;$G213&amp;O$5&amp;$T213,'Detail inputs'!$B$3:$B$304&amp;'Detail inputs'!$D$3:$D$304&amp;'Detail inputs'!$F$3:$F$304&amp;'Detail inputs'!$G$3:$G$304&amp;'Detail inputs'!$H$3:$H$304&amp;'Detail inputs'!$L$3:$L$304,0),MATCH(O$4,'Detail inputs'!$B$3:$L$3,0))),0)</f>
        <v/>
      </c>
      <c r="P213" s="93" t="str">
        <f t="array" ref="P213">IFERROR(IF(OR($S213="NA",$S213="Draft x-factor",$S213="Sum"),"",INDEX('Detail inputs'!$B$3:$L$304,MATCH($B213&amp;$C213&amp;$E213&amp;$G213&amp;P$5&amp;$T213,'Detail inputs'!$B$3:$B$304&amp;'Detail inputs'!$D$3:$D$304&amp;'Detail inputs'!$F$3:$F$304&amp;'Detail inputs'!$G$3:$G$304&amp;'Detail inputs'!$H$3:$H$304&amp;'Detail inputs'!$L$3:$L$304,0),MATCH(P$4,'Detail inputs'!$B$3:$L$3,0))),0)</f>
        <v/>
      </c>
      <c r="Q213" s="93">
        <f>IF($S213="NA","",IF($S213="Indicative tariff",O213*INDEX(Usage!$B$4:$Q$18,MATCH($B213,Usage!$B$4:$B$18,0),MATCH(IF($E213="CL1","CL1 Proportion","CL2 Proportion"),Usage!$B$8:$Q$8,0))+P213*$F213/1000,IF($S213="Sum",SUM(Q210:Q212))))</f>
        <v>128.88</v>
      </c>
      <c r="R213" s="44">
        <f>IFERROR(Q213/Q215,"")</f>
        <v>0.85052464858443866</v>
      </c>
      <c r="S213" s="21" t="str">
        <f t="array" ref="S213">INDEX('Key inputs'!$B$35:$J$41,MATCH($B213,'Key inputs'!$B$35:$B$41,0),MATCH($G213&amp;S$5,'Key inputs'!$B$35:$J$35&amp;'Key inputs'!$B$36:$J$36,0))</f>
        <v>Sum</v>
      </c>
    </row>
    <row r="214" spans="2:20" x14ac:dyDescent="0.3">
      <c r="B214" s="3" t="str">
        <f t="shared" si="59"/>
        <v>SAPN</v>
      </c>
      <c r="C214" s="3" t="str">
        <f t="shared" si="56"/>
        <v>Residential</v>
      </c>
      <c r="D214" s="3" t="str">
        <f t="shared" si="57"/>
        <v>with CL</v>
      </c>
      <c r="E214" s="3" t="s">
        <v>15</v>
      </c>
      <c r="F214" s="41">
        <f t="array" ref="F214">IFERROR(INDEX(Usage!$B$5:$T$18,MATCH($B214,Usage!$B$5:$B$18,0),MATCH($C214&amp;$D214&amp;$E214,Usage!$B$5:$W$5&amp;Usage!$B$6:$W$6&amp;Usage!$B$7:$W$7,0)),0)</f>
        <v>1800</v>
      </c>
      <c r="G214" s="3" t="s">
        <v>67</v>
      </c>
      <c r="H214" s="93">
        <f t="array" ref="H214">IFERROR(INDEX('Detail inputs'!$B$3:$L$304,MATCH($B214&amp;$C214&amp;$E214&amp;$G214&amp;H$5&amp;$T214,'Detail inputs'!$B$3:$B$304&amp;'Detail inputs'!$D$3:$D$304&amp;'Detail inputs'!$F$3:$F$304&amp;'Detail inputs'!$G$3:$G$304&amp;'Detail inputs'!$H$3:$H$304&amp;'Detail inputs'!$L$3:$L$304,0),MATCH(H$4,'Detail inputs'!$B$3:$L$3,0)),0)</f>
        <v>34.07</v>
      </c>
      <c r="I214" s="93">
        <f t="array" ref="I214">IFERROR(INDEX('Detail inputs'!$B$3:$L$304,MATCH($B214&amp;$C214&amp;$E214&amp;$G214&amp;I$5&amp;$T214,'Detail inputs'!$B$3:$B$304&amp;'Detail inputs'!$D$3:$D$304&amp;'Detail inputs'!$F$3:$F$304&amp;'Detail inputs'!$G$3:$G$304&amp;'Detail inputs'!$H$3:$H$304&amp;'Detail inputs'!$L$3:$L$304,0),MATCH(I$4,'Detail inputs'!$B$3:$L$3,0)),0)</f>
        <v>0</v>
      </c>
      <c r="J214" s="93">
        <f>IF(AND(H214="",I214=""),"",H214*INDEX(Usage!$B$4:$Q$18,MATCH($B214,Usage!$B$4:$B$18,0),MATCH(IF($E214="CL1","CL1 Proportion","CL2 Proportion"),Usage!$B$8:$Q$8,0))+I214*F214/1000)</f>
        <v>34.07</v>
      </c>
      <c r="K214" s="44">
        <f>IFERROR(J214/J215,"")</f>
        <v>0.20500631806967931</v>
      </c>
      <c r="L214" s="44"/>
      <c r="M214" s="49">
        <f t="array" ref="M214">IFERROR(IF($S214="Indicative tariff",$Q214/$J214-1,IF($S214="Zero",0,IF($S214="NA","",IF($S214="Draft x-factor",INDEX('Detail inputs'!$B$3:$P$304,MATCH($B214&amp;$G214&amp;$S214,'Detail inputs'!$B$3:$B$304&amp;'Detail inputs'!$G$3:$G$304&amp;'Detail inputs'!$H$3:$H$304,0),MATCH(M$4,'Detail inputs'!$B$3:$P$3,0)))))),"")</f>
        <v>-0.33519225124743179</v>
      </c>
      <c r="N214" s="44"/>
      <c r="O214" s="93">
        <f t="array" ref="O214">IFERROR(IF(OR($S214="NA",$S214="Draft x-factor"),"",IF($S214="Zero",H214,INDEX('Detail inputs'!$B$3:$L$304,MATCH($B214&amp;$C214&amp;$E214&amp;$G214&amp;O$5&amp;$T214,'Detail inputs'!$B$3:$B$304&amp;'Detail inputs'!$D$3:$D$304&amp;'Detail inputs'!$F$3:$F$304&amp;'Detail inputs'!$G$3:$G$304&amp;'Detail inputs'!$H$3:$H$304&amp;'Detail inputs'!$L$3:$L$304,0),MATCH(O$4,'Detail inputs'!$B$3:$L$3,0)))),0)</f>
        <v>22.65</v>
      </c>
      <c r="P214" s="93">
        <f t="array" ref="P214">IFERROR(IF(OR($S214="NA",$S214="Draft x-factor"),"",IF($S214="Zero",I214,INDEX('Detail inputs'!$B$3:$L$304,MATCH($B214&amp;$C214&amp;$E214&amp;$G214&amp;P$5&amp;$T214,'Detail inputs'!$B$3:$B$304&amp;'Detail inputs'!$D$3:$D$304&amp;'Detail inputs'!$F$3:$F$304&amp;'Detail inputs'!$G$3:$G$304&amp;'Detail inputs'!$H$3:$H$304&amp;'Detail inputs'!$L$3:$L$304,0),MATCH(P$4,'Detail inputs'!$B$3:$L$3,0)))),0)</f>
        <v>0</v>
      </c>
      <c r="Q214" s="93">
        <f>IF(AND(O214="",P214=""),"",O214+P214*F214/1000)</f>
        <v>22.65</v>
      </c>
      <c r="R214" s="44">
        <f>IFERROR(Q214/Q215,"")</f>
        <v>0.14947535141556126</v>
      </c>
      <c r="S214" s="21" t="str">
        <f t="array" ref="S214">INDEX('Key inputs'!$B$35:$J$41,MATCH($B214,'Key inputs'!$B$35:$B$41,0),MATCH($G214&amp;S$5,'Key inputs'!$B$35:$J$35&amp;'Key inputs'!$B$36:$J$36,0))</f>
        <v>Indicative tariff</v>
      </c>
    </row>
    <row r="215" spans="2:20" x14ac:dyDescent="0.3">
      <c r="B215" s="3" t="str">
        <f t="shared" si="59"/>
        <v>SAPN</v>
      </c>
      <c r="C215" s="3" t="str">
        <f t="shared" si="56"/>
        <v>Residential</v>
      </c>
      <c r="D215" s="3" t="str">
        <f t="shared" si="57"/>
        <v>with CL</v>
      </c>
      <c r="E215" s="3" t="s">
        <v>15</v>
      </c>
      <c r="F215" s="41">
        <f t="array" ref="F215">IFERROR(INDEX(Usage!$B$5:$T$18,MATCH($B215,Usage!$B$5:$B$18,0),MATCH($C215&amp;$D215&amp;$E215,Usage!$B$5:$W$5&amp;Usage!$B$6:$W$6&amp;Usage!$B$7:$W$7,0)),0)</f>
        <v>1800</v>
      </c>
      <c r="G215" s="3" t="s">
        <v>58</v>
      </c>
      <c r="J215" s="93">
        <f>SUM(J213:J214)</f>
        <v>166.18999999999997</v>
      </c>
      <c r="K215" s="44"/>
      <c r="M215" s="49">
        <f>IF(J215=0,"",IF(OR($S214="Draft x-factor",$S214="Zero"),SUMPRODUCT(K213:K214,M213:M214),Q215/J215-1))</f>
        <v>-8.8212287141223755E-2</v>
      </c>
      <c r="N215" s="92"/>
      <c r="O215" s="99"/>
      <c r="P215" s="99"/>
      <c r="Q215" s="99">
        <f>IF(AND(Q213="",Q214=""),J215*(1+M215),SUM(Q213:Q214))</f>
        <v>151.53</v>
      </c>
      <c r="R215" s="44"/>
      <c r="S215" s="27"/>
    </row>
    <row r="216" spans="2:20" s="81" customFormat="1" x14ac:dyDescent="0.3">
      <c r="B216" s="81" t="str">
        <f t="shared" ref="B216:D218" si="61">B215</f>
        <v>SAPN</v>
      </c>
      <c r="C216" s="81" t="str">
        <f t="shared" si="61"/>
        <v>Residential</v>
      </c>
      <c r="D216" s="81" t="str">
        <f t="shared" si="61"/>
        <v>with CL</v>
      </c>
      <c r="E216" s="81" t="s">
        <v>58</v>
      </c>
      <c r="F216" s="41">
        <f t="array" ref="F216">IFERROR(INDEX(Usage!$B$5:$T$18,MATCH($B216,Usage!$B$5:$B$18,0),MATCH($C216&amp;$D216&amp;$E216,Usage!$B$5:$W$5&amp;Usage!$B$6:$W$6&amp;Usage!$B$7:$W$7,0)),0)</f>
        <v>6000</v>
      </c>
      <c r="G216" s="81" t="s">
        <v>58</v>
      </c>
      <c r="H216" s="99"/>
      <c r="I216" s="99"/>
      <c r="J216" s="99">
        <f>J209+J215</f>
        <v>960.99</v>
      </c>
      <c r="K216" s="91"/>
      <c r="L216" s="92"/>
      <c r="M216" s="83">
        <f t="shared" ref="M216" si="62">IF(OR(J216=0,Q216=""),"",Q216/J216-1)</f>
        <v>-6.3632295861559385E-2</v>
      </c>
      <c r="N216" s="92"/>
      <c r="O216" s="99"/>
      <c r="P216" s="99"/>
      <c r="Q216" s="99">
        <f>Q209+Q215</f>
        <v>899.84</v>
      </c>
      <c r="R216" s="91"/>
      <c r="S216" s="92"/>
      <c r="T216" s="92"/>
    </row>
    <row r="217" spans="2:20" x14ac:dyDescent="0.3">
      <c r="B217" s="3" t="str">
        <f t="shared" si="61"/>
        <v>SAPN</v>
      </c>
      <c r="C217" s="3" t="str">
        <f t="shared" si="61"/>
        <v>Residential</v>
      </c>
      <c r="D217" s="3" t="str">
        <f t="shared" si="61"/>
        <v>with CL</v>
      </c>
      <c r="F217" s="41"/>
      <c r="G217" s="81" t="s">
        <v>41</v>
      </c>
      <c r="H217" s="99"/>
      <c r="I217" s="99"/>
      <c r="J217" s="99">
        <f>J216*GST</f>
        <v>96.099000000000004</v>
      </c>
      <c r="K217" s="91"/>
      <c r="L217" s="92"/>
      <c r="M217" s="83"/>
      <c r="N217" s="92"/>
      <c r="O217" s="99"/>
      <c r="P217" s="99"/>
      <c r="Q217" s="99">
        <f>Q216*GST</f>
        <v>89.984000000000009</v>
      </c>
      <c r="R217" s="91"/>
    </row>
    <row r="218" spans="2:20" x14ac:dyDescent="0.3">
      <c r="B218" s="3" t="str">
        <f t="shared" si="61"/>
        <v>SAPN</v>
      </c>
      <c r="C218" s="3" t="str">
        <f t="shared" si="61"/>
        <v>Residential</v>
      </c>
      <c r="D218" s="3" t="str">
        <f t="shared" si="61"/>
        <v>with CL</v>
      </c>
      <c r="F218" s="41"/>
      <c r="G218" s="5" t="s">
        <v>91</v>
      </c>
      <c r="H218" s="98"/>
      <c r="I218" s="98"/>
      <c r="J218" s="98">
        <f>SUM(J216:J217)</f>
        <v>1057.0889999999999</v>
      </c>
      <c r="K218" s="79"/>
      <c r="L218" s="27"/>
      <c r="M218" s="80">
        <f>IF(OR(J218=0,Q218=""),"",Q218/J218-1)</f>
        <v>-6.3632295861559274E-2</v>
      </c>
      <c r="N218" s="27"/>
      <c r="O218" s="98"/>
      <c r="P218" s="98"/>
      <c r="Q218" s="98">
        <f>SUM(Q216:Q217)</f>
        <v>989.82400000000007</v>
      </c>
      <c r="R218" s="79"/>
    </row>
    <row r="219" spans="2:20" x14ac:dyDescent="0.3"/>
    <row r="220" spans="2:20" x14ac:dyDescent="0.3">
      <c r="B220" s="5" t="s">
        <v>5</v>
      </c>
      <c r="C220" s="5" t="s">
        <v>14</v>
      </c>
      <c r="D220" s="5" t="s">
        <v>158</v>
      </c>
      <c r="F220" s="41"/>
      <c r="K220" s="44"/>
      <c r="M220" s="49"/>
      <c r="R220" s="44"/>
    </row>
    <row r="221" spans="2:20" x14ac:dyDescent="0.3">
      <c r="B221" s="3" t="str">
        <f>B220</f>
        <v>SAPN</v>
      </c>
      <c r="C221" s="3" t="str">
        <f t="shared" ref="C221:C228" si="63">C220</f>
        <v>Small business</v>
      </c>
      <c r="D221" s="3" t="str">
        <f t="shared" ref="D221:D228" si="64">D220</f>
        <v>without CL</v>
      </c>
      <c r="E221" s="3" t="s">
        <v>24</v>
      </c>
      <c r="F221" s="41">
        <f t="array" ref="F221">IFERROR(INDEX(Usage!$B$5:$T$18,MATCH($B221,Usage!$B$5:$B$18,0),MATCH($C221&amp;$D221&amp;$E221,Usage!$B$5:$W$5&amp;Usage!$B$6:$W$6&amp;Usage!$B$7:$W$7,0)),0)</f>
        <v>20000</v>
      </c>
      <c r="G221" s="3" t="s">
        <v>54</v>
      </c>
      <c r="H221" s="93">
        <f t="array" ref="H221">IFERROR(INDEX('Detail inputs'!$B$3:$L$304,MATCH($B221&amp;$C221&amp;$E221&amp;$G221&amp;H$5&amp;$T221,'Detail inputs'!$B$3:$B$304&amp;'Detail inputs'!$D$3:$D$304&amp;'Detail inputs'!$F$3:$F$304&amp;'Detail inputs'!$G$3:$G$304&amp;'Detail inputs'!$H$3:$H$304&amp;'Detail inputs'!$L$3:$L$304,0),MATCH(H$4,'Detail inputs'!$B$3:$L$3,0)),0)</f>
        <v>153.22699999999998</v>
      </c>
      <c r="I221" s="93">
        <f t="array" ref="I221">IFERROR(INDEX('Detail inputs'!$B$3:$L$304,MATCH($B221&amp;$C221&amp;$E221&amp;$G221&amp;I$5&amp;$T221,'Detail inputs'!$B$3:$B$304&amp;'Detail inputs'!$D$3:$D$304&amp;'Detail inputs'!$F$3:$F$304&amp;'Detail inputs'!$G$3:$G$304&amp;'Detail inputs'!$H$3:$H$304&amp;'Detail inputs'!$L$3:$L$304,0),MATCH(I$4,'Detail inputs'!$B$3:$L$3,0)),0)</f>
        <v>112.69999999999999</v>
      </c>
      <c r="J221" s="93">
        <f>IF(AND(H221="",I221=""),"",H221+I221*F221/1000)</f>
        <v>2407.2269999999999</v>
      </c>
      <c r="K221" s="44">
        <f>IFERROR(J221/J224,"")</f>
        <v>0.73842757366592882</v>
      </c>
      <c r="L221" s="44"/>
      <c r="M221" s="49">
        <f t="array" ref="M221">IFERROR(IF($S221="Indicative tariff",$Q221/$J221-1,IF($S221="Zero",0,IF($S221="NA","",IF($S221="Draft x-factor",INDEX('Detail inputs'!$B$3:$P$304,MATCH($B221&amp;$G221&amp;$S221,'Detail inputs'!$B$3:$B$304&amp;'Detail inputs'!$G$3:$G$304&amp;'Detail inputs'!$H$3:$H$304,0),MATCH(M$4,'Detail inputs'!$B$3:$P$3,0)))))),"")</f>
        <v>-0.16501435053694558</v>
      </c>
      <c r="N221" s="44"/>
      <c r="O221" s="93">
        <f t="array" ref="O221">IFERROR(IF(OR($S221="NA",$S221="Draft x-factor",$S221="Zero"),"",INDEX('Detail inputs'!$B$3:$L$304,MATCH($B221&amp;$C221&amp;$E221&amp;$G221&amp;O$5&amp;$T221,'Detail inputs'!$B$3:$B$304&amp;'Detail inputs'!$D$3:$D$304&amp;'Detail inputs'!$F$3:$F$304&amp;'Detail inputs'!$G$3:$G$304&amp;'Detail inputs'!$H$3:$H$304&amp;'Detail inputs'!$L$3:$L$304,0),MATCH(O$4,'Detail inputs'!$B$3:$L$3,0))),0)</f>
        <v>170</v>
      </c>
      <c r="P221" s="93">
        <f t="array" ref="P221">IFERROR(IF(OR($S221="NA",$S221="Draft x-factor",$S221="Zero"),"",INDEX('Detail inputs'!$B$3:$L$304,MATCH($B221&amp;$C221&amp;$E221&amp;$G221&amp;P$5&amp;$T221,'Detail inputs'!$B$3:$B$304&amp;'Detail inputs'!$D$3:$D$304&amp;'Detail inputs'!$F$3:$F$304&amp;'Detail inputs'!$G$3:$G$304&amp;'Detail inputs'!$H$3:$H$304&amp;'Detail inputs'!$L$3:$L$304,0),MATCH(P$4,'Detail inputs'!$B$3:$L$3,0))),0)</f>
        <v>92</v>
      </c>
      <c r="Q221" s="93">
        <f t="shared" ref="Q221" si="65">IF(AND(O221="",P221=""),"",O221+P221*F221/1000)</f>
        <v>2010</v>
      </c>
      <c r="R221" s="44">
        <f>IFERROR(Q221/Q224,"")</f>
        <v>0.71453963739779591</v>
      </c>
      <c r="S221" s="21" t="str">
        <f t="array" ref="S221">INDEX('Key inputs'!$B$35:$J$41,MATCH($B221,'Key inputs'!$B$35:$B$41,0),MATCH($G221&amp;S$5,'Key inputs'!$B$35:$J$35&amp;'Key inputs'!$B$36:$J$36,0))</f>
        <v>Indicative tariff</v>
      </c>
    </row>
    <row r="222" spans="2:20" x14ac:dyDescent="0.3">
      <c r="B222" s="3" t="str">
        <f t="shared" ref="B222:B228" si="66">B221</f>
        <v>SAPN</v>
      </c>
      <c r="C222" s="3" t="str">
        <f t="shared" si="63"/>
        <v>Small business</v>
      </c>
      <c r="D222" s="3" t="str">
        <f t="shared" si="64"/>
        <v>without CL</v>
      </c>
      <c r="E222" s="3" t="s">
        <v>24</v>
      </c>
      <c r="F222" s="41">
        <f t="array" ref="F222">IFERROR(INDEX(Usage!$B$5:$T$18,MATCH($B222,Usage!$B$5:$B$18,0),MATCH($C222&amp;$D222&amp;$E222,Usage!$B$5:$W$5&amp;Usage!$B$6:$W$6&amp;Usage!$B$7:$W$7,0)),0)</f>
        <v>20000</v>
      </c>
      <c r="G222" s="3" t="s">
        <v>55</v>
      </c>
      <c r="H222" s="93">
        <f t="array" ref="H222">IFERROR(INDEX('Detail inputs'!$B$3:$L$304,MATCH($B222&amp;$C222&amp;$E222&amp;$G222&amp;H$5&amp;$T222,'Detail inputs'!$B$3:$B$304&amp;'Detail inputs'!$D$3:$D$304&amp;'Detail inputs'!$F$3:$F$304&amp;'Detail inputs'!$G$3:$G$304&amp;'Detail inputs'!$H$3:$H$304&amp;'Detail inputs'!$L$3:$L$304,0),MATCH(H$4,'Detail inputs'!$B$3:$L$3,0)),0)</f>
        <v>0</v>
      </c>
      <c r="I222" s="93">
        <f t="array" ref="I222">IFERROR(INDEX('Detail inputs'!$B$3:$L$304,MATCH($B222&amp;$C222&amp;$E222&amp;$G222&amp;I$5&amp;$T222,'Detail inputs'!$B$3:$B$304&amp;'Detail inputs'!$D$3:$D$304&amp;'Detail inputs'!$F$3:$F$304&amp;'Detail inputs'!$G$3:$G$304&amp;'Detail inputs'!$H$3:$H$304&amp;'Detail inputs'!$L$3:$L$304,0),MATCH(I$4,'Detail inputs'!$B$3:$L$3,0)),0)</f>
        <v>34.799999999999997</v>
      </c>
      <c r="J222" s="93">
        <f>IF(AND(H222="",I222=""),"",H222+I222*F222/1000)</f>
        <v>696</v>
      </c>
      <c r="K222" s="44">
        <f>IFERROR(J222/J224,"")</f>
        <v>0.21350109120223662</v>
      </c>
      <c r="L222" s="44"/>
      <c r="M222" s="49">
        <f t="array" ref="M222">IFERROR(IF($S222="Indicative tariff",$Q222/$J222-1,IF($S222="Zero",0,IF($S222="NA","",IF($S222="Draft x-factor",INDEX('Detail inputs'!$B$3:$P$304,MATCH($B222&amp;$G222&amp;$S222,'Detail inputs'!$B$3:$B$304&amp;'Detail inputs'!$G$3:$G$304&amp;'Detail inputs'!$H$3:$H$304,0),MATCH(M$4,'Detail inputs'!$B$3:$P$3,0)))))),"")</f>
        <v>-6.3218390804597902E-2</v>
      </c>
      <c r="N222" s="44"/>
      <c r="O222" s="93">
        <f t="array" ref="O222">IFERROR(IF(OR($S222="NA",$S222="Draft x-factor",$S222="Zero"),"",INDEX('Detail inputs'!$B$3:$L$304,MATCH($B222&amp;$C222&amp;$E222&amp;$G222&amp;O$5&amp;$T222,'Detail inputs'!$B$3:$B$304&amp;'Detail inputs'!$D$3:$D$304&amp;'Detail inputs'!$F$3:$F$304&amp;'Detail inputs'!$G$3:$G$304&amp;'Detail inputs'!$H$3:$H$304&amp;'Detail inputs'!$L$3:$L$304,0),MATCH(O$4,'Detail inputs'!$B$3:$L$3,0))),0)</f>
        <v>0</v>
      </c>
      <c r="P222" s="93">
        <f t="array" ref="P222">IFERROR(IF(OR($S222="NA",$S222="Draft x-factor",$S222="Zero"),"",INDEX('Detail inputs'!$B$3:$L$304,MATCH($B222&amp;$C222&amp;$E222&amp;$G222&amp;P$5&amp;$T222,'Detail inputs'!$B$3:$B$304&amp;'Detail inputs'!$D$3:$D$304&amp;'Detail inputs'!$F$3:$F$304&amp;'Detail inputs'!$G$3:$G$304&amp;'Detail inputs'!$H$3:$H$304&amp;'Detail inputs'!$L$3:$L$304,0),MATCH(P$4,'Detail inputs'!$B$3:$L$3,0))),0)</f>
        <v>32.599999999999994</v>
      </c>
      <c r="Q222" s="93">
        <f>IF(AND(O222="",P222=""),"",O222+P222*F222/1000)</f>
        <v>651.99999999999989</v>
      </c>
      <c r="R222" s="44">
        <f>IFERROR(Q222/Q224,"")</f>
        <v>0.23178101670814075</v>
      </c>
      <c r="S222" s="21" t="str">
        <f t="array" ref="S222">INDEX('Key inputs'!$B$35:$J$41,MATCH($B222,'Key inputs'!$B$35:$B$41,0),MATCH($G222&amp;S$5,'Key inputs'!$B$35:$J$35&amp;'Key inputs'!$B$36:$J$36,0))</f>
        <v>Indicative tariff</v>
      </c>
    </row>
    <row r="223" spans="2:20" x14ac:dyDescent="0.3">
      <c r="B223" s="3" t="str">
        <f t="shared" si="66"/>
        <v>SAPN</v>
      </c>
      <c r="C223" s="3" t="str">
        <f t="shared" si="63"/>
        <v>Small business</v>
      </c>
      <c r="D223" s="3" t="str">
        <f t="shared" si="64"/>
        <v>without CL</v>
      </c>
      <c r="E223" s="3" t="s">
        <v>24</v>
      </c>
      <c r="F223" s="41">
        <f t="array" ref="F223">IFERROR(INDEX(Usage!$B$5:$T$18,MATCH($B223,Usage!$B$5:$B$18,0),MATCH($C223&amp;$D223&amp;$E223,Usage!$B$5:$W$5&amp;Usage!$B$6:$W$6&amp;Usage!$B$7:$W$7,0)),0)</f>
        <v>20000</v>
      </c>
      <c r="G223" s="3" t="s">
        <v>87</v>
      </c>
      <c r="H223" s="93">
        <f t="array" ref="H223">IFERROR(INDEX('Detail inputs'!$B$3:$L$304,MATCH($B223&amp;$C223&amp;$E223&amp;$G223&amp;H$5&amp;$T223,'Detail inputs'!$B$3:$B$304&amp;'Detail inputs'!$D$3:$D$304&amp;'Detail inputs'!$F$3:$F$304&amp;'Detail inputs'!$G$3:$G$304&amp;'Detail inputs'!$H$3:$H$304&amp;'Detail inputs'!$L$3:$L$304,0),MATCH(H$4,'Detail inputs'!$B$3:$L$3,0)),0)</f>
        <v>14.7095</v>
      </c>
      <c r="I223" s="93">
        <f t="array" ref="I223">IFERROR(INDEX('Detail inputs'!$B$3:$L$304,MATCH($B223&amp;$C223&amp;$E223&amp;$G223&amp;I$5&amp;$T223,'Detail inputs'!$B$3:$B$304&amp;'Detail inputs'!$D$3:$D$304&amp;'Detail inputs'!$F$3:$F$304&amp;'Detail inputs'!$G$3:$G$304&amp;'Detail inputs'!$H$3:$H$304&amp;'Detail inputs'!$L$3:$L$304,0),MATCH(I$4,'Detail inputs'!$B$3:$L$3,0)),0)</f>
        <v>7.1</v>
      </c>
      <c r="J223" s="93">
        <f>IF(AND(H223="",I223=""),"",H223+I223*F223/1000)</f>
        <v>156.70949999999999</v>
      </c>
      <c r="K223" s="44">
        <f>IFERROR(J223/J224,"")</f>
        <v>4.8071335131834626E-2</v>
      </c>
      <c r="L223" s="44"/>
      <c r="M223" s="49">
        <f t="array" ref="M223">IFERROR(IF($S223="Indicative tariff",$Q223/$J223-1,IF($S223="Zero",0,IF($S223="NA","",IF($S223="Draft x-factor",INDEX('Detail inputs'!$B$3:$P$304,MATCH($B223&amp;$G223&amp;$S223,'Detail inputs'!$B$3:$B$304&amp;'Detail inputs'!$G$3:$G$304&amp;'Detail inputs'!$H$3:$H$304,0),MATCH(M$4,'Detail inputs'!$B$3:$P$3,0)))))),"")</f>
        <v>-3.6433655904715367E-2</v>
      </c>
      <c r="N223" s="44"/>
      <c r="O223" s="93">
        <f t="array" ref="O223">IFERROR(IF(OR($S223="NA",$S223="Draft x-factor",$S223="Zero"),"",INDEX('Detail inputs'!$B$3:$L$304,MATCH($B223&amp;$C223&amp;$E223&amp;$G223&amp;O$5&amp;$T223,'Detail inputs'!$B$3:$B$304&amp;'Detail inputs'!$D$3:$D$304&amp;'Detail inputs'!$F$3:$F$304&amp;'Detail inputs'!$G$3:$G$304&amp;'Detail inputs'!$H$3:$H$304&amp;'Detail inputs'!$L$3:$L$304,0),MATCH(O$4,'Detail inputs'!$B$3:$L$3,0))),0)</f>
        <v>15</v>
      </c>
      <c r="P223" s="93">
        <f t="array" ref="P223">IFERROR(IF(OR($S223="NA",$S223="Draft x-factor",$S223="Zero"),"",INDEX('Detail inputs'!$B$3:$L$304,MATCH($B223&amp;$C223&amp;$E223&amp;$G223&amp;P$5&amp;$T223,'Detail inputs'!$B$3:$B$304&amp;'Detail inputs'!$D$3:$D$304&amp;'Detail inputs'!$F$3:$F$304&amp;'Detail inputs'!$G$3:$G$304&amp;'Detail inputs'!$H$3:$H$304&amp;'Detail inputs'!$L$3:$L$304,0),MATCH(P$4,'Detail inputs'!$B$3:$L$3,0))),0)</f>
        <v>6.8000000000000007</v>
      </c>
      <c r="Q223" s="93">
        <f t="shared" ref="Q223" si="67">IF(AND(O223="",P223=""),"",O223+P223*F223/1000)</f>
        <v>151</v>
      </c>
      <c r="R223" s="44">
        <f>IFERROR(Q223/Q224,"")</f>
        <v>5.3679345894063278E-2</v>
      </c>
      <c r="S223" s="21" t="str">
        <f t="array" ref="S223">INDEX('Key inputs'!$B$35:$J$41,MATCH($B223,'Key inputs'!$B$35:$B$41,0),MATCH($G223&amp;S$5,'Key inputs'!$B$35:$J$35&amp;'Key inputs'!$B$36:$J$36,0))</f>
        <v>Indicative tariff</v>
      </c>
    </row>
    <row r="224" spans="2:20" x14ac:dyDescent="0.3">
      <c r="B224" s="3" t="str">
        <f t="shared" si="66"/>
        <v>SAPN</v>
      </c>
      <c r="C224" s="3" t="str">
        <f t="shared" si="63"/>
        <v>Small business</v>
      </c>
      <c r="D224" s="3" t="str">
        <f t="shared" si="64"/>
        <v>without CL</v>
      </c>
      <c r="E224" s="3" t="s">
        <v>24</v>
      </c>
      <c r="F224" s="41">
        <f t="array" ref="F224">IFERROR(INDEX(Usage!$B$5:$T$18,MATCH($B224,Usage!$B$5:$B$18,0),MATCH($C224&amp;$D224&amp;$E224,Usage!$B$5:$W$5&amp;Usage!$B$6:$W$6&amp;Usage!$B$7:$W$7,0)),0)</f>
        <v>20000</v>
      </c>
      <c r="G224" s="3" t="s">
        <v>65</v>
      </c>
      <c r="J224" s="93">
        <f>SUM(J221:J223)</f>
        <v>3259.9364999999998</v>
      </c>
      <c r="K224" s="44">
        <f>IFERROR(J224/J226,"")</f>
        <v>0.98965697244373985</v>
      </c>
      <c r="L224" s="44"/>
      <c r="M224" s="49">
        <f>IF(J224=0,"",IF(Q224="",SUMPRODUCT(K221:K223,M221:M223),Q224/J224-1))</f>
        <v>-0.13709975639096028</v>
      </c>
      <c r="N224" s="44"/>
      <c r="O224" s="93" t="str">
        <f t="array" ref="O224">IFERROR(IF(OR($S224="NA",$S224="Draft x-factor",$S224="Sum"),"",INDEX('Detail inputs'!$B$3:$L$304,MATCH($B224&amp;$C224&amp;$E224&amp;$G224&amp;O$5&amp;$T224,'Detail inputs'!$B$3:$B$304&amp;'Detail inputs'!$D$3:$D$304&amp;'Detail inputs'!$F$3:$F$304&amp;'Detail inputs'!$G$3:$G$304&amp;'Detail inputs'!$H$3:$H$304&amp;'Detail inputs'!$L$3:$L$304,0),MATCH(O$4,'Detail inputs'!$B$3:$L$3,0))),0)</f>
        <v/>
      </c>
      <c r="P224" s="93" t="str">
        <f t="array" ref="P224">IFERROR(IF(OR($S224="NA",$S224="Draft x-factor",$S224="Sum"),"",INDEX('Detail inputs'!$B$3:$L$304,MATCH($B224&amp;$C224&amp;$E224&amp;$G224&amp;P$5&amp;$T224,'Detail inputs'!$B$3:$B$304&amp;'Detail inputs'!$D$3:$D$304&amp;'Detail inputs'!$F$3:$F$304&amp;'Detail inputs'!$G$3:$G$304&amp;'Detail inputs'!$H$3:$H$304&amp;'Detail inputs'!$L$3:$L$304,0),MATCH(P$4,'Detail inputs'!$B$3:$L$3,0))),0)</f>
        <v/>
      </c>
      <c r="Q224" s="93">
        <f>IF($S224="NA","",IF($S224="Indicative tariff",O224+P224*F224/1000,IF($S224="Sum",SUM(Q221:Q223))))</f>
        <v>2813</v>
      </c>
      <c r="R224" s="44">
        <f>IFERROR(Q224/Q226,"")</f>
        <v>0.99201241337964841</v>
      </c>
      <c r="S224" s="21" t="str">
        <f t="array" ref="S224">INDEX('Key inputs'!$B$35:$J$41,MATCH($B224,'Key inputs'!$B$35:$B$41,0),MATCH($G224&amp;S$5,'Key inputs'!$B$35:$J$35&amp;'Key inputs'!$B$36:$J$36,0))</f>
        <v>Sum</v>
      </c>
    </row>
    <row r="225" spans="2:20" x14ac:dyDescent="0.3">
      <c r="B225" s="3" t="str">
        <f t="shared" si="66"/>
        <v>SAPN</v>
      </c>
      <c r="C225" s="3" t="str">
        <f t="shared" si="63"/>
        <v>Small business</v>
      </c>
      <c r="D225" s="3" t="str">
        <f t="shared" si="64"/>
        <v>without CL</v>
      </c>
      <c r="E225" s="3" t="s">
        <v>24</v>
      </c>
      <c r="F225" s="41">
        <f t="array" ref="F225">IFERROR(INDEX(Usage!$B$5:$T$18,MATCH($B225,Usage!$B$5:$B$18,0),MATCH($C225&amp;$D225&amp;$E225,Usage!$B$5:$W$5&amp;Usage!$B$6:$W$6&amp;Usage!$B$7:$W$7,0)),0)</f>
        <v>20000</v>
      </c>
      <c r="G225" s="3" t="s">
        <v>67</v>
      </c>
      <c r="H225" s="93">
        <f t="array" ref="H225">IFERROR(INDEX('Detail inputs'!$B$3:$L$304,MATCH($B225&amp;$C225&amp;$E225&amp;$G225&amp;H$5&amp;$T225,'Detail inputs'!$B$3:$B$304&amp;'Detail inputs'!$D$3:$D$304&amp;'Detail inputs'!$F$3:$F$304&amp;'Detail inputs'!$G$3:$G$304&amp;'Detail inputs'!$H$3:$H$304&amp;'Detail inputs'!$L$3:$L$304,0),MATCH(H$4,'Detail inputs'!$B$3:$L$3,0)),0)</f>
        <v>34.07</v>
      </c>
      <c r="I225" s="93">
        <f t="array" ref="I225">IFERROR(INDEX('Detail inputs'!$B$3:$L$304,MATCH($B225&amp;$C225&amp;$E225&amp;$G225&amp;I$5&amp;$T225,'Detail inputs'!$B$3:$B$304&amp;'Detail inputs'!$D$3:$D$304&amp;'Detail inputs'!$F$3:$F$304&amp;'Detail inputs'!$G$3:$G$304&amp;'Detail inputs'!$H$3:$H$304&amp;'Detail inputs'!$L$3:$L$304,0),MATCH(I$4,'Detail inputs'!$B$3:$L$3,0)),0)</f>
        <v>0</v>
      </c>
      <c r="J225" s="93">
        <f>IF(AND(H225="",I225=""),"",H225+I225*F225/1000)</f>
        <v>34.07</v>
      </c>
      <c r="K225" s="44">
        <f>IFERROR(J225/J226,"")</f>
        <v>1.0343027556260135E-2</v>
      </c>
      <c r="L225" s="44"/>
      <c r="M225" s="49">
        <f t="array" ref="M225">IFERROR(IF($S225="Indicative tariff",$Q225/$J225-1,IF($S225="Zero",0,IF($S225="NA","",IF($S225="Draft x-factor",INDEX('Detail inputs'!$B$3:$P$304,MATCH($B225&amp;$G225&amp;$S225,'Detail inputs'!$B$3:$B$304&amp;'Detail inputs'!$G$3:$G$304&amp;'Detail inputs'!$H$3:$H$304,0),MATCH(M$4,'Detail inputs'!$B$3:$P$3,0)))))),"")</f>
        <v>-0.33519225124743179</v>
      </c>
      <c r="N225" s="44"/>
      <c r="O225" s="93">
        <f t="array" ref="O225">IFERROR(IF(OR($S225="NA",$S225="Draft x-factor"),"",IF($S225="Zero",H225,INDEX('Detail inputs'!$B$3:$L$304,MATCH($B225&amp;$C225&amp;$E225&amp;$G225&amp;O$5&amp;$T225,'Detail inputs'!$B$3:$B$304&amp;'Detail inputs'!$D$3:$D$304&amp;'Detail inputs'!$F$3:$F$304&amp;'Detail inputs'!$G$3:$G$304&amp;'Detail inputs'!$H$3:$H$304&amp;'Detail inputs'!$L$3:$L$304,0),MATCH(O$4,'Detail inputs'!$B$3:$L$3,0)))),0)</f>
        <v>22.65</v>
      </c>
      <c r="P225" s="93">
        <f t="array" ref="P225">IFERROR(IF(OR($S225="NA",$S225="Draft x-factor"),"",IF($S225="Zero",I225,INDEX('Detail inputs'!$B$3:$L$304,MATCH($B225&amp;$C225&amp;$E225&amp;$G225&amp;P$5&amp;$T225,'Detail inputs'!$B$3:$B$304&amp;'Detail inputs'!$D$3:$D$304&amp;'Detail inputs'!$F$3:$F$304&amp;'Detail inputs'!$G$3:$G$304&amp;'Detail inputs'!$H$3:$H$304&amp;'Detail inputs'!$L$3:$L$304,0),MATCH(P$4,'Detail inputs'!$B$3:$L$3,0)))),0)</f>
        <v>0</v>
      </c>
      <c r="Q225" s="93">
        <f>IF(AND(O225="",P225=""),"",O225+P225*F225/1000)</f>
        <v>22.65</v>
      </c>
      <c r="R225" s="44">
        <f>IFERROR(Q225/Q226,"")</f>
        <v>7.9875866203515944E-3</v>
      </c>
      <c r="S225" s="21" t="str">
        <f t="array" ref="S225">INDEX('Key inputs'!$B$35:$J$41,MATCH($B225,'Key inputs'!$B$35:$B$41,0),MATCH($G225&amp;S$5,'Key inputs'!$B$35:$J$35&amp;'Key inputs'!$B$36:$J$36,0))</f>
        <v>Indicative tariff</v>
      </c>
    </row>
    <row r="226" spans="2:20" s="81" customFormat="1" x14ac:dyDescent="0.3">
      <c r="B226" s="81" t="str">
        <f t="shared" si="66"/>
        <v>SAPN</v>
      </c>
      <c r="C226" s="81" t="str">
        <f t="shared" si="63"/>
        <v>Small business</v>
      </c>
      <c r="D226" s="81" t="str">
        <f t="shared" si="64"/>
        <v>without CL</v>
      </c>
      <c r="E226" s="3" t="s">
        <v>24</v>
      </c>
      <c r="F226" s="41">
        <f t="array" ref="F226">IFERROR(INDEX(Usage!$B$5:$T$18,MATCH($B226,Usage!$B$5:$B$18,0),MATCH($C226&amp;$D226&amp;$E226,Usage!$B$5:$W$5&amp;Usage!$B$6:$W$6&amp;Usage!$B$7:$W$7,0)),0)</f>
        <v>20000</v>
      </c>
      <c r="G226" s="81" t="s">
        <v>58</v>
      </c>
      <c r="H226" s="99"/>
      <c r="I226" s="99"/>
      <c r="J226" s="99">
        <f>SUM(J224:J225)</f>
        <v>3294.0065</v>
      </c>
      <c r="K226" s="91"/>
      <c r="L226" s="92"/>
      <c r="M226" s="49">
        <f>IF(J226=0,"",IF(OR($S225="Draft x-factor",$S225="Zero"),SUMPRODUCT(K224:K225,M224:M225),Q226/J226-1))</f>
        <v>-0.13914863252394916</v>
      </c>
      <c r="N226" s="92"/>
      <c r="O226" s="99"/>
      <c r="P226" s="99"/>
      <c r="Q226" s="99">
        <f>IF(AND(Q224="",Q225=""),J226*(1+M226),SUM(Q224:Q225))</f>
        <v>2835.65</v>
      </c>
      <c r="R226" s="91"/>
      <c r="S226" s="92"/>
      <c r="T226" s="92"/>
    </row>
    <row r="227" spans="2:20" x14ac:dyDescent="0.3">
      <c r="B227" s="3" t="str">
        <f t="shared" si="66"/>
        <v>SAPN</v>
      </c>
      <c r="C227" s="3" t="str">
        <f t="shared" si="63"/>
        <v>Small business</v>
      </c>
      <c r="D227" s="3" t="str">
        <f t="shared" si="64"/>
        <v>without CL</v>
      </c>
      <c r="G227" s="81" t="s">
        <v>41</v>
      </c>
      <c r="H227" s="99"/>
      <c r="I227" s="99"/>
      <c r="J227" s="99">
        <f>J226*GST</f>
        <v>329.40065000000004</v>
      </c>
      <c r="K227" s="91"/>
      <c r="L227" s="92"/>
      <c r="M227" s="83"/>
      <c r="N227" s="92"/>
      <c r="O227" s="99"/>
      <c r="P227" s="99"/>
      <c r="Q227" s="99">
        <f>Q226*GST</f>
        <v>283.565</v>
      </c>
    </row>
    <row r="228" spans="2:20" x14ac:dyDescent="0.3">
      <c r="B228" s="3" t="str">
        <f t="shared" si="66"/>
        <v>SAPN</v>
      </c>
      <c r="C228" s="3" t="str">
        <f t="shared" si="63"/>
        <v>Small business</v>
      </c>
      <c r="D228" s="3" t="str">
        <f t="shared" si="64"/>
        <v>without CL</v>
      </c>
      <c r="G228" s="5" t="s">
        <v>91</v>
      </c>
      <c r="H228" s="98"/>
      <c r="I228" s="98"/>
      <c r="J228" s="98">
        <f>SUM(J226:J227)</f>
        <v>3623.40715</v>
      </c>
      <c r="K228" s="79"/>
      <c r="L228" s="27"/>
      <c r="M228" s="80">
        <f>IF(OR(J228=0,Q228=""),"",Q228/J228-1)</f>
        <v>-0.13914863252394916</v>
      </c>
      <c r="N228" s="27"/>
      <c r="O228" s="98"/>
      <c r="P228" s="98"/>
      <c r="Q228" s="98">
        <f>SUM(Q226:Q227)</f>
        <v>3119.2150000000001</v>
      </c>
    </row>
    <row r="229" spans="2:20" hidden="1" x14ac:dyDescent="0.3"/>
  </sheetData>
  <sheetProtection algorithmName="SHA-256" hashValue="q4cxL4a2/RNafB4Q77eaW0QdzsedL8y4IkIOJLJbjgw=" saltValue="u3pff7lZHCD/l4GNDtL9Gw==" spinCount="100000" sheet="1" objects="1" scenarios="1"/>
  <mergeCells count="3">
    <mergeCell ref="O3:R3"/>
    <mergeCell ref="H3:K3"/>
    <mergeCell ref="A1:B1"/>
  </mergeCells>
  <conditionalFormatting sqref="B7:T255">
    <cfRule type="expression" dxfId="28" priority="13">
      <formula>MOD(ROW(),2)=0</formula>
    </cfRule>
  </conditionalFormatting>
  <conditionalFormatting sqref="B184:D255 B7:D149 B151:D159 B161:D165 B167:D171 B173:D182">
    <cfRule type="expression" dxfId="27" priority="11">
      <formula>AND(B7=B6,MOD(ROW(),2)=1)</formula>
    </cfRule>
    <cfRule type="expression" dxfId="26" priority="12">
      <formula>AND(B7=B6,MOD(ROW(),2)=0)</formula>
    </cfRule>
  </conditionalFormatting>
  <conditionalFormatting sqref="B150:D150 B160:D160 B166:D166 B172:D172 B183:D183">
    <cfRule type="expression" dxfId="25" priority="163">
      <formula>AND(B150=B148,MOD(ROW(),2)=1)</formula>
    </cfRule>
    <cfRule type="expression" dxfId="24" priority="164">
      <formula>AND(B150=B148,MOD(ROW(),2)=0)</formula>
    </cfRule>
  </conditionalFormatting>
  <conditionalFormatting sqref="B150:D150">
    <cfRule type="expression" dxfId="23" priority="9">
      <formula>AND(B150=B149,MOD(ROW(),2)=1)</formula>
    </cfRule>
    <cfRule type="expression" dxfId="22" priority="10">
      <formula>AND(B150=B149,MOD(ROW(),2)=0)</formula>
    </cfRule>
  </conditionalFormatting>
  <conditionalFormatting sqref="B160:D160">
    <cfRule type="expression" dxfId="21" priority="7">
      <formula>AND(B160=B159,MOD(ROW(),2)=1)</formula>
    </cfRule>
    <cfRule type="expression" dxfId="20" priority="8">
      <formula>AND(B160=B159,MOD(ROW(),2)=0)</formula>
    </cfRule>
  </conditionalFormatting>
  <conditionalFormatting sqref="B166:D166">
    <cfRule type="expression" dxfId="19" priority="5">
      <formula>AND(B166=B165,MOD(ROW(),2)=1)</formula>
    </cfRule>
    <cfRule type="expression" dxfId="18" priority="6">
      <formula>AND(B166=B165,MOD(ROW(),2)=0)</formula>
    </cfRule>
  </conditionalFormatting>
  <conditionalFormatting sqref="B172:D172">
    <cfRule type="expression" dxfId="17" priority="3">
      <formula>AND(B172=B171,MOD(ROW(),2)=1)</formula>
    </cfRule>
    <cfRule type="expression" dxfId="16" priority="4">
      <formula>AND(B172=B171,MOD(ROW(),2)=0)</formula>
    </cfRule>
  </conditionalFormatting>
  <conditionalFormatting sqref="B183:D183">
    <cfRule type="expression" dxfId="15" priority="1">
      <formula>AND(B183=B182,MOD(ROW(),2)=1)</formula>
    </cfRule>
    <cfRule type="expression" dxfId="14" priority="2">
      <formula>AND(B183=B182,MOD(ROW(),2)=0)</formula>
    </cfRule>
  </conditionalFormatting>
  <hyperlinks>
    <hyperlink ref="A1" location="Index!A1" display="&lt;&lt;Back to Index"/>
  </hyperlinks>
  <pageMargins left="0.7" right="0.7" top="0.75" bottom="0.75" header="0.3" footer="0.3"/>
  <pageSetup paperSize="9" orientation="portrait" r:id="rId1"/>
  <ignoredErrors>
    <ignoredError sqref="K215:L215 M204:Q204 L225 L224 L223 L222 L221 K226:L226 L211 L210 L203:L206 L202 K207:L209 K196:L197 K219:L220 K200:M201 K213:L213 L212 K216:L216 K214:L214 N200:Q201 K225 R219:R220 R15:R16 R14 R40:R41 R50:R51 R62:R63 R87:R88 R97:R98 R144 R134:R135 R145:R146 R178:R179 R188:R189 K203:K206 R200:R201 R17:R18 R38:R39 R37 R108:R109 R132:R133 R131 R176:R177 R175 K217:L218 R216 R174 R215 K212 R130 R128 R127 R123 R121 R85:R86 R82 R84 R81 R80 R76 R77 R75 R74 R36 R34 R33 R30 R28 R22:R24 R31 R32 R48:R49 R47 R69:R71 R67 R68 R72 R73 R78 R79 R95:R96 R94 R105 R116 R124 R125 R126 R187 R185 K198:R199 N197:R197 R192 K211 K202 N202 N203 K210 K227:R228 N226:R226 K221 K222 R222 K223 R223 K224 R224 N225 R12 R13 R45 R61 R57 R54 R56 R55 R58 R60 R59 R92 R103 R114 R110 R111 R112 R113 R106:R107 R142 R143 R140 R186 R183 R66 R195 R207 R204:R206 R209 J215 J225 J224 J223 J222 J221 J226 J203:J206 J202 J207:J209 J196:J197 J219:J220 J200:J201 J213 J216 F66 F54 F10:G10 F55:G55 G54:H54 F68:G68 G66:H66 F172:H172 F168:H168 F217:J218 F216:I216 F214:G214 F213:I213 F132:H133 F131:H131 F129:G129 F128:H128 F127:G127 F123:H123 F122:G122 F121:H121 F85:H86 F83:H84 F82:G82 F81:H81 F80:G80 F77:H77 F76:G76 F75:H75 F38:H39 F37:H37 F35:G35 F34:H34 F33:G33 F30:H30 F29:G29 F28:H28 F204:I204 F200:I201 F195:H195 F188:H189 F181:G181 F178:H179 F158:G158 F155:H156 F150:H150 F145:H146 F144:H144 F134:H135 F113:G113 F108:H109 F104:G104 F97:H98 F93:G93 F87:H88 F65:G65 F62:H63 F53:G53 F50:H51 F44:G44 F40:H41 F15:H16 F14:H14 F21:G21 F17:H18 F225:G225 F219:I220 F27:G27 F22:H22 F19:G19 F20:G20 F49:H49 F45:H45 F42:G42 F43:G43 F52:G52 F74:G74 F69:H69 F64:G64 F67:G67 F96:H96 F94:H94 F89:G89 F90:G90 F91:G91 F106:H107 F105:H105 F99:G99 F100:G100 F101:G101 F102:G102 F120:G120 F114:H114 F110:G110 F111:G111 F112:G112 F136:G136 F137:G137 F138:G138 F139:G139 F153:H154 F152:H152 F147:G147 F148:G148 F164:G164 F160:H160 F157:G157 F176:H177 F175:H175 F169:G169 F170:G170 F187:H187 F183:H183 F180:G180 F198:J199 F197:I197 F190:G190 F191:G191 F192:H192 F193:G193 F194:G194 F212:G212 F207:I207 F202:G202 F227:J227 F226:I226 F221:G221 F222:G222 F223:G223 F224:I224 F13:G13 F12:H12 F36:H36 F48:H48 F61:H61 F57:H57 F56:G56 F59:H59 F60:H60 F95:H95 F103:H103 F130:H130 F140:H140 F143:H143 F167:G167 F166:H166 F186:H186 F215:I215 F92:H92 N196 N205 N206 R213 R11 R19 R20 R21 R25 R26 R27 R29 R35 R42 R43 R44 R46 R52 R53 R64 R65 R83 R89 R90 R91 R93 R99 R100 R101 R102 R104 R115 R117 R118 R119 R120 R122 R129 R136 R137 R138 R139 R141 R147 R148 R173 R180 R181 R184 R190 R191 R193 R194 Q196:R196 Q202:R202 Q203:R203 Q205 Q206 R208 R210 R211 R212 R214 R221 Q225:R225 R217:R218 Q223 Q222 Q221 Q214 Q212 Q211 Q210 Q208 N223 M213 M207:N207 N209:Q209 N221 N211 N210 N208 N212 N213 N214 N215:Q215 M217:Q218 N219:Q220 N216:Q216 M216 M219:M220 M224:N224 N222 Q207 Q224 Q213 F11:G11 Q194 Q193 Q191 Q190 Q184 Q181 Q180 Q148 Q147 Q141 Q139 Q138 Q137 Q136 Q129 Q127 Q126 Q125 Q124 Q122 Q120 Q119 Q118 Q117 Q115 Q104 Q102 Q101 Q100 Q99 Q93 Q91 Q90 Q89 N83:Q83 Q82 Q80 Q79 Q78 Q76 Q74 Q73 Q72 Q70 Q68 Q67 Q65 Q64 Q58 Q56 Q55 Q53 Q52 Q46 Q44 Q43 Q42 Q35 Q33 Q32 Q31 Q29 Q27 Q26 Q25 Q23 Q21 Q20 Q19 Q11 N184 N173 N141 N127 N126 N125 N124 N115 M81:N81 N80 N79 N78 N82 N76 M75:N75 N74 N73 N72 N77:Q77 N70 M69:N69 N68 N67 N46 N33 N32 N31 N23 M22:N22 N11 I92 I186 I166 I143 I140 I130 I103 I95 I60 I59 I57 I61:J61 I48 I36 I12 I192 I183 I187:J187 I175 I176:J177 I160 I152 I153:I154 I114 J120 I105 I106:J107 I94 I96:J96 I69 J74 I45 I49:J49 I22 J27 I17:I18 I14 I15:J16 I40:I41 I50:I51 I62:I63 I87:I88 I97:I98 I108:I109 I134:I135 I144:J144 I145:I146 I150 I155:I156 I178:I179 I188:I189 I195 I28 J29 I30 J33 I34 J35 I37 I38:J39 I75 J76 I77 J80 I81 J82 I83:I84 I85:J86 I121 J122 I123 J127 I128 J129 I131 I132:J133 I168 I172 I66 I54 J11 J131 J128 J123 J121 J83:J84 J81 J77 J75 J37 J34 J30 J28 J188:J189 J178:J179 J145:J146 J134:J135 J108:J109 J97:J98 J87:J88 J62:J63 J50:J51 J40:J41 J14 J17:J18 J22:J24 J19 J20 J21 J45:J47 J42 J43 J44 J52 J53 J69:J71 J64 J65 J66 J67 J68 J94 J89 J90 J91 J105 J99 J100 J101 J102 J114:J116 J110 J111 J112 J113 J136 J137 J138 J139 J147 J148 J175 J184:J185 J180 J181 J190 J191 J192 J193 J194 J12 J13 J36 J48 J57 J56 J55 J54 J58:J59 J60 J95 J103 J130 J140:J142 J143 J104 J173:J174 J186 J195 J92 J93 N93 N142:Q142 M114:N114 M103:N103 K92 M54 K56 Q54 K54 K61:Q61 N194 K194 N193 K193 K192 N191 K191 N190 K190 N181 N180 K180 N185:Q185 K187:Q187 N148 K148 N147 K147 N139 K139 N138 K138 N137 K137 N136 K136 K125 K124 N119 N118 K118 N117 K117 N113 N112 K112 N111 K111 N110 K110 N116:Q116 K119 N102 K102 N101 K101 N100 K100 N99 K99 N105:Q105 K106:P107 N91 K91 N90 K90 N89 K89 N94:Q94 K95:Q96 K78 K72 K67 N66:P66 K66 N65 K65 N64 K64 K73 N53 K53 N52 K52 N44 N43 K43 N42 K42 N47:Q47 K48:Q49 K31 N26 N25 K25 N21 N20 K20 N19 K19 K26 N27 K27 N29 K32 K33 N35 N36:Q36 K74 K79 K80 M84:Q84 K85:Q86 N120 K120 N123:Q123 N122 K126 K127 N129 N130:Q130 N174:Q174 K176:Q177 K132:Q133 K113 K38:Q39 K21 M195:N195 K181 K144:Q144 N104 K93 K68 K55 K44 Q14 K15:Q16 K11:L11 N14:P14 N40:Q41 N50:Q51 N62:Q63 N87:Q88 N97:Q98 N134:Q135 N145:Q146 N178:Q179 N188:Q189 N17:Q18 N37:Q37 N108:P109 N131:Q131 N175:Q175 K129:L129 K131:M131 L127 K128:L128 K122:L122 K123:L123 L120 K121:L121 K82:L82 K83:L84 L80 K81:L81 K76:L76 K77:L77 L74 K75:L75 K35:L35 K37:M37 L33 K34:L34 K29:L29 K30:L30 L27 K28:L28 K188:M189 K178:M179 K145:M146 K134:M135 K108:M109 K97:M98 K87:M88 K62:M63 K50:M51 K40:M41 K14:L14 K17:M18 K22:L24 L19 L20 L21 L25 L26 L31 L32 K45:L47 L42 L43 L44 L52 L53 K69:L71 L64 L65 L66:M66 L67 L68 L72 L73 L78 L79 K94:L94 L89 L90 L91 K105:L105 L99 L100 L101 L102 K114:L116 L110 L111 L112 L113 L117 L118 L119 L124 L125 L126 L136 L137 L138 L139 L147 L148 K175:M175 K183:L185 L180 L181 L190 L191 L192 L193 L194 K12:M12 N12 N13 Q13 K13:L13 N24:Q24 M28:N28 K36:L36 M45:N45 N30:P30 M34:N34 Q30 K57:L57 N54:P54 L56 L55 L54 K58:L59 M57:N57 K60:Q60 N59:Q59 N55 N56 N71:Q71 M92:N92 N58 K103:L103 Q108:Q109 Q110:Q113 Q106:Q107 K130:L130 M121:N121 K140:L142 K143:Q143 M140:N140 K104:L104 M128:N128 K173:L174 K186:Q186 M183:N183 Q66 M192:Q192 K195:L195 L92 L93 Q92 Q195 Q128 Q140 Q121 Q103 Q57 Q34 Q45 Q28 Q12 Q75 Q81 Q114 Q22 Q69 J10 F24:H24 F23:G23 I24 F25:G25 J25 F26:G26 J26 F31:G31 J31 F32:G32 J32 F47:H47 F46:G46 I47 F58:G58 F71:H71 F70:G70 I71 F72:G72 J72 F73:G73 J73 F78:G78 J78 F79:G79 J79 F116:H116 F115:G115 I116 F117:G117 J117 F118:G118 J118 F119:G119 J119 F124:G124 J124 F125:G125 J125 F126:G126 J126 F142:H142 F141:G141 I142 F151:G151 F162:H162 F161:G161 I162 F163:G163 F174:H174 F173:G173 I174 F185:H185 F184:G184 I185 F196:G196 F203:G203 F206:G206 F205:G205 F209:I209 F208:G208 F210:G210 J210 F211:G211 J211 J212 J214 J163 M172 M166 N166 N168:Q168 N162:Q162 K172:L172 K167:L167 K166:L166 M153:Q153 N151 K150:L150 L170 L169 L163 L158 L157 K160:L162 K151:L152 K155:M156 L164 K168:L168 N155:Q156 K158 K164 K154:Q154 N152:Q152 K163 K157 N157 N158 K169 N169 K170 N170 K153:L153 N172 J167 J170 J169 J158 J157 J161:J162 J151:J152 J155:J156 J168 J153:J154 J164 M150:N150 M160:N160 N161 N164 N163 Q151 Q157 Q158 Q161 Q163 Q164 N167 Q169 Q170 R170 R169 R158 R157 R172 R166 R167 R168 R153 R151 R163 R160:R162 R152 R154 R164 R155:R156 R150 J149:R149 M151 J150 J159:R159 J165:R165 M164 M152 J160 J171:R171 M168 M167 J166 J172 M157 M158 M169 M170 O167:P167 M162 M161 O163:P163 O164:P164 O161:P161 O160:Q160 O150:Q150 O172:Q172 O170:P170 O169:P169 O158:P158 O157:P157 M163 O151:P151 O166:Q16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219"/>
  <sheetViews>
    <sheetView workbookViewId="0">
      <pane ySplit="6" topLeftCell="A7" activePane="bottomLeft" state="frozen"/>
      <selection activeCell="K25" sqref="K25"/>
      <selection pane="bottomLeft" activeCell="A15" sqref="A15"/>
    </sheetView>
  </sheetViews>
  <sheetFormatPr defaultColWidth="0" defaultRowHeight="14.4" zeroHeight="1" x14ac:dyDescent="0.3"/>
  <cols>
    <col min="1" max="1" width="1.6640625" style="3" customWidth="1"/>
    <col min="2" max="3" width="15.6640625" style="3" customWidth="1"/>
    <col min="4" max="4" width="18.33203125" style="3" customWidth="1"/>
    <col min="5" max="5" width="10.6640625" style="3" customWidth="1"/>
    <col min="6" max="6" width="10.6640625" style="21" customWidth="1"/>
    <col min="7" max="7" width="10.6640625" style="3" customWidth="1"/>
    <col min="8" max="10" width="10.6640625" style="93" customWidth="1"/>
    <col min="11" max="11" width="10.6640625" style="21" hidden="1" customWidth="1"/>
    <col min="12" max="12" width="0.88671875" style="21" customWidth="1"/>
    <col min="13" max="13" width="10.6640625" style="21" customWidth="1"/>
    <col min="14" max="14" width="0.88671875" style="21" customWidth="1"/>
    <col min="15" max="17" width="10.6640625" style="93" customWidth="1"/>
    <col min="18" max="18" width="10.6640625" style="21" customWidth="1"/>
    <col min="19" max="19" width="8.88671875" style="133" hidden="1" customWidth="1"/>
    <col min="20" max="20" width="8.88671875" style="134" hidden="1" customWidth="1"/>
    <col min="21" max="16384" width="8.88671875" style="3" hidden="1"/>
  </cols>
  <sheetData>
    <row r="1" spans="1:23" ht="10.199999999999999" customHeight="1" x14ac:dyDescent="0.3">
      <c r="A1" s="246" t="s">
        <v>22</v>
      </c>
      <c r="B1" s="272"/>
    </row>
    <row r="2" spans="1:23" s="15" customFormat="1" ht="22.5" customHeight="1" x14ac:dyDescent="0.3">
      <c r="A2" s="16" t="s">
        <v>92</v>
      </c>
      <c r="F2" s="22"/>
      <c r="H2" s="94"/>
      <c r="I2" s="94"/>
      <c r="J2" s="94"/>
      <c r="K2" s="22"/>
      <c r="L2" s="22"/>
      <c r="M2" s="22"/>
      <c r="N2" s="22"/>
      <c r="O2" s="94"/>
      <c r="P2" s="94"/>
      <c r="Q2" s="94"/>
      <c r="R2" s="22"/>
      <c r="S2" s="135"/>
      <c r="T2" s="136"/>
    </row>
    <row r="3" spans="1:23" s="31" customFormat="1" ht="17.7" customHeight="1" x14ac:dyDescent="0.3">
      <c r="B3" s="32"/>
      <c r="C3" s="32"/>
      <c r="D3" s="32"/>
      <c r="E3" s="32"/>
      <c r="F3" s="57"/>
      <c r="G3" s="32"/>
      <c r="H3" s="280" t="str">
        <f>PY</f>
        <v>2019-20</v>
      </c>
      <c r="I3" s="280"/>
      <c r="J3" s="280"/>
      <c r="K3" s="280"/>
      <c r="L3" s="42"/>
      <c r="M3" s="48" t="str">
        <f>FY</f>
        <v>2020-21</v>
      </c>
      <c r="N3" s="42"/>
      <c r="O3" s="280" t="str">
        <f>FY</f>
        <v>2020-21</v>
      </c>
      <c r="P3" s="280"/>
      <c r="Q3" s="280"/>
      <c r="R3" s="280"/>
      <c r="S3" s="137"/>
      <c r="T3" s="138"/>
    </row>
    <row r="4" spans="1:23" s="31" customFormat="1" ht="3" customHeight="1" x14ac:dyDescent="0.3">
      <c r="B4" s="32"/>
      <c r="C4" s="32"/>
      <c r="D4" s="32"/>
      <c r="E4" s="32"/>
      <c r="F4" s="47" t="str">
        <f t="shared" ref="F4:K4" si="0">$H$3</f>
        <v>2019-20</v>
      </c>
      <c r="G4" s="32"/>
      <c r="H4" s="95" t="str">
        <f>$H$3</f>
        <v>2019-20</v>
      </c>
      <c r="I4" s="95" t="str">
        <f t="shared" si="0"/>
        <v>2019-20</v>
      </c>
      <c r="J4" s="95" t="str">
        <f t="shared" si="0"/>
        <v>2019-20</v>
      </c>
      <c r="K4" s="47" t="str">
        <f t="shared" si="0"/>
        <v>2019-20</v>
      </c>
      <c r="L4" s="47"/>
      <c r="M4" s="47" t="str">
        <f>FY</f>
        <v>2020-21</v>
      </c>
      <c r="N4" s="47"/>
      <c r="O4" s="95" t="str">
        <f>$O$3</f>
        <v>2020-21</v>
      </c>
      <c r="P4" s="95" t="str">
        <f>$O$3</f>
        <v>2020-21</v>
      </c>
      <c r="Q4" s="95" t="str">
        <f>$O$3</f>
        <v>2020-21</v>
      </c>
      <c r="R4" s="47" t="str">
        <f>$O$3</f>
        <v>2020-21</v>
      </c>
      <c r="S4" s="137"/>
      <c r="T4" s="138"/>
    </row>
    <row r="5" spans="1:23" s="5" customFormat="1" ht="17.7" customHeight="1" x14ac:dyDescent="0.3">
      <c r="B5" s="25" t="s">
        <v>1</v>
      </c>
      <c r="C5" s="25" t="s">
        <v>12</v>
      </c>
      <c r="D5" s="25" t="s">
        <v>27</v>
      </c>
      <c r="E5" s="25" t="s">
        <v>13</v>
      </c>
      <c r="F5" s="13" t="s">
        <v>29</v>
      </c>
      <c r="G5" s="25" t="s">
        <v>38</v>
      </c>
      <c r="H5" s="96" t="s">
        <v>48</v>
      </c>
      <c r="I5" s="96" t="s">
        <v>49</v>
      </c>
      <c r="J5" s="96" t="s">
        <v>26</v>
      </c>
      <c r="K5" s="13" t="s">
        <v>28</v>
      </c>
      <c r="L5" s="13"/>
      <c r="M5" s="13" t="s">
        <v>25</v>
      </c>
      <c r="N5" s="13"/>
      <c r="O5" s="96" t="s">
        <v>48</v>
      </c>
      <c r="P5" s="96" t="s">
        <v>49</v>
      </c>
      <c r="Q5" s="96" t="s">
        <v>26</v>
      </c>
      <c r="R5" s="13" t="s">
        <v>28</v>
      </c>
      <c r="S5" s="139"/>
      <c r="T5" s="140"/>
      <c r="V5" s="185" t="s">
        <v>176</v>
      </c>
      <c r="W5" s="185">
        <v>2</v>
      </c>
    </row>
    <row r="6" spans="1:23" s="33" customFormat="1" ht="17.7" customHeight="1" x14ac:dyDescent="0.25">
      <c r="B6" s="34"/>
      <c r="C6" s="34"/>
      <c r="D6" s="34"/>
      <c r="E6" s="34"/>
      <c r="F6" s="35" t="s">
        <v>57</v>
      </c>
      <c r="G6" s="34"/>
      <c r="H6" s="97" t="s">
        <v>76</v>
      </c>
      <c r="I6" s="97" t="s">
        <v>46</v>
      </c>
      <c r="J6" s="97" t="s">
        <v>47</v>
      </c>
      <c r="K6" s="35" t="s">
        <v>33</v>
      </c>
      <c r="L6" s="35"/>
      <c r="M6" s="35" t="s">
        <v>33</v>
      </c>
      <c r="N6" s="35"/>
      <c r="O6" s="97" t="s">
        <v>76</v>
      </c>
      <c r="P6" s="97" t="s">
        <v>46</v>
      </c>
      <c r="Q6" s="97" t="s">
        <v>47</v>
      </c>
      <c r="R6" s="35" t="s">
        <v>33</v>
      </c>
      <c r="S6" s="141" t="s">
        <v>106</v>
      </c>
      <c r="T6" s="141" t="s">
        <v>106</v>
      </c>
    </row>
    <row r="7" spans="1:23" x14ac:dyDescent="0.3">
      <c r="F7" s="41"/>
      <c r="K7" s="44"/>
      <c r="L7" s="44"/>
      <c r="M7" s="49"/>
      <c r="N7" s="44"/>
      <c r="R7" s="44"/>
      <c r="S7" s="133" t="b">
        <f>IF(COUNTIF(S8:S224,"FALSE")&gt;0,FALSE,TRUE)</f>
        <v>1</v>
      </c>
      <c r="T7" s="133" t="b">
        <f>IF(COUNTIF(T8:T224,"FALSE")&gt;0,FALSE,TRUE)</f>
        <v>1</v>
      </c>
    </row>
    <row r="8" spans="1:23" x14ac:dyDescent="0.3">
      <c r="B8" s="5" t="s">
        <v>2</v>
      </c>
      <c r="C8" s="5" t="s">
        <v>6</v>
      </c>
      <c r="D8" s="5" t="s">
        <v>158</v>
      </c>
      <c r="F8" s="41"/>
      <c r="K8" s="44"/>
      <c r="L8" s="44"/>
      <c r="M8" s="49"/>
      <c r="N8" s="44"/>
      <c r="R8" s="44"/>
    </row>
    <row r="9" spans="1:23" x14ac:dyDescent="0.3">
      <c r="B9" s="3" t="str">
        <f>B8</f>
        <v>Ausgrid</v>
      </c>
      <c r="C9" s="3" t="str">
        <f t="shared" ref="C9:C17" si="1">C8</f>
        <v>Residential</v>
      </c>
      <c r="D9" s="3" t="str">
        <f t="shared" ref="D9:D17" si="2">D8</f>
        <v>without CL</v>
      </c>
      <c r="E9" s="3" t="s">
        <v>24</v>
      </c>
      <c r="F9" s="41">
        <f t="array" ref="F9">IFERROR(INDEX(Usage!$B$5:$T$18,MATCH($B9,Usage!$B$5:$B$18,0),MATCH($C9&amp;$D9&amp;$E9&amp;"Total",Usage!$B$5:$W$5&amp;Usage!$B$6:$W$6&amp;Usage!$B$7:$W$7&amp;Usage!$B$13:$W$13,0)),0)</f>
        <v>3900</v>
      </c>
      <c r="G9" s="3" t="s">
        <v>78</v>
      </c>
      <c r="I9" s="93">
        <f t="array" ref="I9">IFERROR(INDEX('Detail inputs'!$B$3:$L$304,MATCH($B9&amp;$C9&amp;$E9&amp;$G9&amp;I$5,'Detail inputs'!$B$3:$B$304&amp;'Detail inputs'!$D$3:$D$304&amp;'Detail inputs'!$F$3:$F$304&amp;'Detail inputs'!$G$3:$G$304&amp;'Detail inputs'!$H$3:$H$304,0),MATCH(I$4,'Detail inputs'!$B$3:$L$3,0)),0)</f>
        <v>102.99</v>
      </c>
      <c r="J9" s="93">
        <f>IF(AND(H9="",I9=""),"",H9+I9*$F9/1000)</f>
        <v>401.661</v>
      </c>
      <c r="K9" s="44">
        <f>IFERROR(J9/J15,"")</f>
        <v>0.92483836206896552</v>
      </c>
      <c r="L9" s="44"/>
      <c r="M9" s="49">
        <f t="shared" ref="M9:M15" si="3">IF(OR(J9=0,Q9=""),"",Q9/J9-1)</f>
        <v>1.0971939023206145E-2</v>
      </c>
      <c r="N9" s="44"/>
      <c r="P9" s="93">
        <f t="array" ref="P9">IFERROR(INDEX('Detail inputs'!$B$3:$L$304,MATCH($B9&amp;$C9&amp;$E9&amp;$G9&amp;P$5,'Detail inputs'!$B$3:$B$304&amp;'Detail inputs'!$D$3:$D$304&amp;'Detail inputs'!$F$3:$F$304&amp;'Detail inputs'!$G$3:$G$304&amp;'Detail inputs'!$H$3:$H$304,0),MATCH(P$4,'Detail inputs'!$B$3:$L$3,0)),0)</f>
        <v>104.12</v>
      </c>
      <c r="Q9" s="93">
        <f>IF(AND(O9="",P9=""),"",O9+P9*$F9/1000)</f>
        <v>406.06799999999998</v>
      </c>
      <c r="R9" s="44">
        <f>IFERROR(Q9/Q15,"")</f>
        <v>0.91751850546351776</v>
      </c>
    </row>
    <row r="10" spans="1:23" x14ac:dyDescent="0.3">
      <c r="B10" s="3" t="str">
        <f t="shared" ref="B10:B17" si="4">B9</f>
        <v>Ausgrid</v>
      </c>
      <c r="C10" s="3" t="str">
        <f t="shared" si="1"/>
        <v>Residential</v>
      </c>
      <c r="D10" s="3" t="str">
        <f t="shared" si="2"/>
        <v>without CL</v>
      </c>
      <c r="E10" s="3" t="s">
        <v>24</v>
      </c>
      <c r="F10" s="41">
        <f t="array" ref="F10">IFERROR(INDEX(Usage!$B$5:$T$18,MATCH($B10,Usage!$B$5:$B$18,0),MATCH($C10&amp;$D10&amp;$E10&amp;"Total",Usage!$B$5:$W$5&amp;Usage!$B$6:$W$6&amp;Usage!$B$7:$W$7&amp;Usage!$B$13:$W$13,0)),0)</f>
        <v>3900</v>
      </c>
      <c r="G10" s="3" t="s">
        <v>79</v>
      </c>
      <c r="I10" s="93">
        <f t="array" ref="I10">IFERROR(INDEX('Detail inputs'!$B$3:$L$304,MATCH($B10&amp;$G10&amp;I$5,'Detail inputs'!$B$3:$B$304&amp;'Detail inputs'!$G$3:$G$304&amp;'Detail inputs'!$H$3:$H$304,0),MATCH(I$4,'Detail inputs'!$B$3:$L$3,0)),0)</f>
        <v>0.37</v>
      </c>
      <c r="J10" s="93">
        <f t="shared" ref="J10:J15" si="5">IF(AND(H10="",I10=""),"",H10+I10*$F10/1000)</f>
        <v>1.4430000000000001</v>
      </c>
      <c r="K10" s="44">
        <f>IFERROR(J10/J15,"")</f>
        <v>3.3225574712643681E-3</v>
      </c>
      <c r="L10" s="44"/>
      <c r="M10" s="49">
        <f t="shared" si="3"/>
        <v>1</v>
      </c>
      <c r="N10" s="44"/>
      <c r="P10" s="93">
        <f t="array" ref="P10">IFERROR(INDEX('Detail inputs'!$B$3:$L$304,MATCH($B10&amp;$G10&amp;P$5,'Detail inputs'!$B$3:$B$304&amp;'Detail inputs'!$G$3:$G$304&amp;'Detail inputs'!$H$3:$H$304,0),MATCH(P$4,'Detail inputs'!$B$3:$L$3,0)),0)</f>
        <v>0.74</v>
      </c>
      <c r="Q10" s="93">
        <f t="shared" ref="Q10:Q15" si="6">IF(AND(O10="",P10=""),"",O10+P10*$F10/1000)</f>
        <v>2.8860000000000001</v>
      </c>
      <c r="R10" s="44">
        <f>IFERROR(Q10/Q15,"")</f>
        <v>6.5209728586535076E-3</v>
      </c>
    </row>
    <row r="11" spans="1:23" x14ac:dyDescent="0.3">
      <c r="B11" s="3" t="str">
        <f t="shared" si="4"/>
        <v>Ausgrid</v>
      </c>
      <c r="C11" s="3" t="str">
        <f t="shared" si="1"/>
        <v>Residential</v>
      </c>
      <c r="D11" s="3" t="str">
        <f t="shared" si="2"/>
        <v>without CL</v>
      </c>
      <c r="E11" s="3" t="s">
        <v>24</v>
      </c>
      <c r="F11" s="41">
        <f t="array" ref="F11">IFERROR(INDEX(Usage!$B$5:$T$18,MATCH($B11,Usage!$B$5:$B$18,0),MATCH($C11&amp;$D11&amp;$E11&amp;"Total",Usage!$B$5:$W$5&amp;Usage!$B$6:$W$6&amp;Usage!$B$7:$W$7&amp;Usage!$B$13:$W$13,0)),0)</f>
        <v>3900</v>
      </c>
      <c r="G11" s="3" t="s">
        <v>89</v>
      </c>
      <c r="I11" s="93">
        <f t="array" ref="I11">IFERROR(INDEX('Detail inputs'!$B$3:$L$304,MATCH($B11&amp;$G11&amp;I$5,'Detail inputs'!$B$3:$B$304&amp;'Detail inputs'!$G$3:$G$304&amp;'Detail inputs'!$H$3:$H$304,0),MATCH(I$4,'Detail inputs'!$B$3:$L$3,0)),0)</f>
        <v>0.63</v>
      </c>
      <c r="J11" s="93">
        <f t="shared" si="5"/>
        <v>2.4569999999999999</v>
      </c>
      <c r="K11" s="44">
        <f>IFERROR(J11/J15,"")</f>
        <v>5.6573275862068966E-3</v>
      </c>
      <c r="L11" s="44"/>
      <c r="M11" s="49">
        <f t="shared" si="3"/>
        <v>0.11111111111111116</v>
      </c>
      <c r="N11" s="44"/>
      <c r="P11" s="93">
        <f t="array" ref="P11">IFERROR(INDEX('Detail inputs'!$B$3:$L$304,MATCH($B11&amp;$G11&amp;P$5,'Detail inputs'!$B$3:$B$304&amp;'Detail inputs'!$G$3:$G$304&amp;'Detail inputs'!$H$3:$H$304,0),MATCH(P$4,'Detail inputs'!$B$3:$L$3,0)),0)</f>
        <v>0.7</v>
      </c>
      <c r="Q11" s="93">
        <f t="shared" si="6"/>
        <v>2.73</v>
      </c>
      <c r="R11" s="44">
        <f>IFERROR(Q11/Q15,"")</f>
        <v>6.1684878392668308E-3</v>
      </c>
    </row>
    <row r="12" spans="1:23" x14ac:dyDescent="0.3">
      <c r="B12" s="3" t="str">
        <f t="shared" si="4"/>
        <v>Ausgrid</v>
      </c>
      <c r="C12" s="3" t="str">
        <f t="shared" si="1"/>
        <v>Residential</v>
      </c>
      <c r="D12" s="3" t="str">
        <f t="shared" si="2"/>
        <v>without CL</v>
      </c>
      <c r="E12" s="3" t="s">
        <v>24</v>
      </c>
      <c r="F12" s="41">
        <f t="array" ref="F12">IFERROR(INDEX(Usage!$B$5:$T$18,MATCH($B12,Usage!$B$5:$B$18,0),MATCH($C12&amp;$D12&amp;$E12&amp;"Total",Usage!$B$5:$W$5&amp;Usage!$B$6:$W$6&amp;Usage!$B$7:$W$7&amp;Usage!$B$13:$W$13,0)),0)</f>
        <v>3900</v>
      </c>
      <c r="G12" s="3" t="s">
        <v>80</v>
      </c>
      <c r="I12" s="93">
        <f t="array" ref="I12">IFERROR(INDEX('Detail inputs'!$B$3:$L$304,MATCH($B12&amp;$G12&amp;I$5,'Detail inputs'!$B$3:$B$304&amp;'Detail inputs'!$G$3:$G$304&amp;'Detail inputs'!$H$3:$H$304,0),MATCH(I$4,'Detail inputs'!$B$3:$L$3,0)),0)</f>
        <v>0</v>
      </c>
      <c r="J12" s="93">
        <f t="shared" si="5"/>
        <v>0</v>
      </c>
      <c r="K12" s="44">
        <f>IFERROR(J12/J15,"")</f>
        <v>0</v>
      </c>
      <c r="L12" s="44"/>
      <c r="M12" s="49" t="str">
        <f t="shared" si="3"/>
        <v/>
      </c>
      <c r="N12" s="44"/>
      <c r="P12" s="93">
        <f t="array" ref="P12">IFERROR(INDEX('Detail inputs'!$B$3:$L$304,MATCH($B12&amp;$G12&amp;P$5,'Detail inputs'!$B$3:$B$304&amp;'Detail inputs'!$G$3:$G$304&amp;'Detail inputs'!$H$3:$H$304,0),MATCH(P$4,'Detail inputs'!$B$3:$L$3,0)),0)</f>
        <v>0</v>
      </c>
      <c r="Q12" s="93">
        <f t="shared" si="6"/>
        <v>0</v>
      </c>
      <c r="R12" s="44">
        <f>IFERROR(Q12/Q15,"")</f>
        <v>0</v>
      </c>
    </row>
    <row r="13" spans="1:23" x14ac:dyDescent="0.3">
      <c r="B13" s="3" t="str">
        <f t="shared" si="4"/>
        <v>Ausgrid</v>
      </c>
      <c r="C13" s="3" t="str">
        <f t="shared" si="1"/>
        <v>Residential</v>
      </c>
      <c r="D13" s="3" t="str">
        <f t="shared" si="2"/>
        <v>without CL</v>
      </c>
      <c r="E13" s="3" t="s">
        <v>24</v>
      </c>
      <c r="F13" s="41">
        <f t="array" ref="F13">IFERROR(INDEX(Usage!$B$5:$T$18,MATCH($B13,Usage!$B$5:$B$18,0),MATCH($C13&amp;$D13&amp;$E13&amp;"Total",Usage!$B$5:$W$5&amp;Usage!$B$6:$W$6&amp;Usage!$B$7:$W$7&amp;Usage!$B$13:$W$13,0)),0)</f>
        <v>3900</v>
      </c>
      <c r="G13" s="3" t="s">
        <v>177</v>
      </c>
      <c r="I13" s="93">
        <f t="array" ref="I13">IFERROR(INDEX('Detail inputs'!$B$3:$L$304,MATCH($B13&amp;$G13&amp;I$5,'Detail inputs'!$B$3:$B$304&amp;'Detail inputs'!$G$3:$G$304&amp;'Detail inputs'!$H$3:$H$304,0),MATCH(I$4,'Detail inputs'!$B$3:$L$3,0)),0)</f>
        <v>2.17</v>
      </c>
      <c r="J13" s="93">
        <f t="shared" si="5"/>
        <v>8.4629999999999992</v>
      </c>
      <c r="K13" s="44">
        <f>IFERROR(J13/J15,"")</f>
        <v>1.9486350574712642E-2</v>
      </c>
      <c r="L13" s="44"/>
      <c r="M13" s="49">
        <f t="shared" si="3"/>
        <v>1.8433179723502446E-2</v>
      </c>
      <c r="N13" s="44"/>
      <c r="P13" s="93">
        <f t="array" ref="P13">IFERROR(INDEX('Detail inputs'!$B$3:$L$304,MATCH($B13&amp;$G13&amp;P$5,'Detail inputs'!$B$3:$B$304&amp;'Detail inputs'!$G$3:$G$304&amp;'Detail inputs'!$H$3:$H$304,0),MATCH(P$4,'Detail inputs'!$B$3:$L$3,0)),0)</f>
        <v>2.21</v>
      </c>
      <c r="Q13" s="93">
        <f t="shared" si="6"/>
        <v>8.6189999999999998</v>
      </c>
      <c r="R13" s="44">
        <f>IFERROR(Q13/Q15,"")</f>
        <v>1.9474797321113853E-2</v>
      </c>
    </row>
    <row r="14" spans="1:23" x14ac:dyDescent="0.3">
      <c r="B14" s="3" t="str">
        <f t="shared" si="4"/>
        <v>Ausgrid</v>
      </c>
      <c r="C14" s="3" t="str">
        <f t="shared" si="1"/>
        <v>Residential</v>
      </c>
      <c r="D14" s="3" t="str">
        <f t="shared" si="2"/>
        <v>without CL</v>
      </c>
      <c r="E14" s="3" t="s">
        <v>24</v>
      </c>
      <c r="F14" s="41">
        <f t="array" ref="F14">IFERROR(INDEX(Usage!$B$5:$T$18,MATCH($B14,Usage!$B$5:$B$18,0),MATCH($C14&amp;$D14&amp;$E14&amp;"Total",Usage!$B$5:$W$5&amp;Usage!$B$6:$W$6&amp;Usage!$B$7:$W$7&amp;Usage!$B$13:$W$13,0)),0)</f>
        <v>3900</v>
      </c>
      <c r="G14" s="3" t="s">
        <v>81</v>
      </c>
      <c r="I14" s="93">
        <f t="array" ref="I14">ROUND(IFERROR(INDEX('Detail inputs'!$B$3:$L$304,MATCH($B14&amp;$C14&amp;$E14&amp;$G14&amp;I$5,'Detail inputs'!$B$3:$B$304&amp;'Detail inputs'!$D$3:$D$304&amp;'Detail inputs'!$F$3:$F$304&amp;'Detail inputs'!$G$3:$G$304&amp;'Detail inputs'!$H$3:$H$304,0),MATCH(I$4,'Detail inputs'!$B$3:$L$3,0)),0)*SUM(I9:I13),2)</f>
        <v>5.2</v>
      </c>
      <c r="J14" s="93">
        <f t="shared" si="5"/>
        <v>20.28</v>
      </c>
      <c r="K14" s="44">
        <f>IFERROR(J14/J15,"")</f>
        <v>4.669540229885058E-2</v>
      </c>
      <c r="L14" s="44"/>
      <c r="M14" s="49">
        <f t="shared" si="3"/>
        <v>9.8076923076922951E-2</v>
      </c>
      <c r="N14" s="44"/>
      <c r="P14" s="93">
        <f t="array" ref="P14">ROUND(IFERROR(INDEX('Detail inputs'!$B$3:$L$304,MATCH($B14&amp;$C14&amp;$E14&amp;$G14&amp;P$5,'Detail inputs'!$B$3:$B$304&amp;'Detail inputs'!$D$3:$D$304&amp;'Detail inputs'!$F$3:$F$304&amp;'Detail inputs'!$G$3:$G$304&amp;'Detail inputs'!$H$3:$H$304,0),MATCH(P$4,'Detail inputs'!$B$3:$L$3,0)),0)*SUM(P9:P13),2)</f>
        <v>5.71</v>
      </c>
      <c r="Q14" s="93">
        <f t="shared" si="6"/>
        <v>22.268999999999998</v>
      </c>
      <c r="R14" s="44">
        <f>IFERROR(Q14/Q15,"")</f>
        <v>5.0317236517448002E-2</v>
      </c>
    </row>
    <row r="15" spans="1:23" s="81" customFormat="1" x14ac:dyDescent="0.3">
      <c r="B15" s="3" t="str">
        <f t="shared" si="4"/>
        <v>Ausgrid</v>
      </c>
      <c r="C15" s="3" t="str">
        <f t="shared" si="1"/>
        <v>Residential</v>
      </c>
      <c r="D15" s="3" t="str">
        <f t="shared" si="2"/>
        <v>without CL</v>
      </c>
      <c r="E15" s="3" t="s">
        <v>24</v>
      </c>
      <c r="F15" s="41">
        <f t="array" ref="F15">IFERROR(INDEX(Usage!$B$5:$T$18,MATCH($B15,Usage!$B$5:$B$18,0),MATCH($C15&amp;$D15&amp;$E15&amp;"Total",Usage!$B$5:$W$5&amp;Usage!$B$6:$W$6&amp;Usage!$B$7:$W$7&amp;Usage!$B$13:$W$13,0)),0)</f>
        <v>3900</v>
      </c>
      <c r="G15" s="81" t="s">
        <v>58</v>
      </c>
      <c r="H15" s="99"/>
      <c r="I15" s="99">
        <f t="array" ref="I15">INDEX('Key inputs'!$B$15:$G$33,MATCH($B15&amp;$E15,'Key inputs'!$B$15:$B$33&amp;'Key inputs'!$C$15:$C$33,0),MATCH($A$2&amp;I$4,'Key inputs'!$B$16:$G$16&amp;'Key inputs'!$B$17:$G$17,0))</f>
        <v>111.36</v>
      </c>
      <c r="J15" s="93">
        <f t="shared" si="5"/>
        <v>434.30399999999997</v>
      </c>
      <c r="K15" s="91"/>
      <c r="L15" s="92"/>
      <c r="M15" s="83">
        <f t="shared" si="3"/>
        <v>1.9037356321839116E-2</v>
      </c>
      <c r="N15" s="92"/>
      <c r="O15" s="99"/>
      <c r="P15" s="99">
        <f t="array" ref="P15">INDEX('Key inputs'!$B$15:$G$33,MATCH($B15&amp;$E15,'Key inputs'!$B$15:$B$33&amp;'Key inputs'!$C$15:$C$33,0),MATCH($A$2&amp;P$4,'Key inputs'!$B$16:$G$16&amp;'Key inputs'!$B$17:$G$17,0))</f>
        <v>113.48</v>
      </c>
      <c r="Q15" s="93">
        <f t="shared" si="6"/>
        <v>442.572</v>
      </c>
      <c r="R15" s="91"/>
      <c r="S15" s="133" t="b">
        <f>ROUND(I15,$W$5)=ROUND(SUM(I9:I14),$W$5)</f>
        <v>1</v>
      </c>
      <c r="T15" s="133" t="b">
        <f>ROUND(P15,$W$5)=ROUND(SUM(P9:P14),$W$5)</f>
        <v>1</v>
      </c>
      <c r="U15" s="132"/>
      <c r="V15" s="132"/>
    </row>
    <row r="16" spans="1:23" x14ac:dyDescent="0.3">
      <c r="B16" s="3" t="str">
        <f t="shared" si="4"/>
        <v>Ausgrid</v>
      </c>
      <c r="C16" s="3" t="str">
        <f t="shared" si="1"/>
        <v>Residential</v>
      </c>
      <c r="D16" s="3" t="str">
        <f t="shared" si="2"/>
        <v>without CL</v>
      </c>
      <c r="F16" s="41"/>
      <c r="G16" s="81" t="s">
        <v>41</v>
      </c>
      <c r="H16" s="99"/>
      <c r="I16" s="99"/>
      <c r="J16" s="99">
        <f>J15*GST</f>
        <v>43.430399999999999</v>
      </c>
      <c r="K16" s="91"/>
      <c r="L16" s="92"/>
      <c r="M16" s="83"/>
      <c r="N16" s="92"/>
      <c r="O16" s="99"/>
      <c r="P16" s="99"/>
      <c r="Q16" s="99">
        <f>Q15*GST</f>
        <v>44.257200000000005</v>
      </c>
      <c r="R16" s="79"/>
    </row>
    <row r="17" spans="2:22" x14ac:dyDescent="0.3">
      <c r="B17" s="3" t="str">
        <f t="shared" si="4"/>
        <v>Ausgrid</v>
      </c>
      <c r="C17" s="3" t="str">
        <f t="shared" si="1"/>
        <v>Residential</v>
      </c>
      <c r="D17" s="3" t="str">
        <f t="shared" si="2"/>
        <v>without CL</v>
      </c>
      <c r="F17" s="41"/>
      <c r="G17" s="5" t="s">
        <v>91</v>
      </c>
      <c r="H17" s="98"/>
      <c r="I17" s="98"/>
      <c r="J17" s="98">
        <f>SUM(J15:J16)</f>
        <v>477.73439999999999</v>
      </c>
      <c r="K17" s="79"/>
      <c r="L17" s="27"/>
      <c r="M17" s="80">
        <f>IF(OR(J17=0,Q17=""),"",Q17/J17-1)</f>
        <v>1.9037356321839116E-2</v>
      </c>
      <c r="N17" s="27"/>
      <c r="O17" s="98"/>
      <c r="P17" s="98"/>
      <c r="Q17" s="98">
        <f>SUM(Q15:Q16)</f>
        <v>486.82920000000001</v>
      </c>
      <c r="R17" s="79"/>
    </row>
    <row r="18" spans="2:22" x14ac:dyDescent="0.3">
      <c r="F18" s="41"/>
      <c r="K18" s="44"/>
      <c r="M18" s="49"/>
      <c r="R18" s="44"/>
    </row>
    <row r="19" spans="2:22" x14ac:dyDescent="0.3">
      <c r="B19" s="5" t="s">
        <v>2</v>
      </c>
      <c r="C19" s="5" t="s">
        <v>6</v>
      </c>
      <c r="D19" s="5" t="s">
        <v>159</v>
      </c>
      <c r="F19" s="41"/>
      <c r="K19" s="44"/>
      <c r="M19" s="49"/>
      <c r="R19" s="44"/>
    </row>
    <row r="20" spans="2:22" x14ac:dyDescent="0.3">
      <c r="B20" s="3" t="str">
        <f>B19</f>
        <v>Ausgrid</v>
      </c>
      <c r="C20" s="3" t="str">
        <f t="shared" ref="C20:C37" si="7">C19</f>
        <v>Residential</v>
      </c>
      <c r="D20" s="3" t="str">
        <f t="shared" ref="D20:D37" si="8">D19</f>
        <v>with CL</v>
      </c>
      <c r="E20" s="3" t="s">
        <v>24</v>
      </c>
      <c r="F20" s="41">
        <f t="array" ref="F20">IFERROR(INDEX(Usage!$B$5:$T$18,MATCH($B20,Usage!$B$5:$B$18,0),MATCH($C20&amp;$D20&amp;$E20&amp;"Total",Usage!$B$5:$W$5&amp;Usage!$B$6:$W$6&amp;Usage!$B$7:$W$7&amp;Usage!$B$13:$W$13,0)),0)</f>
        <v>4800</v>
      </c>
      <c r="G20" s="3" t="s">
        <v>58</v>
      </c>
      <c r="I20" s="93">
        <f>I15</f>
        <v>111.36</v>
      </c>
      <c r="J20" s="93">
        <f>IF(AND(H20="",I20=""),"",H20+I20*$F20/1000)</f>
        <v>534.52800000000002</v>
      </c>
      <c r="K20" s="44"/>
      <c r="M20" s="49">
        <f>IF(OR(J20=0,Q20=""),"",Q20/J20-1)</f>
        <v>1.9037356321838894E-2</v>
      </c>
      <c r="P20" s="93">
        <f>P15</f>
        <v>113.48</v>
      </c>
      <c r="Q20" s="93">
        <f>IF(AND(O20="",P20=""),"",O20+P20*$F20/1000)</f>
        <v>544.70399999999995</v>
      </c>
      <c r="R20" s="44"/>
    </row>
    <row r="21" spans="2:22" x14ac:dyDescent="0.3">
      <c r="B21" s="3" t="str">
        <f t="shared" ref="B21:B37" si="9">B20</f>
        <v>Ausgrid</v>
      </c>
      <c r="C21" s="3" t="str">
        <f t="shared" si="7"/>
        <v>Residential</v>
      </c>
      <c r="D21" s="3" t="str">
        <f t="shared" si="8"/>
        <v>with CL</v>
      </c>
      <c r="E21" s="3" t="s">
        <v>15</v>
      </c>
      <c r="F21" s="41">
        <f t="array" ref="F21">IFERROR(INDEX(Usage!$B$5:$T$18,MATCH($B21,Usage!$B$5:$B$18,0),MATCH($C21&amp;$D21&amp;$E21,Usage!$B$5:$W$5&amp;Usage!$B$6:$W$6&amp;Usage!$B$7:$W$7,0)),0)</f>
        <v>1340</v>
      </c>
      <c r="G21" s="3" t="s">
        <v>78</v>
      </c>
      <c r="I21" s="93">
        <f t="array" ref="I21">IFERROR(INDEX('Detail inputs'!$B$3:$L$304,MATCH($B21&amp;$C21&amp;$E21&amp;$G21&amp;I$5,'Detail inputs'!$B$3:$B$304&amp;'Detail inputs'!$D$3:$D$304&amp;'Detail inputs'!$F$3:$F$304&amp;'Detail inputs'!$G$3:$G$304&amp;'Detail inputs'!$H$3:$H$304,0),MATCH(I$4,'Detail inputs'!$B$3:$L$3,0)),0)</f>
        <v>76.739999999999995</v>
      </c>
      <c r="J21" s="93">
        <f>IF(AND(H21="",I21=""),"",H21+I21*$F21/1000)</f>
        <v>102.83159999999999</v>
      </c>
      <c r="K21" s="44">
        <f>IFERROR(J21/J27,"")</f>
        <v>0.91194295900178235</v>
      </c>
      <c r="L21" s="44"/>
      <c r="M21" s="49">
        <f t="shared" ref="M21:M35" si="10">IF(OR(J21=0,Q21=""),"",Q21/J21-1)</f>
        <v>-0.11415168100078177</v>
      </c>
      <c r="N21" s="44"/>
      <c r="P21" s="93">
        <f t="array" ref="P21">IFERROR(INDEX('Detail inputs'!$B$3:$L$304,MATCH($B21&amp;$C21&amp;$E21&amp;$G21&amp;P$5,'Detail inputs'!$B$3:$B$304&amp;'Detail inputs'!$D$3:$D$304&amp;'Detail inputs'!$F$3:$F$304&amp;'Detail inputs'!$G$3:$G$304&amp;'Detail inputs'!$H$3:$H$304,0),MATCH(P$4,'Detail inputs'!$B$3:$L$3,0)),0)</f>
        <v>67.98</v>
      </c>
      <c r="Q21" s="93">
        <f>IF(AND(O21="",P21=""),"",O21+P21*$F21/1000)</f>
        <v>91.09320000000001</v>
      </c>
      <c r="R21" s="44">
        <f>IFERROR(Q21/Q27,"")</f>
        <v>0.89873083024854583</v>
      </c>
    </row>
    <row r="22" spans="2:22" x14ac:dyDescent="0.3">
      <c r="B22" s="3" t="str">
        <f t="shared" si="9"/>
        <v>Ausgrid</v>
      </c>
      <c r="C22" s="3" t="str">
        <f t="shared" si="7"/>
        <v>Residential</v>
      </c>
      <c r="D22" s="3" t="str">
        <f t="shared" si="8"/>
        <v>with CL</v>
      </c>
      <c r="E22" s="3" t="s">
        <v>15</v>
      </c>
      <c r="F22" s="41">
        <f t="array" ref="F22">IFERROR(INDEX(Usage!$B$5:$T$18,MATCH($B22,Usage!$B$5:$B$18,0),MATCH($C22&amp;$D22&amp;$E22,Usage!$B$5:$W$5&amp;Usage!$B$6:$W$6&amp;Usage!$B$7:$W$7,0)),0)</f>
        <v>1340</v>
      </c>
      <c r="G22" s="3" t="s">
        <v>79</v>
      </c>
      <c r="I22" s="93">
        <f t="array" ref="I22">IFERROR(INDEX('Detail inputs'!$B$3:$L$304,MATCH($B22&amp;$G22&amp;I$5,'Detail inputs'!$B$3:$B$304&amp;'Detail inputs'!$G$3:$G$304&amp;'Detail inputs'!$H$3:$H$304,0),MATCH(I$4,'Detail inputs'!$B$3:$L$3,0)),0)</f>
        <v>0.37</v>
      </c>
      <c r="J22" s="93">
        <f t="shared" ref="J22:J27" si="11">IF(AND(H22="",I22=""),"",H22+I22*$F22/1000)</f>
        <v>0.49580000000000002</v>
      </c>
      <c r="K22" s="44">
        <f>IFERROR(J22/J27,"")</f>
        <v>4.3969102792632206E-3</v>
      </c>
      <c r="L22" s="44"/>
      <c r="M22" s="49">
        <f t="shared" si="10"/>
        <v>1</v>
      </c>
      <c r="N22" s="44"/>
      <c r="P22" s="93">
        <f t="array" ref="P22">IFERROR(INDEX('Detail inputs'!$B$3:$L$304,MATCH($B22&amp;$G22&amp;P$5,'Detail inputs'!$B$3:$B$304&amp;'Detail inputs'!$G$3:$G$304&amp;'Detail inputs'!$H$3:$H$304,0),MATCH(P$4,'Detail inputs'!$B$3:$L$3,0)),0)</f>
        <v>0.74</v>
      </c>
      <c r="Q22" s="93">
        <f t="shared" ref="Q22:Q27" si="12">IF(AND(O22="",P22=""),"",O22+P22*$F22/1000)</f>
        <v>0.99160000000000004</v>
      </c>
      <c r="R22" s="44">
        <f>IFERROR(Q22/Q27,"")</f>
        <v>9.7831835007932307E-3</v>
      </c>
    </row>
    <row r="23" spans="2:22" x14ac:dyDescent="0.3">
      <c r="B23" s="3" t="str">
        <f t="shared" si="9"/>
        <v>Ausgrid</v>
      </c>
      <c r="C23" s="3" t="str">
        <f t="shared" si="7"/>
        <v>Residential</v>
      </c>
      <c r="D23" s="3" t="str">
        <f t="shared" si="8"/>
        <v>with CL</v>
      </c>
      <c r="E23" s="3" t="s">
        <v>15</v>
      </c>
      <c r="F23" s="41">
        <f t="array" ref="F23">IFERROR(INDEX(Usage!$B$5:$T$18,MATCH($B23,Usage!$B$5:$B$18,0),MATCH($C23&amp;$D23&amp;$E23,Usage!$B$5:$W$5&amp;Usage!$B$6:$W$6&amp;Usage!$B$7:$W$7,0)),0)</f>
        <v>1340</v>
      </c>
      <c r="G23" s="3" t="s">
        <v>89</v>
      </c>
      <c r="I23" s="93">
        <f t="array" ref="I23">IFERROR(INDEX('Detail inputs'!$B$3:$L$304,MATCH($B23&amp;$G23&amp;I$5,'Detail inputs'!$B$3:$B$304&amp;'Detail inputs'!$G$3:$G$304&amp;'Detail inputs'!$H$3:$H$304,0),MATCH(I$4,'Detail inputs'!$B$3:$L$3,0)),0)</f>
        <v>0.63</v>
      </c>
      <c r="J23" s="93">
        <f t="shared" si="11"/>
        <v>0.84420000000000006</v>
      </c>
      <c r="K23" s="44">
        <f>IFERROR(J23/J27,"")</f>
        <v>7.4866310160427805E-3</v>
      </c>
      <c r="L23" s="44"/>
      <c r="M23" s="49">
        <f t="shared" si="10"/>
        <v>0.11111111111111094</v>
      </c>
      <c r="N23" s="44"/>
      <c r="P23" s="93">
        <f t="array" ref="P23">IFERROR(INDEX('Detail inputs'!$B$3:$L$304,MATCH($B23&amp;$G23&amp;P$5,'Detail inputs'!$B$3:$B$304&amp;'Detail inputs'!$G$3:$G$304&amp;'Detail inputs'!$H$3:$H$304,0),MATCH(P$4,'Detail inputs'!$B$3:$L$3,0)),0)</f>
        <v>0.7</v>
      </c>
      <c r="Q23" s="93">
        <f t="shared" si="12"/>
        <v>0.93799999999999983</v>
      </c>
      <c r="R23" s="44">
        <f>IFERROR(Q23/Q27,"")</f>
        <v>9.2543627710206227E-3</v>
      </c>
    </row>
    <row r="24" spans="2:22" x14ac:dyDescent="0.3">
      <c r="B24" s="3" t="str">
        <f t="shared" si="9"/>
        <v>Ausgrid</v>
      </c>
      <c r="C24" s="3" t="str">
        <f t="shared" si="7"/>
        <v>Residential</v>
      </c>
      <c r="D24" s="3" t="str">
        <f t="shared" si="8"/>
        <v>with CL</v>
      </c>
      <c r="E24" s="3" t="s">
        <v>15</v>
      </c>
      <c r="F24" s="41">
        <f t="array" ref="F24">IFERROR(INDEX(Usage!$B$5:$T$18,MATCH($B24,Usage!$B$5:$B$18,0),MATCH($C24&amp;$D24&amp;$E24,Usage!$B$5:$W$5&amp;Usage!$B$6:$W$6&amp;Usage!$B$7:$W$7,0)),0)</f>
        <v>1340</v>
      </c>
      <c r="G24" s="3" t="s">
        <v>80</v>
      </c>
      <c r="I24" s="93">
        <f t="array" ref="I24">IFERROR(INDEX('Detail inputs'!$B$3:$L$304,MATCH($B24&amp;$G24&amp;I$5,'Detail inputs'!$B$3:$B$304&amp;'Detail inputs'!$G$3:$G$304&amp;'Detail inputs'!$H$3:$H$304,0),MATCH(I$4,'Detail inputs'!$B$3:$L$3,0)),0)</f>
        <v>0</v>
      </c>
      <c r="J24" s="93">
        <f t="shared" si="11"/>
        <v>0</v>
      </c>
      <c r="K24" s="44">
        <f>IFERROR(J24/J27,"")</f>
        <v>0</v>
      </c>
      <c r="L24" s="44"/>
      <c r="M24" s="49" t="str">
        <f t="shared" si="10"/>
        <v/>
      </c>
      <c r="N24" s="44"/>
      <c r="P24" s="93">
        <f t="array" ref="P24">IFERROR(INDEX('Detail inputs'!$B$3:$L$304,MATCH($B24&amp;$G24&amp;P$5,'Detail inputs'!$B$3:$B$304&amp;'Detail inputs'!$G$3:$G$304&amp;'Detail inputs'!$H$3:$H$304,0),MATCH(P$4,'Detail inputs'!$B$3:$L$3,0)),0)</f>
        <v>0</v>
      </c>
      <c r="Q24" s="93">
        <f t="shared" si="12"/>
        <v>0</v>
      </c>
      <c r="R24" s="44">
        <f>IFERROR(Q24/Q27,"")</f>
        <v>0</v>
      </c>
    </row>
    <row r="25" spans="2:22" x14ac:dyDescent="0.3">
      <c r="B25" s="3" t="str">
        <f t="shared" si="9"/>
        <v>Ausgrid</v>
      </c>
      <c r="C25" s="3" t="str">
        <f t="shared" si="7"/>
        <v>Residential</v>
      </c>
      <c r="D25" s="3" t="str">
        <f t="shared" si="8"/>
        <v>with CL</v>
      </c>
      <c r="E25" s="3" t="s">
        <v>15</v>
      </c>
      <c r="F25" s="41">
        <f t="array" ref="F25">IFERROR(INDEX(Usage!$B$5:$T$18,MATCH($B25,Usage!$B$5:$B$18,0),MATCH($C25&amp;$D25&amp;$E25,Usage!$B$5:$W$5&amp;Usage!$B$6:$W$6&amp;Usage!$B$7:$W$7,0)),0)</f>
        <v>1340</v>
      </c>
      <c r="G25" s="3" t="s">
        <v>177</v>
      </c>
      <c r="I25" s="93">
        <f t="array" ref="I25">IFERROR(INDEX('Detail inputs'!$B$3:$L$304,MATCH($B25&amp;$G25&amp;I$5,'Detail inputs'!$B$3:$B$304&amp;'Detail inputs'!$G$3:$G$304&amp;'Detail inputs'!$H$3:$H$304,0),MATCH(I$4,'Detail inputs'!$B$3:$L$3,0)),0)</f>
        <v>2.17</v>
      </c>
      <c r="J25" s="93">
        <f t="shared" si="11"/>
        <v>2.9077999999999999</v>
      </c>
      <c r="K25" s="44">
        <f>IFERROR(J25/J27,"")</f>
        <v>2.5787284610814021E-2</v>
      </c>
      <c r="L25" s="44"/>
      <c r="M25" s="49">
        <f t="shared" si="10"/>
        <v>1.8433179723502446E-2</v>
      </c>
      <c r="N25" s="44"/>
      <c r="P25" s="93">
        <f t="array" ref="P25">IFERROR(INDEX('Detail inputs'!$B$3:$L$304,MATCH($B25&amp;$G25&amp;P$5,'Detail inputs'!$B$3:$B$304&amp;'Detail inputs'!$G$3:$G$304&amp;'Detail inputs'!$H$3:$H$304,0),MATCH(P$4,'Detail inputs'!$B$3:$L$3,0)),0)</f>
        <v>2.21</v>
      </c>
      <c r="Q25" s="93">
        <f t="shared" si="12"/>
        <v>2.9614000000000003</v>
      </c>
      <c r="R25" s="44">
        <f>IFERROR(Q25/Q27,"")</f>
        <v>2.9217345319936541E-2</v>
      </c>
    </row>
    <row r="26" spans="2:22" x14ac:dyDescent="0.3">
      <c r="B26" s="3" t="str">
        <f t="shared" si="9"/>
        <v>Ausgrid</v>
      </c>
      <c r="C26" s="3" t="str">
        <f t="shared" si="7"/>
        <v>Residential</v>
      </c>
      <c r="D26" s="3" t="str">
        <f t="shared" si="8"/>
        <v>with CL</v>
      </c>
      <c r="E26" s="3" t="s">
        <v>15</v>
      </c>
      <c r="F26" s="41">
        <f t="array" ref="F26">IFERROR(INDEX(Usage!$B$5:$T$18,MATCH($B26,Usage!$B$5:$B$18,0),MATCH($C26&amp;$D26&amp;$E26,Usage!$B$5:$W$5&amp;Usage!$B$6:$W$6&amp;Usage!$B$7:$W$7,0)),0)</f>
        <v>1340</v>
      </c>
      <c r="G26" s="3" t="s">
        <v>81</v>
      </c>
      <c r="I26" s="93">
        <f t="array" ref="I26">ROUND(IFERROR(INDEX('Detail inputs'!$B$3:$L$304,MATCH($B26&amp;$C26&amp;$E26&amp;$G26&amp;I$5,'Detail inputs'!$B$3:$B$304&amp;'Detail inputs'!$D$3:$D$304&amp;'Detail inputs'!$F$3:$F$304&amp;'Detail inputs'!$G$3:$G$304&amp;'Detail inputs'!$H$3:$H$304,0),MATCH(I$4,'Detail inputs'!$B$3:$L$3,0)),0)*SUM(I21:I25),2)</f>
        <v>4.24</v>
      </c>
      <c r="J26" s="93">
        <f t="shared" si="11"/>
        <v>5.6816000000000004</v>
      </c>
      <c r="K26" s="44">
        <f>IFERROR(J26/J27,"")</f>
        <v>5.0386215092097446E-2</v>
      </c>
      <c r="L26" s="44"/>
      <c r="M26" s="49">
        <f t="shared" si="10"/>
        <v>-5.4245283018868107E-2</v>
      </c>
      <c r="N26" s="44"/>
      <c r="P26" s="93">
        <f t="array" ref="P26">ROUND(IFERROR(INDEX('Detail inputs'!$B$3:$L$304,MATCH($B26&amp;$C26&amp;$E26&amp;$G26&amp;P$5,'Detail inputs'!$B$3:$B$304&amp;'Detail inputs'!$D$3:$D$304&amp;'Detail inputs'!$F$3:$F$304&amp;'Detail inputs'!$G$3:$G$304&amp;'Detail inputs'!$H$3:$H$304,0),MATCH(P$4,'Detail inputs'!$B$3:$L$3,0)),0)*SUM(P21:P25),2)</f>
        <v>4.01</v>
      </c>
      <c r="Q26" s="93">
        <f t="shared" si="12"/>
        <v>5.3733999999999993</v>
      </c>
      <c r="R26" s="44">
        <f>IFERROR(Q26/Q27,"")</f>
        <v>5.3014278159703852E-2</v>
      </c>
    </row>
    <row r="27" spans="2:22" x14ac:dyDescent="0.3">
      <c r="B27" s="3" t="str">
        <f t="shared" si="9"/>
        <v>Ausgrid</v>
      </c>
      <c r="C27" s="3" t="str">
        <f t="shared" si="7"/>
        <v>Residential</v>
      </c>
      <c r="D27" s="3" t="str">
        <f t="shared" si="8"/>
        <v>with CL</v>
      </c>
      <c r="E27" s="3" t="s">
        <v>15</v>
      </c>
      <c r="F27" s="41">
        <f t="array" ref="F27">IFERROR(INDEX(Usage!$B$5:$T$18,MATCH($B27,Usage!$B$5:$B$18,0),MATCH($C27&amp;$D27&amp;$E27,Usage!$B$5:$W$5&amp;Usage!$B$6:$W$6&amp;Usage!$B$7:$W$7,0)),0)</f>
        <v>1340</v>
      </c>
      <c r="G27" s="3" t="s">
        <v>58</v>
      </c>
      <c r="H27" s="99"/>
      <c r="I27" s="99">
        <f t="array" ref="I27">INDEX('Key inputs'!$B$15:$G$33,MATCH($B27&amp;$E27,'Key inputs'!$B$15:$B$33&amp;'Key inputs'!$C$15:$C$33,0),MATCH($A$2&amp;I$4,'Key inputs'!$B$16:$G$16&amp;'Key inputs'!$B$17:$G$17,0))</f>
        <v>84.15</v>
      </c>
      <c r="J27" s="93">
        <f t="shared" si="11"/>
        <v>112.76100000000001</v>
      </c>
      <c r="K27" s="91"/>
      <c r="L27" s="92"/>
      <c r="M27" s="83">
        <f t="shared" si="10"/>
        <v>-0.10112893642305409</v>
      </c>
      <c r="N27" s="92"/>
      <c r="O27" s="99"/>
      <c r="P27" s="99">
        <f t="array" ref="P27">INDEX('Key inputs'!$B$15:$G$33,MATCH($B27&amp;$E27,'Key inputs'!$B$15:$B$33&amp;'Key inputs'!$C$15:$C$33,0),MATCH($A$2&amp;P$4,'Key inputs'!$B$16:$G$16&amp;'Key inputs'!$B$17:$G$17,0))</f>
        <v>75.64</v>
      </c>
      <c r="Q27" s="93">
        <f t="shared" si="12"/>
        <v>101.35760000000001</v>
      </c>
      <c r="R27" s="91"/>
      <c r="S27" s="133" t="b">
        <f>ROUND(I27,$W$5)=ROUND(SUM(I21:I26),$W$5)</f>
        <v>1</v>
      </c>
      <c r="T27" s="133" t="b">
        <f>ROUND(P27,$W$5)=ROUND(SUM(P21:P26),$W$5)</f>
        <v>1</v>
      </c>
      <c r="U27" s="132"/>
      <c r="V27" s="132"/>
    </row>
    <row r="28" spans="2:22" x14ac:dyDescent="0.3">
      <c r="B28" s="3" t="str">
        <f t="shared" si="9"/>
        <v>Ausgrid</v>
      </c>
      <c r="C28" s="3" t="str">
        <f t="shared" si="7"/>
        <v>Residential</v>
      </c>
      <c r="D28" s="3" t="str">
        <f t="shared" si="8"/>
        <v>with CL</v>
      </c>
      <c r="E28" s="3" t="s">
        <v>16</v>
      </c>
      <c r="F28" s="41">
        <f t="array" ref="F28">IFERROR(INDEX(Usage!$B$5:$T$18,MATCH($B28,Usage!$B$5:$B$18,0),MATCH($C28&amp;$D28&amp;$E28,Usage!$B$5:$W$5&amp;Usage!$B$6:$W$6&amp;Usage!$B$7:$W$7,0)),0)</f>
        <v>660</v>
      </c>
      <c r="G28" s="3" t="s">
        <v>78</v>
      </c>
      <c r="H28" s="99"/>
      <c r="I28" s="99">
        <f t="array" ref="I28">IFERROR(INDEX('Detail inputs'!$B$3:$L$304,MATCH($B28&amp;$C28&amp;$E28&amp;$G28&amp;I$5,'Detail inputs'!$B$3:$B$304&amp;'Detail inputs'!$D$3:$D$304&amp;'Detail inputs'!$F$3:$F$304&amp;'Detail inputs'!$G$3:$G$304&amp;'Detail inputs'!$H$3:$H$304,0),MATCH(I$4,'Detail inputs'!$B$3:$L$3,0)),0)</f>
        <v>72.459999999999994</v>
      </c>
      <c r="J28" s="99">
        <f>IF(AND(H28="",I28=""),"",H28+I28*$F28/1000)</f>
        <v>47.823599999999999</v>
      </c>
      <c r="K28" s="91">
        <f>IFERROR(J28/J34,"")</f>
        <v>0.90984429934706168</v>
      </c>
      <c r="L28" s="91"/>
      <c r="M28" s="83">
        <f t="shared" si="10"/>
        <v>-8.4874413469500309E-2</v>
      </c>
      <c r="N28" s="91"/>
      <c r="O28" s="99"/>
      <c r="P28" s="99">
        <f t="array" ref="P28">IFERROR(INDEX('Detail inputs'!$B$3:$L$304,MATCH($B28&amp;$C28&amp;$E28&amp;$G28&amp;P$5,'Detail inputs'!$B$3:$B$304&amp;'Detail inputs'!$D$3:$D$304&amp;'Detail inputs'!$F$3:$F$304&amp;'Detail inputs'!$G$3:$G$304&amp;'Detail inputs'!$H$3:$H$304,0),MATCH(P$4,'Detail inputs'!$B$3:$L$3,0)),0)</f>
        <v>66.31</v>
      </c>
      <c r="Q28" s="99">
        <f>IF(AND(O28="",P28=""),"",O28+P28*$F28/1000)</f>
        <v>43.764600000000002</v>
      </c>
      <c r="R28" s="91">
        <f>IFERROR(Q28/Q34,"")</f>
        <v>0.89753654574986474</v>
      </c>
    </row>
    <row r="29" spans="2:22" x14ac:dyDescent="0.3">
      <c r="B29" s="3" t="str">
        <f t="shared" si="9"/>
        <v>Ausgrid</v>
      </c>
      <c r="C29" s="3" t="str">
        <f t="shared" si="7"/>
        <v>Residential</v>
      </c>
      <c r="D29" s="3" t="str">
        <f t="shared" si="8"/>
        <v>with CL</v>
      </c>
      <c r="E29" s="3" t="s">
        <v>16</v>
      </c>
      <c r="F29" s="41">
        <f t="array" ref="F29">IFERROR(INDEX(Usage!$B$5:$T$18,MATCH($B29,Usage!$B$5:$B$18,0),MATCH($C29&amp;$D29&amp;$E29,Usage!$B$5:$W$5&amp;Usage!$B$6:$W$6&amp;Usage!$B$7:$W$7,0)),0)</f>
        <v>660</v>
      </c>
      <c r="G29" s="3" t="s">
        <v>79</v>
      </c>
      <c r="H29" s="99"/>
      <c r="I29" s="99">
        <f t="array" ref="I29">IFERROR(INDEX('Detail inputs'!$B$3:$L$304,MATCH($B29&amp;$G29&amp;I$5,'Detail inputs'!$B$3:$B$304&amp;'Detail inputs'!$G$3:$G$304&amp;'Detail inputs'!$H$3:$H$304,0),MATCH(I$4,'Detail inputs'!$B$3:$L$3,0)),0)</f>
        <v>0.37</v>
      </c>
      <c r="J29" s="99">
        <f t="shared" ref="J29:J34" si="13">IF(AND(H29="",I29=""),"",H29+I29*$F29/1000)</f>
        <v>0.2442</v>
      </c>
      <c r="K29" s="91">
        <f>IFERROR(J29/J34,"")</f>
        <v>4.6459065796082364E-3</v>
      </c>
      <c r="L29" s="91"/>
      <c r="M29" s="83">
        <f t="shared" si="10"/>
        <v>1</v>
      </c>
      <c r="N29" s="91"/>
      <c r="O29" s="99"/>
      <c r="P29" s="99">
        <f t="array" ref="P29">IFERROR(INDEX('Detail inputs'!$B$3:$L$304,MATCH($B29&amp;$G29&amp;P$5,'Detail inputs'!$B$3:$B$304&amp;'Detail inputs'!$G$3:$G$304&amp;'Detail inputs'!$H$3:$H$304,0),MATCH(P$4,'Detail inputs'!$B$3:$L$3,0)),0)</f>
        <v>0.74</v>
      </c>
      <c r="Q29" s="99">
        <f t="shared" ref="Q29:Q34" si="14">IF(AND(O29="",P29=""),"",O29+P29*$F29/1000)</f>
        <v>0.4884</v>
      </c>
      <c r="R29" s="91">
        <f>IFERROR(Q29/Q34,"")</f>
        <v>1.00162425554954E-2</v>
      </c>
    </row>
    <row r="30" spans="2:22" x14ac:dyDescent="0.3">
      <c r="B30" s="3" t="str">
        <f t="shared" si="9"/>
        <v>Ausgrid</v>
      </c>
      <c r="C30" s="3" t="str">
        <f t="shared" si="7"/>
        <v>Residential</v>
      </c>
      <c r="D30" s="3" t="str">
        <f t="shared" si="8"/>
        <v>with CL</v>
      </c>
      <c r="E30" s="3" t="s">
        <v>16</v>
      </c>
      <c r="F30" s="41">
        <f t="array" ref="F30">IFERROR(INDEX(Usage!$B$5:$T$18,MATCH($B30,Usage!$B$5:$B$18,0),MATCH($C30&amp;$D30&amp;$E30,Usage!$B$5:$W$5&amp;Usage!$B$6:$W$6&amp;Usage!$B$7:$W$7,0)),0)</f>
        <v>660</v>
      </c>
      <c r="G30" s="3" t="s">
        <v>89</v>
      </c>
      <c r="H30" s="99"/>
      <c r="I30" s="99">
        <f t="array" ref="I30">IFERROR(INDEX('Detail inputs'!$B$3:$L$304,MATCH($B30&amp;$G30&amp;I$5,'Detail inputs'!$B$3:$B$304&amp;'Detail inputs'!$G$3:$G$304&amp;'Detail inputs'!$H$3:$H$304,0),MATCH(I$4,'Detail inputs'!$B$3:$L$3,0)),0)</f>
        <v>0.63</v>
      </c>
      <c r="J30" s="99">
        <f t="shared" si="13"/>
        <v>0.4158</v>
      </c>
      <c r="K30" s="91">
        <f>IFERROR(J30/J34,"")</f>
        <v>7.9105976896032132E-3</v>
      </c>
      <c r="L30" s="91"/>
      <c r="M30" s="83">
        <f t="shared" si="10"/>
        <v>0.11111111111111094</v>
      </c>
      <c r="N30" s="91"/>
      <c r="O30" s="99"/>
      <c r="P30" s="99">
        <f t="array" ref="P30">IFERROR(INDEX('Detail inputs'!$B$3:$L$304,MATCH($B30&amp;$G30&amp;P$5,'Detail inputs'!$B$3:$B$304&amp;'Detail inputs'!$G$3:$G$304&amp;'Detail inputs'!$H$3:$H$304,0),MATCH(P$4,'Detail inputs'!$B$3:$L$3,0)),0)</f>
        <v>0.7</v>
      </c>
      <c r="Q30" s="99">
        <f t="shared" si="14"/>
        <v>0.46199999999999997</v>
      </c>
      <c r="R30" s="91">
        <f>IFERROR(Q30/Q34,"")</f>
        <v>9.4748240389821332E-3</v>
      </c>
    </row>
    <row r="31" spans="2:22" x14ac:dyDescent="0.3">
      <c r="B31" s="3" t="str">
        <f t="shared" si="9"/>
        <v>Ausgrid</v>
      </c>
      <c r="C31" s="3" t="str">
        <f t="shared" si="7"/>
        <v>Residential</v>
      </c>
      <c r="D31" s="3" t="str">
        <f t="shared" si="8"/>
        <v>with CL</v>
      </c>
      <c r="E31" s="3" t="s">
        <v>16</v>
      </c>
      <c r="F31" s="41">
        <f t="array" ref="F31">IFERROR(INDEX(Usage!$B$5:$T$18,MATCH($B31,Usage!$B$5:$B$18,0),MATCH($C31&amp;$D31&amp;$E31,Usage!$B$5:$W$5&amp;Usage!$B$6:$W$6&amp;Usage!$B$7:$W$7,0)),0)</f>
        <v>660</v>
      </c>
      <c r="G31" s="3" t="s">
        <v>80</v>
      </c>
      <c r="H31" s="99"/>
      <c r="I31" s="99">
        <f t="array" ref="I31">IFERROR(INDEX('Detail inputs'!$B$3:$L$304,MATCH($B31&amp;$G31&amp;I$5,'Detail inputs'!$B$3:$B$304&amp;'Detail inputs'!$G$3:$G$304&amp;'Detail inputs'!$H$3:$H$304,0),MATCH(I$4,'Detail inputs'!$B$3:$L$3,0)),0)</f>
        <v>0</v>
      </c>
      <c r="J31" s="99">
        <f t="shared" si="13"/>
        <v>0</v>
      </c>
      <c r="K31" s="91">
        <f>IFERROR(J31/J34,"")</f>
        <v>0</v>
      </c>
      <c r="L31" s="91"/>
      <c r="M31" s="83" t="str">
        <f t="shared" si="10"/>
        <v/>
      </c>
      <c r="N31" s="91"/>
      <c r="O31" s="99"/>
      <c r="P31" s="99">
        <f t="array" ref="P31">IFERROR(INDEX('Detail inputs'!$B$3:$L$304,MATCH($B31&amp;$G31&amp;P$5,'Detail inputs'!$B$3:$B$304&amp;'Detail inputs'!$G$3:$G$304&amp;'Detail inputs'!$H$3:$H$304,0),MATCH(P$4,'Detail inputs'!$B$3:$L$3,0)),0)</f>
        <v>0</v>
      </c>
      <c r="Q31" s="99">
        <f t="shared" si="14"/>
        <v>0</v>
      </c>
      <c r="R31" s="91">
        <f>IFERROR(Q31/Q34,"")</f>
        <v>0</v>
      </c>
    </row>
    <row r="32" spans="2:22" x14ac:dyDescent="0.3">
      <c r="B32" s="3" t="str">
        <f t="shared" si="9"/>
        <v>Ausgrid</v>
      </c>
      <c r="C32" s="3" t="str">
        <f t="shared" si="7"/>
        <v>Residential</v>
      </c>
      <c r="D32" s="3" t="str">
        <f t="shared" si="8"/>
        <v>with CL</v>
      </c>
      <c r="E32" s="3" t="s">
        <v>16</v>
      </c>
      <c r="F32" s="41">
        <f t="array" ref="F32">IFERROR(INDEX(Usage!$B$5:$T$18,MATCH($B32,Usage!$B$5:$B$18,0),MATCH($C32&amp;$D32&amp;$E32,Usage!$B$5:$W$5&amp;Usage!$B$6:$W$6&amp;Usage!$B$7:$W$7,0)),0)</f>
        <v>660</v>
      </c>
      <c r="G32" s="3" t="s">
        <v>177</v>
      </c>
      <c r="H32" s="99"/>
      <c r="I32" s="99">
        <f t="array" ref="I32">IFERROR(INDEX('Detail inputs'!$B$3:$L$304,MATCH($B32&amp;$G32&amp;I$5,'Detail inputs'!$B$3:$B$304&amp;'Detail inputs'!$G$3:$G$304&amp;'Detail inputs'!$H$3:$H$304,0),MATCH(I$4,'Detail inputs'!$B$3:$L$3,0)),0)</f>
        <v>2.17</v>
      </c>
      <c r="J32" s="99">
        <f t="shared" si="13"/>
        <v>1.4322000000000001</v>
      </c>
      <c r="K32" s="91">
        <f>IFERROR(J32/J34,"")</f>
        <v>2.7247614264188851E-2</v>
      </c>
      <c r="L32" s="91"/>
      <c r="M32" s="83">
        <f t="shared" si="10"/>
        <v>1.8433179723502224E-2</v>
      </c>
      <c r="N32" s="91"/>
      <c r="O32" s="99"/>
      <c r="P32" s="99">
        <f t="array" ref="P32">IFERROR(INDEX('Detail inputs'!$B$3:$L$304,MATCH($B32&amp;$G32&amp;P$5,'Detail inputs'!$B$3:$B$304&amp;'Detail inputs'!$G$3:$G$304&amp;'Detail inputs'!$H$3:$H$304,0),MATCH(P$4,'Detail inputs'!$B$3:$L$3,0)),0)</f>
        <v>2.21</v>
      </c>
      <c r="Q32" s="99">
        <f t="shared" si="14"/>
        <v>1.4585999999999999</v>
      </c>
      <c r="R32" s="91">
        <f>IFERROR(Q32/Q34,"")</f>
        <v>2.9913373037357877E-2</v>
      </c>
    </row>
    <row r="33" spans="2:22" x14ac:dyDescent="0.3">
      <c r="B33" s="3" t="str">
        <f t="shared" si="9"/>
        <v>Ausgrid</v>
      </c>
      <c r="C33" s="3" t="str">
        <f t="shared" si="7"/>
        <v>Residential</v>
      </c>
      <c r="D33" s="3" t="str">
        <f t="shared" si="8"/>
        <v>with CL</v>
      </c>
      <c r="E33" s="3" t="s">
        <v>16</v>
      </c>
      <c r="F33" s="41">
        <f t="array" ref="F33">IFERROR(INDEX(Usage!$B$5:$T$18,MATCH($B33,Usage!$B$5:$B$18,0),MATCH($C33&amp;$D33&amp;$E33,Usage!$B$5:$W$5&amp;Usage!$B$6:$W$6&amp;Usage!$B$7:$W$7,0)),0)</f>
        <v>660</v>
      </c>
      <c r="G33" s="3" t="s">
        <v>81</v>
      </c>
      <c r="H33" s="99"/>
      <c r="I33" s="93">
        <f t="array" ref="I33">ROUND(IFERROR(INDEX('Detail inputs'!$B$3:$L$304,MATCH($B33&amp;$C33&amp;$E33&amp;$G33&amp;I$5,'Detail inputs'!$B$3:$B$304&amp;'Detail inputs'!$D$3:$D$304&amp;'Detail inputs'!$F$3:$F$304&amp;'Detail inputs'!$G$3:$G$304&amp;'Detail inputs'!$H$3:$H$304,0),MATCH(I$4,'Detail inputs'!$B$3:$L$3,0)),0)*SUM(I28:I32),2)</f>
        <v>4.01</v>
      </c>
      <c r="J33" s="99">
        <f t="shared" si="13"/>
        <v>2.6465999999999998</v>
      </c>
      <c r="K33" s="91">
        <f>IFERROR(J33/J34,"")</f>
        <v>5.0351582119537913E-2</v>
      </c>
      <c r="L33" s="91"/>
      <c r="M33" s="83">
        <f t="shared" si="10"/>
        <v>-2.244389027431426E-2</v>
      </c>
      <c r="N33" s="91"/>
      <c r="O33" s="99"/>
      <c r="P33" s="93">
        <f t="array" ref="P33">ROUND(IFERROR(INDEX('Detail inputs'!$B$3:$L$304,MATCH($B33&amp;$C33&amp;$E33&amp;$G33&amp;P$5,'Detail inputs'!$B$3:$B$304&amp;'Detail inputs'!$D$3:$D$304&amp;'Detail inputs'!$F$3:$F$304&amp;'Detail inputs'!$G$3:$G$304&amp;'Detail inputs'!$H$3:$H$304,0),MATCH(P$4,'Detail inputs'!$B$3:$L$3,0)),0)*SUM(P28:P32),2)</f>
        <v>3.92</v>
      </c>
      <c r="Q33" s="99">
        <f t="shared" si="14"/>
        <v>2.5871999999999997</v>
      </c>
      <c r="R33" s="91">
        <f>IFERROR(Q33/Q34,"")</f>
        <v>5.3059014618299948E-2</v>
      </c>
    </row>
    <row r="34" spans="2:22" x14ac:dyDescent="0.3">
      <c r="B34" s="3" t="str">
        <f t="shared" si="9"/>
        <v>Ausgrid</v>
      </c>
      <c r="C34" s="3" t="str">
        <f t="shared" si="7"/>
        <v>Residential</v>
      </c>
      <c r="D34" s="3" t="str">
        <f t="shared" si="8"/>
        <v>with CL</v>
      </c>
      <c r="E34" s="3" t="s">
        <v>16</v>
      </c>
      <c r="F34" s="41">
        <f t="array" ref="F34">IFERROR(INDEX(Usage!$B$5:$T$18,MATCH($B34,Usage!$B$5:$B$18,0),MATCH($C34&amp;$D34&amp;$E34,Usage!$B$5:$W$5&amp;Usage!$B$6:$W$6&amp;Usage!$B$7:$W$7,0)),0)</f>
        <v>660</v>
      </c>
      <c r="G34" s="3" t="s">
        <v>58</v>
      </c>
      <c r="H34" s="99"/>
      <c r="I34" s="99">
        <f t="array" ref="I34">INDEX('Key inputs'!$B$15:$G$33,MATCH($B34&amp;$E34,'Key inputs'!$B$15:$B$33&amp;'Key inputs'!$C$15:$C$33,0),MATCH($A$2&amp;I$4,'Key inputs'!$B$16:$G$16&amp;'Key inputs'!$B$17:$G$17,0))</f>
        <v>79.64</v>
      </c>
      <c r="J34" s="93">
        <f t="shared" si="13"/>
        <v>52.562400000000004</v>
      </c>
      <c r="K34" s="91"/>
      <c r="L34" s="92"/>
      <c r="M34" s="83">
        <f t="shared" si="10"/>
        <v>-7.2325464590658139E-2</v>
      </c>
      <c r="N34" s="92"/>
      <c r="O34" s="99"/>
      <c r="P34" s="99">
        <f t="array" ref="P34">INDEX('Key inputs'!$B$15:$G$33,MATCH($B34&amp;$E34,'Key inputs'!$B$15:$B$33&amp;'Key inputs'!$C$15:$C$33,0),MATCH($A$2&amp;P$4,'Key inputs'!$B$16:$G$16&amp;'Key inputs'!$B$17:$G$17,0))</f>
        <v>73.88</v>
      </c>
      <c r="Q34" s="93">
        <f t="shared" si="14"/>
        <v>48.760799999999996</v>
      </c>
      <c r="R34" s="91"/>
      <c r="S34" s="133" t="b">
        <f>ROUND(I34,$W$5)=ROUND(SUM(I28:I33),$W$5)</f>
        <v>1</v>
      </c>
      <c r="T34" s="133" t="b">
        <f>ROUND(P34,$W$5)=ROUND(SUM(P28:P33),$W$5)</f>
        <v>1</v>
      </c>
      <c r="U34" s="132"/>
      <c r="V34" s="132"/>
    </row>
    <row r="35" spans="2:22" s="81" customFormat="1" x14ac:dyDescent="0.3">
      <c r="B35" s="3" t="str">
        <f t="shared" si="9"/>
        <v>Ausgrid</v>
      </c>
      <c r="C35" s="3" t="str">
        <f t="shared" si="7"/>
        <v>Residential</v>
      </c>
      <c r="D35" s="3" t="str">
        <f t="shared" si="8"/>
        <v>with CL</v>
      </c>
      <c r="E35" s="81" t="s">
        <v>58</v>
      </c>
      <c r="F35" s="41">
        <f t="array" ref="F35">IFERROR(INDEX(Usage!$B$5:$T$18,MATCH($B35,Usage!$B$5:$B$18,0),MATCH($C35&amp;$D35&amp;$E35,Usage!$B$5:$W$5&amp;Usage!$B$6:$W$6&amp;Usage!$B$7:$W$7,0)),0)</f>
        <v>6800</v>
      </c>
      <c r="G35" s="81" t="s">
        <v>58</v>
      </c>
      <c r="H35" s="99"/>
      <c r="I35" s="99">
        <f>I20+I27+I34</f>
        <v>275.14999999999998</v>
      </c>
      <c r="J35" s="99">
        <f>J20+J27+J34</f>
        <v>699.85140000000001</v>
      </c>
      <c r="K35" s="91"/>
      <c r="L35" s="92"/>
      <c r="M35" s="83">
        <f t="shared" si="10"/>
        <v>-7.1858111593403606E-3</v>
      </c>
      <c r="N35" s="92"/>
      <c r="O35" s="99"/>
      <c r="P35" s="99">
        <f>P20+P27+P34</f>
        <v>263</v>
      </c>
      <c r="Q35" s="99">
        <f>Q20+Q27+Q34</f>
        <v>694.82240000000002</v>
      </c>
      <c r="R35" s="91"/>
      <c r="S35" s="133"/>
      <c r="T35" s="134"/>
    </row>
    <row r="36" spans="2:22" x14ac:dyDescent="0.3">
      <c r="B36" s="3" t="str">
        <f t="shared" si="9"/>
        <v>Ausgrid</v>
      </c>
      <c r="C36" s="3" t="str">
        <f t="shared" si="7"/>
        <v>Residential</v>
      </c>
      <c r="D36" s="3" t="str">
        <f t="shared" si="8"/>
        <v>with CL</v>
      </c>
      <c r="F36" s="41"/>
      <c r="G36" s="81" t="s">
        <v>41</v>
      </c>
      <c r="H36" s="99"/>
      <c r="I36" s="99"/>
      <c r="J36" s="99">
        <f>J35*GST</f>
        <v>69.985140000000001</v>
      </c>
      <c r="K36" s="91"/>
      <c r="L36" s="92"/>
      <c r="M36" s="83"/>
      <c r="N36" s="92"/>
      <c r="O36" s="99"/>
      <c r="P36" s="99"/>
      <c r="Q36" s="99">
        <f>Q35*GST</f>
        <v>69.482240000000004</v>
      </c>
      <c r="R36" s="79"/>
    </row>
    <row r="37" spans="2:22" x14ac:dyDescent="0.3">
      <c r="B37" s="3" t="str">
        <f t="shared" si="9"/>
        <v>Ausgrid</v>
      </c>
      <c r="C37" s="3" t="str">
        <f t="shared" si="7"/>
        <v>Residential</v>
      </c>
      <c r="D37" s="3" t="str">
        <f t="shared" si="8"/>
        <v>with CL</v>
      </c>
      <c r="F37" s="41"/>
      <c r="G37" s="5" t="s">
        <v>91</v>
      </c>
      <c r="H37" s="98"/>
      <c r="I37" s="98"/>
      <c r="J37" s="98">
        <f>SUM(J35:J36)</f>
        <v>769.83654000000001</v>
      </c>
      <c r="K37" s="79"/>
      <c r="L37" s="27"/>
      <c r="M37" s="80">
        <f>IF(OR(J37=0,Q37=""),"",Q37/J37-1)</f>
        <v>-7.1858111593403606E-3</v>
      </c>
      <c r="N37" s="27"/>
      <c r="O37" s="98"/>
      <c r="P37" s="98"/>
      <c r="Q37" s="98">
        <f>SUM(Q35:Q36)</f>
        <v>764.30464000000006</v>
      </c>
      <c r="R37" s="79"/>
    </row>
    <row r="38" spans="2:22" x14ac:dyDescent="0.3">
      <c r="F38" s="41"/>
      <c r="K38" s="44"/>
      <c r="M38" s="49"/>
      <c r="R38" s="44"/>
    </row>
    <row r="39" spans="2:22" x14ac:dyDescent="0.3">
      <c r="B39" s="5" t="s">
        <v>2</v>
      </c>
      <c r="C39" s="5" t="s">
        <v>14</v>
      </c>
      <c r="D39" s="5" t="s">
        <v>158</v>
      </c>
      <c r="F39" s="41"/>
      <c r="K39" s="44"/>
      <c r="M39" s="49"/>
      <c r="R39" s="44"/>
    </row>
    <row r="40" spans="2:22" x14ac:dyDescent="0.3">
      <c r="B40" s="3" t="str">
        <f>B39</f>
        <v>Ausgrid</v>
      </c>
      <c r="C40" s="3" t="str">
        <f t="shared" ref="C40:C48" si="15">C39</f>
        <v>Small business</v>
      </c>
      <c r="D40" s="3" t="str">
        <f t="shared" ref="D40:D48" si="16">D39</f>
        <v>without CL</v>
      </c>
      <c r="E40" s="3" t="s">
        <v>24</v>
      </c>
      <c r="F40" s="41">
        <f t="array" ref="F40">IFERROR(INDEX(Usage!$B$5:$T$18,MATCH($B40,Usage!$B$5:$B$18,0),MATCH($C40&amp;$D40&amp;$E40,Usage!$B$5:$W$5&amp;Usage!$B$6:$W$6&amp;Usage!$B$7:$W$7,0)),0)</f>
        <v>20000</v>
      </c>
      <c r="G40" s="3" t="s">
        <v>78</v>
      </c>
      <c r="I40" s="93">
        <f t="array" ref="I40">IFERROR(INDEX('Detail inputs'!$B$3:$L$304,MATCH($B40&amp;$C40&amp;$E40&amp;$G40&amp;I$5,'Detail inputs'!$B$3:$B$304&amp;'Detail inputs'!$D$3:$D$304&amp;'Detail inputs'!$F$3:$F$304&amp;'Detail inputs'!$G$3:$G$304&amp;'Detail inputs'!$H$3:$H$304,0),MATCH(I$4,'Detail inputs'!$B$3:$L$3,0)),0)</f>
        <v>102.99</v>
      </c>
      <c r="J40" s="93">
        <f>IF(AND(H40="",I40=""),"",H40+I40*$F40/1000)</f>
        <v>2059.8000000000002</v>
      </c>
      <c r="K40" s="44">
        <f>IFERROR(J40/J46,"")</f>
        <v>0.92483836206896564</v>
      </c>
      <c r="L40" s="44"/>
      <c r="M40" s="49">
        <f t="shared" ref="M40:M46" si="17">IF(OR(J40=0,Q40=""),"",Q40/J40-1)</f>
        <v>1.0971939023206145E-2</v>
      </c>
      <c r="N40" s="44"/>
      <c r="P40" s="93">
        <f t="array" ref="P40">IFERROR(INDEX('Detail inputs'!$B$3:$L$304,MATCH($B40&amp;$C40&amp;$E40&amp;$G40&amp;P$5,'Detail inputs'!$B$3:$B$304&amp;'Detail inputs'!$D$3:$D$304&amp;'Detail inputs'!$F$3:$F$304&amp;'Detail inputs'!$G$3:$G$304&amp;'Detail inputs'!$H$3:$H$304,0),MATCH(P$4,'Detail inputs'!$B$3:$L$3,0)),0)</f>
        <v>104.12</v>
      </c>
      <c r="Q40" s="93">
        <f>IF(AND(O40="",P40=""),"",O40+P40*$F40/1000)</f>
        <v>2082.4</v>
      </c>
      <c r="R40" s="44">
        <f>IFERROR(Q40/Q46,"")</f>
        <v>0.91751850546351787</v>
      </c>
    </row>
    <row r="41" spans="2:22" x14ac:dyDescent="0.3">
      <c r="B41" s="3" t="str">
        <f t="shared" ref="B41:B48" si="18">B40</f>
        <v>Ausgrid</v>
      </c>
      <c r="C41" s="3" t="str">
        <f t="shared" si="15"/>
        <v>Small business</v>
      </c>
      <c r="D41" s="3" t="str">
        <f t="shared" si="16"/>
        <v>without CL</v>
      </c>
      <c r="E41" s="3" t="s">
        <v>24</v>
      </c>
      <c r="F41" s="41">
        <f t="array" ref="F41">IFERROR(INDEX(Usage!$B$5:$T$18,MATCH($B41,Usage!$B$5:$B$18,0),MATCH($C41&amp;$D41&amp;$E41,Usage!$B$5:$W$5&amp;Usage!$B$6:$W$6&amp;Usage!$B$7:$W$7,0)),0)</f>
        <v>20000</v>
      </c>
      <c r="G41" s="3" t="s">
        <v>79</v>
      </c>
      <c r="I41" s="93">
        <f t="array" ref="I41">IFERROR(INDEX('Detail inputs'!$B$3:$L$304,MATCH($B41&amp;$G41&amp;I$5,'Detail inputs'!$B$3:$B$304&amp;'Detail inputs'!$G$3:$G$304&amp;'Detail inputs'!$H$3:$H$304,0),MATCH(I$4,'Detail inputs'!$B$3:$L$3,0)),0)</f>
        <v>0.37</v>
      </c>
      <c r="J41" s="93">
        <f t="shared" ref="J41:J46" si="19">IF(AND(H41="",I41=""),"",H41+I41*$F41/1000)</f>
        <v>7.4</v>
      </c>
      <c r="K41" s="44">
        <f>IFERROR(J41/J46,"")</f>
        <v>3.3225574712643681E-3</v>
      </c>
      <c r="L41" s="44"/>
      <c r="M41" s="49">
        <f t="shared" si="17"/>
        <v>1</v>
      </c>
      <c r="N41" s="44"/>
      <c r="P41" s="93">
        <f t="array" ref="P41">IFERROR(INDEX('Detail inputs'!$B$3:$L$304,MATCH($B41&amp;$G41&amp;P$5,'Detail inputs'!$B$3:$B$304&amp;'Detail inputs'!$G$3:$G$304&amp;'Detail inputs'!$H$3:$H$304,0),MATCH(P$4,'Detail inputs'!$B$3:$L$3,0)),0)</f>
        <v>0.74</v>
      </c>
      <c r="Q41" s="93">
        <f t="shared" ref="Q41:Q46" si="20">IF(AND(O41="",P41=""),"",O41+P41*$F41/1000)</f>
        <v>14.8</v>
      </c>
      <c r="R41" s="44">
        <f>IFERROR(Q41/Q46,"")</f>
        <v>6.5209728586535076E-3</v>
      </c>
    </row>
    <row r="42" spans="2:22" x14ac:dyDescent="0.3">
      <c r="B42" s="3" t="str">
        <f t="shared" si="18"/>
        <v>Ausgrid</v>
      </c>
      <c r="C42" s="3" t="str">
        <f t="shared" si="15"/>
        <v>Small business</v>
      </c>
      <c r="D42" s="3" t="str">
        <f t="shared" si="16"/>
        <v>without CL</v>
      </c>
      <c r="E42" s="3" t="s">
        <v>24</v>
      </c>
      <c r="F42" s="41">
        <f t="array" ref="F42">IFERROR(INDEX(Usage!$B$5:$T$18,MATCH($B42,Usage!$B$5:$B$18,0),MATCH($C42&amp;$D42&amp;$E42,Usage!$B$5:$W$5&amp;Usage!$B$6:$W$6&amp;Usage!$B$7:$W$7,0)),0)</f>
        <v>20000</v>
      </c>
      <c r="G42" s="3" t="s">
        <v>89</v>
      </c>
      <c r="I42" s="93">
        <f t="array" ref="I42">IFERROR(INDEX('Detail inputs'!$B$3:$L$304,MATCH($B42&amp;$G42&amp;I$5,'Detail inputs'!$B$3:$B$304&amp;'Detail inputs'!$G$3:$G$304&amp;'Detail inputs'!$H$3:$H$304,0),MATCH(I$4,'Detail inputs'!$B$3:$L$3,0)),0)</f>
        <v>0.63</v>
      </c>
      <c r="J42" s="93">
        <f t="shared" si="19"/>
        <v>12.6</v>
      </c>
      <c r="K42" s="44">
        <f>IFERROR(J42/J46,"")</f>
        <v>5.6573275862068966E-3</v>
      </c>
      <c r="L42" s="44"/>
      <c r="M42" s="49">
        <f t="shared" si="17"/>
        <v>0.11111111111111116</v>
      </c>
      <c r="N42" s="44"/>
      <c r="P42" s="93">
        <f t="array" ref="P42">IFERROR(INDEX('Detail inputs'!$B$3:$L$304,MATCH($B42&amp;$G42&amp;P$5,'Detail inputs'!$B$3:$B$304&amp;'Detail inputs'!$G$3:$G$304&amp;'Detail inputs'!$H$3:$H$304,0),MATCH(P$4,'Detail inputs'!$B$3:$L$3,0)),0)</f>
        <v>0.7</v>
      </c>
      <c r="Q42" s="93">
        <f t="shared" si="20"/>
        <v>14</v>
      </c>
      <c r="R42" s="44">
        <f>IFERROR(Q42/Q46,"")</f>
        <v>6.1684878392668317E-3</v>
      </c>
    </row>
    <row r="43" spans="2:22" x14ac:dyDescent="0.3">
      <c r="B43" s="3" t="str">
        <f t="shared" si="18"/>
        <v>Ausgrid</v>
      </c>
      <c r="C43" s="3" t="str">
        <f t="shared" si="15"/>
        <v>Small business</v>
      </c>
      <c r="D43" s="3" t="str">
        <f t="shared" si="16"/>
        <v>without CL</v>
      </c>
      <c r="E43" s="3" t="s">
        <v>24</v>
      </c>
      <c r="F43" s="41">
        <f t="array" ref="F43">IFERROR(INDEX(Usage!$B$5:$T$18,MATCH($B43,Usage!$B$5:$B$18,0),MATCH($C43&amp;$D43&amp;$E43,Usage!$B$5:$W$5&amp;Usage!$B$6:$W$6&amp;Usage!$B$7:$W$7,0)),0)</f>
        <v>20000</v>
      </c>
      <c r="G43" s="3" t="s">
        <v>80</v>
      </c>
      <c r="I43" s="93">
        <f t="array" ref="I43">IFERROR(INDEX('Detail inputs'!$B$3:$L$304,MATCH($B43&amp;$G43&amp;I$5,'Detail inputs'!$B$3:$B$304&amp;'Detail inputs'!$G$3:$G$304&amp;'Detail inputs'!$H$3:$H$304,0),MATCH(I$4,'Detail inputs'!$B$3:$L$3,0)),0)</f>
        <v>0</v>
      </c>
      <c r="J43" s="93">
        <f t="shared" si="19"/>
        <v>0</v>
      </c>
      <c r="K43" s="44">
        <f>IFERROR(J43/J46,"")</f>
        <v>0</v>
      </c>
      <c r="L43" s="44"/>
      <c r="M43" s="49" t="str">
        <f t="shared" si="17"/>
        <v/>
      </c>
      <c r="N43" s="44"/>
      <c r="P43" s="93">
        <f t="array" ref="P43">IFERROR(INDEX('Detail inputs'!$B$3:$L$304,MATCH($B43&amp;$G43&amp;P$5,'Detail inputs'!$B$3:$B$304&amp;'Detail inputs'!$G$3:$G$304&amp;'Detail inputs'!$H$3:$H$304,0),MATCH(P$4,'Detail inputs'!$B$3:$L$3,0)),0)</f>
        <v>0</v>
      </c>
      <c r="Q43" s="93">
        <f t="shared" si="20"/>
        <v>0</v>
      </c>
      <c r="R43" s="44">
        <f>IFERROR(Q43/Q46,"")</f>
        <v>0</v>
      </c>
    </row>
    <row r="44" spans="2:22" x14ac:dyDescent="0.3">
      <c r="B44" s="3" t="str">
        <f t="shared" si="18"/>
        <v>Ausgrid</v>
      </c>
      <c r="C44" s="3" t="str">
        <f t="shared" si="15"/>
        <v>Small business</v>
      </c>
      <c r="D44" s="3" t="str">
        <f t="shared" si="16"/>
        <v>without CL</v>
      </c>
      <c r="E44" s="3" t="s">
        <v>24</v>
      </c>
      <c r="F44" s="41">
        <f t="array" ref="F44">IFERROR(INDEX(Usage!$B$5:$T$18,MATCH($B44,Usage!$B$5:$B$18,0),MATCH($C44&amp;$D44&amp;$E44,Usage!$B$5:$W$5&amp;Usage!$B$6:$W$6&amp;Usage!$B$7:$W$7,0)),0)</f>
        <v>20000</v>
      </c>
      <c r="G44" s="3" t="s">
        <v>177</v>
      </c>
      <c r="I44" s="93">
        <f t="array" ref="I44">IFERROR(INDEX('Detail inputs'!$B$3:$L$304,MATCH($B44&amp;$G44&amp;I$5,'Detail inputs'!$B$3:$B$304&amp;'Detail inputs'!$G$3:$G$304&amp;'Detail inputs'!$H$3:$H$304,0),MATCH(I$4,'Detail inputs'!$B$3:$L$3,0)),0)</f>
        <v>2.17</v>
      </c>
      <c r="J44" s="93">
        <f t="shared" si="19"/>
        <v>43.4</v>
      </c>
      <c r="K44" s="44">
        <f>IFERROR(J44/J46,"")</f>
        <v>1.9486350574712645E-2</v>
      </c>
      <c r="L44" s="44"/>
      <c r="M44" s="49">
        <f t="shared" si="17"/>
        <v>1.8433179723502446E-2</v>
      </c>
      <c r="N44" s="44"/>
      <c r="P44" s="93">
        <f t="array" ref="P44">IFERROR(INDEX('Detail inputs'!$B$3:$L$304,MATCH($B44&amp;$G44&amp;P$5,'Detail inputs'!$B$3:$B$304&amp;'Detail inputs'!$G$3:$G$304&amp;'Detail inputs'!$H$3:$H$304,0),MATCH(P$4,'Detail inputs'!$B$3:$L$3,0)),0)</f>
        <v>2.21</v>
      </c>
      <c r="Q44" s="93">
        <f t="shared" si="20"/>
        <v>44.2</v>
      </c>
      <c r="R44" s="44">
        <f>IFERROR(Q44/Q46,"")</f>
        <v>1.9474797321113856E-2</v>
      </c>
    </row>
    <row r="45" spans="2:22" x14ac:dyDescent="0.3">
      <c r="B45" s="3" t="str">
        <f t="shared" si="18"/>
        <v>Ausgrid</v>
      </c>
      <c r="C45" s="3" t="str">
        <f t="shared" si="15"/>
        <v>Small business</v>
      </c>
      <c r="D45" s="3" t="str">
        <f t="shared" si="16"/>
        <v>without CL</v>
      </c>
      <c r="E45" s="3" t="s">
        <v>24</v>
      </c>
      <c r="F45" s="41">
        <f t="array" ref="F45">IFERROR(INDEX(Usage!$B$5:$T$18,MATCH($B45,Usage!$B$5:$B$18,0),MATCH($C45&amp;$D45&amp;$E45,Usage!$B$5:$W$5&amp;Usage!$B$6:$W$6&amp;Usage!$B$7:$W$7,0)),0)</f>
        <v>20000</v>
      </c>
      <c r="G45" s="3" t="s">
        <v>81</v>
      </c>
      <c r="I45" s="93">
        <f t="array" ref="I45">ROUND(IFERROR(INDEX('Detail inputs'!$B$3:$L$304,MATCH($B45&amp;$C45&amp;$E45&amp;$G45&amp;I$5,'Detail inputs'!$B$3:$B$304&amp;'Detail inputs'!$D$3:$D$304&amp;'Detail inputs'!$F$3:$F$304&amp;'Detail inputs'!$G$3:$G$304&amp;'Detail inputs'!$H$3:$H$304,0),MATCH(I$4,'Detail inputs'!$B$3:$L$3,0)),0)*SUM(I40:I44),2)</f>
        <v>5.2</v>
      </c>
      <c r="J45" s="93">
        <f t="shared" si="19"/>
        <v>104</v>
      </c>
      <c r="K45" s="44">
        <f>IFERROR(J45/J46,"")</f>
        <v>4.669540229885058E-2</v>
      </c>
      <c r="L45" s="44"/>
      <c r="M45" s="49">
        <f t="shared" si="17"/>
        <v>9.8076923076923173E-2</v>
      </c>
      <c r="N45" s="44"/>
      <c r="P45" s="93">
        <f t="array" ref="P45">ROUND(IFERROR(INDEX('Detail inputs'!$B$3:$L$304,MATCH($B45&amp;$C45&amp;$E45&amp;$G45&amp;P$5,'Detail inputs'!$B$3:$B$304&amp;'Detail inputs'!$D$3:$D$304&amp;'Detail inputs'!$F$3:$F$304&amp;'Detail inputs'!$G$3:$G$304&amp;'Detail inputs'!$H$3:$H$304,0),MATCH(P$4,'Detail inputs'!$B$3:$L$3,0)),0)*SUM(P40:P44),2)</f>
        <v>5.71</v>
      </c>
      <c r="Q45" s="93">
        <f t="shared" si="20"/>
        <v>114.2</v>
      </c>
      <c r="R45" s="44">
        <f>IFERROR(Q45/Q46,"")</f>
        <v>5.0317236517448009E-2</v>
      </c>
    </row>
    <row r="46" spans="2:22" s="81" customFormat="1" x14ac:dyDescent="0.3">
      <c r="B46" s="3" t="str">
        <f t="shared" si="18"/>
        <v>Ausgrid</v>
      </c>
      <c r="C46" s="3" t="str">
        <f t="shared" si="15"/>
        <v>Small business</v>
      </c>
      <c r="D46" s="3" t="str">
        <f t="shared" si="16"/>
        <v>without CL</v>
      </c>
      <c r="E46" s="3" t="s">
        <v>24</v>
      </c>
      <c r="F46" s="41">
        <f t="array" ref="F46">IFERROR(INDEX(Usage!$B$5:$T$18,MATCH($B46,Usage!$B$5:$B$18,0),MATCH($C46&amp;$D46&amp;$E46,Usage!$B$5:$W$5&amp;Usage!$B$6:$W$6&amp;Usage!$B$7:$W$7,0)),0)</f>
        <v>20000</v>
      </c>
      <c r="G46" s="81" t="s">
        <v>58</v>
      </c>
      <c r="H46" s="99"/>
      <c r="I46" s="99">
        <f t="array" ref="I46">INDEX('Key inputs'!$B$15:$G$33,MATCH($B46&amp;$E46,'Key inputs'!$B$15:$B$33&amp;'Key inputs'!$C$15:$C$33,0),MATCH($A$2&amp;I$4,'Key inputs'!$B$16:$G$16&amp;'Key inputs'!$B$17:$G$17,0))</f>
        <v>111.36</v>
      </c>
      <c r="J46" s="93">
        <f t="shared" si="19"/>
        <v>2227.1999999999998</v>
      </c>
      <c r="K46" s="91"/>
      <c r="L46" s="92"/>
      <c r="M46" s="83">
        <f t="shared" si="17"/>
        <v>1.9037356321839116E-2</v>
      </c>
      <c r="N46" s="92"/>
      <c r="O46" s="99"/>
      <c r="P46" s="99">
        <f t="array" ref="P46">INDEX('Key inputs'!$B$15:$G$33,MATCH($B46&amp;$E46,'Key inputs'!$B$15:$B$33&amp;'Key inputs'!$C$15:$C$33,0),MATCH($A$2&amp;P$4,'Key inputs'!$B$16:$G$16&amp;'Key inputs'!$B$17:$G$17,0))</f>
        <v>113.48</v>
      </c>
      <c r="Q46" s="93">
        <f t="shared" si="20"/>
        <v>2269.6</v>
      </c>
      <c r="R46" s="91"/>
      <c r="S46" s="133" t="b">
        <f>ROUND(I46,$W$5)=ROUND(SUM(I40:I45),$W$5)</f>
        <v>1</v>
      </c>
      <c r="T46" s="133" t="b">
        <f>ROUND(P46,$W$5)=ROUND(SUM(P40:P45),$W$5)</f>
        <v>1</v>
      </c>
      <c r="U46" s="132"/>
      <c r="V46" s="132"/>
    </row>
    <row r="47" spans="2:22" x14ac:dyDescent="0.3">
      <c r="B47" s="3" t="str">
        <f t="shared" si="18"/>
        <v>Ausgrid</v>
      </c>
      <c r="C47" s="3" t="str">
        <f t="shared" si="15"/>
        <v>Small business</v>
      </c>
      <c r="D47" s="3" t="str">
        <f t="shared" si="16"/>
        <v>without CL</v>
      </c>
      <c r="F47" s="41"/>
      <c r="G47" s="81" t="s">
        <v>41</v>
      </c>
      <c r="H47" s="99"/>
      <c r="I47" s="99"/>
      <c r="J47" s="99">
        <f>J46*GST</f>
        <v>222.72</v>
      </c>
      <c r="K47" s="91"/>
      <c r="L47" s="92"/>
      <c r="M47" s="83"/>
      <c r="N47" s="92"/>
      <c r="O47" s="99"/>
      <c r="P47" s="99"/>
      <c r="Q47" s="99">
        <f>Q46*GST</f>
        <v>226.96</v>
      </c>
      <c r="R47" s="44"/>
    </row>
    <row r="48" spans="2:22" x14ac:dyDescent="0.3">
      <c r="B48" s="3" t="str">
        <f t="shared" si="18"/>
        <v>Ausgrid</v>
      </c>
      <c r="C48" s="3" t="str">
        <f t="shared" si="15"/>
        <v>Small business</v>
      </c>
      <c r="D48" s="3" t="str">
        <f t="shared" si="16"/>
        <v>without CL</v>
      </c>
      <c r="F48" s="41"/>
      <c r="G48" s="5" t="s">
        <v>91</v>
      </c>
      <c r="H48" s="98"/>
      <c r="I48" s="98"/>
      <c r="J48" s="98">
        <f>SUM(J46:J47)</f>
        <v>2449.9199999999996</v>
      </c>
      <c r="K48" s="79"/>
      <c r="L48" s="27"/>
      <c r="M48" s="80">
        <f>IF(OR(J48=0,Q48=""),"",Q48/J48-1)</f>
        <v>1.9037356321839116E-2</v>
      </c>
      <c r="N48" s="27"/>
      <c r="O48" s="98"/>
      <c r="P48" s="98"/>
      <c r="Q48" s="98">
        <f>SUM(Q46:Q47)</f>
        <v>2496.56</v>
      </c>
      <c r="R48" s="44"/>
    </row>
    <row r="49" spans="2:22" x14ac:dyDescent="0.3">
      <c r="F49" s="41"/>
      <c r="K49" s="44"/>
      <c r="M49" s="49"/>
      <c r="R49" s="44"/>
    </row>
    <row r="50" spans="2:22" x14ac:dyDescent="0.3">
      <c r="B50" s="5" t="s">
        <v>4</v>
      </c>
      <c r="C50" s="5" t="s">
        <v>6</v>
      </c>
      <c r="D50" s="5" t="s">
        <v>158</v>
      </c>
      <c r="F50" s="41"/>
      <c r="K50" s="44"/>
      <c r="M50" s="49"/>
      <c r="R50" s="44"/>
    </row>
    <row r="51" spans="2:22" x14ac:dyDescent="0.3">
      <c r="B51" s="3" t="str">
        <f>B50</f>
        <v>Endeavour</v>
      </c>
      <c r="C51" s="3" t="str">
        <f t="shared" ref="C51:C59" si="21">C50</f>
        <v>Residential</v>
      </c>
      <c r="D51" s="3" t="str">
        <f t="shared" ref="D51:D59" si="22">D50</f>
        <v>without CL</v>
      </c>
      <c r="E51" s="3" t="s">
        <v>24</v>
      </c>
      <c r="F51" s="41">
        <f t="array" ref="F51">IFERROR(INDEX(Usage!$B$5:$T$18,MATCH($B51,Usage!$B$5:$B$18,0),MATCH($C51&amp;$D51&amp;$E51&amp;"Total",Usage!$B$5:$W$5&amp;Usage!$B$6:$W$6&amp;Usage!$B$7:$W$7&amp;Usage!$B$13:$W$13,0)),0)</f>
        <v>4900</v>
      </c>
      <c r="G51" s="3" t="s">
        <v>78</v>
      </c>
      <c r="I51" s="93">
        <f t="array" ref="I51">IFERROR(INDEX('Detail inputs'!$B$3:$L$304,MATCH($B51&amp;$C51&amp;$E51&amp;$G51&amp;I$5,'Detail inputs'!$B$3:$B$304&amp;'Detail inputs'!$D$3:$D$304&amp;'Detail inputs'!$F$3:$F$304&amp;'Detail inputs'!$G$3:$G$304&amp;'Detail inputs'!$H$3:$H$304,0),MATCH(I$4,'Detail inputs'!$B$3:$L$3,0)),0)</f>
        <v>99.94</v>
      </c>
      <c r="J51" s="93">
        <f>IF(AND(H51="",I51=""),"",H51+I51*$F51/1000)</f>
        <v>489.70600000000002</v>
      </c>
      <c r="K51" s="44">
        <f>IFERROR(J51/J57,"")</f>
        <v>0.92017309639996325</v>
      </c>
      <c r="L51" s="44"/>
      <c r="M51" s="49">
        <f t="shared" ref="M51:M57" si="23">IF(OR(J51=0,Q51=""),"",Q51/J51-1)</f>
        <v>4.1124674804883021E-2</v>
      </c>
      <c r="N51" s="44"/>
      <c r="P51" s="93">
        <f t="array" ref="P51">IFERROR(INDEX('Detail inputs'!$B$3:$L$304,MATCH($B51&amp;$C51&amp;$E51&amp;$G51&amp;P$5,'Detail inputs'!$B$3:$B$304&amp;'Detail inputs'!$D$3:$D$304&amp;'Detail inputs'!$F$3:$F$304&amp;'Detail inputs'!$G$3:$G$304&amp;'Detail inputs'!$H$3:$H$304,0),MATCH(P$4,'Detail inputs'!$B$3:$L$3,0)),0)</f>
        <v>104.05</v>
      </c>
      <c r="Q51" s="93">
        <f>IF(AND(O51="",P51=""),"",O51+P51*$F51/1000)</f>
        <v>509.84500000000003</v>
      </c>
      <c r="R51" s="44">
        <f>IFERROR(Q51/Q57,"")</f>
        <v>0.91819625838333918</v>
      </c>
    </row>
    <row r="52" spans="2:22" x14ac:dyDescent="0.3">
      <c r="B52" s="3" t="str">
        <f t="shared" ref="B52:B59" si="24">B51</f>
        <v>Endeavour</v>
      </c>
      <c r="C52" s="3" t="str">
        <f t="shared" si="21"/>
        <v>Residential</v>
      </c>
      <c r="D52" s="3" t="str">
        <f t="shared" si="22"/>
        <v>without CL</v>
      </c>
      <c r="E52" s="3" t="s">
        <v>24</v>
      </c>
      <c r="F52" s="41">
        <f t="array" ref="F52">IFERROR(INDEX(Usage!$B$5:$T$18,MATCH($B52,Usage!$B$5:$B$18,0),MATCH($C52&amp;$D52&amp;$E52&amp;"Total",Usage!$B$5:$W$5&amp;Usage!$B$6:$W$6&amp;Usage!$B$7:$W$7&amp;Usage!$B$13:$W$13,0)),0)</f>
        <v>4900</v>
      </c>
      <c r="G52" s="3" t="s">
        <v>79</v>
      </c>
      <c r="I52" s="93">
        <f t="array" ref="I52">IFERROR(INDEX('Detail inputs'!$B$3:$L$304,MATCH($B52&amp;$G52&amp;I$5,'Detail inputs'!$B$3:$B$304&amp;'Detail inputs'!$G$3:$G$304&amp;'Detail inputs'!$H$3:$H$304,0),MATCH(I$4,'Detail inputs'!$B$3:$L$3,0)),0)</f>
        <v>0.37</v>
      </c>
      <c r="J52" s="93">
        <f t="shared" ref="J52:J57" si="25">IF(AND(H52="",I52=""),"",H52+I52*$F52/1000)</f>
        <v>1.8129999999999999</v>
      </c>
      <c r="K52" s="44">
        <f>IFERROR(J52/J57,"")</f>
        <v>3.4066844673602799E-3</v>
      </c>
      <c r="L52" s="44"/>
      <c r="M52" s="49">
        <f t="shared" si="23"/>
        <v>1</v>
      </c>
      <c r="N52" s="44"/>
      <c r="P52" s="93">
        <f t="array" ref="P52">IFERROR(INDEX('Detail inputs'!$B$3:$L$304,MATCH($B52&amp;$G52&amp;P$5,'Detail inputs'!$B$3:$B$304&amp;'Detail inputs'!$G$3:$G$304&amp;'Detail inputs'!$H$3:$H$304,0),MATCH(P$4,'Detail inputs'!$B$3:$L$3,0)),0)</f>
        <v>0.74</v>
      </c>
      <c r="Q52" s="93">
        <f t="shared" ref="Q52:Q57" si="26">IF(AND(O52="",P52=""),"",O52+P52*$F52/1000)</f>
        <v>3.6259999999999999</v>
      </c>
      <c r="R52" s="44">
        <f>IFERROR(Q52/Q57,"")</f>
        <v>6.5301800211789614E-3</v>
      </c>
    </row>
    <row r="53" spans="2:22" x14ac:dyDescent="0.3">
      <c r="B53" s="3" t="str">
        <f t="shared" si="24"/>
        <v>Endeavour</v>
      </c>
      <c r="C53" s="3" t="str">
        <f t="shared" si="21"/>
        <v>Residential</v>
      </c>
      <c r="D53" s="3" t="str">
        <f t="shared" si="22"/>
        <v>without CL</v>
      </c>
      <c r="E53" s="3" t="s">
        <v>24</v>
      </c>
      <c r="F53" s="41">
        <f t="array" ref="F53">IFERROR(INDEX(Usage!$B$5:$T$18,MATCH($B53,Usage!$B$5:$B$18,0),MATCH($C53&amp;$D53&amp;$E53&amp;"Total",Usage!$B$5:$W$5&amp;Usage!$B$6:$W$6&amp;Usage!$B$7:$W$7&amp;Usage!$B$13:$W$13,0)),0)</f>
        <v>4900</v>
      </c>
      <c r="G53" s="3" t="s">
        <v>89</v>
      </c>
      <c r="I53" s="93">
        <f t="array" ref="I53">IFERROR(INDEX('Detail inputs'!$B$3:$L$304,MATCH($B53&amp;$G53&amp;I$5,'Detail inputs'!$B$3:$B$304&amp;'Detail inputs'!$G$3:$G$304&amp;'Detail inputs'!$H$3:$H$304,0),MATCH(I$4,'Detail inputs'!$B$3:$L$3,0)),0)</f>
        <v>0.63</v>
      </c>
      <c r="J53" s="93">
        <f t="shared" si="25"/>
        <v>3.0870000000000002</v>
      </c>
      <c r="K53" s="44">
        <f>IFERROR(J53/J57,"")</f>
        <v>5.8005708498296664E-3</v>
      </c>
      <c r="L53" s="44"/>
      <c r="M53" s="49">
        <f t="shared" si="23"/>
        <v>0.11111111111111116</v>
      </c>
      <c r="N53" s="44"/>
      <c r="P53" s="93">
        <f t="array" ref="P53">IFERROR(INDEX('Detail inputs'!$B$3:$L$304,MATCH($B53&amp;$G53&amp;P$5,'Detail inputs'!$B$3:$B$304&amp;'Detail inputs'!$G$3:$G$304&amp;'Detail inputs'!$H$3:$H$304,0),MATCH(P$4,'Detail inputs'!$B$3:$L$3,0)),0)</f>
        <v>0.7</v>
      </c>
      <c r="Q53" s="93">
        <f t="shared" si="26"/>
        <v>3.43</v>
      </c>
      <c r="R53" s="44">
        <f>IFERROR(Q53/Q57,"")</f>
        <v>6.1771973173314508E-3</v>
      </c>
    </row>
    <row r="54" spans="2:22" x14ac:dyDescent="0.3">
      <c r="B54" s="3" t="str">
        <f t="shared" si="24"/>
        <v>Endeavour</v>
      </c>
      <c r="C54" s="3" t="str">
        <f t="shared" si="21"/>
        <v>Residential</v>
      </c>
      <c r="D54" s="3" t="str">
        <f t="shared" si="22"/>
        <v>without CL</v>
      </c>
      <c r="E54" s="3" t="s">
        <v>24</v>
      </c>
      <c r="F54" s="41">
        <f t="array" ref="F54">IFERROR(INDEX(Usage!$B$5:$T$18,MATCH($B54,Usage!$B$5:$B$18,0),MATCH($C54&amp;$D54&amp;$E54&amp;"Total",Usage!$B$5:$W$5&amp;Usage!$B$6:$W$6&amp;Usage!$B$7:$W$7&amp;Usage!$B$13:$W$13,0)),0)</f>
        <v>4900</v>
      </c>
      <c r="G54" s="3" t="s">
        <v>80</v>
      </c>
      <c r="I54" s="93">
        <f t="array" ref="I54">IFERROR(INDEX('Detail inputs'!$B$3:$L$304,MATCH($B54&amp;$G54&amp;I$5,'Detail inputs'!$B$3:$B$304&amp;'Detail inputs'!$G$3:$G$304&amp;'Detail inputs'!$H$3:$H$304,0),MATCH(I$4,'Detail inputs'!$B$3:$L$3,0)),0)</f>
        <v>0</v>
      </c>
      <c r="J54" s="93">
        <f t="shared" si="25"/>
        <v>0</v>
      </c>
      <c r="K54" s="44">
        <f>IFERROR(J54/J57,"")</f>
        <v>0</v>
      </c>
      <c r="L54" s="44"/>
      <c r="M54" s="49" t="str">
        <f t="shared" si="23"/>
        <v/>
      </c>
      <c r="N54" s="44"/>
      <c r="P54" s="93">
        <f t="array" ref="P54">IFERROR(INDEX('Detail inputs'!$B$3:$L$304,MATCH($B54&amp;$G54&amp;P$5,'Detail inputs'!$B$3:$B$304&amp;'Detail inputs'!$G$3:$G$304&amp;'Detail inputs'!$H$3:$H$304,0),MATCH(P$4,'Detail inputs'!$B$3:$L$3,0)),0)</f>
        <v>0</v>
      </c>
      <c r="Q54" s="93">
        <f t="shared" si="26"/>
        <v>0</v>
      </c>
      <c r="R54" s="44">
        <f>IFERROR(Q54/Q57,"")</f>
        <v>0</v>
      </c>
    </row>
    <row r="55" spans="2:22" x14ac:dyDescent="0.3">
      <c r="B55" s="3" t="str">
        <f t="shared" si="24"/>
        <v>Endeavour</v>
      </c>
      <c r="C55" s="3" t="str">
        <f t="shared" si="21"/>
        <v>Residential</v>
      </c>
      <c r="D55" s="3" t="str">
        <f t="shared" si="22"/>
        <v>without CL</v>
      </c>
      <c r="E55" s="3" t="s">
        <v>24</v>
      </c>
      <c r="F55" s="41">
        <f t="array" ref="F55">IFERROR(INDEX(Usage!$B$5:$T$18,MATCH($B55,Usage!$B$5:$B$18,0),MATCH($C55&amp;$D55&amp;$E55&amp;"Total",Usage!$B$5:$W$5&amp;Usage!$B$6:$W$6&amp;Usage!$B$7:$W$7&amp;Usage!$B$13:$W$13,0)),0)</f>
        <v>4900</v>
      </c>
      <c r="G55" s="3" t="s">
        <v>177</v>
      </c>
      <c r="I55" s="93">
        <f t="array" ref="I55">IFERROR(INDEX('Detail inputs'!$B$3:$L$304,MATCH($B55&amp;$G55&amp;I$5,'Detail inputs'!$B$3:$B$304&amp;'Detail inputs'!$G$3:$G$304&amp;'Detail inputs'!$H$3:$H$304,0),MATCH(I$4,'Detail inputs'!$B$3:$L$3,0)),0)</f>
        <v>2.0099999999999998</v>
      </c>
      <c r="J55" s="93">
        <f t="shared" si="25"/>
        <v>9.8489999999999984</v>
      </c>
      <c r="K55" s="44">
        <f>IFERROR(J55/J57,"")</f>
        <v>1.850658318755179E-2</v>
      </c>
      <c r="L55" s="44"/>
      <c r="M55" s="49">
        <f t="shared" si="23"/>
        <v>4.9751243781095411E-3</v>
      </c>
      <c r="N55" s="44"/>
      <c r="P55" s="93">
        <f t="array" ref="P55">IFERROR(INDEX('Detail inputs'!$B$3:$L$304,MATCH($B55&amp;$G55&amp;P$5,'Detail inputs'!$B$3:$B$304&amp;'Detail inputs'!$G$3:$G$304&amp;'Detail inputs'!$H$3:$H$304,0),MATCH(P$4,'Detail inputs'!$B$3:$L$3,0)),0)</f>
        <v>2.02</v>
      </c>
      <c r="Q55" s="93">
        <f t="shared" si="26"/>
        <v>9.8979999999999997</v>
      </c>
      <c r="R55" s="44">
        <f>IFERROR(Q55/Q57,"")</f>
        <v>1.7825626544299328E-2</v>
      </c>
    </row>
    <row r="56" spans="2:22" x14ac:dyDescent="0.3">
      <c r="B56" s="3" t="str">
        <f t="shared" si="24"/>
        <v>Endeavour</v>
      </c>
      <c r="C56" s="3" t="str">
        <f t="shared" si="21"/>
        <v>Residential</v>
      </c>
      <c r="D56" s="3" t="str">
        <f t="shared" si="22"/>
        <v>without CL</v>
      </c>
      <c r="E56" s="3" t="s">
        <v>24</v>
      </c>
      <c r="F56" s="41">
        <f t="array" ref="F56">IFERROR(INDEX(Usage!$B$5:$T$18,MATCH($B56,Usage!$B$5:$B$18,0),MATCH($C56&amp;$D56&amp;$E56&amp;"Total",Usage!$B$5:$W$5&amp;Usage!$B$6:$W$6&amp;Usage!$B$7:$W$7&amp;Usage!$B$13:$W$13,0)),0)</f>
        <v>4900</v>
      </c>
      <c r="G56" s="3" t="s">
        <v>81</v>
      </c>
      <c r="I56" s="93">
        <f t="array" ref="I56">ROUND(IFERROR(INDEX('Detail inputs'!$B$3:$L$304,MATCH($B56&amp;$C56&amp;$E56&amp;$G56&amp;I$5,'Detail inputs'!$B$3:$B$304&amp;'Detail inputs'!$D$3:$D$304&amp;'Detail inputs'!$F$3:$F$304&amp;'Detail inputs'!$G$3:$G$304&amp;'Detail inputs'!$H$3:$H$304,0),MATCH(I$4,'Detail inputs'!$B$3:$L$3,0)),0)*SUM(I51:I55),2)</f>
        <v>5.66</v>
      </c>
      <c r="J56" s="93">
        <f t="shared" si="25"/>
        <v>27.734000000000002</v>
      </c>
      <c r="K56" s="44">
        <f>IFERROR(J56/J57,"")</f>
        <v>5.2113065095295098E-2</v>
      </c>
      <c r="L56" s="44"/>
      <c r="M56" s="49">
        <f t="shared" si="23"/>
        <v>2.6501766784452041E-2</v>
      </c>
      <c r="N56" s="44"/>
      <c r="P56" s="93">
        <f t="array" ref="P56">ROUND(IFERROR(INDEX('Detail inputs'!$B$3:$L$304,MATCH($B56&amp;$C56&amp;$E56&amp;$G56&amp;P$5,'Detail inputs'!$B$3:$B$304&amp;'Detail inputs'!$D$3:$D$304&amp;'Detail inputs'!$F$3:$F$304&amp;'Detail inputs'!$G$3:$G$304&amp;'Detail inputs'!$H$3:$H$304,0),MATCH(P$4,'Detail inputs'!$B$3:$L$3,0)),0)*SUM(P51:P55),2)</f>
        <v>5.81</v>
      </c>
      <c r="Q56" s="93">
        <f t="shared" si="26"/>
        <v>28.468999999999998</v>
      </c>
      <c r="R56" s="44">
        <f>IFERROR(Q56/Q57,"")</f>
        <v>5.1270737733851032E-2</v>
      </c>
    </row>
    <row r="57" spans="2:22" s="81" customFormat="1" x14ac:dyDescent="0.3">
      <c r="B57" s="3" t="str">
        <f t="shared" si="24"/>
        <v>Endeavour</v>
      </c>
      <c r="C57" s="3" t="str">
        <f t="shared" si="21"/>
        <v>Residential</v>
      </c>
      <c r="D57" s="3" t="str">
        <f t="shared" si="22"/>
        <v>without CL</v>
      </c>
      <c r="E57" s="3" t="s">
        <v>24</v>
      </c>
      <c r="F57" s="41">
        <f t="array" ref="F57">IFERROR(INDEX(Usage!$B$5:$T$18,MATCH($B57,Usage!$B$5:$B$18,0),MATCH($C57&amp;$D57&amp;$E57&amp;"Total",Usage!$B$5:$W$5&amp;Usage!$B$6:$W$6&amp;Usage!$B$7:$W$7&amp;Usage!$B$13:$W$13,0)),0)</f>
        <v>4900</v>
      </c>
      <c r="G57" s="81" t="s">
        <v>58</v>
      </c>
      <c r="H57" s="99"/>
      <c r="I57" s="99">
        <f t="array" ref="I57">INDEX('Key inputs'!$B$15:$G$33,MATCH($B57&amp;$E57,'Key inputs'!$B$15:$B$33&amp;'Key inputs'!$C$15:$C$33,0),MATCH($A$2&amp;I$4,'Key inputs'!$B$16:$G$16&amp;'Key inputs'!$B$17:$G$17,0))</f>
        <v>108.61</v>
      </c>
      <c r="J57" s="93">
        <f t="shared" si="25"/>
        <v>532.18899999999996</v>
      </c>
      <c r="K57" s="91"/>
      <c r="L57" s="92"/>
      <c r="M57" s="83">
        <f t="shared" si="23"/>
        <v>4.3366172543964687E-2</v>
      </c>
      <c r="N57" s="92"/>
      <c r="O57" s="99"/>
      <c r="P57" s="99">
        <f t="array" ref="P57">INDEX('Key inputs'!$B$15:$G$33,MATCH($B57&amp;$E57,'Key inputs'!$B$15:$B$33&amp;'Key inputs'!$C$15:$C$33,0),MATCH($A$2&amp;P$4,'Key inputs'!$B$16:$G$16&amp;'Key inputs'!$B$17:$G$17,0))</f>
        <v>113.32</v>
      </c>
      <c r="Q57" s="93">
        <f t="shared" si="26"/>
        <v>555.26800000000003</v>
      </c>
      <c r="R57" s="91"/>
      <c r="S57" s="133" t="b">
        <f>ROUND(I57,$W$5)=ROUND(SUM(I51:I56),$W$5)</f>
        <v>1</v>
      </c>
      <c r="T57" s="133" t="b">
        <f>ROUND(P57,$W$5)=ROUND(SUM(P51:P56),$W$5)</f>
        <v>1</v>
      </c>
      <c r="U57" s="132"/>
      <c r="V57" s="132"/>
    </row>
    <row r="58" spans="2:22" x14ac:dyDescent="0.3">
      <c r="B58" s="3" t="str">
        <f t="shared" si="24"/>
        <v>Endeavour</v>
      </c>
      <c r="C58" s="3" t="str">
        <f t="shared" si="21"/>
        <v>Residential</v>
      </c>
      <c r="D58" s="3" t="str">
        <f t="shared" si="22"/>
        <v>without CL</v>
      </c>
      <c r="F58" s="41"/>
      <c r="G58" s="81" t="s">
        <v>41</v>
      </c>
      <c r="H58" s="99"/>
      <c r="I58" s="99"/>
      <c r="J58" s="99">
        <f>J57*GST</f>
        <v>53.218899999999998</v>
      </c>
      <c r="K58" s="91"/>
      <c r="L58" s="92"/>
      <c r="M58" s="83"/>
      <c r="N58" s="92"/>
      <c r="O58" s="99"/>
      <c r="P58" s="99"/>
      <c r="Q58" s="99">
        <f>Q57*GST</f>
        <v>55.526800000000009</v>
      </c>
      <c r="R58" s="79"/>
    </row>
    <row r="59" spans="2:22" x14ac:dyDescent="0.3">
      <c r="B59" s="3" t="str">
        <f t="shared" si="24"/>
        <v>Endeavour</v>
      </c>
      <c r="C59" s="3" t="str">
        <f t="shared" si="21"/>
        <v>Residential</v>
      </c>
      <c r="D59" s="3" t="str">
        <f t="shared" si="22"/>
        <v>without CL</v>
      </c>
      <c r="F59" s="41"/>
      <c r="G59" s="5" t="s">
        <v>91</v>
      </c>
      <c r="H59" s="98"/>
      <c r="I59" s="98"/>
      <c r="J59" s="98">
        <f>SUM(J57:J58)</f>
        <v>585.40789999999993</v>
      </c>
      <c r="K59" s="79"/>
      <c r="L59" s="27"/>
      <c r="M59" s="80">
        <f>IF(OR(J59=0,Q59=""),"",Q59/J59-1)</f>
        <v>4.3366172543964687E-2</v>
      </c>
      <c r="N59" s="27"/>
      <c r="O59" s="98"/>
      <c r="P59" s="98"/>
      <c r="Q59" s="98">
        <f>SUM(Q57:Q58)</f>
        <v>610.79480000000001</v>
      </c>
      <c r="R59" s="79"/>
    </row>
    <row r="60" spans="2:22" x14ac:dyDescent="0.3">
      <c r="F60" s="41"/>
      <c r="K60" s="44"/>
      <c r="M60" s="49"/>
      <c r="R60" s="44"/>
    </row>
    <row r="61" spans="2:22" x14ac:dyDescent="0.3">
      <c r="B61" s="5" t="s">
        <v>4</v>
      </c>
      <c r="C61" s="5" t="s">
        <v>6</v>
      </c>
      <c r="D61" s="5" t="s">
        <v>159</v>
      </c>
      <c r="F61" s="41"/>
      <c r="K61" s="44"/>
      <c r="M61" s="49"/>
      <c r="R61" s="44"/>
    </row>
    <row r="62" spans="2:22" x14ac:dyDescent="0.3">
      <c r="B62" s="3" t="str">
        <f>B61</f>
        <v>Endeavour</v>
      </c>
      <c r="C62" s="3" t="str">
        <f t="shared" ref="C62:C79" si="27">C61</f>
        <v>Residential</v>
      </c>
      <c r="D62" s="3" t="str">
        <f t="shared" ref="D62:D79" si="28">D61</f>
        <v>with CL</v>
      </c>
      <c r="E62" s="3" t="s">
        <v>24</v>
      </c>
      <c r="F62" s="41">
        <f t="array" ref="F62">IFERROR(INDEX(Usage!$B$5:$T$18,MATCH($B62,Usage!$B$5:$B$18,0),MATCH($C62&amp;$D62&amp;$E62&amp;"Total",Usage!$B$5:$W$5&amp;Usage!$B$6:$W$6&amp;Usage!$B$7:$W$7&amp;Usage!$B$13:$W$13,0)),0)</f>
        <v>5200</v>
      </c>
      <c r="G62" s="3" t="s">
        <v>58</v>
      </c>
      <c r="I62" s="93">
        <f>I57</f>
        <v>108.61</v>
      </c>
      <c r="J62" s="93">
        <f>IF(AND(H62="",I62=""),"",H62+I62*$F62/1000)</f>
        <v>564.77200000000005</v>
      </c>
      <c r="K62" s="44"/>
      <c r="M62" s="49">
        <f>IF(OR(J62=0,Q62=""),"",Q62/J62-1)</f>
        <v>4.3366172543964465E-2</v>
      </c>
      <c r="P62" s="93">
        <f>P57</f>
        <v>113.32</v>
      </c>
      <c r="Q62" s="93">
        <f>IF(AND(O62="",P62=""),"",O62+P62*$F62/1000)</f>
        <v>589.26400000000001</v>
      </c>
      <c r="R62" s="44"/>
    </row>
    <row r="63" spans="2:22" x14ac:dyDescent="0.3">
      <c r="B63" s="3" t="str">
        <f t="shared" ref="B63:B79" si="29">B62</f>
        <v>Endeavour</v>
      </c>
      <c r="C63" s="3" t="str">
        <f t="shared" si="27"/>
        <v>Residential</v>
      </c>
      <c r="D63" s="3" t="str">
        <f t="shared" si="28"/>
        <v>with CL</v>
      </c>
      <c r="E63" s="3" t="s">
        <v>15</v>
      </c>
      <c r="F63" s="41">
        <f t="array" ref="F63">IFERROR(INDEX(Usage!$B$5:$T$18,MATCH($B63,Usage!$B$5:$B$18,0),MATCH($C63&amp;$D63&amp;$E63,Usage!$B$5:$W$5&amp;Usage!$B$6:$W$6&amp;Usage!$B$7:$W$7,0)),0)</f>
        <v>1474</v>
      </c>
      <c r="G63" s="3" t="s">
        <v>78</v>
      </c>
      <c r="I63" s="93">
        <f t="array" ref="I63">IFERROR(INDEX('Detail inputs'!$B$3:$L$304,MATCH($B63&amp;$C63&amp;$E63&amp;$G63&amp;I$5,'Detail inputs'!$B$3:$B$304&amp;'Detail inputs'!$D$3:$D$304&amp;'Detail inputs'!$F$3:$F$304&amp;'Detail inputs'!$G$3:$G$304&amp;'Detail inputs'!$H$3:$H$304,0),MATCH(I$4,'Detail inputs'!$B$3:$L$3,0)),0)</f>
        <v>90.44</v>
      </c>
      <c r="J63" s="93">
        <f>IF(AND(H63="",I63=""),"",H63+I63*$F63/1000)</f>
        <v>133.30856</v>
      </c>
      <c r="K63" s="44">
        <f>IFERROR(J63/J69,"")</f>
        <v>0.91733441525509685</v>
      </c>
      <c r="L63" s="44"/>
      <c r="M63" s="49">
        <f t="shared" ref="M63:M77" si="30">IF(OR(J63=0,Q63=""),"",Q63/J63-1)</f>
        <v>6.7116320212295744E-2</v>
      </c>
      <c r="N63" s="44"/>
      <c r="P63" s="93">
        <f t="array" ref="P63">IFERROR(INDEX('Detail inputs'!$B$3:$L$304,MATCH($B63&amp;$C63&amp;$E63&amp;$G63&amp;P$5,'Detail inputs'!$B$3:$B$304&amp;'Detail inputs'!$D$3:$D$304&amp;'Detail inputs'!$F$3:$F$304&amp;'Detail inputs'!$G$3:$G$304&amp;'Detail inputs'!$H$3:$H$304,0),MATCH(P$4,'Detail inputs'!$B$3:$L$3,0)),0)</f>
        <v>96.51</v>
      </c>
      <c r="Q63" s="93">
        <f>IF(AND(O63="",P63=""),"",O63+P63*$F63/1000)</f>
        <v>142.25574000000003</v>
      </c>
      <c r="R63" s="44">
        <f>IFERROR(Q63/Q69,"")</f>
        <v>0.91591534592388746</v>
      </c>
    </row>
    <row r="64" spans="2:22" x14ac:dyDescent="0.3">
      <c r="B64" s="3" t="str">
        <f t="shared" si="29"/>
        <v>Endeavour</v>
      </c>
      <c r="C64" s="3" t="str">
        <f t="shared" si="27"/>
        <v>Residential</v>
      </c>
      <c r="D64" s="3" t="str">
        <f t="shared" si="28"/>
        <v>with CL</v>
      </c>
      <c r="E64" s="3" t="s">
        <v>15</v>
      </c>
      <c r="F64" s="41">
        <f t="array" ref="F64">IFERROR(INDEX(Usage!$B$5:$T$18,MATCH($B64,Usage!$B$5:$B$18,0),MATCH($C64&amp;$D64&amp;$E64,Usage!$B$5:$W$5&amp;Usage!$B$6:$W$6&amp;Usage!$B$7:$W$7,0)),0)</f>
        <v>1474</v>
      </c>
      <c r="G64" s="3" t="s">
        <v>79</v>
      </c>
      <c r="I64" s="93">
        <f t="array" ref="I64">IFERROR(INDEX('Detail inputs'!$B$3:$L$304,MATCH($B64&amp;$G64&amp;I$5,'Detail inputs'!$B$3:$B$304&amp;'Detail inputs'!$G$3:$G$304&amp;'Detail inputs'!$H$3:$H$304,0),MATCH(I$4,'Detail inputs'!$B$3:$L$3,0)),0)</f>
        <v>0.37</v>
      </c>
      <c r="J64" s="93">
        <f t="shared" ref="J64:J69" si="31">IF(AND(H64="",I64=""),"",H64+I64*$F64/1000)</f>
        <v>0.54537999999999998</v>
      </c>
      <c r="K64" s="44">
        <f>IFERROR(J64/J69,"")</f>
        <v>3.7529161172532707E-3</v>
      </c>
      <c r="L64" s="44"/>
      <c r="M64" s="49">
        <f t="shared" si="30"/>
        <v>1</v>
      </c>
      <c r="N64" s="44"/>
      <c r="P64" s="93">
        <f t="array" ref="P64">IFERROR(INDEX('Detail inputs'!$B$3:$L$304,MATCH($B64&amp;$G64&amp;P$5,'Detail inputs'!$B$3:$B$304&amp;'Detail inputs'!$G$3:$G$304&amp;'Detail inputs'!$H$3:$H$304,0),MATCH(P$4,'Detail inputs'!$B$3:$L$3,0)),0)</f>
        <v>0.74</v>
      </c>
      <c r="Q64" s="93">
        <f t="shared" ref="Q64:Q69" si="32">IF(AND(O64="",P64=""),"",O64+P64*$F64/1000)</f>
        <v>1.09076</v>
      </c>
      <c r="R64" s="44">
        <f>IFERROR(Q64/Q69,"")</f>
        <v>7.0228717851380847E-3</v>
      </c>
    </row>
    <row r="65" spans="2:22" x14ac:dyDescent="0.3">
      <c r="B65" s="3" t="str">
        <f t="shared" si="29"/>
        <v>Endeavour</v>
      </c>
      <c r="C65" s="3" t="str">
        <f t="shared" si="27"/>
        <v>Residential</v>
      </c>
      <c r="D65" s="3" t="str">
        <f t="shared" si="28"/>
        <v>with CL</v>
      </c>
      <c r="E65" s="3" t="s">
        <v>15</v>
      </c>
      <c r="F65" s="41">
        <f t="array" ref="F65">IFERROR(INDEX(Usage!$B$5:$T$18,MATCH($B65,Usage!$B$5:$B$18,0),MATCH($C65&amp;$D65&amp;$E65,Usage!$B$5:$W$5&amp;Usage!$B$6:$W$6&amp;Usage!$B$7:$W$7,0)),0)</f>
        <v>1474</v>
      </c>
      <c r="G65" s="3" t="s">
        <v>89</v>
      </c>
      <c r="I65" s="93">
        <f t="array" ref="I65">IFERROR(INDEX('Detail inputs'!$B$3:$L$304,MATCH($B65&amp;$G65&amp;I$5,'Detail inputs'!$B$3:$B$304&amp;'Detail inputs'!$G$3:$G$304&amp;'Detail inputs'!$H$3:$H$304,0),MATCH(I$4,'Detail inputs'!$B$3:$L$3,0)),0)</f>
        <v>0.63</v>
      </c>
      <c r="J65" s="93">
        <f t="shared" si="31"/>
        <v>0.92862</v>
      </c>
      <c r="K65" s="44">
        <f>IFERROR(J65/J69,"")</f>
        <v>6.3901004158636778E-3</v>
      </c>
      <c r="L65" s="44"/>
      <c r="M65" s="49">
        <f t="shared" si="30"/>
        <v>0.11111111111111116</v>
      </c>
      <c r="N65" s="44"/>
      <c r="P65" s="93">
        <f t="array" ref="P65">IFERROR(INDEX('Detail inputs'!$B$3:$L$304,MATCH($B65&amp;$G65&amp;P$5,'Detail inputs'!$B$3:$B$304&amp;'Detail inputs'!$G$3:$G$304&amp;'Detail inputs'!$H$3:$H$304,0),MATCH(P$4,'Detail inputs'!$B$3:$L$3,0)),0)</f>
        <v>0.7</v>
      </c>
      <c r="Q65" s="93">
        <f t="shared" si="32"/>
        <v>1.0318000000000001</v>
      </c>
      <c r="R65" s="44">
        <f>IFERROR(Q65/Q69,"")</f>
        <v>6.6432570940495395E-3</v>
      </c>
    </row>
    <row r="66" spans="2:22" x14ac:dyDescent="0.3">
      <c r="B66" s="3" t="str">
        <f t="shared" si="29"/>
        <v>Endeavour</v>
      </c>
      <c r="C66" s="3" t="str">
        <f t="shared" si="27"/>
        <v>Residential</v>
      </c>
      <c r="D66" s="3" t="str">
        <f t="shared" si="28"/>
        <v>with CL</v>
      </c>
      <c r="E66" s="3" t="s">
        <v>15</v>
      </c>
      <c r="F66" s="41">
        <f t="array" ref="F66">IFERROR(INDEX(Usage!$B$5:$T$18,MATCH($B66,Usage!$B$5:$B$18,0),MATCH($C66&amp;$D66&amp;$E66,Usage!$B$5:$W$5&amp;Usage!$B$6:$W$6&amp;Usage!$B$7:$W$7,0)),0)</f>
        <v>1474</v>
      </c>
      <c r="G66" s="3" t="s">
        <v>80</v>
      </c>
      <c r="I66" s="93">
        <f t="array" ref="I66">IFERROR(INDEX('Detail inputs'!$B$3:$L$304,MATCH($B66&amp;$G66&amp;I$5,'Detail inputs'!$B$3:$B$304&amp;'Detail inputs'!$G$3:$G$304&amp;'Detail inputs'!$H$3:$H$304,0),MATCH(I$4,'Detail inputs'!$B$3:$L$3,0)),0)</f>
        <v>0</v>
      </c>
      <c r="J66" s="93">
        <f t="shared" si="31"/>
        <v>0</v>
      </c>
      <c r="K66" s="44">
        <f>IFERROR(J66/J69,"")</f>
        <v>0</v>
      </c>
      <c r="L66" s="44"/>
      <c r="M66" s="49" t="str">
        <f t="shared" si="30"/>
        <v/>
      </c>
      <c r="N66" s="44"/>
      <c r="P66" s="93">
        <f t="array" ref="P66">IFERROR(INDEX('Detail inputs'!$B$3:$L$304,MATCH($B66&amp;$G66&amp;P$5,'Detail inputs'!$B$3:$B$304&amp;'Detail inputs'!$G$3:$G$304&amp;'Detail inputs'!$H$3:$H$304,0),MATCH(P$4,'Detail inputs'!$B$3:$L$3,0)),0)</f>
        <v>0</v>
      </c>
      <c r="Q66" s="93">
        <f t="shared" si="32"/>
        <v>0</v>
      </c>
      <c r="R66" s="44">
        <f>IFERROR(Q66/Q69,"")</f>
        <v>0</v>
      </c>
    </row>
    <row r="67" spans="2:22" x14ac:dyDescent="0.3">
      <c r="B67" s="3" t="str">
        <f t="shared" si="29"/>
        <v>Endeavour</v>
      </c>
      <c r="C67" s="3" t="str">
        <f t="shared" si="27"/>
        <v>Residential</v>
      </c>
      <c r="D67" s="3" t="str">
        <f t="shared" si="28"/>
        <v>with CL</v>
      </c>
      <c r="E67" s="3" t="s">
        <v>15</v>
      </c>
      <c r="F67" s="41">
        <f t="array" ref="F67">IFERROR(INDEX(Usage!$B$5:$T$18,MATCH($B67,Usage!$B$5:$B$18,0),MATCH($C67&amp;$D67&amp;$E67,Usage!$B$5:$W$5&amp;Usage!$B$6:$W$6&amp;Usage!$B$7:$W$7,0)),0)</f>
        <v>1474</v>
      </c>
      <c r="G67" s="3" t="s">
        <v>177</v>
      </c>
      <c r="I67" s="93">
        <f t="array" ref="I67">IFERROR(INDEX('Detail inputs'!$B$3:$L$304,MATCH($B67&amp;$G67&amp;I$5,'Detail inputs'!$B$3:$B$304&amp;'Detail inputs'!$G$3:$G$304&amp;'Detail inputs'!$H$3:$H$304,0),MATCH(I$4,'Detail inputs'!$B$3:$L$3,0)),0)</f>
        <v>2.0099999999999998</v>
      </c>
      <c r="J67" s="93">
        <f t="shared" si="31"/>
        <v>2.9627399999999997</v>
      </c>
      <c r="K67" s="44">
        <f>IFERROR(J67/J69,"")</f>
        <v>2.0387463231565064E-2</v>
      </c>
      <c r="L67" s="44"/>
      <c r="M67" s="49">
        <f t="shared" si="30"/>
        <v>4.9751243781095411E-3</v>
      </c>
      <c r="N67" s="44"/>
      <c r="P67" s="93">
        <f t="array" ref="P67">IFERROR(INDEX('Detail inputs'!$B$3:$L$304,MATCH($B67&amp;$G67&amp;P$5,'Detail inputs'!$B$3:$B$304&amp;'Detail inputs'!$G$3:$G$304&amp;'Detail inputs'!$H$3:$H$304,0),MATCH(P$4,'Detail inputs'!$B$3:$L$3,0)),0)</f>
        <v>2.02</v>
      </c>
      <c r="Q67" s="93">
        <f t="shared" si="32"/>
        <v>2.9774799999999999</v>
      </c>
      <c r="R67" s="44">
        <f>IFERROR(Q67/Q69,"")</f>
        <v>1.9170541899971527E-2</v>
      </c>
    </row>
    <row r="68" spans="2:22" x14ac:dyDescent="0.3">
      <c r="B68" s="3" t="str">
        <f t="shared" si="29"/>
        <v>Endeavour</v>
      </c>
      <c r="C68" s="3" t="str">
        <f t="shared" si="27"/>
        <v>Residential</v>
      </c>
      <c r="D68" s="3" t="str">
        <f t="shared" si="28"/>
        <v>with CL</v>
      </c>
      <c r="E68" s="3" t="s">
        <v>15</v>
      </c>
      <c r="F68" s="41">
        <f t="array" ref="F68">IFERROR(INDEX(Usage!$B$5:$T$18,MATCH($B68,Usage!$B$5:$B$18,0),MATCH($C68&amp;$D68&amp;$E68,Usage!$B$5:$W$5&amp;Usage!$B$6:$W$6&amp;Usage!$B$7:$W$7,0)),0)</f>
        <v>1474</v>
      </c>
      <c r="G68" s="3" t="s">
        <v>81</v>
      </c>
      <c r="I68" s="93">
        <f t="array" ref="I68">ROUND(IFERROR(INDEX('Detail inputs'!$B$3:$L$304,MATCH($B68&amp;$C68&amp;$E68&amp;$G68&amp;I$5,'Detail inputs'!$B$3:$B$304&amp;'Detail inputs'!$D$3:$D$304&amp;'Detail inputs'!$F$3:$F$304&amp;'Detail inputs'!$G$3:$G$304&amp;'Detail inputs'!$H$3:$H$304,0),MATCH(I$4,'Detail inputs'!$B$3:$L$3,0)),0)*SUM(I63:I67),2)</f>
        <v>5.14</v>
      </c>
      <c r="J68" s="93">
        <f t="shared" si="31"/>
        <v>7.5763599999999993</v>
      </c>
      <c r="K68" s="44">
        <f>IFERROR(J68/J69,"")</f>
        <v>5.2135104980221107E-2</v>
      </c>
      <c r="L68" s="44"/>
      <c r="M68" s="49">
        <f t="shared" si="30"/>
        <v>5.058365758754868E-2</v>
      </c>
      <c r="N68" s="44"/>
      <c r="P68" s="93">
        <f t="array" ref="P68">ROUND(IFERROR(INDEX('Detail inputs'!$B$3:$L$304,MATCH($B68&amp;$C68&amp;$E68&amp;$G68&amp;P$5,'Detail inputs'!$B$3:$B$304&amp;'Detail inputs'!$D$3:$D$304&amp;'Detail inputs'!$F$3:$F$304&amp;'Detail inputs'!$G$3:$G$304&amp;'Detail inputs'!$H$3:$H$304,0),MATCH(P$4,'Detail inputs'!$B$3:$L$3,0)),0)*SUM(P63:P67),2)</f>
        <v>5.4</v>
      </c>
      <c r="Q68" s="93">
        <f t="shared" si="32"/>
        <v>7.9596</v>
      </c>
      <c r="R68" s="44">
        <f>IFERROR(Q68/Q69,"")</f>
        <v>5.1247983296953591E-2</v>
      </c>
    </row>
    <row r="69" spans="2:22" x14ac:dyDescent="0.3">
      <c r="B69" s="3" t="str">
        <f t="shared" si="29"/>
        <v>Endeavour</v>
      </c>
      <c r="C69" s="3" t="str">
        <f t="shared" si="27"/>
        <v>Residential</v>
      </c>
      <c r="D69" s="3" t="str">
        <f t="shared" si="28"/>
        <v>with CL</v>
      </c>
      <c r="E69" s="3" t="s">
        <v>15</v>
      </c>
      <c r="F69" s="41">
        <f t="array" ref="F69">IFERROR(INDEX(Usage!$B$5:$T$18,MATCH($B69,Usage!$B$5:$B$18,0),MATCH($C69&amp;$D69&amp;$E69,Usage!$B$5:$W$5&amp;Usage!$B$6:$W$6&amp;Usage!$B$7:$W$7,0)),0)</f>
        <v>1474</v>
      </c>
      <c r="G69" s="3" t="s">
        <v>58</v>
      </c>
      <c r="H69" s="99"/>
      <c r="I69" s="99">
        <f t="array" ref="I69">INDEX('Key inputs'!$B$15:$G$33,MATCH($B69&amp;$E69,'Key inputs'!$B$15:$B$33&amp;'Key inputs'!$C$15:$C$33,0),MATCH($A$2&amp;I$4,'Key inputs'!$B$16:$G$16&amp;'Key inputs'!$B$17:$G$17,0))</f>
        <v>98.59</v>
      </c>
      <c r="J69" s="93">
        <f t="shared" si="31"/>
        <v>145.32166000000001</v>
      </c>
      <c r="K69" s="91"/>
      <c r="L69" s="92"/>
      <c r="M69" s="83">
        <f t="shared" si="30"/>
        <v>6.8769652094532896E-2</v>
      </c>
      <c r="N69" s="92"/>
      <c r="O69" s="99"/>
      <c r="P69" s="99">
        <f t="array" ref="P69">INDEX('Key inputs'!$B$15:$G$33,MATCH($B69&amp;$E69,'Key inputs'!$B$15:$B$33&amp;'Key inputs'!$C$15:$C$33,0),MATCH($A$2&amp;P$4,'Key inputs'!$B$16:$G$16&amp;'Key inputs'!$B$17:$G$17,0))</f>
        <v>105.37</v>
      </c>
      <c r="Q69" s="93">
        <f t="shared" si="32"/>
        <v>155.31538</v>
      </c>
      <c r="R69" s="91"/>
      <c r="S69" s="133" t="b">
        <f>ROUND(I69,$W$5)=ROUND(SUM(I63:I68),$W$5)</f>
        <v>1</v>
      </c>
      <c r="T69" s="133" t="b">
        <f>ROUND(P69,$W$5)=ROUND(SUM(P63:P68),$W$5)</f>
        <v>1</v>
      </c>
      <c r="U69" s="132"/>
      <c r="V69" s="132"/>
    </row>
    <row r="70" spans="2:22" x14ac:dyDescent="0.3">
      <c r="B70" s="3" t="str">
        <f t="shared" si="29"/>
        <v>Endeavour</v>
      </c>
      <c r="C70" s="3" t="str">
        <f t="shared" si="27"/>
        <v>Residential</v>
      </c>
      <c r="D70" s="3" t="str">
        <f t="shared" si="28"/>
        <v>with CL</v>
      </c>
      <c r="E70" s="3" t="s">
        <v>16</v>
      </c>
      <c r="F70" s="41">
        <f t="array" ref="F70">IFERROR(INDEX(Usage!$B$5:$T$18,MATCH($B70,Usage!$B$5:$B$18,0),MATCH($C70&amp;$D70&amp;$E70,Usage!$B$5:$W$5&amp;Usage!$B$6:$W$6&amp;Usage!$B$7:$W$7,0)),0)</f>
        <v>726</v>
      </c>
      <c r="G70" s="3" t="s">
        <v>78</v>
      </c>
      <c r="H70" s="99"/>
      <c r="I70" s="99">
        <f t="array" ref="I70">IFERROR(INDEX('Detail inputs'!$B$3:$L$304,MATCH($B70&amp;$C70&amp;$E70&amp;$G70&amp;I$5,'Detail inputs'!$B$3:$B$304&amp;'Detail inputs'!$D$3:$D$304&amp;'Detail inputs'!$F$3:$F$304&amp;'Detail inputs'!$G$3:$G$304&amp;'Detail inputs'!$H$3:$H$304,0),MATCH(I$4,'Detail inputs'!$B$3:$L$3,0)),0)</f>
        <v>90.44</v>
      </c>
      <c r="J70" s="99">
        <f>IF(AND(H70="",I70=""),"",H70+I70*$F70/1000)</f>
        <v>65.659440000000004</v>
      </c>
      <c r="K70" s="91">
        <f>IFERROR(J70/J76,"")</f>
        <v>0.91733441525509685</v>
      </c>
      <c r="L70" s="91"/>
      <c r="M70" s="83">
        <f t="shared" si="30"/>
        <v>6.7116320212295522E-2</v>
      </c>
      <c r="N70" s="91"/>
      <c r="O70" s="99"/>
      <c r="P70" s="99">
        <f t="array" ref="P70">IFERROR(INDEX('Detail inputs'!$B$3:$L$304,MATCH($B70&amp;$C70&amp;$E70&amp;$G70&amp;P$5,'Detail inputs'!$B$3:$B$304&amp;'Detail inputs'!$D$3:$D$304&amp;'Detail inputs'!$F$3:$F$304&amp;'Detail inputs'!$G$3:$G$304&amp;'Detail inputs'!$H$3:$H$304,0),MATCH(P$4,'Detail inputs'!$B$3:$L$3,0)),0)</f>
        <v>96.51</v>
      </c>
      <c r="Q70" s="99">
        <f>IF(AND(O70="",P70=""),"",O70+P70*$F70/1000)</f>
        <v>70.066260000000014</v>
      </c>
      <c r="R70" s="91">
        <f>IFERROR(Q70/Q76,"")</f>
        <v>0.91591534592388724</v>
      </c>
    </row>
    <row r="71" spans="2:22" x14ac:dyDescent="0.3">
      <c r="B71" s="3" t="str">
        <f t="shared" si="29"/>
        <v>Endeavour</v>
      </c>
      <c r="C71" s="3" t="str">
        <f t="shared" si="27"/>
        <v>Residential</v>
      </c>
      <c r="D71" s="3" t="str">
        <f t="shared" si="28"/>
        <v>with CL</v>
      </c>
      <c r="E71" s="3" t="s">
        <v>16</v>
      </c>
      <c r="F71" s="41">
        <f t="array" ref="F71">IFERROR(INDEX(Usage!$B$5:$T$18,MATCH($B71,Usage!$B$5:$B$18,0),MATCH($C71&amp;$D71&amp;$E71,Usage!$B$5:$W$5&amp;Usage!$B$6:$W$6&amp;Usage!$B$7:$W$7,0)),0)</f>
        <v>726</v>
      </c>
      <c r="G71" s="3" t="s">
        <v>79</v>
      </c>
      <c r="H71" s="99"/>
      <c r="I71" s="99">
        <f t="array" ref="I71">IFERROR(INDEX('Detail inputs'!$B$3:$L$304,MATCH($B71&amp;$G71&amp;I$5,'Detail inputs'!$B$3:$B$304&amp;'Detail inputs'!$G$3:$G$304&amp;'Detail inputs'!$H$3:$H$304,0),MATCH(I$4,'Detail inputs'!$B$3:$L$3,0)),0)</f>
        <v>0.37</v>
      </c>
      <c r="J71" s="99">
        <f t="shared" ref="J71:J76" si="33">IF(AND(H71="",I71=""),"",H71+I71*$F71/1000)</f>
        <v>0.26862000000000003</v>
      </c>
      <c r="K71" s="91">
        <f>IFERROR(J71/J76,"")</f>
        <v>3.7529161172532716E-3</v>
      </c>
      <c r="L71" s="91"/>
      <c r="M71" s="83">
        <f t="shared" si="30"/>
        <v>1</v>
      </c>
      <c r="N71" s="91"/>
      <c r="O71" s="99"/>
      <c r="P71" s="99">
        <f t="array" ref="P71">IFERROR(INDEX('Detail inputs'!$B$3:$L$304,MATCH($B71&amp;$G71&amp;P$5,'Detail inputs'!$B$3:$B$304&amp;'Detail inputs'!$G$3:$G$304&amp;'Detail inputs'!$H$3:$H$304,0),MATCH(P$4,'Detail inputs'!$B$3:$L$3,0)),0)</f>
        <v>0.74</v>
      </c>
      <c r="Q71" s="99">
        <f t="shared" ref="Q71:Q76" si="34">IF(AND(O71="",P71=""),"",O71+P71*$F71/1000)</f>
        <v>0.53724000000000005</v>
      </c>
      <c r="R71" s="91">
        <f>IFERROR(Q71/Q76,"")</f>
        <v>7.0228717851380839E-3</v>
      </c>
    </row>
    <row r="72" spans="2:22" x14ac:dyDescent="0.3">
      <c r="B72" s="3" t="str">
        <f t="shared" si="29"/>
        <v>Endeavour</v>
      </c>
      <c r="C72" s="3" t="str">
        <f t="shared" si="27"/>
        <v>Residential</v>
      </c>
      <c r="D72" s="3" t="str">
        <f t="shared" si="28"/>
        <v>with CL</v>
      </c>
      <c r="E72" s="3" t="s">
        <v>16</v>
      </c>
      <c r="F72" s="41">
        <f t="array" ref="F72">IFERROR(INDEX(Usage!$B$5:$T$18,MATCH($B72,Usage!$B$5:$B$18,0),MATCH($C72&amp;$D72&amp;$E72,Usage!$B$5:$W$5&amp;Usage!$B$6:$W$6&amp;Usage!$B$7:$W$7,0)),0)</f>
        <v>726</v>
      </c>
      <c r="G72" s="3" t="s">
        <v>89</v>
      </c>
      <c r="H72" s="99"/>
      <c r="I72" s="99">
        <f t="array" ref="I72">IFERROR(INDEX('Detail inputs'!$B$3:$L$304,MATCH($B72&amp;$G72&amp;I$5,'Detail inputs'!$B$3:$B$304&amp;'Detail inputs'!$G$3:$G$304&amp;'Detail inputs'!$H$3:$H$304,0),MATCH(I$4,'Detail inputs'!$B$3:$L$3,0)),0)</f>
        <v>0.63</v>
      </c>
      <c r="J72" s="99">
        <f t="shared" si="33"/>
        <v>0.45738000000000001</v>
      </c>
      <c r="K72" s="91">
        <f>IFERROR(J72/J76,"")</f>
        <v>6.3901004158636778E-3</v>
      </c>
      <c r="L72" s="91"/>
      <c r="M72" s="83">
        <f t="shared" si="30"/>
        <v>0.11111111111111116</v>
      </c>
      <c r="N72" s="91"/>
      <c r="O72" s="99"/>
      <c r="P72" s="99">
        <f t="array" ref="P72">IFERROR(INDEX('Detail inputs'!$B$3:$L$304,MATCH($B72&amp;$G72&amp;P$5,'Detail inputs'!$B$3:$B$304&amp;'Detail inputs'!$G$3:$G$304&amp;'Detail inputs'!$H$3:$H$304,0),MATCH(P$4,'Detail inputs'!$B$3:$L$3,0)),0)</f>
        <v>0.7</v>
      </c>
      <c r="Q72" s="99">
        <f t="shared" si="34"/>
        <v>0.50819999999999999</v>
      </c>
      <c r="R72" s="91">
        <f>IFERROR(Q72/Q76,"")</f>
        <v>6.6432570940495378E-3</v>
      </c>
    </row>
    <row r="73" spans="2:22" x14ac:dyDescent="0.3">
      <c r="B73" s="3" t="str">
        <f t="shared" si="29"/>
        <v>Endeavour</v>
      </c>
      <c r="C73" s="3" t="str">
        <f t="shared" si="27"/>
        <v>Residential</v>
      </c>
      <c r="D73" s="3" t="str">
        <f t="shared" si="28"/>
        <v>with CL</v>
      </c>
      <c r="E73" s="3" t="s">
        <v>16</v>
      </c>
      <c r="F73" s="41">
        <f t="array" ref="F73">IFERROR(INDEX(Usage!$B$5:$T$18,MATCH($B73,Usage!$B$5:$B$18,0),MATCH($C73&amp;$D73&amp;$E73,Usage!$B$5:$W$5&amp;Usage!$B$6:$W$6&amp;Usage!$B$7:$W$7,0)),0)</f>
        <v>726</v>
      </c>
      <c r="G73" s="3" t="s">
        <v>80</v>
      </c>
      <c r="H73" s="99"/>
      <c r="I73" s="99">
        <f t="array" ref="I73">IFERROR(INDEX('Detail inputs'!$B$3:$L$304,MATCH($B73&amp;$G73&amp;I$5,'Detail inputs'!$B$3:$B$304&amp;'Detail inputs'!$G$3:$G$304&amp;'Detail inputs'!$H$3:$H$304,0),MATCH(I$4,'Detail inputs'!$B$3:$L$3,0)),0)</f>
        <v>0</v>
      </c>
      <c r="J73" s="99">
        <f t="shared" si="33"/>
        <v>0</v>
      </c>
      <c r="K73" s="91">
        <f>IFERROR(J73/J76,"")</f>
        <v>0</v>
      </c>
      <c r="L73" s="91"/>
      <c r="M73" s="83" t="str">
        <f t="shared" si="30"/>
        <v/>
      </c>
      <c r="N73" s="91"/>
      <c r="O73" s="99"/>
      <c r="P73" s="99">
        <f t="array" ref="P73">IFERROR(INDEX('Detail inputs'!$B$3:$L$304,MATCH($B73&amp;$G73&amp;P$5,'Detail inputs'!$B$3:$B$304&amp;'Detail inputs'!$G$3:$G$304&amp;'Detail inputs'!$H$3:$H$304,0),MATCH(P$4,'Detail inputs'!$B$3:$L$3,0)),0)</f>
        <v>0</v>
      </c>
      <c r="Q73" s="99">
        <f t="shared" si="34"/>
        <v>0</v>
      </c>
      <c r="R73" s="91">
        <f>IFERROR(Q73/Q76,"")</f>
        <v>0</v>
      </c>
    </row>
    <row r="74" spans="2:22" x14ac:dyDescent="0.3">
      <c r="B74" s="3" t="str">
        <f t="shared" si="29"/>
        <v>Endeavour</v>
      </c>
      <c r="C74" s="3" t="str">
        <f t="shared" si="27"/>
        <v>Residential</v>
      </c>
      <c r="D74" s="3" t="str">
        <f t="shared" si="28"/>
        <v>with CL</v>
      </c>
      <c r="E74" s="3" t="s">
        <v>16</v>
      </c>
      <c r="F74" s="41">
        <f t="array" ref="F74">IFERROR(INDEX(Usage!$B$5:$T$18,MATCH($B74,Usage!$B$5:$B$18,0),MATCH($C74&amp;$D74&amp;$E74,Usage!$B$5:$W$5&amp;Usage!$B$6:$W$6&amp;Usage!$B$7:$W$7,0)),0)</f>
        <v>726</v>
      </c>
      <c r="G74" s="3" t="s">
        <v>177</v>
      </c>
      <c r="H74" s="99"/>
      <c r="I74" s="99">
        <f t="array" ref="I74">IFERROR(INDEX('Detail inputs'!$B$3:$L$304,MATCH($B74&amp;$G74&amp;I$5,'Detail inputs'!$B$3:$B$304&amp;'Detail inputs'!$G$3:$G$304&amp;'Detail inputs'!$H$3:$H$304,0),MATCH(I$4,'Detail inputs'!$B$3:$L$3,0)),0)</f>
        <v>2.0099999999999998</v>
      </c>
      <c r="J74" s="99">
        <f t="shared" si="33"/>
        <v>1.4592599999999998</v>
      </c>
      <c r="K74" s="91">
        <f>IFERROR(J74/J76,"")</f>
        <v>2.0387463231565064E-2</v>
      </c>
      <c r="L74" s="91"/>
      <c r="M74" s="83">
        <f t="shared" si="30"/>
        <v>4.9751243781095411E-3</v>
      </c>
      <c r="N74" s="91"/>
      <c r="O74" s="99"/>
      <c r="P74" s="99">
        <f t="array" ref="P74">IFERROR(INDEX('Detail inputs'!$B$3:$L$304,MATCH($B74&amp;$G74&amp;P$5,'Detail inputs'!$B$3:$B$304&amp;'Detail inputs'!$G$3:$G$304&amp;'Detail inputs'!$H$3:$H$304,0),MATCH(P$4,'Detail inputs'!$B$3:$L$3,0)),0)</f>
        <v>2.02</v>
      </c>
      <c r="Q74" s="99">
        <f t="shared" si="34"/>
        <v>1.46652</v>
      </c>
      <c r="R74" s="91">
        <f>IFERROR(Q74/Q76,"")</f>
        <v>1.9170541899971524E-2</v>
      </c>
    </row>
    <row r="75" spans="2:22" x14ac:dyDescent="0.3">
      <c r="B75" s="3" t="str">
        <f t="shared" si="29"/>
        <v>Endeavour</v>
      </c>
      <c r="C75" s="3" t="str">
        <f t="shared" si="27"/>
        <v>Residential</v>
      </c>
      <c r="D75" s="3" t="str">
        <f t="shared" si="28"/>
        <v>with CL</v>
      </c>
      <c r="E75" s="3" t="s">
        <v>16</v>
      </c>
      <c r="F75" s="41">
        <f t="array" ref="F75">IFERROR(INDEX(Usage!$B$5:$T$18,MATCH($B75,Usage!$B$5:$B$18,0),MATCH($C75&amp;$D75&amp;$E75,Usage!$B$5:$W$5&amp;Usage!$B$6:$W$6&amp;Usage!$B$7:$W$7,0)),0)</f>
        <v>726</v>
      </c>
      <c r="G75" s="3" t="s">
        <v>81</v>
      </c>
      <c r="H75" s="99"/>
      <c r="I75" s="93">
        <f t="array" ref="I75">ROUND(IFERROR(INDEX('Detail inputs'!$B$3:$L$304,MATCH($B75&amp;$C75&amp;$E75&amp;$G75&amp;I$5,'Detail inputs'!$B$3:$B$304&amp;'Detail inputs'!$D$3:$D$304&amp;'Detail inputs'!$F$3:$F$304&amp;'Detail inputs'!$G$3:$G$304&amp;'Detail inputs'!$H$3:$H$304,0),MATCH(I$4,'Detail inputs'!$B$3:$L$3,0)),0)*SUM(I70:I74),2)</f>
        <v>5.14</v>
      </c>
      <c r="J75" s="99">
        <f t="shared" si="33"/>
        <v>3.7316400000000001</v>
      </c>
      <c r="K75" s="91">
        <f>IFERROR(J75/J76,"")</f>
        <v>5.2135104980221114E-2</v>
      </c>
      <c r="L75" s="91"/>
      <c r="M75" s="83">
        <f t="shared" si="30"/>
        <v>5.058365758754868E-2</v>
      </c>
      <c r="N75" s="91"/>
      <c r="O75" s="99"/>
      <c r="P75" s="93">
        <f t="array" ref="P75">ROUND(IFERROR(INDEX('Detail inputs'!$B$3:$L$304,MATCH($B75&amp;$C75&amp;$E75&amp;$G75&amp;P$5,'Detail inputs'!$B$3:$B$304&amp;'Detail inputs'!$D$3:$D$304&amp;'Detail inputs'!$F$3:$F$304&amp;'Detail inputs'!$G$3:$G$304&amp;'Detail inputs'!$H$3:$H$304,0),MATCH(P$4,'Detail inputs'!$B$3:$L$3,0)),0)*SUM(P70:P74),2)</f>
        <v>5.4</v>
      </c>
      <c r="Q75" s="99">
        <f t="shared" si="34"/>
        <v>3.9203999999999999</v>
      </c>
      <c r="R75" s="91">
        <f>IFERROR(Q75/Q76,"")</f>
        <v>5.1247983296953577E-2</v>
      </c>
    </row>
    <row r="76" spans="2:22" x14ac:dyDescent="0.3">
      <c r="B76" s="3" t="str">
        <f t="shared" si="29"/>
        <v>Endeavour</v>
      </c>
      <c r="C76" s="3" t="str">
        <f t="shared" si="27"/>
        <v>Residential</v>
      </c>
      <c r="D76" s="3" t="str">
        <f t="shared" si="28"/>
        <v>with CL</v>
      </c>
      <c r="E76" s="3" t="s">
        <v>16</v>
      </c>
      <c r="F76" s="41">
        <f t="array" ref="F76">IFERROR(INDEX(Usage!$B$5:$T$18,MATCH($B76,Usage!$B$5:$B$18,0),MATCH($C76&amp;$D76&amp;$E76,Usage!$B$5:$W$5&amp;Usage!$B$6:$W$6&amp;Usage!$B$7:$W$7,0)),0)</f>
        <v>726</v>
      </c>
      <c r="G76" s="3" t="s">
        <v>58</v>
      </c>
      <c r="H76" s="99"/>
      <c r="I76" s="99">
        <f t="array" ref="I76">INDEX('Key inputs'!$B$15:$G$33,MATCH($B76&amp;$E76,'Key inputs'!$B$15:$B$33&amp;'Key inputs'!$C$15:$C$33,0),MATCH($A$2&amp;I$4,'Key inputs'!$B$16:$G$16&amp;'Key inputs'!$B$17:$G$17,0))</f>
        <v>98.59</v>
      </c>
      <c r="J76" s="93">
        <f t="shared" si="33"/>
        <v>71.576340000000002</v>
      </c>
      <c r="K76" s="91"/>
      <c r="L76" s="92"/>
      <c r="M76" s="83">
        <f t="shared" si="30"/>
        <v>6.8769652094533118E-2</v>
      </c>
      <c r="N76" s="92"/>
      <c r="O76" s="99"/>
      <c r="P76" s="99">
        <f t="array" ref="P76">INDEX('Key inputs'!$B$15:$G$33,MATCH($B76&amp;$E76,'Key inputs'!$B$15:$B$33&amp;'Key inputs'!$C$15:$C$33,0),MATCH($A$2&amp;P$4,'Key inputs'!$B$16:$G$16&amp;'Key inputs'!$B$17:$G$17,0))</f>
        <v>105.37</v>
      </c>
      <c r="Q76" s="93">
        <f t="shared" si="34"/>
        <v>76.498620000000017</v>
      </c>
      <c r="R76" s="91"/>
      <c r="S76" s="133" t="b">
        <f>ROUND(I76,$W$5)=ROUND(SUM(I70:I75),$W$5)</f>
        <v>1</v>
      </c>
      <c r="T76" s="133" t="b">
        <f>ROUND(P76,$W$5)=ROUND(SUM(P70:P75),$W$5)</f>
        <v>1</v>
      </c>
      <c r="U76" s="132"/>
      <c r="V76" s="132"/>
    </row>
    <row r="77" spans="2:22" s="81" customFormat="1" x14ac:dyDescent="0.3">
      <c r="B77" s="3" t="str">
        <f t="shared" si="29"/>
        <v>Endeavour</v>
      </c>
      <c r="C77" s="3" t="str">
        <f t="shared" si="27"/>
        <v>Residential</v>
      </c>
      <c r="D77" s="3" t="str">
        <f t="shared" si="28"/>
        <v>with CL</v>
      </c>
      <c r="E77" s="81" t="s">
        <v>58</v>
      </c>
      <c r="F77" s="41">
        <f t="array" ref="F77">IFERROR(INDEX(Usage!$B$5:$T$18,MATCH($B77,Usage!$B$5:$B$18,0),MATCH($C77&amp;$D77&amp;$E77,Usage!$B$5:$W$5&amp;Usage!$B$6:$W$6&amp;Usage!$B$7:$W$7,0)),0)</f>
        <v>7400</v>
      </c>
      <c r="G77" s="81" t="s">
        <v>58</v>
      </c>
      <c r="H77" s="99"/>
      <c r="I77" s="99">
        <f>I62+I69+I76</f>
        <v>305.78999999999996</v>
      </c>
      <c r="J77" s="99">
        <f>J62+J69+J76</f>
        <v>781.67</v>
      </c>
      <c r="K77" s="91"/>
      <c r="L77" s="92"/>
      <c r="M77" s="83">
        <f t="shared" si="30"/>
        <v>5.0415136822444362E-2</v>
      </c>
      <c r="N77" s="92"/>
      <c r="O77" s="99"/>
      <c r="P77" s="99">
        <f>P62+P69+P76</f>
        <v>324.06</v>
      </c>
      <c r="Q77" s="99">
        <f>Q62+Q69+Q76</f>
        <v>821.07799999999997</v>
      </c>
      <c r="R77" s="91"/>
      <c r="S77" s="133"/>
      <c r="T77" s="134"/>
    </row>
    <row r="78" spans="2:22" x14ac:dyDescent="0.3">
      <c r="B78" s="3" t="str">
        <f t="shared" si="29"/>
        <v>Endeavour</v>
      </c>
      <c r="C78" s="3" t="str">
        <f t="shared" si="27"/>
        <v>Residential</v>
      </c>
      <c r="D78" s="3" t="str">
        <f t="shared" si="28"/>
        <v>with CL</v>
      </c>
      <c r="F78" s="41"/>
      <c r="G78" s="81" t="s">
        <v>41</v>
      </c>
      <c r="H78" s="99"/>
      <c r="I78" s="99"/>
      <c r="J78" s="99">
        <f>J77*GST</f>
        <v>78.167000000000002</v>
      </c>
      <c r="K78" s="91"/>
      <c r="L78" s="92"/>
      <c r="M78" s="83"/>
      <c r="N78" s="92"/>
      <c r="O78" s="99"/>
      <c r="P78" s="99"/>
      <c r="Q78" s="99">
        <f>Q77*GST</f>
        <v>82.107799999999997</v>
      </c>
      <c r="R78" s="79"/>
    </row>
    <row r="79" spans="2:22" x14ac:dyDescent="0.3">
      <c r="B79" s="3" t="str">
        <f t="shared" si="29"/>
        <v>Endeavour</v>
      </c>
      <c r="C79" s="3" t="str">
        <f t="shared" si="27"/>
        <v>Residential</v>
      </c>
      <c r="D79" s="3" t="str">
        <f t="shared" si="28"/>
        <v>with CL</v>
      </c>
      <c r="F79" s="41"/>
      <c r="G79" s="5" t="s">
        <v>91</v>
      </c>
      <c r="H79" s="98"/>
      <c r="I79" s="98"/>
      <c r="J79" s="98">
        <f>SUM(J77:J78)</f>
        <v>859.83699999999999</v>
      </c>
      <c r="K79" s="79"/>
      <c r="L79" s="27"/>
      <c r="M79" s="80">
        <f>IF(OR(J79=0,Q79=""),"",Q79/J79-1)</f>
        <v>5.041513682244414E-2</v>
      </c>
      <c r="N79" s="27"/>
      <c r="O79" s="98"/>
      <c r="P79" s="98"/>
      <c r="Q79" s="98">
        <f>SUM(Q77:Q78)</f>
        <v>903.18579999999997</v>
      </c>
      <c r="R79" s="79"/>
    </row>
    <row r="80" spans="2:22" x14ac:dyDescent="0.3">
      <c r="F80" s="41"/>
      <c r="K80" s="44"/>
      <c r="M80" s="49"/>
      <c r="R80" s="44"/>
    </row>
    <row r="81" spans="2:22" x14ac:dyDescent="0.3">
      <c r="B81" s="5" t="s">
        <v>4</v>
      </c>
      <c r="C81" s="5" t="s">
        <v>14</v>
      </c>
      <c r="D81" s="5" t="s">
        <v>158</v>
      </c>
      <c r="F81" s="41"/>
      <c r="K81" s="44"/>
      <c r="M81" s="49"/>
      <c r="R81" s="44"/>
    </row>
    <row r="82" spans="2:22" x14ac:dyDescent="0.3">
      <c r="B82" s="3" t="str">
        <f>B81</f>
        <v>Endeavour</v>
      </c>
      <c r="C82" s="3" t="str">
        <f t="shared" ref="C82:C90" si="35">C81</f>
        <v>Small business</v>
      </c>
      <c r="D82" s="3" t="str">
        <f t="shared" ref="D82:D90" si="36">D81</f>
        <v>without CL</v>
      </c>
      <c r="E82" s="3" t="s">
        <v>24</v>
      </c>
      <c r="F82" s="41">
        <f t="array" ref="F82">IFERROR(INDEX(Usage!$B$5:$T$18,MATCH($B82,Usage!$B$5:$B$18,0),MATCH($C82&amp;$D82&amp;$E82,Usage!$B$5:$W$5&amp;Usage!$B$6:$W$6&amp;Usage!$B$7:$W$7,0)),0)</f>
        <v>20000</v>
      </c>
      <c r="G82" s="3" t="s">
        <v>78</v>
      </c>
      <c r="I82" s="93">
        <f t="array" ref="I82">IFERROR(INDEX('Detail inputs'!$B$3:$L$304,MATCH($B82&amp;$C82&amp;$E82&amp;$G82&amp;I$5,'Detail inputs'!$B$3:$B$304&amp;'Detail inputs'!$D$3:$D$304&amp;'Detail inputs'!$F$3:$F$304&amp;'Detail inputs'!$G$3:$G$304&amp;'Detail inputs'!$H$3:$H$304,0),MATCH(I$4,'Detail inputs'!$B$3:$L$3,0)),0)</f>
        <v>99.94</v>
      </c>
      <c r="J82" s="93">
        <f>IF(AND(H82="",I82=""),"",H82+I82*$F82/1000)</f>
        <v>1998.8</v>
      </c>
      <c r="K82" s="44">
        <f>IFERROR(J82/J88,"")</f>
        <v>0.92017309639996325</v>
      </c>
      <c r="L82" s="44"/>
      <c r="M82" s="49">
        <f t="shared" ref="M82:M88" si="37">IF(OR(J82=0,Q82=""),"",Q82/J82-1)</f>
        <v>4.1124674804883021E-2</v>
      </c>
      <c r="N82" s="44"/>
      <c r="P82" s="93">
        <f t="array" ref="P82">IFERROR(INDEX('Detail inputs'!$B$3:$L$304,MATCH($B82&amp;$C82&amp;$E82&amp;$G82&amp;P$5,'Detail inputs'!$B$3:$B$304&amp;'Detail inputs'!$D$3:$D$304&amp;'Detail inputs'!$F$3:$F$304&amp;'Detail inputs'!$G$3:$G$304&amp;'Detail inputs'!$H$3:$H$304,0),MATCH(P$4,'Detail inputs'!$B$3:$L$3,0)),0)</f>
        <v>104.05</v>
      </c>
      <c r="Q82" s="93">
        <f>IF(AND(O82="",P82=""),"",O82+P82*$F82/1000)</f>
        <v>2081</v>
      </c>
      <c r="R82" s="44">
        <f>IFERROR(Q82/Q88,"")</f>
        <v>0.91819625838333918</v>
      </c>
    </row>
    <row r="83" spans="2:22" x14ac:dyDescent="0.3">
      <c r="B83" s="3" t="str">
        <f t="shared" ref="B83:B90" si="38">B82</f>
        <v>Endeavour</v>
      </c>
      <c r="C83" s="3" t="str">
        <f t="shared" si="35"/>
        <v>Small business</v>
      </c>
      <c r="D83" s="3" t="str">
        <f t="shared" si="36"/>
        <v>without CL</v>
      </c>
      <c r="E83" s="3" t="s">
        <v>24</v>
      </c>
      <c r="F83" s="41">
        <f t="array" ref="F83">IFERROR(INDEX(Usage!$B$5:$T$18,MATCH($B83,Usage!$B$5:$B$18,0),MATCH($C83&amp;$D83&amp;$E83,Usage!$B$5:$W$5&amp;Usage!$B$6:$W$6&amp;Usage!$B$7:$W$7,0)),0)</f>
        <v>20000</v>
      </c>
      <c r="G83" s="3" t="s">
        <v>79</v>
      </c>
      <c r="I83" s="93">
        <f t="array" ref="I83">IFERROR(INDEX('Detail inputs'!$B$3:$L$304,MATCH($B83&amp;$G83&amp;I$5,'Detail inputs'!$B$3:$B$304&amp;'Detail inputs'!$G$3:$G$304&amp;'Detail inputs'!$H$3:$H$304,0),MATCH(I$4,'Detail inputs'!$B$3:$L$3,0)),0)</f>
        <v>0.37</v>
      </c>
      <c r="J83" s="93">
        <f t="shared" ref="J83:J88" si="39">IF(AND(H83="",I83=""),"",H83+I83*$F83/1000)</f>
        <v>7.4</v>
      </c>
      <c r="K83" s="44">
        <f>IFERROR(J83/J88,"")</f>
        <v>3.4066844673602804E-3</v>
      </c>
      <c r="L83" s="44"/>
      <c r="M83" s="49">
        <f t="shared" si="37"/>
        <v>1</v>
      </c>
      <c r="N83" s="44"/>
      <c r="P83" s="93">
        <f t="array" ref="P83">IFERROR(INDEX('Detail inputs'!$B$3:$L$304,MATCH($B83&amp;$G83&amp;P$5,'Detail inputs'!$B$3:$B$304&amp;'Detail inputs'!$G$3:$G$304&amp;'Detail inputs'!$H$3:$H$304,0),MATCH(P$4,'Detail inputs'!$B$3:$L$3,0)),0)</f>
        <v>0.74</v>
      </c>
      <c r="Q83" s="93">
        <f t="shared" ref="Q83:Q88" si="40">IF(AND(O83="",P83=""),"",O83+P83*$F83/1000)</f>
        <v>14.8</v>
      </c>
      <c r="R83" s="44">
        <f>IFERROR(Q83/Q88,"")</f>
        <v>6.5301800211789622E-3</v>
      </c>
    </row>
    <row r="84" spans="2:22" x14ac:dyDescent="0.3">
      <c r="B84" s="3" t="str">
        <f t="shared" si="38"/>
        <v>Endeavour</v>
      </c>
      <c r="C84" s="3" t="str">
        <f t="shared" si="35"/>
        <v>Small business</v>
      </c>
      <c r="D84" s="3" t="str">
        <f t="shared" si="36"/>
        <v>without CL</v>
      </c>
      <c r="E84" s="3" t="s">
        <v>24</v>
      </c>
      <c r="F84" s="41">
        <f t="array" ref="F84">IFERROR(INDEX(Usage!$B$5:$T$18,MATCH($B84,Usage!$B$5:$B$18,0),MATCH($C84&amp;$D84&amp;$E84,Usage!$B$5:$W$5&amp;Usage!$B$6:$W$6&amp;Usage!$B$7:$W$7,0)),0)</f>
        <v>20000</v>
      </c>
      <c r="G84" s="3" t="s">
        <v>89</v>
      </c>
      <c r="I84" s="93">
        <f t="array" ref="I84">IFERROR(INDEX('Detail inputs'!$B$3:$L$304,MATCH($B84&amp;$G84&amp;I$5,'Detail inputs'!$B$3:$B$304&amp;'Detail inputs'!$G$3:$G$304&amp;'Detail inputs'!$H$3:$H$304,0),MATCH(I$4,'Detail inputs'!$B$3:$L$3,0)),0)</f>
        <v>0.63</v>
      </c>
      <c r="J84" s="93">
        <f t="shared" si="39"/>
        <v>12.6</v>
      </c>
      <c r="K84" s="44">
        <f>IFERROR(J84/J88,"")</f>
        <v>5.8005708498296664E-3</v>
      </c>
      <c r="L84" s="44"/>
      <c r="M84" s="49">
        <f t="shared" si="37"/>
        <v>0.11111111111111116</v>
      </c>
      <c r="N84" s="44"/>
      <c r="P84" s="93">
        <f t="array" ref="P84">IFERROR(INDEX('Detail inputs'!$B$3:$L$304,MATCH($B84&amp;$G84&amp;P$5,'Detail inputs'!$B$3:$B$304&amp;'Detail inputs'!$G$3:$G$304&amp;'Detail inputs'!$H$3:$H$304,0),MATCH(P$4,'Detail inputs'!$B$3:$L$3,0)),0)</f>
        <v>0.7</v>
      </c>
      <c r="Q84" s="93">
        <f t="shared" si="40"/>
        <v>14</v>
      </c>
      <c r="R84" s="44">
        <f>IFERROR(Q84/Q88,"")</f>
        <v>6.1771973173314508E-3</v>
      </c>
    </row>
    <row r="85" spans="2:22" x14ac:dyDescent="0.3">
      <c r="B85" s="3" t="str">
        <f t="shared" si="38"/>
        <v>Endeavour</v>
      </c>
      <c r="C85" s="3" t="str">
        <f t="shared" si="35"/>
        <v>Small business</v>
      </c>
      <c r="D85" s="3" t="str">
        <f t="shared" si="36"/>
        <v>without CL</v>
      </c>
      <c r="E85" s="3" t="s">
        <v>24</v>
      </c>
      <c r="F85" s="41">
        <f t="array" ref="F85">IFERROR(INDEX(Usage!$B$5:$T$18,MATCH($B85,Usage!$B$5:$B$18,0),MATCH($C85&amp;$D85&amp;$E85,Usage!$B$5:$W$5&amp;Usage!$B$6:$W$6&amp;Usage!$B$7:$W$7,0)),0)</f>
        <v>20000</v>
      </c>
      <c r="G85" s="3" t="s">
        <v>80</v>
      </c>
      <c r="I85" s="93">
        <f t="array" ref="I85">IFERROR(INDEX('Detail inputs'!$B$3:$L$304,MATCH($B85&amp;$G85&amp;I$5,'Detail inputs'!$B$3:$B$304&amp;'Detail inputs'!$G$3:$G$304&amp;'Detail inputs'!$H$3:$H$304,0),MATCH(I$4,'Detail inputs'!$B$3:$L$3,0)),0)</f>
        <v>0</v>
      </c>
      <c r="J85" s="93">
        <f t="shared" si="39"/>
        <v>0</v>
      </c>
      <c r="K85" s="44">
        <f>IFERROR(J85/J88,"")</f>
        <v>0</v>
      </c>
      <c r="L85" s="44"/>
      <c r="M85" s="49" t="str">
        <f t="shared" si="37"/>
        <v/>
      </c>
      <c r="N85" s="44"/>
      <c r="P85" s="93">
        <f t="array" ref="P85">IFERROR(INDEX('Detail inputs'!$B$3:$L$304,MATCH($B85&amp;$G85&amp;P$5,'Detail inputs'!$B$3:$B$304&amp;'Detail inputs'!$G$3:$G$304&amp;'Detail inputs'!$H$3:$H$304,0),MATCH(P$4,'Detail inputs'!$B$3:$L$3,0)),0)</f>
        <v>0</v>
      </c>
      <c r="Q85" s="93">
        <f t="shared" si="40"/>
        <v>0</v>
      </c>
      <c r="R85" s="44">
        <f>IFERROR(Q85/Q88,"")</f>
        <v>0</v>
      </c>
    </row>
    <row r="86" spans="2:22" x14ac:dyDescent="0.3">
      <c r="B86" s="3" t="str">
        <f t="shared" si="38"/>
        <v>Endeavour</v>
      </c>
      <c r="C86" s="3" t="str">
        <f t="shared" si="35"/>
        <v>Small business</v>
      </c>
      <c r="D86" s="3" t="str">
        <f t="shared" si="36"/>
        <v>without CL</v>
      </c>
      <c r="E86" s="3" t="s">
        <v>24</v>
      </c>
      <c r="F86" s="41">
        <f t="array" ref="F86">IFERROR(INDEX(Usage!$B$5:$T$18,MATCH($B86,Usage!$B$5:$B$18,0),MATCH($C86&amp;$D86&amp;$E86,Usage!$B$5:$W$5&amp;Usage!$B$6:$W$6&amp;Usage!$B$7:$W$7,0)),0)</f>
        <v>20000</v>
      </c>
      <c r="G86" s="3" t="s">
        <v>177</v>
      </c>
      <c r="I86" s="93">
        <f t="array" ref="I86">IFERROR(INDEX('Detail inputs'!$B$3:$L$304,MATCH($B86&amp;$G86&amp;I$5,'Detail inputs'!$B$3:$B$304&amp;'Detail inputs'!$G$3:$G$304&amp;'Detail inputs'!$H$3:$H$304,0),MATCH(I$4,'Detail inputs'!$B$3:$L$3,0)),0)</f>
        <v>2.0099999999999998</v>
      </c>
      <c r="J86" s="93">
        <f t="shared" si="39"/>
        <v>40.199999999999996</v>
      </c>
      <c r="K86" s="44">
        <f>IFERROR(J86/J88,"")</f>
        <v>1.850658318755179E-2</v>
      </c>
      <c r="L86" s="44"/>
      <c r="M86" s="49">
        <f t="shared" si="37"/>
        <v>4.9751243781095411E-3</v>
      </c>
      <c r="N86" s="44"/>
      <c r="P86" s="93">
        <f t="array" ref="P86">IFERROR(INDEX('Detail inputs'!$B$3:$L$304,MATCH($B86&amp;$G86&amp;P$5,'Detail inputs'!$B$3:$B$304&amp;'Detail inputs'!$G$3:$G$304&amp;'Detail inputs'!$H$3:$H$304,0),MATCH(P$4,'Detail inputs'!$B$3:$L$3,0)),0)</f>
        <v>2.02</v>
      </c>
      <c r="Q86" s="93">
        <f t="shared" si="40"/>
        <v>40.4</v>
      </c>
      <c r="R86" s="44">
        <f>IFERROR(Q86/Q88,"")</f>
        <v>1.7825626544299328E-2</v>
      </c>
    </row>
    <row r="87" spans="2:22" x14ac:dyDescent="0.3">
      <c r="B87" s="3" t="str">
        <f t="shared" si="38"/>
        <v>Endeavour</v>
      </c>
      <c r="C87" s="3" t="str">
        <f t="shared" si="35"/>
        <v>Small business</v>
      </c>
      <c r="D87" s="3" t="str">
        <f t="shared" si="36"/>
        <v>without CL</v>
      </c>
      <c r="E87" s="3" t="s">
        <v>24</v>
      </c>
      <c r="F87" s="41">
        <f t="array" ref="F87">IFERROR(INDEX(Usage!$B$5:$T$18,MATCH($B87,Usage!$B$5:$B$18,0),MATCH($C87&amp;$D87&amp;$E87,Usage!$B$5:$W$5&amp;Usage!$B$6:$W$6&amp;Usage!$B$7:$W$7,0)),0)</f>
        <v>20000</v>
      </c>
      <c r="G87" s="3" t="s">
        <v>81</v>
      </c>
      <c r="I87" s="93">
        <f t="array" ref="I87">ROUND(IFERROR(INDEX('Detail inputs'!$B$3:$L$304,MATCH($B87&amp;$C87&amp;$E87&amp;$G87&amp;I$5,'Detail inputs'!$B$3:$B$304&amp;'Detail inputs'!$D$3:$D$304&amp;'Detail inputs'!$F$3:$F$304&amp;'Detail inputs'!$G$3:$G$304&amp;'Detail inputs'!$H$3:$H$304,0),MATCH(I$4,'Detail inputs'!$B$3:$L$3,0)),0)*SUM(I82:I86),2)</f>
        <v>5.66</v>
      </c>
      <c r="J87" s="93">
        <f t="shared" si="39"/>
        <v>113.2</v>
      </c>
      <c r="K87" s="44">
        <f>IFERROR(J87/J88,"")</f>
        <v>5.2113065095295098E-2</v>
      </c>
      <c r="L87" s="44"/>
      <c r="M87" s="49">
        <f t="shared" si="37"/>
        <v>2.6501766784452263E-2</v>
      </c>
      <c r="N87" s="44"/>
      <c r="P87" s="93">
        <f t="array" ref="P87">ROUND(IFERROR(INDEX('Detail inputs'!$B$3:$L$304,MATCH($B87&amp;$C87&amp;$E87&amp;$G87&amp;P$5,'Detail inputs'!$B$3:$B$304&amp;'Detail inputs'!$D$3:$D$304&amp;'Detail inputs'!$F$3:$F$304&amp;'Detail inputs'!$G$3:$G$304&amp;'Detail inputs'!$H$3:$H$304,0),MATCH(P$4,'Detail inputs'!$B$3:$L$3,0)),0)*SUM(P82:P86),2)</f>
        <v>5.81</v>
      </c>
      <c r="Q87" s="93">
        <f t="shared" si="40"/>
        <v>116.19999999999999</v>
      </c>
      <c r="R87" s="44">
        <f>IFERROR(Q87/Q88,"")</f>
        <v>5.1270737733851032E-2</v>
      </c>
    </row>
    <row r="88" spans="2:22" s="81" customFormat="1" x14ac:dyDescent="0.3">
      <c r="B88" s="3" t="str">
        <f t="shared" si="38"/>
        <v>Endeavour</v>
      </c>
      <c r="C88" s="3" t="str">
        <f t="shared" si="35"/>
        <v>Small business</v>
      </c>
      <c r="D88" s="3" t="str">
        <f t="shared" si="36"/>
        <v>without CL</v>
      </c>
      <c r="E88" s="3" t="s">
        <v>24</v>
      </c>
      <c r="F88" s="41">
        <f t="array" ref="F88">IFERROR(INDEX(Usage!$B$5:$T$18,MATCH($B88,Usage!$B$5:$B$18,0),MATCH($C88&amp;$D88&amp;$E88,Usage!$B$5:$W$5&amp;Usage!$B$6:$W$6&amp;Usage!$B$7:$W$7,0)),0)</f>
        <v>20000</v>
      </c>
      <c r="G88" s="81" t="s">
        <v>58</v>
      </c>
      <c r="H88" s="99"/>
      <c r="I88" s="99">
        <f t="array" ref="I88">INDEX('Key inputs'!$B$15:$G$33,MATCH($B88&amp;$E88,'Key inputs'!$B$15:$B$33&amp;'Key inputs'!$C$15:$C$33,0),MATCH($A$2&amp;I$4,'Key inputs'!$B$16:$G$16&amp;'Key inputs'!$B$17:$G$17,0))</f>
        <v>108.61</v>
      </c>
      <c r="J88" s="93">
        <f t="shared" si="39"/>
        <v>2172.1999999999998</v>
      </c>
      <c r="K88" s="91"/>
      <c r="L88" s="92"/>
      <c r="M88" s="83">
        <f t="shared" si="37"/>
        <v>4.3366172543964687E-2</v>
      </c>
      <c r="N88" s="92"/>
      <c r="O88" s="99"/>
      <c r="P88" s="99">
        <f t="array" ref="P88">INDEX('Key inputs'!$B$15:$G$33,MATCH($B88&amp;$E88,'Key inputs'!$B$15:$B$33&amp;'Key inputs'!$C$15:$C$33,0),MATCH($A$2&amp;P$4,'Key inputs'!$B$16:$G$16&amp;'Key inputs'!$B$17:$G$17,0))</f>
        <v>113.32</v>
      </c>
      <c r="Q88" s="93">
        <f t="shared" si="40"/>
        <v>2266.4</v>
      </c>
      <c r="R88" s="91"/>
      <c r="S88" s="133" t="b">
        <f>ROUND(I88,$W$5)=ROUND(SUM(I82:I87),$W$5)</f>
        <v>1</v>
      </c>
      <c r="T88" s="133" t="b">
        <f>ROUND(P88,$W$5)=ROUND(SUM(P82:P87),$W$5)</f>
        <v>1</v>
      </c>
      <c r="U88" s="132"/>
      <c r="V88" s="132"/>
    </row>
    <row r="89" spans="2:22" x14ac:dyDescent="0.3">
      <c r="B89" s="3" t="str">
        <f t="shared" si="38"/>
        <v>Endeavour</v>
      </c>
      <c r="C89" s="3" t="str">
        <f t="shared" si="35"/>
        <v>Small business</v>
      </c>
      <c r="D89" s="3" t="str">
        <f t="shared" si="36"/>
        <v>without CL</v>
      </c>
      <c r="F89" s="41"/>
      <c r="G89" s="81" t="s">
        <v>41</v>
      </c>
      <c r="H89" s="99"/>
      <c r="I89" s="99"/>
      <c r="J89" s="99">
        <f>J88*GST</f>
        <v>217.22</v>
      </c>
      <c r="K89" s="91"/>
      <c r="L89" s="92"/>
      <c r="M89" s="83"/>
      <c r="N89" s="92"/>
      <c r="O89" s="99"/>
      <c r="P89" s="99"/>
      <c r="Q89" s="99">
        <f>Q88*GST</f>
        <v>226.64000000000001</v>
      </c>
      <c r="R89" s="79"/>
    </row>
    <row r="90" spans="2:22" x14ac:dyDescent="0.3">
      <c r="B90" s="3" t="str">
        <f t="shared" si="38"/>
        <v>Endeavour</v>
      </c>
      <c r="C90" s="3" t="str">
        <f t="shared" si="35"/>
        <v>Small business</v>
      </c>
      <c r="D90" s="3" t="str">
        <f t="shared" si="36"/>
        <v>without CL</v>
      </c>
      <c r="F90" s="41"/>
      <c r="G90" s="5" t="s">
        <v>91</v>
      </c>
      <c r="H90" s="98"/>
      <c r="I90" s="98"/>
      <c r="J90" s="98">
        <f>SUM(J88:J89)</f>
        <v>2389.4199999999996</v>
      </c>
      <c r="K90" s="79"/>
      <c r="L90" s="27"/>
      <c r="M90" s="80">
        <f>IF(OR(J90=0,Q90=""),"",Q90/J90-1)</f>
        <v>4.3366172543964687E-2</v>
      </c>
      <c r="N90" s="27"/>
      <c r="O90" s="98"/>
      <c r="P90" s="98"/>
      <c r="Q90" s="98">
        <f>SUM(Q88:Q89)</f>
        <v>2493.04</v>
      </c>
      <c r="R90" s="79"/>
    </row>
    <row r="91" spans="2:22" x14ac:dyDescent="0.3">
      <c r="F91" s="41"/>
      <c r="K91" s="44"/>
      <c r="M91" s="49"/>
      <c r="R91" s="44"/>
    </row>
    <row r="92" spans="2:22" x14ac:dyDescent="0.3">
      <c r="B92" s="5" t="s">
        <v>3</v>
      </c>
      <c r="C92" s="5" t="s">
        <v>6</v>
      </c>
      <c r="D92" s="5" t="s">
        <v>158</v>
      </c>
      <c r="F92" s="41"/>
      <c r="K92" s="44"/>
      <c r="M92" s="49"/>
      <c r="R92" s="44"/>
    </row>
    <row r="93" spans="2:22" x14ac:dyDescent="0.3">
      <c r="B93" s="3" t="str">
        <f>B92</f>
        <v>Essential</v>
      </c>
      <c r="C93" s="3" t="str">
        <f t="shared" ref="C93:C101" si="41">C92</f>
        <v>Residential</v>
      </c>
      <c r="D93" s="3" t="str">
        <f t="shared" ref="D93:D101" si="42">D92</f>
        <v>without CL</v>
      </c>
      <c r="E93" s="3" t="s">
        <v>24</v>
      </c>
      <c r="F93" s="41">
        <f t="array" ref="F93">IFERROR(INDEX(Usage!$B$5:$T$18,MATCH($B93,Usage!$B$5:$B$18,0),MATCH($C93&amp;$D93&amp;$E93&amp;"Total",Usage!$B$5:$W$5&amp;Usage!$B$6:$W$6&amp;Usage!$B$7:$W$7&amp;Usage!$B$13:$W$13,0)),0)</f>
        <v>4600</v>
      </c>
      <c r="G93" s="3" t="s">
        <v>78</v>
      </c>
      <c r="I93" s="93">
        <f t="array" ref="I93">IFERROR(INDEX('Detail inputs'!$B$3:$L$304,MATCH($B93&amp;$C93&amp;$E93&amp;$G93&amp;I$5,'Detail inputs'!$B$3:$B$304&amp;'Detail inputs'!$D$3:$D$304&amp;'Detail inputs'!$F$3:$F$304&amp;'Detail inputs'!$G$3:$G$304&amp;'Detail inputs'!$H$3:$H$304,0),MATCH(I$4,'Detail inputs'!$B$3:$L$3,0)),0)</f>
        <v>94.69</v>
      </c>
      <c r="J93" s="93">
        <f>IF(AND(H93="",I93=""),"",H93+I93*$F93/1000)</f>
        <v>435.57400000000001</v>
      </c>
      <c r="K93" s="44">
        <f>IFERROR(J93/J99,"")</f>
        <v>0.91780556363283905</v>
      </c>
      <c r="L93" s="44"/>
      <c r="M93" s="49">
        <f t="shared" ref="M93:M99" si="43">IF(OR(J93=0,Q93=""),"",Q93/J93-1)</f>
        <v>2.3339317773788171E-2</v>
      </c>
      <c r="N93" s="44"/>
      <c r="P93" s="93">
        <f t="array" ref="P93">IFERROR(INDEX('Detail inputs'!$B$3:$L$304,MATCH($B93&amp;$C93&amp;$E93&amp;$G93&amp;P$5,'Detail inputs'!$B$3:$B$304&amp;'Detail inputs'!$D$3:$D$304&amp;'Detail inputs'!$F$3:$F$304&amp;'Detail inputs'!$G$3:$G$304&amp;'Detail inputs'!$H$3:$H$304,0),MATCH(P$4,'Detail inputs'!$B$3:$L$3,0)),0)</f>
        <v>96.9</v>
      </c>
      <c r="Q93" s="93">
        <f>IF(AND(O93="",P93=""),"",O93+P93*$F93/1000)</f>
        <v>445.74</v>
      </c>
      <c r="R93" s="44">
        <f>IFERROR(Q93/Q99,"")</f>
        <v>0.92049016813907081</v>
      </c>
    </row>
    <row r="94" spans="2:22" x14ac:dyDescent="0.3">
      <c r="B94" s="3" t="str">
        <f t="shared" ref="B94:B101" si="44">B93</f>
        <v>Essential</v>
      </c>
      <c r="C94" s="3" t="str">
        <f t="shared" si="41"/>
        <v>Residential</v>
      </c>
      <c r="D94" s="3" t="str">
        <f t="shared" si="42"/>
        <v>without CL</v>
      </c>
      <c r="E94" s="3" t="s">
        <v>24</v>
      </c>
      <c r="F94" s="41">
        <f t="array" ref="F94">IFERROR(INDEX(Usage!$B$5:$T$18,MATCH($B94,Usage!$B$5:$B$18,0),MATCH($C94&amp;$D94&amp;$E94&amp;"Total",Usage!$B$5:$W$5&amp;Usage!$B$6:$W$6&amp;Usage!$B$7:$W$7&amp;Usage!$B$13:$W$13,0)),0)</f>
        <v>4600</v>
      </c>
      <c r="G94" s="3" t="s">
        <v>79</v>
      </c>
      <c r="I94" s="93">
        <f t="array" ref="I94">IFERROR(INDEX('Detail inputs'!$B$3:$L$304,MATCH($B94&amp;$G94&amp;I$5,'Detail inputs'!$B$3:$B$304&amp;'Detail inputs'!$G$3:$G$304&amp;'Detail inputs'!$H$3:$H$304,0),MATCH(I$4,'Detail inputs'!$B$3:$L$3,0)),0)</f>
        <v>0.37</v>
      </c>
      <c r="J94" s="93">
        <f t="shared" ref="J94:J99" si="45">IF(AND(H94="",I94=""),"",H94+I94*$F94/1000)</f>
        <v>1.702</v>
      </c>
      <c r="K94" s="44">
        <f>IFERROR(J94/J99,"")</f>
        <v>3.5863138509256566E-3</v>
      </c>
      <c r="L94" s="44"/>
      <c r="M94" s="49">
        <f t="shared" si="43"/>
        <v>1</v>
      </c>
      <c r="N94" s="44"/>
      <c r="P94" s="93">
        <f t="array" ref="P94">IFERROR(INDEX('Detail inputs'!$B$3:$L$304,MATCH($B94&amp;$G94&amp;P$5,'Detail inputs'!$B$3:$B$304&amp;'Detail inputs'!$G$3:$G$304&amp;'Detail inputs'!$H$3:$H$304,0),MATCH(P$4,'Detail inputs'!$B$3:$L$3,0)),0)</f>
        <v>0.74</v>
      </c>
      <c r="Q94" s="93">
        <f t="shared" ref="Q94:Q99" si="46">IF(AND(O94="",P94=""),"",O94+P94*$F94/1000)</f>
        <v>3.4039999999999999</v>
      </c>
      <c r="R94" s="44">
        <f>IFERROR(Q94/Q99,"")</f>
        <v>7.029543079699818E-3</v>
      </c>
    </row>
    <row r="95" spans="2:22" x14ac:dyDescent="0.3">
      <c r="B95" s="3" t="str">
        <f t="shared" si="44"/>
        <v>Essential</v>
      </c>
      <c r="C95" s="3" t="str">
        <f t="shared" si="41"/>
        <v>Residential</v>
      </c>
      <c r="D95" s="3" t="str">
        <f t="shared" si="42"/>
        <v>without CL</v>
      </c>
      <c r="E95" s="3" t="s">
        <v>24</v>
      </c>
      <c r="F95" s="41">
        <f t="array" ref="F95">IFERROR(INDEX(Usage!$B$5:$T$18,MATCH($B95,Usage!$B$5:$B$18,0),MATCH($C95&amp;$D95&amp;$E95&amp;"Total",Usage!$B$5:$W$5&amp;Usage!$B$6:$W$6&amp;Usage!$B$7:$W$7&amp;Usage!$B$13:$W$13,0)),0)</f>
        <v>4600</v>
      </c>
      <c r="G95" s="3" t="s">
        <v>89</v>
      </c>
      <c r="I95" s="93">
        <f t="array" ref="I95">IFERROR(INDEX('Detail inputs'!$B$3:$L$304,MATCH($B95&amp;$G95&amp;I$5,'Detail inputs'!$B$3:$B$304&amp;'Detail inputs'!$G$3:$G$304&amp;'Detail inputs'!$H$3:$H$304,0),MATCH(I$4,'Detail inputs'!$B$3:$L$3,0)),0)</f>
        <v>0.63</v>
      </c>
      <c r="J95" s="93">
        <f t="shared" si="45"/>
        <v>2.8980000000000001</v>
      </c>
      <c r="K95" s="44">
        <f>IFERROR(J95/J99,"")</f>
        <v>6.1064262867112536E-3</v>
      </c>
      <c r="L95" s="44"/>
      <c r="M95" s="49">
        <f t="shared" si="43"/>
        <v>0.11111111111111116</v>
      </c>
      <c r="N95" s="44"/>
      <c r="P95" s="93">
        <f t="array" ref="P95">IFERROR(INDEX('Detail inputs'!$B$3:$L$304,MATCH($B95&amp;$G95&amp;P$5,'Detail inputs'!$B$3:$B$304&amp;'Detail inputs'!$G$3:$G$304&amp;'Detail inputs'!$H$3:$H$304,0),MATCH(P$4,'Detail inputs'!$B$3:$L$3,0)),0)</f>
        <v>0.7</v>
      </c>
      <c r="Q95" s="93">
        <f t="shared" si="46"/>
        <v>3.22</v>
      </c>
      <c r="R95" s="44">
        <f>IFERROR(Q95/Q99,"")</f>
        <v>6.6495677780944234E-3</v>
      </c>
    </row>
    <row r="96" spans="2:22" x14ac:dyDescent="0.3">
      <c r="B96" s="3" t="str">
        <f t="shared" si="44"/>
        <v>Essential</v>
      </c>
      <c r="C96" s="3" t="str">
        <f t="shared" si="41"/>
        <v>Residential</v>
      </c>
      <c r="D96" s="3" t="str">
        <f t="shared" si="42"/>
        <v>without CL</v>
      </c>
      <c r="E96" s="3" t="s">
        <v>24</v>
      </c>
      <c r="F96" s="41">
        <f t="array" ref="F96">IFERROR(INDEX(Usage!$B$5:$T$18,MATCH($B96,Usage!$B$5:$B$18,0),MATCH($C96&amp;$D96&amp;$E96&amp;"Total",Usage!$B$5:$W$5&amp;Usage!$B$6:$W$6&amp;Usage!$B$7:$W$7&amp;Usage!$B$13:$W$13,0)),0)</f>
        <v>4600</v>
      </c>
      <c r="G96" s="3" t="s">
        <v>80</v>
      </c>
      <c r="I96" s="93">
        <f t="array" ref="I96">IFERROR(INDEX('Detail inputs'!$B$3:$L$304,MATCH($B96&amp;$G96&amp;I$5,'Detail inputs'!$B$3:$B$304&amp;'Detail inputs'!$G$3:$G$304&amp;'Detail inputs'!$H$3:$H$304,0),MATCH(I$4,'Detail inputs'!$B$3:$L$3,0)),0)</f>
        <v>0</v>
      </c>
      <c r="J96" s="93">
        <f t="shared" si="45"/>
        <v>0</v>
      </c>
      <c r="K96" s="44">
        <f>IFERROR(J96/J99,"")</f>
        <v>0</v>
      </c>
      <c r="L96" s="44"/>
      <c r="M96" s="49" t="str">
        <f t="shared" si="43"/>
        <v/>
      </c>
      <c r="N96" s="44"/>
      <c r="P96" s="93">
        <f t="array" ref="P96">IFERROR(INDEX('Detail inputs'!$B$3:$L$304,MATCH($B96&amp;$G96&amp;P$5,'Detail inputs'!$B$3:$B$304&amp;'Detail inputs'!$G$3:$G$304&amp;'Detail inputs'!$H$3:$H$304,0),MATCH(P$4,'Detail inputs'!$B$3:$L$3,0)),0)</f>
        <v>0</v>
      </c>
      <c r="Q96" s="93">
        <f t="shared" si="46"/>
        <v>0</v>
      </c>
      <c r="R96" s="44">
        <f>IFERROR(Q96/Q99,"")</f>
        <v>0</v>
      </c>
    </row>
    <row r="97" spans="2:22" x14ac:dyDescent="0.3">
      <c r="B97" s="3" t="str">
        <f t="shared" si="44"/>
        <v>Essential</v>
      </c>
      <c r="C97" s="3" t="str">
        <f t="shared" si="41"/>
        <v>Residential</v>
      </c>
      <c r="D97" s="3" t="str">
        <f t="shared" si="42"/>
        <v>without CL</v>
      </c>
      <c r="E97" s="3" t="s">
        <v>24</v>
      </c>
      <c r="F97" s="41">
        <f t="array" ref="F97">IFERROR(INDEX(Usage!$B$5:$T$18,MATCH($B97,Usage!$B$5:$B$18,0),MATCH($C97&amp;$D97&amp;$E97&amp;"Total",Usage!$B$5:$W$5&amp;Usage!$B$6:$W$6&amp;Usage!$B$7:$W$7&amp;Usage!$B$13:$W$13,0)),0)</f>
        <v>4600</v>
      </c>
      <c r="G97" s="3" t="s">
        <v>177</v>
      </c>
      <c r="I97" s="93">
        <f t="array" ref="I97">IFERROR(INDEX('Detail inputs'!$B$3:$L$304,MATCH($B97&amp;$G97&amp;I$5,'Detail inputs'!$B$3:$B$304&amp;'Detail inputs'!$G$3:$G$304&amp;'Detail inputs'!$H$3:$H$304,0),MATCH(I$4,'Detail inputs'!$B$3:$L$3,0)),0)</f>
        <v>1.82</v>
      </c>
      <c r="J97" s="93">
        <f t="shared" si="45"/>
        <v>8.3719999999999999</v>
      </c>
      <c r="K97" s="44">
        <f>IFERROR(J97/J99,"")</f>
        <v>1.7640787050499176E-2</v>
      </c>
      <c r="L97" s="44"/>
      <c r="M97" s="49">
        <f t="shared" si="43"/>
        <v>-0.10439560439560447</v>
      </c>
      <c r="N97" s="44"/>
      <c r="P97" s="93">
        <f t="array" ref="P97">IFERROR(INDEX('Detail inputs'!$B$3:$L$304,MATCH($B97&amp;$G97&amp;P$5,'Detail inputs'!$B$3:$B$304&amp;'Detail inputs'!$G$3:$G$304&amp;'Detail inputs'!$H$3:$H$304,0),MATCH(P$4,'Detail inputs'!$B$3:$L$3,0)),0)</f>
        <v>1.63</v>
      </c>
      <c r="Q97" s="93">
        <f t="shared" si="46"/>
        <v>7.4979999999999993</v>
      </c>
      <c r="R97" s="44">
        <f>IFERROR(Q97/Q99,"")</f>
        <v>1.5483993540419868E-2</v>
      </c>
    </row>
    <row r="98" spans="2:22" x14ac:dyDescent="0.3">
      <c r="B98" s="3" t="str">
        <f t="shared" si="44"/>
        <v>Essential</v>
      </c>
      <c r="C98" s="3" t="str">
        <f t="shared" si="41"/>
        <v>Residential</v>
      </c>
      <c r="D98" s="3" t="str">
        <f t="shared" si="42"/>
        <v>without CL</v>
      </c>
      <c r="E98" s="3" t="s">
        <v>24</v>
      </c>
      <c r="F98" s="41">
        <f t="array" ref="F98">IFERROR(INDEX(Usage!$B$5:$T$18,MATCH($B98,Usage!$B$5:$B$18,0),MATCH($C98&amp;$D98&amp;$E98&amp;"Total",Usage!$B$5:$W$5&amp;Usage!$B$6:$W$6&amp;Usage!$B$7:$W$7&amp;Usage!$B$13:$W$13,0)),0)</f>
        <v>4600</v>
      </c>
      <c r="G98" s="3" t="s">
        <v>81</v>
      </c>
      <c r="I98" s="93">
        <f t="array" ref="I98">ROUND(IFERROR(INDEX('Detail inputs'!$B$3:$L$304,MATCH($B98&amp;$C98&amp;$E98&amp;$G98&amp;I$5,'Detail inputs'!$B$3:$B$304&amp;'Detail inputs'!$D$3:$D$304&amp;'Detail inputs'!$F$3:$F$304&amp;'Detail inputs'!$G$3:$G$304&amp;'Detail inputs'!$H$3:$H$304,0),MATCH(I$4,'Detail inputs'!$B$3:$L$3,0)),0)*SUM(I93:I97),2)</f>
        <v>5.66</v>
      </c>
      <c r="J98" s="93">
        <f t="shared" si="45"/>
        <v>26.036000000000001</v>
      </c>
      <c r="K98" s="44">
        <f>IFERROR(J98/J99,"")</f>
        <v>5.4860909179024912E-2</v>
      </c>
      <c r="L98" s="44"/>
      <c r="M98" s="49">
        <f t="shared" si="43"/>
        <v>-6.3604240282685631E-2</v>
      </c>
      <c r="N98" s="44"/>
      <c r="P98" s="93">
        <f t="array" ref="P98">ROUND(IFERROR(INDEX('Detail inputs'!$B$3:$L$304,MATCH($B98&amp;$C98&amp;$E98&amp;$G98&amp;P$5,'Detail inputs'!$B$3:$B$304&amp;'Detail inputs'!$D$3:$D$304&amp;'Detail inputs'!$F$3:$F$304&amp;'Detail inputs'!$G$3:$G$304&amp;'Detail inputs'!$H$3:$H$304,0),MATCH(P$4,'Detail inputs'!$B$3:$L$3,0)),0)*SUM(P93:P97),2)</f>
        <v>5.3</v>
      </c>
      <c r="Q98" s="93">
        <f t="shared" si="46"/>
        <v>24.38</v>
      </c>
      <c r="R98" s="44">
        <f>IFERROR(Q98/Q99,"")</f>
        <v>5.0346727462714916E-2</v>
      </c>
    </row>
    <row r="99" spans="2:22" s="81" customFormat="1" x14ac:dyDescent="0.3">
      <c r="B99" s="3" t="str">
        <f t="shared" si="44"/>
        <v>Essential</v>
      </c>
      <c r="C99" s="3" t="str">
        <f t="shared" si="41"/>
        <v>Residential</v>
      </c>
      <c r="D99" s="3" t="str">
        <f t="shared" si="42"/>
        <v>without CL</v>
      </c>
      <c r="E99" s="3" t="s">
        <v>24</v>
      </c>
      <c r="F99" s="41">
        <f t="array" ref="F99">IFERROR(INDEX(Usage!$B$5:$T$18,MATCH($B99,Usage!$B$5:$B$18,0),MATCH($C99&amp;$D99&amp;$E99&amp;"Total",Usage!$B$5:$W$5&amp;Usage!$B$6:$W$6&amp;Usage!$B$7:$W$7&amp;Usage!$B$13:$W$13,0)),0)</f>
        <v>4600</v>
      </c>
      <c r="G99" s="81" t="s">
        <v>58</v>
      </c>
      <c r="H99" s="99"/>
      <c r="I99" s="99">
        <f t="array" ref="I99">INDEX('Key inputs'!$B$15:$G$33,MATCH($B99&amp;$E99,'Key inputs'!$B$15:$B$33&amp;'Key inputs'!$C$15:$C$33,0),MATCH($A$2&amp;I$4,'Key inputs'!$B$16:$G$16&amp;'Key inputs'!$B$17:$G$17,0))</f>
        <v>103.17</v>
      </c>
      <c r="J99" s="93">
        <f t="shared" si="45"/>
        <v>474.58199999999999</v>
      </c>
      <c r="K99" s="91"/>
      <c r="L99" s="92"/>
      <c r="M99" s="83">
        <f t="shared" si="43"/>
        <v>2.0354754289037658E-2</v>
      </c>
      <c r="N99" s="92"/>
      <c r="O99" s="99"/>
      <c r="P99" s="99">
        <f t="array" ref="P99">INDEX('Key inputs'!$B$15:$G$33,MATCH($B99&amp;$E99,'Key inputs'!$B$15:$B$33&amp;'Key inputs'!$C$15:$C$33,0),MATCH($A$2&amp;P$4,'Key inputs'!$B$16:$G$16&amp;'Key inputs'!$B$17:$G$17,0))</f>
        <v>105.27000000000001</v>
      </c>
      <c r="Q99" s="93">
        <f t="shared" si="46"/>
        <v>484.24200000000008</v>
      </c>
      <c r="R99" s="91"/>
      <c r="S99" s="133" t="b">
        <f>ROUND(I99,$W$5)=ROUND(SUM(I93:I98),$W$5)</f>
        <v>1</v>
      </c>
      <c r="T99" s="133" t="b">
        <f>ROUND(P99,$W$5)=ROUND(SUM(P93:P98),$W$5)</f>
        <v>1</v>
      </c>
      <c r="U99" s="132"/>
      <c r="V99" s="132"/>
    </row>
    <row r="100" spans="2:22" x14ac:dyDescent="0.3">
      <c r="B100" s="3" t="str">
        <f t="shared" si="44"/>
        <v>Essential</v>
      </c>
      <c r="C100" s="3" t="str">
        <f t="shared" si="41"/>
        <v>Residential</v>
      </c>
      <c r="D100" s="3" t="str">
        <f t="shared" si="42"/>
        <v>without CL</v>
      </c>
      <c r="F100" s="41"/>
      <c r="G100" s="81" t="s">
        <v>41</v>
      </c>
      <c r="H100" s="99"/>
      <c r="I100" s="99"/>
      <c r="J100" s="99">
        <f>J99*GST</f>
        <v>47.458200000000005</v>
      </c>
      <c r="K100" s="91"/>
      <c r="L100" s="92"/>
      <c r="M100" s="83"/>
      <c r="N100" s="92"/>
      <c r="O100" s="99"/>
      <c r="P100" s="99"/>
      <c r="Q100" s="99">
        <f>Q99*GST</f>
        <v>48.424200000000013</v>
      </c>
      <c r="R100" s="79"/>
    </row>
    <row r="101" spans="2:22" x14ac:dyDescent="0.3">
      <c r="B101" s="3" t="str">
        <f t="shared" si="44"/>
        <v>Essential</v>
      </c>
      <c r="C101" s="3" t="str">
        <f t="shared" si="41"/>
        <v>Residential</v>
      </c>
      <c r="D101" s="3" t="str">
        <f t="shared" si="42"/>
        <v>without CL</v>
      </c>
      <c r="F101" s="41"/>
      <c r="G101" s="5" t="s">
        <v>91</v>
      </c>
      <c r="H101" s="98"/>
      <c r="I101" s="98"/>
      <c r="J101" s="98">
        <f>SUM(J99:J100)</f>
        <v>522.04020000000003</v>
      </c>
      <c r="K101" s="79"/>
      <c r="L101" s="27"/>
      <c r="M101" s="80">
        <f>IF(OR(J101=0,Q101=""),"",Q101/J101-1)</f>
        <v>2.0354754289037658E-2</v>
      </c>
      <c r="N101" s="27"/>
      <c r="O101" s="98"/>
      <c r="P101" s="98"/>
      <c r="Q101" s="98">
        <f>SUM(Q99:Q100)</f>
        <v>532.66620000000012</v>
      </c>
      <c r="R101" s="79"/>
    </row>
    <row r="102" spans="2:22" x14ac:dyDescent="0.3">
      <c r="F102" s="41"/>
      <c r="K102" s="44"/>
      <c r="M102" s="49"/>
      <c r="R102" s="44"/>
    </row>
    <row r="103" spans="2:22" x14ac:dyDescent="0.3">
      <c r="B103" s="5" t="s">
        <v>3</v>
      </c>
      <c r="C103" s="5" t="s">
        <v>6</v>
      </c>
      <c r="D103" s="5" t="s">
        <v>159</v>
      </c>
      <c r="F103" s="41"/>
      <c r="K103" s="44"/>
      <c r="M103" s="49"/>
      <c r="R103" s="44"/>
    </row>
    <row r="104" spans="2:22" x14ac:dyDescent="0.3">
      <c r="B104" s="3" t="str">
        <f>B103</f>
        <v>Essential</v>
      </c>
      <c r="C104" s="3" t="str">
        <f t="shared" ref="C104:C121" si="47">C103</f>
        <v>Residential</v>
      </c>
      <c r="D104" s="3" t="str">
        <f t="shared" ref="D104:D121" si="48">D103</f>
        <v>with CL</v>
      </c>
      <c r="E104" s="3" t="s">
        <v>24</v>
      </c>
      <c r="F104" s="41">
        <f t="array" ref="F104">IFERROR(INDEX(Usage!$B$5:$T$18,MATCH($B104,Usage!$B$5:$B$18,0),MATCH($C104&amp;$D104&amp;$E104&amp;"Total",Usage!$B$5:$W$5&amp;Usage!$B$6:$W$6&amp;Usage!$B$7:$W$7&amp;Usage!$B$13:$W$13,0)),0)</f>
        <v>4600</v>
      </c>
      <c r="G104" s="3" t="s">
        <v>58</v>
      </c>
      <c r="I104" s="93">
        <f>I99</f>
        <v>103.17</v>
      </c>
      <c r="J104" s="93">
        <f>IF(AND(H104="",I104=""),"",H104+I104*$F104/1000)</f>
        <v>474.58199999999999</v>
      </c>
      <c r="K104" s="44"/>
      <c r="M104" s="49">
        <f>IF(OR(J104=0,Q104=""),"",Q104/J104-1)</f>
        <v>2.0354754289037658E-2</v>
      </c>
      <c r="P104" s="93">
        <f>P99</f>
        <v>105.27000000000001</v>
      </c>
      <c r="Q104" s="93">
        <f>IF(AND(O104="",P104=""),"",O104+P104*$F104/1000)</f>
        <v>484.24200000000008</v>
      </c>
      <c r="R104" s="44"/>
    </row>
    <row r="105" spans="2:22" x14ac:dyDescent="0.3">
      <c r="B105" s="3" t="str">
        <f t="shared" ref="B105:B121" si="49">B104</f>
        <v>Essential</v>
      </c>
      <c r="C105" s="3" t="str">
        <f t="shared" si="47"/>
        <v>Residential</v>
      </c>
      <c r="D105" s="3" t="str">
        <f t="shared" si="48"/>
        <v>with CL</v>
      </c>
      <c r="E105" s="3" t="s">
        <v>15</v>
      </c>
      <c r="F105" s="41">
        <f t="array" ref="F105">IFERROR(INDEX(Usage!$B$5:$T$18,MATCH($B105,Usage!$B$5:$B$18,0),MATCH($C105&amp;$D105&amp;$E105,Usage!$B$5:$W$5&amp;Usage!$B$6:$W$6&amp;Usage!$B$7:$W$7,0)),0)</f>
        <v>1540</v>
      </c>
      <c r="G105" s="3" t="s">
        <v>78</v>
      </c>
      <c r="I105" s="93">
        <f t="array" ref="I105">IFERROR(INDEX('Detail inputs'!$B$3:$L$304,MATCH($B105&amp;$C105&amp;$E105&amp;$G105&amp;I$5,'Detail inputs'!$B$3:$B$304&amp;'Detail inputs'!$D$3:$D$304&amp;'Detail inputs'!$F$3:$F$304&amp;'Detail inputs'!$G$3:$G$304&amp;'Detail inputs'!$H$3:$H$304,0),MATCH(I$4,'Detail inputs'!$B$3:$L$3,0)),0)</f>
        <v>87.08</v>
      </c>
      <c r="J105" s="93">
        <f>IF(AND(H105="",I105=""),"",H105+I105*$F105/1000)</f>
        <v>134.10320000000002</v>
      </c>
      <c r="K105" s="44">
        <f>IFERROR(J105/J111,"")</f>
        <v>0.91557144359163078</v>
      </c>
      <c r="L105" s="44"/>
      <c r="M105" s="49">
        <f t="shared" ref="M105:M119" si="50">IF(OR(J105=0,Q105=""),"",Q105/J105-1)</f>
        <v>-5.110243454294916E-2</v>
      </c>
      <c r="N105" s="44"/>
      <c r="P105" s="93">
        <f t="array" ref="P105">IFERROR(INDEX('Detail inputs'!$B$3:$L$304,MATCH($B105&amp;$C105&amp;$E105&amp;$G105&amp;P$5,'Detail inputs'!$B$3:$B$304&amp;'Detail inputs'!$D$3:$D$304&amp;'Detail inputs'!$F$3:$F$304&amp;'Detail inputs'!$G$3:$G$304&amp;'Detail inputs'!$H$3:$H$304,0),MATCH(P$4,'Detail inputs'!$B$3:$L$3,0)),0)</f>
        <v>82.63</v>
      </c>
      <c r="Q105" s="93">
        <f>IF(AND(O105="",P105=""),"",O105+P105*$F105/1000)</f>
        <v>127.25019999999999</v>
      </c>
      <c r="R105" s="44">
        <f>IFERROR(Q105/Q111,"")</f>
        <v>0.91566932624113462</v>
      </c>
    </row>
    <row r="106" spans="2:22" x14ac:dyDescent="0.3">
      <c r="B106" s="3" t="str">
        <f t="shared" si="49"/>
        <v>Essential</v>
      </c>
      <c r="C106" s="3" t="str">
        <f t="shared" si="47"/>
        <v>Residential</v>
      </c>
      <c r="D106" s="3" t="str">
        <f t="shared" si="48"/>
        <v>with CL</v>
      </c>
      <c r="E106" s="3" t="s">
        <v>15</v>
      </c>
      <c r="F106" s="41">
        <f t="array" ref="F106">IFERROR(INDEX(Usage!$B$5:$T$18,MATCH($B106,Usage!$B$5:$B$18,0),MATCH($C106&amp;$D106&amp;$E106,Usage!$B$5:$W$5&amp;Usage!$B$6:$W$6&amp;Usage!$B$7:$W$7,0)),0)</f>
        <v>1540</v>
      </c>
      <c r="G106" s="3" t="s">
        <v>79</v>
      </c>
      <c r="I106" s="93">
        <f t="array" ref="I106">IFERROR(INDEX('Detail inputs'!$B$3:$L$304,MATCH($B106&amp;$G106&amp;I$5,'Detail inputs'!$B$3:$B$304&amp;'Detail inputs'!$G$3:$G$304&amp;'Detail inputs'!$H$3:$H$304,0),MATCH(I$4,'Detail inputs'!$B$3:$L$3,0)),0)</f>
        <v>0.37</v>
      </c>
      <c r="J106" s="93">
        <f t="shared" ref="J106:J111" si="51">IF(AND(H106="",I106=""),"",H106+I106*$F106/1000)</f>
        <v>0.56979999999999997</v>
      </c>
      <c r="K106" s="44">
        <f>IFERROR(J106/J111,"")</f>
        <v>3.8902323625275991E-3</v>
      </c>
      <c r="L106" s="44"/>
      <c r="M106" s="49">
        <f t="shared" si="50"/>
        <v>1</v>
      </c>
      <c r="N106" s="44"/>
      <c r="P106" s="93">
        <f t="array" ref="P106">IFERROR(INDEX('Detail inputs'!$B$3:$L$304,MATCH($B106&amp;$G106&amp;P$5,'Detail inputs'!$B$3:$B$304&amp;'Detail inputs'!$G$3:$G$304&amp;'Detail inputs'!$H$3:$H$304,0),MATCH(P$4,'Detail inputs'!$B$3:$L$3,0)),0)</f>
        <v>0.74</v>
      </c>
      <c r="Q106" s="93">
        <f t="shared" ref="Q106:Q111" si="52">IF(AND(O106="",P106=""),"",O106+P106*$F106/1000)</f>
        <v>1.1395999999999999</v>
      </c>
      <c r="R106" s="44">
        <f>IFERROR(Q106/Q111,"")</f>
        <v>8.200354609929076E-3</v>
      </c>
    </row>
    <row r="107" spans="2:22" x14ac:dyDescent="0.3">
      <c r="B107" s="3" t="str">
        <f t="shared" si="49"/>
        <v>Essential</v>
      </c>
      <c r="C107" s="3" t="str">
        <f t="shared" si="47"/>
        <v>Residential</v>
      </c>
      <c r="D107" s="3" t="str">
        <f t="shared" si="48"/>
        <v>with CL</v>
      </c>
      <c r="E107" s="3" t="s">
        <v>15</v>
      </c>
      <c r="F107" s="41">
        <f t="array" ref="F107">IFERROR(INDEX(Usage!$B$5:$T$18,MATCH($B107,Usage!$B$5:$B$18,0),MATCH($C107&amp;$D107&amp;$E107,Usage!$B$5:$W$5&amp;Usage!$B$6:$W$6&amp;Usage!$B$7:$W$7,0)),0)</f>
        <v>1540</v>
      </c>
      <c r="G107" s="3" t="s">
        <v>89</v>
      </c>
      <c r="I107" s="93">
        <f t="array" ref="I107">IFERROR(INDEX('Detail inputs'!$B$3:$L$304,MATCH($B107&amp;$G107&amp;I$5,'Detail inputs'!$B$3:$B$304&amp;'Detail inputs'!$G$3:$G$304&amp;'Detail inputs'!$H$3:$H$304,0),MATCH(I$4,'Detail inputs'!$B$3:$L$3,0)),0)</f>
        <v>0.63</v>
      </c>
      <c r="J107" s="93">
        <f t="shared" si="51"/>
        <v>0.97020000000000006</v>
      </c>
      <c r="K107" s="44">
        <f>IFERROR(J107/J111,"")</f>
        <v>6.6239091578172643E-3</v>
      </c>
      <c r="L107" s="44"/>
      <c r="M107" s="49">
        <f t="shared" si="50"/>
        <v>0.11111111111111116</v>
      </c>
      <c r="N107" s="44"/>
      <c r="P107" s="93">
        <f t="array" ref="P107">IFERROR(INDEX('Detail inputs'!$B$3:$L$304,MATCH($B107&amp;$G107&amp;P$5,'Detail inputs'!$B$3:$B$304&amp;'Detail inputs'!$G$3:$G$304&amp;'Detail inputs'!$H$3:$H$304,0),MATCH(P$4,'Detail inputs'!$B$3:$L$3,0)),0)</f>
        <v>0.7</v>
      </c>
      <c r="Q107" s="93">
        <f t="shared" si="52"/>
        <v>1.0780000000000001</v>
      </c>
      <c r="R107" s="44">
        <f>IFERROR(Q107/Q111,"")</f>
        <v>7.7570921985815602E-3</v>
      </c>
    </row>
    <row r="108" spans="2:22" x14ac:dyDescent="0.3">
      <c r="B108" s="3" t="str">
        <f t="shared" si="49"/>
        <v>Essential</v>
      </c>
      <c r="C108" s="3" t="str">
        <f t="shared" si="47"/>
        <v>Residential</v>
      </c>
      <c r="D108" s="3" t="str">
        <f t="shared" si="48"/>
        <v>with CL</v>
      </c>
      <c r="E108" s="3" t="s">
        <v>15</v>
      </c>
      <c r="F108" s="41">
        <f t="array" ref="F108">IFERROR(INDEX(Usage!$B$5:$T$18,MATCH($B108,Usage!$B$5:$B$18,0),MATCH($C108&amp;$D108&amp;$E108,Usage!$B$5:$W$5&amp;Usage!$B$6:$W$6&amp;Usage!$B$7:$W$7,0)),0)</f>
        <v>1540</v>
      </c>
      <c r="G108" s="3" t="s">
        <v>80</v>
      </c>
      <c r="I108" s="93">
        <f t="array" ref="I108">IFERROR(INDEX('Detail inputs'!$B$3:$L$304,MATCH($B108&amp;$G108&amp;I$5,'Detail inputs'!$B$3:$B$304&amp;'Detail inputs'!$G$3:$G$304&amp;'Detail inputs'!$H$3:$H$304,0),MATCH(I$4,'Detail inputs'!$B$3:$L$3,0)),0)</f>
        <v>0</v>
      </c>
      <c r="J108" s="93">
        <f t="shared" si="51"/>
        <v>0</v>
      </c>
      <c r="K108" s="44">
        <f>IFERROR(J108/J111,"")</f>
        <v>0</v>
      </c>
      <c r="L108" s="44"/>
      <c r="M108" s="49" t="str">
        <f t="shared" si="50"/>
        <v/>
      </c>
      <c r="N108" s="44"/>
      <c r="P108" s="93">
        <f t="array" ref="P108">IFERROR(INDEX('Detail inputs'!$B$3:$L$304,MATCH($B108&amp;$G108&amp;P$5,'Detail inputs'!$B$3:$B$304&amp;'Detail inputs'!$G$3:$G$304&amp;'Detail inputs'!$H$3:$H$304,0),MATCH(P$4,'Detail inputs'!$B$3:$L$3,0)),0)</f>
        <v>0</v>
      </c>
      <c r="Q108" s="93">
        <f t="shared" si="52"/>
        <v>0</v>
      </c>
      <c r="R108" s="44">
        <f>IFERROR(Q108/Q111,"")</f>
        <v>0</v>
      </c>
    </row>
    <row r="109" spans="2:22" x14ac:dyDescent="0.3">
      <c r="B109" s="3" t="str">
        <f t="shared" si="49"/>
        <v>Essential</v>
      </c>
      <c r="C109" s="3" t="str">
        <f t="shared" si="47"/>
        <v>Residential</v>
      </c>
      <c r="D109" s="3" t="str">
        <f t="shared" si="48"/>
        <v>with CL</v>
      </c>
      <c r="E109" s="3" t="s">
        <v>15</v>
      </c>
      <c r="F109" s="41">
        <f t="array" ref="F109">IFERROR(INDEX(Usage!$B$5:$T$18,MATCH($B109,Usage!$B$5:$B$18,0),MATCH($C109&amp;$D109&amp;$E109,Usage!$B$5:$W$5&amp;Usage!$B$6:$W$6&amp;Usage!$B$7:$W$7,0)),0)</f>
        <v>1540</v>
      </c>
      <c r="G109" s="3" t="s">
        <v>177</v>
      </c>
      <c r="I109" s="93">
        <f t="array" ref="I109">IFERROR(INDEX('Detail inputs'!$B$3:$L$304,MATCH($B109&amp;$G109&amp;I$5,'Detail inputs'!$B$3:$B$304&amp;'Detail inputs'!$G$3:$G$304&amp;'Detail inputs'!$H$3:$H$304,0),MATCH(I$4,'Detail inputs'!$B$3:$L$3,0)),0)</f>
        <v>1.82</v>
      </c>
      <c r="J109" s="93">
        <f t="shared" si="51"/>
        <v>2.8028000000000004</v>
      </c>
      <c r="K109" s="44">
        <f>IFERROR(J109/J111,"")</f>
        <v>1.9135737567027654E-2</v>
      </c>
      <c r="L109" s="44"/>
      <c r="M109" s="49">
        <f t="shared" si="50"/>
        <v>-0.10439560439560458</v>
      </c>
      <c r="N109" s="44"/>
      <c r="P109" s="93">
        <f t="array" ref="P109">IFERROR(INDEX('Detail inputs'!$B$3:$L$304,MATCH($B109&amp;$G109&amp;P$5,'Detail inputs'!$B$3:$B$304&amp;'Detail inputs'!$G$3:$G$304&amp;'Detail inputs'!$H$3:$H$304,0),MATCH(P$4,'Detail inputs'!$B$3:$L$3,0)),0)</f>
        <v>1.63</v>
      </c>
      <c r="Q109" s="93">
        <f t="shared" si="52"/>
        <v>2.5101999999999998</v>
      </c>
      <c r="R109" s="44">
        <f>IFERROR(Q109/Q111,"")</f>
        <v>1.8062943262411344E-2</v>
      </c>
    </row>
    <row r="110" spans="2:22" x14ac:dyDescent="0.3">
      <c r="B110" s="3" t="str">
        <f t="shared" si="49"/>
        <v>Essential</v>
      </c>
      <c r="C110" s="3" t="str">
        <f t="shared" si="47"/>
        <v>Residential</v>
      </c>
      <c r="D110" s="3" t="str">
        <f t="shared" si="48"/>
        <v>with CL</v>
      </c>
      <c r="E110" s="3" t="s">
        <v>15</v>
      </c>
      <c r="F110" s="41">
        <f t="array" ref="F110">IFERROR(INDEX(Usage!$B$5:$T$18,MATCH($B110,Usage!$B$5:$B$18,0),MATCH($C110&amp;$D110&amp;$E110,Usage!$B$5:$W$5&amp;Usage!$B$6:$W$6&amp;Usage!$B$7:$W$7,0)),0)</f>
        <v>1540</v>
      </c>
      <c r="G110" s="3" t="s">
        <v>81</v>
      </c>
      <c r="I110" s="93">
        <f t="array" ref="I110">ROUND(IFERROR(INDEX('Detail inputs'!$B$3:$L$304,MATCH($B110&amp;$C110&amp;$E110&amp;$G110&amp;I$5,'Detail inputs'!$B$3:$B$304&amp;'Detail inputs'!$D$3:$D$304&amp;'Detail inputs'!$F$3:$F$304&amp;'Detail inputs'!$G$3:$G$304&amp;'Detail inputs'!$H$3:$H$304,0),MATCH(I$4,'Detail inputs'!$B$3:$L$3,0)),0)*SUM(I105:I109),2)</f>
        <v>5.21</v>
      </c>
      <c r="J110" s="93">
        <f t="shared" si="51"/>
        <v>8.0233999999999988</v>
      </c>
      <c r="K110" s="44">
        <f>IFERROR(J110/J111,"")</f>
        <v>5.4778677320996727E-2</v>
      </c>
      <c r="L110" s="44"/>
      <c r="M110" s="49">
        <f t="shared" si="50"/>
        <v>-0.12859884836852198</v>
      </c>
      <c r="N110" s="44"/>
      <c r="P110" s="93">
        <f t="array" ref="P110">ROUND(IFERROR(INDEX('Detail inputs'!$B$3:$L$304,MATCH($B110&amp;$C110&amp;$E110&amp;$G110&amp;P$5,'Detail inputs'!$B$3:$B$304&amp;'Detail inputs'!$D$3:$D$304&amp;'Detail inputs'!$F$3:$F$304&amp;'Detail inputs'!$G$3:$G$304&amp;'Detail inputs'!$H$3:$H$304,0),MATCH(P$4,'Detail inputs'!$B$3:$L$3,0)),0)*SUM(P105:P109),2)</f>
        <v>4.54</v>
      </c>
      <c r="Q110" s="93">
        <f t="shared" si="52"/>
        <v>6.9916</v>
      </c>
      <c r="R110" s="44">
        <f>IFERROR(Q110/Q111,"")</f>
        <v>5.0310283687943255E-2</v>
      </c>
    </row>
    <row r="111" spans="2:22" x14ac:dyDescent="0.3">
      <c r="B111" s="3" t="str">
        <f t="shared" si="49"/>
        <v>Essential</v>
      </c>
      <c r="C111" s="3" t="str">
        <f t="shared" si="47"/>
        <v>Residential</v>
      </c>
      <c r="D111" s="3" t="str">
        <f t="shared" si="48"/>
        <v>with CL</v>
      </c>
      <c r="E111" s="3" t="s">
        <v>15</v>
      </c>
      <c r="F111" s="41">
        <f t="array" ref="F111">IFERROR(INDEX(Usage!$B$5:$T$18,MATCH($B111,Usage!$B$5:$B$18,0),MATCH($C111&amp;$D111&amp;$E111,Usage!$B$5:$W$5&amp;Usage!$B$6:$W$6&amp;Usage!$B$7:$W$7,0)),0)</f>
        <v>1540</v>
      </c>
      <c r="G111" s="3" t="s">
        <v>58</v>
      </c>
      <c r="H111" s="99"/>
      <c r="I111" s="99">
        <f t="array" ref="I111">INDEX('Key inputs'!$B$15:$G$33,MATCH($B111&amp;$E111,'Key inputs'!$B$15:$B$33&amp;'Key inputs'!$C$15:$C$33,0),MATCH($A$2&amp;I$4,'Key inputs'!$B$16:$G$16&amp;'Key inputs'!$B$17:$G$17,0))</f>
        <v>95.11</v>
      </c>
      <c r="J111" s="93">
        <f t="shared" si="51"/>
        <v>146.46940000000001</v>
      </c>
      <c r="K111" s="91"/>
      <c r="L111" s="92"/>
      <c r="M111" s="83">
        <f t="shared" si="50"/>
        <v>-5.1203869204079488E-2</v>
      </c>
      <c r="N111" s="92"/>
      <c r="O111" s="99"/>
      <c r="P111" s="99">
        <f t="array" ref="P111">INDEX('Key inputs'!$B$15:$G$33,MATCH($B111&amp;$E111,'Key inputs'!$B$15:$B$33&amp;'Key inputs'!$C$15:$C$33,0),MATCH($A$2&amp;P$4,'Key inputs'!$B$16:$G$16&amp;'Key inputs'!$B$17:$G$17,0))</f>
        <v>90.24</v>
      </c>
      <c r="Q111" s="93">
        <f t="shared" si="52"/>
        <v>138.96960000000001</v>
      </c>
      <c r="R111" s="91"/>
      <c r="S111" s="133" t="b">
        <f>ROUND(I111,$W$5)=ROUND(SUM(I105:I110),$W$5)</f>
        <v>1</v>
      </c>
      <c r="T111" s="133" t="b">
        <f>ROUND(P111,$W$5)=ROUND(SUM(P105:P110),$W$5)</f>
        <v>1</v>
      </c>
      <c r="U111" s="132"/>
      <c r="V111" s="132"/>
    </row>
    <row r="112" spans="2:22" x14ac:dyDescent="0.3">
      <c r="B112" s="3" t="str">
        <f t="shared" si="49"/>
        <v>Essential</v>
      </c>
      <c r="C112" s="3" t="str">
        <f t="shared" si="47"/>
        <v>Residential</v>
      </c>
      <c r="D112" s="3" t="str">
        <f t="shared" si="48"/>
        <v>with CL</v>
      </c>
      <c r="E112" s="3" t="s">
        <v>16</v>
      </c>
      <c r="F112" s="41">
        <f t="array" ref="F112">IFERROR(INDEX(Usage!$B$5:$T$18,MATCH($B112,Usage!$B$5:$B$18,0),MATCH($C112&amp;$D112&amp;$E112,Usage!$B$5:$W$5&amp;Usage!$B$6:$W$6&amp;Usage!$B$7:$W$7,0)),0)</f>
        <v>460</v>
      </c>
      <c r="G112" s="3" t="s">
        <v>78</v>
      </c>
      <c r="H112" s="99"/>
      <c r="I112" s="99">
        <f t="array" ref="I112">IFERROR(INDEX('Detail inputs'!$B$3:$L$304,MATCH($B112&amp;$C112&amp;$E112&amp;$G112&amp;I$5,'Detail inputs'!$B$3:$B$304&amp;'Detail inputs'!$D$3:$D$304&amp;'Detail inputs'!$F$3:$F$304&amp;'Detail inputs'!$G$3:$G$304&amp;'Detail inputs'!$H$3:$H$304,0),MATCH(I$4,'Detail inputs'!$B$3:$L$3,0)),0)</f>
        <v>87.08</v>
      </c>
      <c r="J112" s="99">
        <f>IF(AND(H112="",I112=""),"",H112+I112*$F112/1000)</f>
        <v>40.056799999999996</v>
      </c>
      <c r="K112" s="91">
        <f>IFERROR(J112/J118,"")</f>
        <v>0.91557144359163067</v>
      </c>
      <c r="L112" s="91"/>
      <c r="M112" s="83">
        <f t="shared" si="50"/>
        <v>-5.1102434542948938E-2</v>
      </c>
      <c r="N112" s="91"/>
      <c r="O112" s="99"/>
      <c r="P112" s="99">
        <f t="array" ref="P112">IFERROR(INDEX('Detail inputs'!$B$3:$L$304,MATCH($B112&amp;$C112&amp;$E112&amp;$G112&amp;P$5,'Detail inputs'!$B$3:$B$304&amp;'Detail inputs'!$D$3:$D$304&amp;'Detail inputs'!$F$3:$F$304&amp;'Detail inputs'!$G$3:$G$304&amp;'Detail inputs'!$H$3:$H$304,0),MATCH(P$4,'Detail inputs'!$B$3:$L$3,0)),0)</f>
        <v>82.63</v>
      </c>
      <c r="Q112" s="99">
        <f>IF(AND(O112="",P112=""),"",O112+P112*$F112/1000)</f>
        <v>38.009799999999998</v>
      </c>
      <c r="R112" s="91">
        <f>IFERROR(Q112/Q118,"")</f>
        <v>0.91566932624113473</v>
      </c>
    </row>
    <row r="113" spans="2:22" x14ac:dyDescent="0.3">
      <c r="B113" s="3" t="str">
        <f t="shared" si="49"/>
        <v>Essential</v>
      </c>
      <c r="C113" s="3" t="str">
        <f t="shared" si="47"/>
        <v>Residential</v>
      </c>
      <c r="D113" s="3" t="str">
        <f t="shared" si="48"/>
        <v>with CL</v>
      </c>
      <c r="E113" s="3" t="s">
        <v>16</v>
      </c>
      <c r="F113" s="41">
        <f t="array" ref="F113">IFERROR(INDEX(Usage!$B$5:$T$18,MATCH($B113,Usage!$B$5:$B$18,0),MATCH($C113&amp;$D113&amp;$E113,Usage!$B$5:$W$5&amp;Usage!$B$6:$W$6&amp;Usage!$B$7:$W$7,0)),0)</f>
        <v>460</v>
      </c>
      <c r="G113" s="3" t="s">
        <v>79</v>
      </c>
      <c r="H113" s="99"/>
      <c r="I113" s="99">
        <f t="array" ref="I113">IFERROR(INDEX('Detail inputs'!$B$3:$L$304,MATCH($B113&amp;$G113&amp;I$5,'Detail inputs'!$B$3:$B$304&amp;'Detail inputs'!$G$3:$G$304&amp;'Detail inputs'!$H$3:$H$304,0),MATCH(I$4,'Detail inputs'!$B$3:$L$3,0)),0)</f>
        <v>0.37</v>
      </c>
      <c r="J113" s="99">
        <f t="shared" ref="J113:J118" si="53">IF(AND(H113="",I113=""),"",H113+I113*$F113/1000)</f>
        <v>0.17019999999999999</v>
      </c>
      <c r="K113" s="91">
        <f>IFERROR(J113/J118,"")</f>
        <v>3.8902323625275995E-3</v>
      </c>
      <c r="L113" s="91"/>
      <c r="M113" s="83">
        <f t="shared" si="50"/>
        <v>1</v>
      </c>
      <c r="N113" s="91"/>
      <c r="O113" s="99"/>
      <c r="P113" s="99">
        <f t="array" ref="P113">IFERROR(INDEX('Detail inputs'!$B$3:$L$304,MATCH($B113&amp;$G113&amp;P$5,'Detail inputs'!$B$3:$B$304&amp;'Detail inputs'!$G$3:$G$304&amp;'Detail inputs'!$H$3:$H$304,0),MATCH(P$4,'Detail inputs'!$B$3:$L$3,0)),0)</f>
        <v>0.74</v>
      </c>
      <c r="Q113" s="99">
        <f t="shared" ref="Q113:Q118" si="54">IF(AND(O113="",P113=""),"",O113+P113*$F113/1000)</f>
        <v>0.34039999999999998</v>
      </c>
      <c r="R113" s="91">
        <f>IFERROR(Q113/Q118,"")</f>
        <v>8.2003546099290777E-3</v>
      </c>
    </row>
    <row r="114" spans="2:22" x14ac:dyDescent="0.3">
      <c r="B114" s="3" t="str">
        <f t="shared" si="49"/>
        <v>Essential</v>
      </c>
      <c r="C114" s="3" t="str">
        <f t="shared" si="47"/>
        <v>Residential</v>
      </c>
      <c r="D114" s="3" t="str">
        <f t="shared" si="48"/>
        <v>with CL</v>
      </c>
      <c r="E114" s="3" t="s">
        <v>16</v>
      </c>
      <c r="F114" s="41">
        <f t="array" ref="F114">IFERROR(INDEX(Usage!$B$5:$T$18,MATCH($B114,Usage!$B$5:$B$18,0),MATCH($C114&amp;$D114&amp;$E114,Usage!$B$5:$W$5&amp;Usage!$B$6:$W$6&amp;Usage!$B$7:$W$7,0)),0)</f>
        <v>460</v>
      </c>
      <c r="G114" s="3" t="s">
        <v>89</v>
      </c>
      <c r="H114" s="99"/>
      <c r="I114" s="99">
        <f t="array" ref="I114">IFERROR(INDEX('Detail inputs'!$B$3:$L$304,MATCH($B114&amp;$G114&amp;I$5,'Detail inputs'!$B$3:$B$304&amp;'Detail inputs'!$G$3:$G$304&amp;'Detail inputs'!$H$3:$H$304,0),MATCH(I$4,'Detail inputs'!$B$3:$L$3,0)),0)</f>
        <v>0.63</v>
      </c>
      <c r="J114" s="99">
        <f t="shared" si="53"/>
        <v>0.2898</v>
      </c>
      <c r="K114" s="91">
        <f>IFERROR(J114/J118,"")</f>
        <v>6.6239091578172643E-3</v>
      </c>
      <c r="L114" s="91"/>
      <c r="M114" s="83">
        <f t="shared" si="50"/>
        <v>0.11111111111111116</v>
      </c>
      <c r="N114" s="91"/>
      <c r="O114" s="99"/>
      <c r="P114" s="99">
        <f t="array" ref="P114">IFERROR(INDEX('Detail inputs'!$B$3:$L$304,MATCH($B114&amp;$G114&amp;P$5,'Detail inputs'!$B$3:$B$304&amp;'Detail inputs'!$G$3:$G$304&amp;'Detail inputs'!$H$3:$H$304,0),MATCH(P$4,'Detail inputs'!$B$3:$L$3,0)),0)</f>
        <v>0.7</v>
      </c>
      <c r="Q114" s="99">
        <f t="shared" si="54"/>
        <v>0.32200000000000001</v>
      </c>
      <c r="R114" s="91">
        <f>IFERROR(Q114/Q118,"")</f>
        <v>7.7570921985815611E-3</v>
      </c>
    </row>
    <row r="115" spans="2:22" x14ac:dyDescent="0.3">
      <c r="B115" s="3" t="str">
        <f t="shared" si="49"/>
        <v>Essential</v>
      </c>
      <c r="C115" s="3" t="str">
        <f t="shared" si="47"/>
        <v>Residential</v>
      </c>
      <c r="D115" s="3" t="str">
        <f t="shared" si="48"/>
        <v>with CL</v>
      </c>
      <c r="E115" s="3" t="s">
        <v>16</v>
      </c>
      <c r="F115" s="41">
        <f t="array" ref="F115">IFERROR(INDEX(Usage!$B$5:$T$18,MATCH($B115,Usage!$B$5:$B$18,0),MATCH($C115&amp;$D115&amp;$E115,Usage!$B$5:$W$5&amp;Usage!$B$6:$W$6&amp;Usage!$B$7:$W$7,0)),0)</f>
        <v>460</v>
      </c>
      <c r="G115" s="3" t="s">
        <v>80</v>
      </c>
      <c r="H115" s="99"/>
      <c r="I115" s="99">
        <f t="array" ref="I115">IFERROR(INDEX('Detail inputs'!$B$3:$L$304,MATCH($B115&amp;$G115&amp;I$5,'Detail inputs'!$B$3:$B$304&amp;'Detail inputs'!$G$3:$G$304&amp;'Detail inputs'!$H$3:$H$304,0),MATCH(I$4,'Detail inputs'!$B$3:$L$3,0)),0)</f>
        <v>0</v>
      </c>
      <c r="J115" s="99">
        <f t="shared" si="53"/>
        <v>0</v>
      </c>
      <c r="K115" s="91">
        <f>IFERROR(J115/J118,"")</f>
        <v>0</v>
      </c>
      <c r="L115" s="91"/>
      <c r="M115" s="83" t="str">
        <f t="shared" si="50"/>
        <v/>
      </c>
      <c r="N115" s="91"/>
      <c r="O115" s="99"/>
      <c r="P115" s="99">
        <f t="array" ref="P115">IFERROR(INDEX('Detail inputs'!$B$3:$L$304,MATCH($B115&amp;$G115&amp;P$5,'Detail inputs'!$B$3:$B$304&amp;'Detail inputs'!$G$3:$G$304&amp;'Detail inputs'!$H$3:$H$304,0),MATCH(P$4,'Detail inputs'!$B$3:$L$3,0)),0)</f>
        <v>0</v>
      </c>
      <c r="Q115" s="99">
        <f t="shared" si="54"/>
        <v>0</v>
      </c>
      <c r="R115" s="91">
        <f>IFERROR(Q115/Q118,"")</f>
        <v>0</v>
      </c>
    </row>
    <row r="116" spans="2:22" x14ac:dyDescent="0.3">
      <c r="B116" s="3" t="str">
        <f t="shared" si="49"/>
        <v>Essential</v>
      </c>
      <c r="C116" s="3" t="str">
        <f t="shared" si="47"/>
        <v>Residential</v>
      </c>
      <c r="D116" s="3" t="str">
        <f t="shared" si="48"/>
        <v>with CL</v>
      </c>
      <c r="E116" s="3" t="s">
        <v>16</v>
      </c>
      <c r="F116" s="41">
        <f t="array" ref="F116">IFERROR(INDEX(Usage!$B$5:$T$18,MATCH($B116,Usage!$B$5:$B$18,0),MATCH($C116&amp;$D116&amp;$E116,Usage!$B$5:$W$5&amp;Usage!$B$6:$W$6&amp;Usage!$B$7:$W$7,0)),0)</f>
        <v>460</v>
      </c>
      <c r="G116" s="3" t="s">
        <v>177</v>
      </c>
      <c r="H116" s="99"/>
      <c r="I116" s="99">
        <f t="array" ref="I116">IFERROR(INDEX('Detail inputs'!$B$3:$L$304,MATCH($B116&amp;$G116&amp;I$5,'Detail inputs'!$B$3:$B$304&amp;'Detail inputs'!$G$3:$G$304&amp;'Detail inputs'!$H$3:$H$304,0),MATCH(I$4,'Detail inputs'!$B$3:$L$3,0)),0)</f>
        <v>1.82</v>
      </c>
      <c r="J116" s="99">
        <f t="shared" si="53"/>
        <v>0.83720000000000006</v>
      </c>
      <c r="K116" s="91">
        <f>IFERROR(J116/J118,"")</f>
        <v>1.9135737567027654E-2</v>
      </c>
      <c r="L116" s="91"/>
      <c r="M116" s="83">
        <f t="shared" si="50"/>
        <v>-0.10439560439560458</v>
      </c>
      <c r="N116" s="91"/>
      <c r="O116" s="99"/>
      <c r="P116" s="99">
        <f t="array" ref="P116">IFERROR(INDEX('Detail inputs'!$B$3:$L$304,MATCH($B116&amp;$G116&amp;P$5,'Detail inputs'!$B$3:$B$304&amp;'Detail inputs'!$G$3:$G$304&amp;'Detail inputs'!$H$3:$H$304,0),MATCH(P$4,'Detail inputs'!$B$3:$L$3,0)),0)</f>
        <v>1.63</v>
      </c>
      <c r="Q116" s="99">
        <f t="shared" si="54"/>
        <v>0.74979999999999991</v>
      </c>
      <c r="R116" s="91">
        <f>IFERROR(Q116/Q118,"")</f>
        <v>1.8062943262411348E-2</v>
      </c>
    </row>
    <row r="117" spans="2:22" x14ac:dyDescent="0.3">
      <c r="B117" s="3" t="str">
        <f t="shared" si="49"/>
        <v>Essential</v>
      </c>
      <c r="C117" s="3" t="str">
        <f t="shared" si="47"/>
        <v>Residential</v>
      </c>
      <c r="D117" s="3" t="str">
        <f t="shared" si="48"/>
        <v>with CL</v>
      </c>
      <c r="E117" s="3" t="s">
        <v>16</v>
      </c>
      <c r="F117" s="41">
        <f t="array" ref="F117">IFERROR(INDEX(Usage!$B$5:$T$18,MATCH($B117,Usage!$B$5:$B$18,0),MATCH($C117&amp;$D117&amp;$E117,Usage!$B$5:$W$5&amp;Usage!$B$6:$W$6&amp;Usage!$B$7:$W$7,0)),0)</f>
        <v>460</v>
      </c>
      <c r="G117" s="3" t="s">
        <v>81</v>
      </c>
      <c r="H117" s="99"/>
      <c r="I117" s="93">
        <f t="array" ref="I117">ROUND(IFERROR(INDEX('Detail inputs'!$B$3:$L$304,MATCH($B117&amp;$C117&amp;$E117&amp;$G117&amp;I$5,'Detail inputs'!$B$3:$B$304&amp;'Detail inputs'!$D$3:$D$304&amp;'Detail inputs'!$F$3:$F$304&amp;'Detail inputs'!$G$3:$G$304&amp;'Detail inputs'!$H$3:$H$304,0),MATCH(I$4,'Detail inputs'!$B$3:$L$3,0)),0)*SUM(I112:I116),2)</f>
        <v>5.21</v>
      </c>
      <c r="J117" s="99">
        <f t="shared" si="53"/>
        <v>2.3965999999999998</v>
      </c>
      <c r="K117" s="91">
        <f>IFERROR(J117/J118,"")</f>
        <v>5.4778677320996741E-2</v>
      </c>
      <c r="L117" s="91"/>
      <c r="M117" s="83">
        <f t="shared" si="50"/>
        <v>-0.12859884836852198</v>
      </c>
      <c r="N117" s="91"/>
      <c r="O117" s="99"/>
      <c r="P117" s="93">
        <f t="array" ref="P117">ROUND(IFERROR(INDEX('Detail inputs'!$B$3:$L$304,MATCH($B117&amp;$C117&amp;$E117&amp;$G117&amp;P$5,'Detail inputs'!$B$3:$B$304&amp;'Detail inputs'!$D$3:$D$304&amp;'Detail inputs'!$F$3:$F$304&amp;'Detail inputs'!$G$3:$G$304&amp;'Detail inputs'!$H$3:$H$304,0),MATCH(P$4,'Detail inputs'!$B$3:$L$3,0)),0)*SUM(P112:P116),2)</f>
        <v>4.54</v>
      </c>
      <c r="Q117" s="99">
        <f t="shared" si="54"/>
        <v>2.0884</v>
      </c>
      <c r="R117" s="91">
        <f>IFERROR(Q117/Q118,"")</f>
        <v>5.0310283687943269E-2</v>
      </c>
    </row>
    <row r="118" spans="2:22" x14ac:dyDescent="0.3">
      <c r="B118" s="3" t="str">
        <f t="shared" si="49"/>
        <v>Essential</v>
      </c>
      <c r="C118" s="3" t="str">
        <f t="shared" si="47"/>
        <v>Residential</v>
      </c>
      <c r="D118" s="3" t="str">
        <f t="shared" si="48"/>
        <v>with CL</v>
      </c>
      <c r="E118" s="3" t="s">
        <v>16</v>
      </c>
      <c r="F118" s="41">
        <f t="array" ref="F118">IFERROR(INDEX(Usage!$B$5:$T$18,MATCH($B118,Usage!$B$5:$B$18,0),MATCH($C118&amp;$D118&amp;$E118,Usage!$B$5:$W$5&amp;Usage!$B$6:$W$6&amp;Usage!$B$7:$W$7,0)),0)</f>
        <v>460</v>
      </c>
      <c r="G118" s="3" t="s">
        <v>58</v>
      </c>
      <c r="H118" s="99"/>
      <c r="I118" s="99">
        <f t="array" ref="I118">INDEX('Key inputs'!$B$15:$G$33,MATCH($B118&amp;$E118,'Key inputs'!$B$15:$B$33&amp;'Key inputs'!$C$15:$C$33,0),MATCH($A$2&amp;I$4,'Key inputs'!$B$16:$G$16&amp;'Key inputs'!$B$17:$G$17,0))</f>
        <v>95.11</v>
      </c>
      <c r="J118" s="93">
        <f t="shared" si="53"/>
        <v>43.750599999999999</v>
      </c>
      <c r="K118" s="91"/>
      <c r="L118" s="92"/>
      <c r="M118" s="83">
        <f t="shared" si="50"/>
        <v>-5.1203869204079488E-2</v>
      </c>
      <c r="N118" s="92"/>
      <c r="O118" s="99"/>
      <c r="P118" s="99">
        <f t="array" ref="P118">INDEX('Key inputs'!$B$15:$G$33,MATCH($B118&amp;$E118,'Key inputs'!$B$15:$B$33&amp;'Key inputs'!$C$15:$C$33,0),MATCH($A$2&amp;P$4,'Key inputs'!$B$16:$G$16&amp;'Key inputs'!$B$17:$G$17,0))</f>
        <v>90.24</v>
      </c>
      <c r="Q118" s="93">
        <f t="shared" si="54"/>
        <v>41.510399999999997</v>
      </c>
      <c r="R118" s="91"/>
      <c r="S118" s="133" t="b">
        <f>ROUND(I118,$W$5)=ROUND(SUM(I112:I117),$W$5)</f>
        <v>1</v>
      </c>
      <c r="T118" s="133" t="b">
        <f>ROUND(P118,$W$5)=ROUND(SUM(P112:P117),$W$5)</f>
        <v>1</v>
      </c>
      <c r="U118" s="132"/>
      <c r="V118" s="132"/>
    </row>
    <row r="119" spans="2:22" s="81" customFormat="1" x14ac:dyDescent="0.3">
      <c r="B119" s="3" t="str">
        <f t="shared" si="49"/>
        <v>Essential</v>
      </c>
      <c r="C119" s="3" t="str">
        <f t="shared" si="47"/>
        <v>Residential</v>
      </c>
      <c r="D119" s="3" t="str">
        <f t="shared" si="48"/>
        <v>with CL</v>
      </c>
      <c r="E119" s="81" t="s">
        <v>58</v>
      </c>
      <c r="F119" s="41">
        <f t="array" ref="F119">IFERROR(INDEX(Usage!$B$5:$T$18,MATCH($B119,Usage!$B$5:$B$18,0),MATCH($C119&amp;$D119&amp;$E119,Usage!$B$5:$W$5&amp;Usage!$B$6:$W$6&amp;Usage!$B$7:$W$7,0)),0)</f>
        <v>6600</v>
      </c>
      <c r="G119" s="81" t="s">
        <v>58</v>
      </c>
      <c r="H119" s="99"/>
      <c r="I119" s="99">
        <f>I104+I111+I118</f>
        <v>293.39</v>
      </c>
      <c r="J119" s="99">
        <f>J104+J111+J118</f>
        <v>664.80200000000002</v>
      </c>
      <c r="K119" s="91"/>
      <c r="L119" s="92"/>
      <c r="M119" s="83">
        <f t="shared" si="50"/>
        <v>-1.2033658141807901E-4</v>
      </c>
      <c r="N119" s="92"/>
      <c r="O119" s="99"/>
      <c r="P119" s="99">
        <f>P104+P111+P118</f>
        <v>285.75</v>
      </c>
      <c r="Q119" s="99">
        <f>Q104+Q111+Q118</f>
        <v>664.72200000000009</v>
      </c>
      <c r="R119" s="91"/>
      <c r="S119" s="133"/>
      <c r="T119" s="134"/>
    </row>
    <row r="120" spans="2:22" x14ac:dyDescent="0.3">
      <c r="B120" s="3" t="str">
        <f t="shared" si="49"/>
        <v>Essential</v>
      </c>
      <c r="C120" s="3" t="str">
        <f t="shared" si="47"/>
        <v>Residential</v>
      </c>
      <c r="D120" s="3" t="str">
        <f t="shared" si="48"/>
        <v>with CL</v>
      </c>
      <c r="F120" s="41"/>
      <c r="G120" s="81" t="s">
        <v>41</v>
      </c>
      <c r="H120" s="99"/>
      <c r="I120" s="99"/>
      <c r="J120" s="99">
        <f>J119*GST</f>
        <v>66.480200000000011</v>
      </c>
      <c r="K120" s="91"/>
      <c r="L120" s="92"/>
      <c r="M120" s="83"/>
      <c r="N120" s="92"/>
      <c r="O120" s="99"/>
      <c r="P120" s="99"/>
      <c r="Q120" s="99">
        <f>Q119*GST</f>
        <v>66.472200000000015</v>
      </c>
      <c r="R120" s="79"/>
    </row>
    <row r="121" spans="2:22" x14ac:dyDescent="0.3">
      <c r="B121" s="3" t="str">
        <f t="shared" si="49"/>
        <v>Essential</v>
      </c>
      <c r="C121" s="3" t="str">
        <f t="shared" si="47"/>
        <v>Residential</v>
      </c>
      <c r="D121" s="3" t="str">
        <f t="shared" si="48"/>
        <v>with CL</v>
      </c>
      <c r="F121" s="41"/>
      <c r="G121" s="5" t="s">
        <v>91</v>
      </c>
      <c r="H121" s="98"/>
      <c r="I121" s="98"/>
      <c r="J121" s="98">
        <f>SUM(J119:J120)</f>
        <v>731.28219999999999</v>
      </c>
      <c r="K121" s="79"/>
      <c r="L121" s="27"/>
      <c r="M121" s="80">
        <f>IF(OR(J121=0,Q121=""),"",Q121/J121-1)</f>
        <v>-1.2033658141807901E-4</v>
      </c>
      <c r="N121" s="27"/>
      <c r="O121" s="98"/>
      <c r="P121" s="98"/>
      <c r="Q121" s="98">
        <f>SUM(Q119:Q120)</f>
        <v>731.19420000000014</v>
      </c>
      <c r="R121" s="79"/>
    </row>
    <row r="122" spans="2:22" x14ac:dyDescent="0.3">
      <c r="F122" s="41"/>
      <c r="K122" s="44"/>
      <c r="M122" s="49"/>
      <c r="R122" s="44"/>
    </row>
    <row r="123" spans="2:22" x14ac:dyDescent="0.3">
      <c r="B123" s="5" t="s">
        <v>3</v>
      </c>
      <c r="C123" s="5" t="s">
        <v>14</v>
      </c>
      <c r="D123" s="5" t="s">
        <v>158</v>
      </c>
      <c r="F123" s="41"/>
      <c r="K123" s="44"/>
      <c r="M123" s="49"/>
      <c r="R123" s="44"/>
    </row>
    <row r="124" spans="2:22" x14ac:dyDescent="0.3">
      <c r="B124" s="3" t="str">
        <f>B123</f>
        <v>Essential</v>
      </c>
      <c r="C124" s="3" t="str">
        <f t="shared" ref="C124:C132" si="55">C123</f>
        <v>Small business</v>
      </c>
      <c r="D124" s="3" t="str">
        <f t="shared" ref="D124:D132" si="56">D123</f>
        <v>without CL</v>
      </c>
      <c r="E124" s="3" t="s">
        <v>24</v>
      </c>
      <c r="F124" s="41">
        <f t="array" ref="F124">IFERROR(INDEX(Usage!$B$5:$T$18,MATCH($B124,Usage!$B$5:$B$18,0),MATCH($C124&amp;$D124&amp;$E124,Usage!$B$5:$W$5&amp;Usage!$B$6:$W$6&amp;Usage!$B$7:$W$7,0)),0)</f>
        <v>20000</v>
      </c>
      <c r="G124" s="3" t="s">
        <v>78</v>
      </c>
      <c r="I124" s="93">
        <f t="array" ref="I124">IFERROR(INDEX('Detail inputs'!$B$3:$L$304,MATCH($B124&amp;$C124&amp;$E124&amp;$G124&amp;I$5,'Detail inputs'!$B$3:$B$304&amp;'Detail inputs'!$D$3:$D$304&amp;'Detail inputs'!$F$3:$F$304&amp;'Detail inputs'!$G$3:$G$304&amp;'Detail inputs'!$H$3:$H$304,0),MATCH(I$4,'Detail inputs'!$B$3:$L$3,0)),0)</f>
        <v>94.69</v>
      </c>
      <c r="J124" s="93">
        <f>IF(AND(H124="",I124=""),"",H124+I124*$F124/1000)</f>
        <v>1893.8</v>
      </c>
      <c r="K124" s="44">
        <f>IFERROR(J124/J130,"")</f>
        <v>0.91780556363283894</v>
      </c>
      <c r="L124" s="44"/>
      <c r="M124" s="49">
        <f t="shared" ref="M124:M130" si="57">IF(OR(J124=0,Q124=""),"",Q124/J124-1)</f>
        <v>2.3339317773788171E-2</v>
      </c>
      <c r="N124" s="44"/>
      <c r="P124" s="93">
        <f t="array" ref="P124">IFERROR(INDEX('Detail inputs'!$B$3:$L$304,MATCH($B124&amp;$C124&amp;$E124&amp;$G124&amp;P$5,'Detail inputs'!$B$3:$B$304&amp;'Detail inputs'!$D$3:$D$304&amp;'Detail inputs'!$F$3:$F$304&amp;'Detail inputs'!$G$3:$G$304&amp;'Detail inputs'!$H$3:$H$304,0),MATCH(P$4,'Detail inputs'!$B$3:$L$3,0)),0)</f>
        <v>96.9</v>
      </c>
      <c r="Q124" s="93">
        <f>IF(AND(O124="",P124=""),"",O124+P124*$F124/1000)</f>
        <v>1938</v>
      </c>
      <c r="R124" s="44">
        <f>IFERROR(Q124/Q130,"")</f>
        <v>0.92049016813907092</v>
      </c>
    </row>
    <row r="125" spans="2:22" x14ac:dyDescent="0.3">
      <c r="B125" s="3" t="str">
        <f t="shared" ref="B125:B132" si="58">B124</f>
        <v>Essential</v>
      </c>
      <c r="C125" s="3" t="str">
        <f t="shared" si="55"/>
        <v>Small business</v>
      </c>
      <c r="D125" s="3" t="str">
        <f t="shared" si="56"/>
        <v>without CL</v>
      </c>
      <c r="E125" s="3" t="s">
        <v>24</v>
      </c>
      <c r="F125" s="41">
        <f t="array" ref="F125">IFERROR(INDEX(Usage!$B$5:$T$18,MATCH($B125,Usage!$B$5:$B$18,0),MATCH($C125&amp;$D125&amp;$E125,Usage!$B$5:$W$5&amp;Usage!$B$6:$W$6&amp;Usage!$B$7:$W$7,0)),0)</f>
        <v>20000</v>
      </c>
      <c r="G125" s="3" t="s">
        <v>79</v>
      </c>
      <c r="I125" s="93">
        <f t="array" ref="I125">IFERROR(INDEX('Detail inputs'!$B$3:$L$304,MATCH($B125&amp;$G125&amp;I$5,'Detail inputs'!$B$3:$B$304&amp;'Detail inputs'!$G$3:$G$304&amp;'Detail inputs'!$H$3:$H$304,0),MATCH(I$4,'Detail inputs'!$B$3:$L$3,0)),0)</f>
        <v>0.37</v>
      </c>
      <c r="J125" s="93">
        <f t="shared" ref="J125:J130" si="59">IF(AND(H125="",I125=""),"",H125+I125*$F125/1000)</f>
        <v>7.4</v>
      </c>
      <c r="K125" s="44">
        <f>IFERROR(J125/J130,"")</f>
        <v>3.5863138509256566E-3</v>
      </c>
      <c r="L125" s="44"/>
      <c r="M125" s="49">
        <f t="shared" si="57"/>
        <v>1</v>
      </c>
      <c r="N125" s="44"/>
      <c r="P125" s="93">
        <f t="array" ref="P125">IFERROR(INDEX('Detail inputs'!$B$3:$L$304,MATCH($B125&amp;$G125&amp;P$5,'Detail inputs'!$B$3:$B$304&amp;'Detail inputs'!$G$3:$G$304&amp;'Detail inputs'!$H$3:$H$304,0),MATCH(P$4,'Detail inputs'!$B$3:$L$3,0)),0)</f>
        <v>0.74</v>
      </c>
      <c r="Q125" s="93">
        <f t="shared" ref="Q125:Q130" si="60">IF(AND(O125="",P125=""),"",O125+P125*$F125/1000)</f>
        <v>14.8</v>
      </c>
      <c r="R125" s="44">
        <f>IFERROR(Q125/Q130,"")</f>
        <v>7.0295430796998197E-3</v>
      </c>
    </row>
    <row r="126" spans="2:22" x14ac:dyDescent="0.3">
      <c r="B126" s="3" t="str">
        <f t="shared" si="58"/>
        <v>Essential</v>
      </c>
      <c r="C126" s="3" t="str">
        <f t="shared" si="55"/>
        <v>Small business</v>
      </c>
      <c r="D126" s="3" t="str">
        <f t="shared" si="56"/>
        <v>without CL</v>
      </c>
      <c r="E126" s="3" t="s">
        <v>24</v>
      </c>
      <c r="F126" s="41">
        <f t="array" ref="F126">IFERROR(INDEX(Usage!$B$5:$T$18,MATCH($B126,Usage!$B$5:$B$18,0),MATCH($C126&amp;$D126&amp;$E126,Usage!$B$5:$W$5&amp;Usage!$B$6:$W$6&amp;Usage!$B$7:$W$7,0)),0)</f>
        <v>20000</v>
      </c>
      <c r="G126" s="3" t="s">
        <v>89</v>
      </c>
      <c r="I126" s="93">
        <f t="array" ref="I126">IFERROR(INDEX('Detail inputs'!$B$3:$L$304,MATCH($B126&amp;$G126&amp;I$5,'Detail inputs'!$B$3:$B$304&amp;'Detail inputs'!$G$3:$G$304&amp;'Detail inputs'!$H$3:$H$304,0),MATCH(I$4,'Detail inputs'!$B$3:$L$3,0)),0)</f>
        <v>0.63</v>
      </c>
      <c r="J126" s="93">
        <f t="shared" si="59"/>
        <v>12.6</v>
      </c>
      <c r="K126" s="44">
        <f>IFERROR(J126/J130,"")</f>
        <v>6.1064262867112527E-3</v>
      </c>
      <c r="L126" s="44"/>
      <c r="M126" s="49">
        <f t="shared" si="57"/>
        <v>0.11111111111111116</v>
      </c>
      <c r="N126" s="44"/>
      <c r="P126" s="93">
        <f t="array" ref="P126">IFERROR(INDEX('Detail inputs'!$B$3:$L$304,MATCH($B126&amp;$G126&amp;P$5,'Detail inputs'!$B$3:$B$304&amp;'Detail inputs'!$G$3:$G$304&amp;'Detail inputs'!$H$3:$H$304,0),MATCH(P$4,'Detail inputs'!$B$3:$L$3,0)),0)</f>
        <v>0.7</v>
      </c>
      <c r="Q126" s="93">
        <f t="shared" si="60"/>
        <v>14</v>
      </c>
      <c r="R126" s="44">
        <f>IFERROR(Q126/Q130,"")</f>
        <v>6.6495677780944234E-3</v>
      </c>
    </row>
    <row r="127" spans="2:22" x14ac:dyDescent="0.3">
      <c r="B127" s="3" t="str">
        <f t="shared" si="58"/>
        <v>Essential</v>
      </c>
      <c r="C127" s="3" t="str">
        <f t="shared" si="55"/>
        <v>Small business</v>
      </c>
      <c r="D127" s="3" t="str">
        <f t="shared" si="56"/>
        <v>without CL</v>
      </c>
      <c r="E127" s="3" t="s">
        <v>24</v>
      </c>
      <c r="F127" s="41">
        <f t="array" ref="F127">IFERROR(INDEX(Usage!$B$5:$T$18,MATCH($B127,Usage!$B$5:$B$18,0),MATCH($C127&amp;$D127&amp;$E127,Usage!$B$5:$W$5&amp;Usage!$B$6:$W$6&amp;Usage!$B$7:$W$7,0)),0)</f>
        <v>20000</v>
      </c>
      <c r="G127" s="3" t="s">
        <v>80</v>
      </c>
      <c r="I127" s="93">
        <f t="array" ref="I127">IFERROR(INDEX('Detail inputs'!$B$3:$L$304,MATCH($B127&amp;$G127&amp;I$5,'Detail inputs'!$B$3:$B$304&amp;'Detail inputs'!$G$3:$G$304&amp;'Detail inputs'!$H$3:$H$304,0),MATCH(I$4,'Detail inputs'!$B$3:$L$3,0)),0)</f>
        <v>0</v>
      </c>
      <c r="J127" s="93">
        <f t="shared" si="59"/>
        <v>0</v>
      </c>
      <c r="K127" s="44">
        <f>IFERROR(J127/J130,"")</f>
        <v>0</v>
      </c>
      <c r="L127" s="44"/>
      <c r="M127" s="49" t="str">
        <f t="shared" si="57"/>
        <v/>
      </c>
      <c r="N127" s="44"/>
      <c r="P127" s="93">
        <f t="array" ref="P127">IFERROR(INDEX('Detail inputs'!$B$3:$L$304,MATCH($B127&amp;$G127&amp;P$5,'Detail inputs'!$B$3:$B$304&amp;'Detail inputs'!$G$3:$G$304&amp;'Detail inputs'!$H$3:$H$304,0),MATCH(P$4,'Detail inputs'!$B$3:$L$3,0)),0)</f>
        <v>0</v>
      </c>
      <c r="Q127" s="93">
        <f t="shared" si="60"/>
        <v>0</v>
      </c>
      <c r="R127" s="44">
        <f>IFERROR(Q127/Q130,"")</f>
        <v>0</v>
      </c>
    </row>
    <row r="128" spans="2:22" x14ac:dyDescent="0.3">
      <c r="B128" s="3" t="str">
        <f t="shared" si="58"/>
        <v>Essential</v>
      </c>
      <c r="C128" s="3" t="str">
        <f t="shared" si="55"/>
        <v>Small business</v>
      </c>
      <c r="D128" s="3" t="str">
        <f t="shared" si="56"/>
        <v>without CL</v>
      </c>
      <c r="E128" s="3" t="s">
        <v>24</v>
      </c>
      <c r="F128" s="41">
        <f t="array" ref="F128">IFERROR(INDEX(Usage!$B$5:$T$18,MATCH($B128,Usage!$B$5:$B$18,0),MATCH($C128&amp;$D128&amp;$E128,Usage!$B$5:$W$5&amp;Usage!$B$6:$W$6&amp;Usage!$B$7:$W$7,0)),0)</f>
        <v>20000</v>
      </c>
      <c r="G128" s="3" t="s">
        <v>177</v>
      </c>
      <c r="I128" s="93">
        <f t="array" ref="I128">IFERROR(INDEX('Detail inputs'!$B$3:$L$304,MATCH($B128&amp;$G128&amp;I$5,'Detail inputs'!$B$3:$B$304&amp;'Detail inputs'!$G$3:$G$304&amp;'Detail inputs'!$H$3:$H$304,0),MATCH(I$4,'Detail inputs'!$B$3:$L$3,0)),0)</f>
        <v>1.82</v>
      </c>
      <c r="J128" s="93">
        <f t="shared" si="59"/>
        <v>36.4</v>
      </c>
      <c r="K128" s="44">
        <f>IFERROR(J128/J130,"")</f>
        <v>1.7640787050499176E-2</v>
      </c>
      <c r="L128" s="44"/>
      <c r="M128" s="49">
        <f t="shared" si="57"/>
        <v>-0.10439560439560447</v>
      </c>
      <c r="N128" s="44"/>
      <c r="P128" s="93">
        <f t="array" ref="P128">IFERROR(INDEX('Detail inputs'!$B$3:$L$304,MATCH($B128&amp;$G128&amp;P$5,'Detail inputs'!$B$3:$B$304&amp;'Detail inputs'!$G$3:$G$304&amp;'Detail inputs'!$H$3:$H$304,0),MATCH(P$4,'Detail inputs'!$B$3:$L$3,0)),0)</f>
        <v>1.63</v>
      </c>
      <c r="Q128" s="93">
        <f t="shared" si="60"/>
        <v>32.599999999999994</v>
      </c>
      <c r="R128" s="44">
        <f>IFERROR(Q128/Q130,"")</f>
        <v>1.548399354041987E-2</v>
      </c>
    </row>
    <row r="129" spans="2:22" x14ac:dyDescent="0.3">
      <c r="B129" s="3" t="str">
        <f t="shared" si="58"/>
        <v>Essential</v>
      </c>
      <c r="C129" s="3" t="str">
        <f t="shared" si="55"/>
        <v>Small business</v>
      </c>
      <c r="D129" s="3" t="str">
        <f t="shared" si="56"/>
        <v>without CL</v>
      </c>
      <c r="E129" s="3" t="s">
        <v>24</v>
      </c>
      <c r="F129" s="41">
        <f t="array" ref="F129">IFERROR(INDEX(Usage!$B$5:$T$18,MATCH($B129,Usage!$B$5:$B$18,0),MATCH($C129&amp;$D129&amp;$E129,Usage!$B$5:$W$5&amp;Usage!$B$6:$W$6&amp;Usage!$B$7:$W$7,0)),0)</f>
        <v>20000</v>
      </c>
      <c r="G129" s="3" t="s">
        <v>81</v>
      </c>
      <c r="I129" s="93">
        <f t="array" ref="I129">ROUND(IFERROR(INDEX('Detail inputs'!$B$3:$L$304,MATCH($B129&amp;$C129&amp;$E129&amp;$G129&amp;I$5,'Detail inputs'!$B$3:$B$304&amp;'Detail inputs'!$D$3:$D$304&amp;'Detail inputs'!$F$3:$F$304&amp;'Detail inputs'!$G$3:$G$304&amp;'Detail inputs'!$H$3:$H$304,0),MATCH(I$4,'Detail inputs'!$B$3:$L$3,0)),0)*SUM(I124:I128),2)</f>
        <v>5.66</v>
      </c>
      <c r="J129" s="93">
        <f t="shared" si="59"/>
        <v>113.2</v>
      </c>
      <c r="K129" s="44">
        <f>IFERROR(J129/J130,"")</f>
        <v>5.4860909179024912E-2</v>
      </c>
      <c r="L129" s="44"/>
      <c r="M129" s="49">
        <f t="shared" si="57"/>
        <v>-6.360424028268552E-2</v>
      </c>
      <c r="N129" s="44"/>
      <c r="P129" s="93">
        <f t="array" ref="P129">ROUND(IFERROR(INDEX('Detail inputs'!$B$3:$L$304,MATCH($B129&amp;$C129&amp;$E129&amp;$G129&amp;P$5,'Detail inputs'!$B$3:$B$304&amp;'Detail inputs'!$D$3:$D$304&amp;'Detail inputs'!$F$3:$F$304&amp;'Detail inputs'!$G$3:$G$304&amp;'Detail inputs'!$H$3:$H$304,0),MATCH(P$4,'Detail inputs'!$B$3:$L$3,0)),0)*SUM(P124:P128),2)</f>
        <v>5.3</v>
      </c>
      <c r="Q129" s="93">
        <f t="shared" si="60"/>
        <v>106</v>
      </c>
      <c r="R129" s="44">
        <f>IFERROR(Q129/Q130,"")</f>
        <v>5.0346727462714923E-2</v>
      </c>
    </row>
    <row r="130" spans="2:22" s="81" customFormat="1" x14ac:dyDescent="0.3">
      <c r="B130" s="3" t="str">
        <f t="shared" si="58"/>
        <v>Essential</v>
      </c>
      <c r="C130" s="3" t="str">
        <f t="shared" si="55"/>
        <v>Small business</v>
      </c>
      <c r="D130" s="3" t="str">
        <f t="shared" si="56"/>
        <v>without CL</v>
      </c>
      <c r="E130" s="3" t="s">
        <v>24</v>
      </c>
      <c r="F130" s="41">
        <f t="array" ref="F130">IFERROR(INDEX(Usage!$B$5:$T$18,MATCH($B130,Usage!$B$5:$B$18,0),MATCH($C130&amp;$D130&amp;$E130,Usage!$B$5:$W$5&amp;Usage!$B$6:$W$6&amp;Usage!$B$7:$W$7,0)),0)</f>
        <v>20000</v>
      </c>
      <c r="G130" s="81" t="s">
        <v>58</v>
      </c>
      <c r="H130" s="99"/>
      <c r="I130" s="99">
        <f t="array" ref="I130">INDEX('Key inputs'!$B$15:$G$33,MATCH($B130&amp;$E130,'Key inputs'!$B$15:$B$33&amp;'Key inputs'!$C$15:$C$33,0),MATCH($A$2&amp;I$4,'Key inputs'!$B$16:$G$16&amp;'Key inputs'!$B$17:$G$17,0))</f>
        <v>103.17</v>
      </c>
      <c r="J130" s="93">
        <f t="shared" si="59"/>
        <v>2063.4</v>
      </c>
      <c r="K130" s="91"/>
      <c r="L130" s="92"/>
      <c r="M130" s="83">
        <f t="shared" si="57"/>
        <v>2.0354754289037436E-2</v>
      </c>
      <c r="N130" s="92"/>
      <c r="O130" s="99"/>
      <c r="P130" s="99">
        <f t="array" ref="P130">INDEX('Key inputs'!$B$15:$G$33,MATCH($B130&amp;$E130,'Key inputs'!$B$15:$B$33&amp;'Key inputs'!$C$15:$C$33,0),MATCH($A$2&amp;P$4,'Key inputs'!$B$16:$G$16&amp;'Key inputs'!$B$17:$G$17,0))</f>
        <v>105.27000000000001</v>
      </c>
      <c r="Q130" s="93">
        <f t="shared" si="60"/>
        <v>2105.4</v>
      </c>
      <c r="R130" s="91"/>
      <c r="S130" s="133" t="b">
        <f>ROUND(I130,$W$5)=ROUND(SUM(I124:I129),$W$5)</f>
        <v>1</v>
      </c>
      <c r="T130" s="133" t="b">
        <f>ROUND(P130,$W$5)=ROUND(SUM(P124:P129),$W$5)</f>
        <v>1</v>
      </c>
      <c r="U130" s="132"/>
      <c r="V130" s="132"/>
    </row>
    <row r="131" spans="2:22" x14ac:dyDescent="0.3">
      <c r="B131" s="3" t="str">
        <f t="shared" si="58"/>
        <v>Essential</v>
      </c>
      <c r="C131" s="3" t="str">
        <f t="shared" si="55"/>
        <v>Small business</v>
      </c>
      <c r="D131" s="3" t="str">
        <f t="shared" si="56"/>
        <v>without CL</v>
      </c>
      <c r="F131" s="41"/>
      <c r="G131" s="81" t="s">
        <v>41</v>
      </c>
      <c r="H131" s="99"/>
      <c r="I131" s="99"/>
      <c r="J131" s="99">
        <f>J130*GST</f>
        <v>206.34000000000003</v>
      </c>
      <c r="K131" s="91"/>
      <c r="L131" s="92"/>
      <c r="M131" s="83"/>
      <c r="N131" s="92"/>
      <c r="O131" s="99"/>
      <c r="P131" s="99"/>
      <c r="Q131" s="99">
        <f>Q130*GST</f>
        <v>210.54000000000002</v>
      </c>
      <c r="R131" s="79"/>
    </row>
    <row r="132" spans="2:22" x14ac:dyDescent="0.3">
      <c r="B132" s="3" t="str">
        <f t="shared" si="58"/>
        <v>Essential</v>
      </c>
      <c r="C132" s="3" t="str">
        <f t="shared" si="55"/>
        <v>Small business</v>
      </c>
      <c r="D132" s="3" t="str">
        <f t="shared" si="56"/>
        <v>without CL</v>
      </c>
      <c r="F132" s="41"/>
      <c r="G132" s="5" t="s">
        <v>91</v>
      </c>
      <c r="H132" s="98"/>
      <c r="I132" s="98"/>
      <c r="J132" s="98">
        <f>SUM(J130:J131)</f>
        <v>2269.7400000000002</v>
      </c>
      <c r="K132" s="79"/>
      <c r="L132" s="27"/>
      <c r="M132" s="80">
        <f>IF(OR(J132=0,Q132=""),"",Q132/J132-1)</f>
        <v>2.0354754289037436E-2</v>
      </c>
      <c r="N132" s="27"/>
      <c r="O132" s="98"/>
      <c r="P132" s="98"/>
      <c r="Q132" s="98">
        <f>SUM(Q130:Q131)</f>
        <v>2315.94</v>
      </c>
      <c r="R132" s="79"/>
    </row>
    <row r="133" spans="2:22" x14ac:dyDescent="0.3">
      <c r="F133" s="41"/>
      <c r="K133" s="44"/>
      <c r="M133" s="49"/>
      <c r="R133" s="44"/>
    </row>
    <row r="134" spans="2:22" x14ac:dyDescent="0.3">
      <c r="B134" s="5" t="s">
        <v>0</v>
      </c>
      <c r="C134" s="5" t="s">
        <v>6</v>
      </c>
      <c r="D134" s="5" t="s">
        <v>158</v>
      </c>
      <c r="F134" s="41"/>
      <c r="K134" s="44"/>
      <c r="M134" s="49"/>
      <c r="R134" s="44"/>
    </row>
    <row r="135" spans="2:22" x14ac:dyDescent="0.3">
      <c r="B135" s="3" t="str">
        <f>B134</f>
        <v>Energex</v>
      </c>
      <c r="C135" s="3" t="str">
        <f t="shared" ref="C135:C143" si="61">C134</f>
        <v>Residential</v>
      </c>
      <c r="D135" s="3" t="str">
        <f t="shared" ref="D135:D143" si="62">D134</f>
        <v>without CL</v>
      </c>
      <c r="E135" s="3" t="s">
        <v>24</v>
      </c>
      <c r="F135" s="41">
        <f t="array" ref="F135">IFERROR(INDEX(Usage!$B$5:$T$18,MATCH($B135,Usage!$B$5:$B$18,0),MATCH($C135&amp;$D135&amp;$E135&amp;"Total",Usage!$B$5:$W$5&amp;Usage!$B$6:$W$6&amp;Usage!$B$7:$W$7&amp;Usage!$B$13:$W$13,0)),0)</f>
        <v>4600</v>
      </c>
      <c r="G135" s="3" t="s">
        <v>78</v>
      </c>
      <c r="I135" s="93">
        <f t="array" ref="I135">IFERROR(INDEX('Detail inputs'!$B$3:$L$304,MATCH($B135&amp;$C135&amp;$E135&amp;$G135&amp;I$5,'Detail inputs'!$B$3:$B$304&amp;'Detail inputs'!$D$3:$D$304&amp;'Detail inputs'!$F$3:$F$304&amp;'Detail inputs'!$G$3:$G$304&amp;'Detail inputs'!$H$3:$H$304,0),MATCH(I$4,'Detail inputs'!$B$3:$L$3,0)),0)</f>
        <v>89.16</v>
      </c>
      <c r="J135" s="93">
        <f>IF(AND(H135="",I135=""),"",H135+I135*$F135/1000)</f>
        <v>410.13600000000002</v>
      </c>
      <c r="K135" s="44">
        <f>IFERROR(J135/J141,"")</f>
        <v>0.90665039658328261</v>
      </c>
      <c r="L135" s="44"/>
      <c r="M135" s="49">
        <f t="shared" ref="M135:M141" si="63">IF(OR(J135=0,Q135=""),"",Q135/J135-1)</f>
        <v>-4.4302377747869048E-2</v>
      </c>
      <c r="N135" s="44"/>
      <c r="P135" s="93">
        <f t="array" ref="P135">IFERROR(INDEX('Detail inputs'!$B$3:$L$304,MATCH($B135&amp;$C135&amp;$E135&amp;$G135&amp;P$5,'Detail inputs'!$B$3:$B$304&amp;'Detail inputs'!$D$3:$D$304&amp;'Detail inputs'!$F$3:$F$304&amp;'Detail inputs'!$G$3:$G$304&amp;'Detail inputs'!$H$3:$H$304,0),MATCH(P$4,'Detail inputs'!$B$3:$L$3,0)),0)</f>
        <v>85.21</v>
      </c>
      <c r="Q135" s="93">
        <f>IF(AND(O135="",P135=""),"",O135+P135*$F135/1000)</f>
        <v>391.96600000000001</v>
      </c>
      <c r="R135" s="44">
        <f>IFERROR(Q135/Q141,"")</f>
        <v>0.90581481875199332</v>
      </c>
    </row>
    <row r="136" spans="2:22" x14ac:dyDescent="0.3">
      <c r="B136" s="3" t="str">
        <f t="shared" ref="B136:B143" si="64">B135</f>
        <v>Energex</v>
      </c>
      <c r="C136" s="3" t="str">
        <f t="shared" si="61"/>
        <v>Residential</v>
      </c>
      <c r="D136" s="3" t="str">
        <f t="shared" si="62"/>
        <v>without CL</v>
      </c>
      <c r="E136" s="3" t="s">
        <v>24</v>
      </c>
      <c r="F136" s="41">
        <f t="array" ref="F136">IFERROR(INDEX(Usage!$B$5:$T$18,MATCH($B136,Usage!$B$5:$B$18,0),MATCH($C136&amp;$D136&amp;$E136&amp;"Total",Usage!$B$5:$W$5&amp;Usage!$B$6:$W$6&amp;Usage!$B$7:$W$7&amp;Usage!$B$13:$W$13,0)),0)</f>
        <v>4600</v>
      </c>
      <c r="G136" s="3" t="s">
        <v>79</v>
      </c>
      <c r="I136" s="93">
        <f t="array" ref="I136">IFERROR(INDEX('Detail inputs'!$B$3:$L$304,MATCH($B136&amp;$G136&amp;I$5,'Detail inputs'!$B$3:$B$304&amp;'Detail inputs'!$G$3:$G$304&amp;'Detail inputs'!$H$3:$H$304,0),MATCH(I$4,'Detail inputs'!$B$3:$L$3,0)),0)</f>
        <v>0.37</v>
      </c>
      <c r="J136" s="93">
        <f t="shared" ref="J136:J141" si="65">IF(AND(H136="",I136=""),"",H136+I136*$F136/1000)</f>
        <v>1.702</v>
      </c>
      <c r="K136" s="44">
        <f>IFERROR(J136/J141,"")</f>
        <v>3.7624567825910111E-3</v>
      </c>
      <c r="L136" s="44"/>
      <c r="M136" s="49">
        <f t="shared" si="63"/>
        <v>1</v>
      </c>
      <c r="N136" s="44"/>
      <c r="P136" s="93">
        <f t="array" ref="P136">IFERROR(INDEX('Detail inputs'!$B$3:$L$304,MATCH($B136&amp;$G136&amp;P$5,'Detail inputs'!$B$3:$B$304&amp;'Detail inputs'!$G$3:$G$304&amp;'Detail inputs'!$H$3:$H$304,0),MATCH(P$4,'Detail inputs'!$B$3:$L$3,0)),0)</f>
        <v>0.74</v>
      </c>
      <c r="Q136" s="93">
        <f t="shared" ref="Q136:Q141" si="66">IF(AND(O136="",P136=""),"",O136+P136*$F136/1000)</f>
        <v>3.4039999999999999</v>
      </c>
      <c r="R136" s="44">
        <f>IFERROR(Q136/Q141,"")</f>
        <v>7.866482406718403E-3</v>
      </c>
    </row>
    <row r="137" spans="2:22" x14ac:dyDescent="0.3">
      <c r="B137" s="3" t="str">
        <f t="shared" si="64"/>
        <v>Energex</v>
      </c>
      <c r="C137" s="3" t="str">
        <f t="shared" si="61"/>
        <v>Residential</v>
      </c>
      <c r="D137" s="3" t="str">
        <f t="shared" si="62"/>
        <v>without CL</v>
      </c>
      <c r="E137" s="3" t="s">
        <v>24</v>
      </c>
      <c r="F137" s="41">
        <f t="array" ref="F137">IFERROR(INDEX(Usage!$B$5:$T$18,MATCH($B137,Usage!$B$5:$B$18,0),MATCH($C137&amp;$D137&amp;$E137&amp;"Total",Usage!$B$5:$W$5&amp;Usage!$B$6:$W$6&amp;Usage!$B$7:$W$7&amp;Usage!$B$13:$W$13,0)),0)</f>
        <v>4600</v>
      </c>
      <c r="G137" s="3" t="s">
        <v>89</v>
      </c>
      <c r="I137" s="93">
        <f t="array" ref="I137">IFERROR(INDEX('Detail inputs'!$B$3:$L$304,MATCH($B137&amp;$G137&amp;I$5,'Detail inputs'!$B$3:$B$304&amp;'Detail inputs'!$G$3:$G$304&amp;'Detail inputs'!$H$3:$H$304,0),MATCH(I$4,'Detail inputs'!$B$3:$L$3,0)),0)</f>
        <v>0.63</v>
      </c>
      <c r="J137" s="93">
        <f t="shared" si="65"/>
        <v>2.8980000000000001</v>
      </c>
      <c r="K137" s="44">
        <f>IFERROR(J137/J141,"")</f>
        <v>6.4063453325198302E-3</v>
      </c>
      <c r="L137" s="44"/>
      <c r="M137" s="49">
        <f t="shared" si="63"/>
        <v>0.11111111111111116</v>
      </c>
      <c r="N137" s="44"/>
      <c r="P137" s="93">
        <f t="array" ref="P137">IFERROR(INDEX('Detail inputs'!$B$3:$L$304,MATCH($B137&amp;$G137&amp;P$5,'Detail inputs'!$B$3:$B$304&amp;'Detail inputs'!$G$3:$G$304&amp;'Detail inputs'!$H$3:$H$304,0),MATCH(P$4,'Detail inputs'!$B$3:$L$3,0)),0)</f>
        <v>0.7</v>
      </c>
      <c r="Q137" s="93">
        <f t="shared" si="66"/>
        <v>3.22</v>
      </c>
      <c r="R137" s="44">
        <f>IFERROR(Q137/Q141,"")</f>
        <v>7.4412671414903816E-3</v>
      </c>
    </row>
    <row r="138" spans="2:22" x14ac:dyDescent="0.3">
      <c r="B138" s="3" t="str">
        <f t="shared" si="64"/>
        <v>Energex</v>
      </c>
      <c r="C138" s="3" t="str">
        <f t="shared" si="61"/>
        <v>Residential</v>
      </c>
      <c r="D138" s="3" t="str">
        <f t="shared" si="62"/>
        <v>without CL</v>
      </c>
      <c r="E138" s="3" t="s">
        <v>24</v>
      </c>
      <c r="F138" s="41">
        <f t="array" ref="F138">IFERROR(INDEX(Usage!$B$5:$T$18,MATCH($B138,Usage!$B$5:$B$18,0),MATCH($C138&amp;$D138&amp;$E138&amp;"Total",Usage!$B$5:$W$5&amp;Usage!$B$6:$W$6&amp;Usage!$B$7:$W$7&amp;Usage!$B$13:$W$13,0)),0)</f>
        <v>4600</v>
      </c>
      <c r="G138" s="3" t="s">
        <v>80</v>
      </c>
      <c r="I138" s="93">
        <f t="array" ref="I138">IFERROR(INDEX('Detail inputs'!$B$3:$L$304,MATCH($B138&amp;$G138&amp;I$5,'Detail inputs'!$B$3:$B$304&amp;'Detail inputs'!$G$3:$G$304&amp;'Detail inputs'!$H$3:$H$304,0),MATCH(I$4,'Detail inputs'!$B$3:$L$3,0)),0)</f>
        <v>0</v>
      </c>
      <c r="J138" s="93">
        <f t="shared" si="65"/>
        <v>0</v>
      </c>
      <c r="K138" s="44">
        <f>IFERROR(J138/J141,"")</f>
        <v>0</v>
      </c>
      <c r="L138" s="44"/>
      <c r="M138" s="49" t="str">
        <f t="shared" si="63"/>
        <v/>
      </c>
      <c r="N138" s="44"/>
      <c r="P138" s="93">
        <f t="array" ref="P138">IFERROR(INDEX('Detail inputs'!$B$3:$L$304,MATCH($B138&amp;$G138&amp;P$5,'Detail inputs'!$B$3:$B$304&amp;'Detail inputs'!$G$3:$G$304&amp;'Detail inputs'!$H$3:$H$304,0),MATCH(P$4,'Detail inputs'!$B$3:$L$3,0)),0)</f>
        <v>0</v>
      </c>
      <c r="Q138" s="93">
        <f t="shared" si="66"/>
        <v>0</v>
      </c>
      <c r="R138" s="44">
        <f>IFERROR(Q138/Q141,"")</f>
        <v>0</v>
      </c>
    </row>
    <row r="139" spans="2:22" x14ac:dyDescent="0.3">
      <c r="B139" s="3" t="str">
        <f t="shared" si="64"/>
        <v>Energex</v>
      </c>
      <c r="C139" s="3" t="str">
        <f t="shared" si="61"/>
        <v>Residential</v>
      </c>
      <c r="D139" s="3" t="str">
        <f t="shared" si="62"/>
        <v>without CL</v>
      </c>
      <c r="E139" s="3" t="s">
        <v>24</v>
      </c>
      <c r="F139" s="41">
        <f t="array" ref="F139">IFERROR(INDEX(Usage!$B$5:$T$18,MATCH($B139,Usage!$B$5:$B$18,0),MATCH($C139&amp;$D139&amp;$E139&amp;"Total",Usage!$B$5:$W$5&amp;Usage!$B$6:$W$6&amp;Usage!$B$7:$W$7&amp;Usage!$B$13:$W$13,0)),0)</f>
        <v>4600</v>
      </c>
      <c r="G139" s="3" t="s">
        <v>177</v>
      </c>
      <c r="I139" s="93">
        <f t="array" ref="I139">IFERROR(INDEX('Detail inputs'!$B$3:$L$304,MATCH($B139&amp;$G139&amp;I$5,'Detail inputs'!$B$3:$B$304&amp;'Detail inputs'!$G$3:$G$304&amp;'Detail inputs'!$H$3:$H$304,0),MATCH(I$4,'Detail inputs'!$B$3:$L$3,0)),0)</f>
        <v>2.1800000000000002</v>
      </c>
      <c r="J139" s="93">
        <f t="shared" si="65"/>
        <v>10.028</v>
      </c>
      <c r="K139" s="44">
        <f>IFERROR(J139/J141,"")</f>
        <v>2.2167988610941634E-2</v>
      </c>
      <c r="L139" s="44"/>
      <c r="M139" s="49">
        <f t="shared" si="63"/>
        <v>-0.22935779816513768</v>
      </c>
      <c r="N139" s="44"/>
      <c r="P139" s="93">
        <f t="array" ref="P139">IFERROR(INDEX('Detail inputs'!$B$3:$L$304,MATCH($B139&amp;$G139&amp;P$5,'Detail inputs'!$B$3:$B$304&amp;'Detail inputs'!$G$3:$G$304&amp;'Detail inputs'!$H$3:$H$304,0),MATCH(P$4,'Detail inputs'!$B$3:$L$3,0)),0)</f>
        <v>1.68</v>
      </c>
      <c r="Q139" s="93">
        <f t="shared" si="66"/>
        <v>7.7279999999999998</v>
      </c>
      <c r="R139" s="44">
        <f>IFERROR(Q139/Q141,"")</f>
        <v>1.7859041139576915E-2</v>
      </c>
    </row>
    <row r="140" spans="2:22" x14ac:dyDescent="0.3">
      <c r="B140" s="3" t="str">
        <f t="shared" si="64"/>
        <v>Energex</v>
      </c>
      <c r="C140" s="3" t="str">
        <f t="shared" si="61"/>
        <v>Residential</v>
      </c>
      <c r="D140" s="3" t="str">
        <f t="shared" si="62"/>
        <v>without CL</v>
      </c>
      <c r="E140" s="3" t="s">
        <v>24</v>
      </c>
      <c r="F140" s="41">
        <f t="array" ref="F140">IFERROR(INDEX(Usage!$B$5:$T$18,MATCH($B140,Usage!$B$5:$B$18,0),MATCH($C140&amp;$D140&amp;$E140&amp;"Total",Usage!$B$5:$W$5&amp;Usage!$B$6:$W$6&amp;Usage!$B$7:$W$7&amp;Usage!$B$13:$W$13,0)),0)</f>
        <v>4600</v>
      </c>
      <c r="G140" s="3" t="s">
        <v>81</v>
      </c>
      <c r="I140" s="93">
        <f t="array" ref="I140">ROUND(IFERROR(INDEX('Detail inputs'!$B$3:$L$304,MATCH($B140&amp;$C140&amp;$E140&amp;$G140&amp;I$5,'Detail inputs'!$B$3:$B$304&amp;'Detail inputs'!$D$3:$D$304&amp;'Detail inputs'!$F$3:$F$304&amp;'Detail inputs'!$G$3:$G$304&amp;'Detail inputs'!$H$3:$H$304,0),MATCH(I$4,'Detail inputs'!$B$3:$L$3,0)),0)*SUM(I135:I139),2)</f>
        <v>6</v>
      </c>
      <c r="J140" s="93">
        <f t="shared" si="65"/>
        <v>27.6</v>
      </c>
      <c r="K140" s="44">
        <f>IFERROR(J140/J141,"")</f>
        <v>6.1012812690665046E-2</v>
      </c>
      <c r="L140" s="44"/>
      <c r="M140" s="49">
        <f t="shared" si="63"/>
        <v>-4.3333333333333335E-2</v>
      </c>
      <c r="N140" s="44"/>
      <c r="P140" s="93">
        <f t="array" ref="P140">ROUND(IFERROR(INDEX('Detail inputs'!$B$3:$L$304,MATCH($B140&amp;$C140&amp;$E140&amp;$G140&amp;P$5,'Detail inputs'!$B$3:$B$304&amp;'Detail inputs'!$D$3:$D$304&amp;'Detail inputs'!$F$3:$F$304&amp;'Detail inputs'!$G$3:$G$304&amp;'Detail inputs'!$H$3:$H$304,0),MATCH(P$4,'Detail inputs'!$B$3:$L$3,0)),0)*SUM(P135:P139),2)</f>
        <v>5.74</v>
      </c>
      <c r="Q140" s="93">
        <f t="shared" si="66"/>
        <v>26.404</v>
      </c>
      <c r="R140" s="44">
        <f>IFERROR(Q140/Q141,"")</f>
        <v>6.1018390560221125E-2</v>
      </c>
    </row>
    <row r="141" spans="2:22" s="81" customFormat="1" x14ac:dyDescent="0.3">
      <c r="B141" s="3" t="str">
        <f t="shared" si="64"/>
        <v>Energex</v>
      </c>
      <c r="C141" s="3" t="str">
        <f t="shared" si="61"/>
        <v>Residential</v>
      </c>
      <c r="D141" s="3" t="str">
        <f t="shared" si="62"/>
        <v>without CL</v>
      </c>
      <c r="E141" s="3" t="s">
        <v>24</v>
      </c>
      <c r="F141" s="41">
        <f t="array" ref="F141">IFERROR(INDEX(Usage!$B$5:$T$18,MATCH($B141,Usage!$B$5:$B$18,0),MATCH($C141&amp;$D141&amp;$E141&amp;"Total",Usage!$B$5:$W$5&amp;Usage!$B$6:$W$6&amp;Usage!$B$7:$W$7&amp;Usage!$B$13:$W$13,0)),0)</f>
        <v>4600</v>
      </c>
      <c r="G141" s="81" t="s">
        <v>58</v>
      </c>
      <c r="H141" s="99"/>
      <c r="I141" s="99">
        <f t="array" ref="I141">INDEX('Key inputs'!$B$15:$G$33,MATCH($B141&amp;$E141,'Key inputs'!$B$15:$B$33&amp;'Key inputs'!$C$15:$C$33,0),MATCH($A$2&amp;I$4,'Key inputs'!$B$16:$G$16&amp;'Key inputs'!$B$17:$G$17,0))</f>
        <v>98.34</v>
      </c>
      <c r="J141" s="93">
        <f t="shared" si="65"/>
        <v>452.36399999999998</v>
      </c>
      <c r="K141" s="91"/>
      <c r="L141" s="92"/>
      <c r="M141" s="83">
        <f t="shared" si="63"/>
        <v>-4.3420785031523357E-2</v>
      </c>
      <c r="N141" s="92"/>
      <c r="O141" s="99"/>
      <c r="P141" s="99">
        <f t="array" ref="P141">INDEX('Key inputs'!$B$15:$G$33,MATCH($B141&amp;$E141,'Key inputs'!$B$15:$B$33&amp;'Key inputs'!$C$15:$C$33,0),MATCH($A$2&amp;P$4,'Key inputs'!$B$16:$G$16&amp;'Key inputs'!$B$17:$G$17,0))</f>
        <v>94.07</v>
      </c>
      <c r="Q141" s="93">
        <f t="shared" si="66"/>
        <v>432.72199999999992</v>
      </c>
      <c r="R141" s="91"/>
      <c r="S141" s="133" t="b">
        <f>ROUND(I141,$W$5)=ROUND(SUM(I135:I140),$W$5)</f>
        <v>1</v>
      </c>
      <c r="T141" s="133" t="b">
        <f>ROUND(P141,$W$5)=ROUND(SUM(P135:P140),$W$5)</f>
        <v>1</v>
      </c>
      <c r="U141" s="132"/>
      <c r="V141" s="132"/>
    </row>
    <row r="142" spans="2:22" x14ac:dyDescent="0.3">
      <c r="B142" s="3" t="str">
        <f t="shared" si="64"/>
        <v>Energex</v>
      </c>
      <c r="C142" s="3" t="str">
        <f t="shared" si="61"/>
        <v>Residential</v>
      </c>
      <c r="D142" s="3" t="str">
        <f t="shared" si="62"/>
        <v>without CL</v>
      </c>
      <c r="F142" s="41"/>
      <c r="G142" s="81" t="s">
        <v>41</v>
      </c>
      <c r="H142" s="99"/>
      <c r="I142" s="99"/>
      <c r="J142" s="99">
        <f>J141*GST</f>
        <v>45.236400000000003</v>
      </c>
      <c r="K142" s="91"/>
      <c r="L142" s="92"/>
      <c r="M142" s="83"/>
      <c r="N142" s="92"/>
      <c r="O142" s="99"/>
      <c r="P142" s="99"/>
      <c r="Q142" s="99">
        <f>Q141*GST</f>
        <v>43.272199999999998</v>
      </c>
      <c r="R142" s="79"/>
    </row>
    <row r="143" spans="2:22" x14ac:dyDescent="0.3">
      <c r="B143" s="3" t="str">
        <f t="shared" si="64"/>
        <v>Energex</v>
      </c>
      <c r="C143" s="3" t="str">
        <f t="shared" si="61"/>
        <v>Residential</v>
      </c>
      <c r="D143" s="3" t="str">
        <f t="shared" si="62"/>
        <v>without CL</v>
      </c>
      <c r="F143" s="41"/>
      <c r="G143" s="5" t="s">
        <v>91</v>
      </c>
      <c r="H143" s="98"/>
      <c r="I143" s="98"/>
      <c r="J143" s="98">
        <f>SUM(J141:J142)</f>
        <v>497.60039999999998</v>
      </c>
      <c r="K143" s="79"/>
      <c r="L143" s="27"/>
      <c r="M143" s="80">
        <f>IF(OR(J143=0,Q143=""),"",Q143/J143-1)</f>
        <v>-4.3420785031523357E-2</v>
      </c>
      <c r="N143" s="27"/>
      <c r="O143" s="98"/>
      <c r="P143" s="98"/>
      <c r="Q143" s="98">
        <f>SUM(Q141:Q142)</f>
        <v>475.99419999999992</v>
      </c>
      <c r="R143" s="79"/>
    </row>
    <row r="144" spans="2:22" x14ac:dyDescent="0.3">
      <c r="F144" s="41"/>
      <c r="K144" s="44"/>
      <c r="M144" s="49"/>
      <c r="R144" s="44"/>
    </row>
    <row r="145" spans="2:22" x14ac:dyDescent="0.3">
      <c r="B145" s="5" t="s">
        <v>0</v>
      </c>
      <c r="C145" s="5" t="s">
        <v>6</v>
      </c>
      <c r="D145" s="5" t="s">
        <v>159</v>
      </c>
      <c r="F145" s="41"/>
      <c r="K145" s="44"/>
      <c r="M145" s="49"/>
      <c r="R145" s="44"/>
    </row>
    <row r="146" spans="2:22" x14ac:dyDescent="0.3">
      <c r="B146" s="3" t="str">
        <f>B145</f>
        <v>Energex</v>
      </c>
      <c r="C146" s="3" t="str">
        <f t="shared" ref="C146:C163" si="67">C145</f>
        <v>Residential</v>
      </c>
      <c r="D146" s="3" t="str">
        <f t="shared" ref="D146:D163" si="68">D145</f>
        <v>with CL</v>
      </c>
      <c r="E146" s="3" t="s">
        <v>24</v>
      </c>
      <c r="F146" s="41">
        <f t="array" ref="F146">IFERROR(INDEX(Usage!$B$5:$T$18,MATCH($B146,Usage!$B$5:$B$18,0),MATCH($C146&amp;$D146&amp;$E146&amp;"Total",Usage!$B$5:$W$5&amp;Usage!$B$6:$W$6&amp;Usage!$B$7:$W$7&amp;Usage!$B$13:$W$13,0)),0)</f>
        <v>4400</v>
      </c>
      <c r="G146" s="3" t="s">
        <v>58</v>
      </c>
      <c r="I146" s="93">
        <f>I141</f>
        <v>98.34</v>
      </c>
      <c r="J146" s="93">
        <f>IF(AND(H146="",I146=""),"",H146+I146*$F146/1000)</f>
        <v>432.69600000000003</v>
      </c>
      <c r="K146" s="44"/>
      <c r="M146" s="49">
        <f>IF(OR(J146=0,Q146=""),"",Q146/J146-1)</f>
        <v>-4.3420785031523468E-2</v>
      </c>
      <c r="P146" s="93">
        <f>P141</f>
        <v>94.07</v>
      </c>
      <c r="Q146" s="93">
        <f>IF(AND(O146="",P146=""),"",O146+P146*$F146/1000)</f>
        <v>413.90799999999996</v>
      </c>
      <c r="R146" s="44"/>
    </row>
    <row r="147" spans="2:22" x14ac:dyDescent="0.3">
      <c r="B147" s="3" t="str">
        <f t="shared" ref="B147:B163" si="69">B146</f>
        <v>Energex</v>
      </c>
      <c r="C147" s="3" t="str">
        <f t="shared" si="67"/>
        <v>Residential</v>
      </c>
      <c r="D147" s="3" t="str">
        <f t="shared" si="68"/>
        <v>with CL</v>
      </c>
      <c r="E147" s="3" t="s">
        <v>15</v>
      </c>
      <c r="F147" s="41">
        <f t="array" ref="F147">IFERROR(INDEX(Usage!$B$5:$T$18,MATCH($B147,Usage!$B$5:$B$18,0),MATCH($C147&amp;$D147&amp;$E147,Usage!$B$5:$W$5&amp;Usage!$B$6:$W$6&amp;Usage!$B$7:$W$7,0)),0)</f>
        <v>551</v>
      </c>
      <c r="G147" s="3" t="s">
        <v>78</v>
      </c>
      <c r="I147" s="93">
        <f t="array" ref="I147">IFERROR(INDEX('Detail inputs'!$B$3:$L$304,MATCH($B147&amp;$C147&amp;$E147&amp;$G147&amp;I$5,'Detail inputs'!$B$3:$B$304&amp;'Detail inputs'!$D$3:$D$304&amp;'Detail inputs'!$F$3:$F$304&amp;'Detail inputs'!$G$3:$G$304&amp;'Detail inputs'!$H$3:$H$304,0),MATCH(I$4,'Detail inputs'!$B$3:$L$3,0)),0)</f>
        <v>64.91</v>
      </c>
      <c r="J147" s="93">
        <f>IF(AND(H147="",I147=""),"",H147+I147*$F147/1000)</f>
        <v>35.765409999999996</v>
      </c>
      <c r="K147" s="44">
        <f>IFERROR(J147/J153,"")</f>
        <v>0.89506343077771622</v>
      </c>
      <c r="L147" s="44"/>
      <c r="M147" s="49">
        <f>IF(OR(J147=0,Q147=""),"",Q147/J147-1)</f>
        <v>1.5714065629333085E-2</v>
      </c>
      <c r="N147" s="44"/>
      <c r="P147" s="93">
        <f t="array" ref="P147">IFERROR(INDEX('Detail inputs'!$B$3:$L$304,MATCH($B147&amp;$C147&amp;$E147&amp;$G147&amp;P$5,'Detail inputs'!$B$3:$B$304&amp;'Detail inputs'!$D$3:$D$304&amp;'Detail inputs'!$F$3:$F$304&amp;'Detail inputs'!$G$3:$G$304&amp;'Detail inputs'!$H$3:$H$304,0),MATCH(P$4,'Detail inputs'!$B$3:$L$3,0)),0)</f>
        <v>65.930000000000007</v>
      </c>
      <c r="Q147" s="93">
        <f>IF(AND(O147="",P147=""),"",O147+P147*$F147/1000)</f>
        <v>36.32743</v>
      </c>
      <c r="R147" s="44">
        <f>IFERROR(Q147/Q153,"")</f>
        <v>0.89651890127821587</v>
      </c>
    </row>
    <row r="148" spans="2:22" x14ac:dyDescent="0.3">
      <c r="B148" s="3" t="str">
        <f t="shared" si="69"/>
        <v>Energex</v>
      </c>
      <c r="C148" s="3" t="str">
        <f t="shared" si="67"/>
        <v>Residential</v>
      </c>
      <c r="D148" s="3" t="str">
        <f t="shared" si="68"/>
        <v>with CL</v>
      </c>
      <c r="E148" s="3" t="s">
        <v>15</v>
      </c>
      <c r="F148" s="41">
        <f t="array" ref="F148">IFERROR(INDEX(Usage!$B$5:$T$18,MATCH($B148,Usage!$B$5:$B$18,0),MATCH($C148&amp;$D148&amp;$E148,Usage!$B$5:$W$5&amp;Usage!$B$6:$W$6&amp;Usage!$B$7:$W$7,0)),0)</f>
        <v>551</v>
      </c>
      <c r="G148" s="3" t="s">
        <v>79</v>
      </c>
      <c r="I148" s="93">
        <f t="array" ref="I148">IFERROR(INDEX('Detail inputs'!$B$3:$L$304,MATCH($B148&amp;$G148&amp;I$5,'Detail inputs'!$B$3:$B$304&amp;'Detail inputs'!$G$3:$G$304&amp;'Detail inputs'!$H$3:$H$304,0),MATCH(I$4,'Detail inputs'!$B$3:$L$3,0)),0)</f>
        <v>0.37</v>
      </c>
      <c r="J148" s="93">
        <f>IF(AND(H148="",I148=""),"",H148+I148*$F148/1000)</f>
        <v>0.20387</v>
      </c>
      <c r="K148" s="44">
        <f>IFERROR(J148/J153,"")</f>
        <v>5.1020408163265293E-3</v>
      </c>
      <c r="L148" s="44"/>
      <c r="M148" s="49">
        <f>IF(OR(J148=0,Q148=""),"",Q148/J148-1)</f>
        <v>1</v>
      </c>
      <c r="N148" s="44"/>
      <c r="P148" s="93">
        <f t="array" ref="P148">IFERROR(INDEX('Detail inputs'!$B$3:$L$304,MATCH($B148&amp;$G148&amp;P$5,'Detail inputs'!$B$3:$B$304&amp;'Detail inputs'!$G$3:$G$304&amp;'Detail inputs'!$H$3:$H$304,0),MATCH(P$4,'Detail inputs'!$B$3:$L$3,0)),0)</f>
        <v>0.74</v>
      </c>
      <c r="Q148" s="93">
        <f>IF(AND(O148="",P148=""),"",O148+P148*$F148/1000)</f>
        <v>0.40773999999999999</v>
      </c>
      <c r="R148" s="44">
        <f>IFERROR(Q148/Q153,"")</f>
        <v>1.0062550992657055E-2</v>
      </c>
    </row>
    <row r="149" spans="2:22" x14ac:dyDescent="0.3">
      <c r="B149" s="3" t="str">
        <f t="shared" si="69"/>
        <v>Energex</v>
      </c>
      <c r="C149" s="3" t="str">
        <f t="shared" si="67"/>
        <v>Residential</v>
      </c>
      <c r="D149" s="3" t="str">
        <f t="shared" si="68"/>
        <v>with CL</v>
      </c>
      <c r="E149" s="3" t="s">
        <v>15</v>
      </c>
      <c r="F149" s="41">
        <f t="array" ref="F149">IFERROR(INDEX(Usage!$B$5:$T$18,MATCH($B149,Usage!$B$5:$B$18,0),MATCH($C149&amp;$D149&amp;$E149,Usage!$B$5:$W$5&amp;Usage!$B$6:$W$6&amp;Usage!$B$7:$W$7,0)),0)</f>
        <v>551</v>
      </c>
      <c r="G149" s="3" t="s">
        <v>89</v>
      </c>
      <c r="I149" s="93">
        <f t="array" ref="I149">IFERROR(INDEX('Detail inputs'!$B$3:$L$304,MATCH($B149&amp;$G149&amp;I$5,'Detail inputs'!$B$3:$B$304&amp;'Detail inputs'!$G$3:$G$304&amp;'Detail inputs'!$H$3:$H$304,0),MATCH(I$4,'Detail inputs'!$B$3:$L$3,0)),0)</f>
        <v>0.63</v>
      </c>
      <c r="J149" s="93">
        <f>IF(AND(H149="",I149=""),"",H149+I149*$F149/1000)</f>
        <v>0.34712999999999999</v>
      </c>
      <c r="K149" s="44">
        <f>IFERROR(J149/J153,"")</f>
        <v>8.6872586872586855E-3</v>
      </c>
      <c r="L149" s="44"/>
      <c r="M149" s="49">
        <f>IF(OR(J149=0,Q149=""),"",Q149/J149-1)</f>
        <v>0.11111111111111116</v>
      </c>
      <c r="N149" s="44"/>
      <c r="P149" s="93">
        <f t="array" ref="P149">IFERROR(INDEX('Detail inputs'!$B$3:$L$304,MATCH($B149&amp;$G149&amp;P$5,'Detail inputs'!$B$3:$B$304&amp;'Detail inputs'!$G$3:$G$304&amp;'Detail inputs'!$H$3:$H$304,0),MATCH(P$4,'Detail inputs'!$B$3:$L$3,0)),0)</f>
        <v>0.7</v>
      </c>
      <c r="Q149" s="93">
        <f>IF(AND(O149="",P149=""),"",O149+P149*$F149/1000)</f>
        <v>0.38569999999999999</v>
      </c>
      <c r="R149" s="44">
        <f>IFERROR(Q149/Q153,"")</f>
        <v>9.5186293173782962E-3</v>
      </c>
    </row>
    <row r="150" spans="2:22" x14ac:dyDescent="0.3">
      <c r="B150" s="3" t="str">
        <f t="shared" si="69"/>
        <v>Energex</v>
      </c>
      <c r="C150" s="3" t="str">
        <f t="shared" si="67"/>
        <v>Residential</v>
      </c>
      <c r="D150" s="3" t="str">
        <f t="shared" si="68"/>
        <v>with CL</v>
      </c>
      <c r="E150" s="3" t="s">
        <v>15</v>
      </c>
      <c r="F150" s="41">
        <f t="array" ref="F150">IFERROR(INDEX(Usage!$B$5:$T$18,MATCH($B150,Usage!$B$5:$B$18,0),MATCH($C150&amp;$D150&amp;$E150,Usage!$B$5:$W$5&amp;Usage!$B$6:$W$6&amp;Usage!$B$7:$W$7,0)),0)</f>
        <v>551</v>
      </c>
      <c r="G150" s="3" t="s">
        <v>80</v>
      </c>
      <c r="I150" s="93">
        <f t="array" ref="I150">IFERROR(INDEX('Detail inputs'!$B$3:$L$304,MATCH($B150&amp;$G150&amp;I$5,'Detail inputs'!$B$3:$B$304&amp;'Detail inputs'!$G$3:$G$304&amp;'Detail inputs'!$H$3:$H$304,0),MATCH(I$4,'Detail inputs'!$B$3:$L$3,0)),0)</f>
        <v>0</v>
      </c>
      <c r="J150" s="93">
        <f t="shared" ref="J150:J151" si="70">IF(AND(H150="",I150=""),"",H150+I150*$F150/1000)</f>
        <v>0</v>
      </c>
      <c r="K150" s="44">
        <f>IFERROR(J150/J153,"")</f>
        <v>0</v>
      </c>
      <c r="L150" s="44"/>
      <c r="M150" s="49" t="str">
        <f t="shared" ref="M150:M151" si="71">IF(OR(J150=0,Q150=""),"",Q150/J150-1)</f>
        <v/>
      </c>
      <c r="N150" s="44"/>
      <c r="P150" s="93">
        <f t="array" ref="P150">IFERROR(INDEX('Detail inputs'!$B$3:$L$304,MATCH($B150&amp;$G150&amp;P$5,'Detail inputs'!$B$3:$B$304&amp;'Detail inputs'!$G$3:$G$304&amp;'Detail inputs'!$H$3:$H$304,0),MATCH(P$4,'Detail inputs'!$B$3:$L$3,0)),0)</f>
        <v>0</v>
      </c>
      <c r="Q150" s="93">
        <f t="shared" ref="Q150:Q151" si="72">IF(AND(O150="",P150=""),"",O150+P150*$F150/1000)</f>
        <v>0</v>
      </c>
      <c r="R150" s="44">
        <f>IFERROR(Q150/Q153,"")</f>
        <v>0</v>
      </c>
    </row>
    <row r="151" spans="2:22" x14ac:dyDescent="0.3">
      <c r="B151" s="3" t="str">
        <f t="shared" si="69"/>
        <v>Energex</v>
      </c>
      <c r="C151" s="3" t="str">
        <f t="shared" si="67"/>
        <v>Residential</v>
      </c>
      <c r="D151" s="3" t="str">
        <f t="shared" si="68"/>
        <v>with CL</v>
      </c>
      <c r="E151" s="3" t="s">
        <v>15</v>
      </c>
      <c r="F151" s="41">
        <f t="array" ref="F151">IFERROR(INDEX(Usage!$B$5:$T$18,MATCH($B151,Usage!$B$5:$B$18,0),MATCH($C151&amp;$D151&amp;$E151,Usage!$B$5:$W$5&amp;Usage!$B$6:$W$6&amp;Usage!$B$7:$W$7,0)),0)</f>
        <v>551</v>
      </c>
      <c r="G151" s="3" t="s">
        <v>177</v>
      </c>
      <c r="I151" s="93">
        <f t="array" ref="I151">IFERROR(INDEX('Detail inputs'!$B$3:$L$304,MATCH($B151&amp;$G151&amp;I$5,'Detail inputs'!$B$3:$B$304&amp;'Detail inputs'!$G$3:$G$304&amp;'Detail inputs'!$H$3:$H$304,0),MATCH(I$4,'Detail inputs'!$B$3:$L$3,0)),0)</f>
        <v>2.1800000000000002</v>
      </c>
      <c r="J151" s="93">
        <f t="shared" si="70"/>
        <v>1.2011800000000001</v>
      </c>
      <c r="K151" s="44">
        <f>IFERROR(J151/J153,"")</f>
        <v>3.0060672917815771E-2</v>
      </c>
      <c r="L151" s="44"/>
      <c r="M151" s="49">
        <f t="shared" si="71"/>
        <v>-0.22935779816513779</v>
      </c>
      <c r="N151" s="44"/>
      <c r="P151" s="93">
        <f t="array" ref="P151">IFERROR(INDEX('Detail inputs'!$B$3:$L$304,MATCH($B151&amp;$G151&amp;P$5,'Detail inputs'!$B$3:$B$304&amp;'Detail inputs'!$G$3:$G$304&amp;'Detail inputs'!$H$3:$H$304,0),MATCH(P$4,'Detail inputs'!$B$3:$L$3,0)),0)</f>
        <v>1.68</v>
      </c>
      <c r="Q151" s="93">
        <f t="shared" si="72"/>
        <v>0.92567999999999995</v>
      </c>
      <c r="R151" s="44">
        <f>IFERROR(Q151/Q153,"")</f>
        <v>2.2844710361707911E-2</v>
      </c>
    </row>
    <row r="152" spans="2:22" x14ac:dyDescent="0.3">
      <c r="B152" s="3" t="str">
        <f t="shared" si="69"/>
        <v>Energex</v>
      </c>
      <c r="C152" s="3" t="str">
        <f t="shared" si="67"/>
        <v>Residential</v>
      </c>
      <c r="D152" s="3" t="str">
        <f t="shared" si="68"/>
        <v>with CL</v>
      </c>
      <c r="E152" s="3" t="s">
        <v>15</v>
      </c>
      <c r="F152" s="41">
        <f t="array" ref="F152">IFERROR(INDEX(Usage!$B$5:$T$18,MATCH($B152,Usage!$B$5:$B$18,0),MATCH($C152&amp;$D152&amp;$E152,Usage!$B$5:$W$5&amp;Usage!$B$6:$W$6&amp;Usage!$B$7:$W$7,0)),0)</f>
        <v>551</v>
      </c>
      <c r="G152" s="3" t="s">
        <v>81</v>
      </c>
      <c r="I152" s="93">
        <f t="array" ref="I152">ROUND(IFERROR(INDEX('Detail inputs'!$B$3:$L$304,MATCH($B152&amp;$C152&amp;$E152&amp;$G152&amp;I$5,'Detail inputs'!$B$3:$B$304&amp;'Detail inputs'!$D$3:$D$304&amp;'Detail inputs'!$F$3:$F$304&amp;'Detail inputs'!$G$3:$G$304&amp;'Detail inputs'!$H$3:$H$304,0),MATCH(I$4,'Detail inputs'!$B$3:$L$3,0)),0)*SUM(I147:I151),2)</f>
        <v>4.43</v>
      </c>
      <c r="J152" s="93">
        <f>IF(AND(H152="",I152=""),"",H152+I152*$F152/1000)</f>
        <v>2.4409299999999998</v>
      </c>
      <c r="K152" s="44">
        <f>IFERROR(J152/J153,"")</f>
        <v>6.1086596800882499E-2</v>
      </c>
      <c r="L152" s="44"/>
      <c r="M152" s="49">
        <f>IF(OR(J152=0,Q152=""),"",Q152/J152-1)</f>
        <v>1.3544018058690765E-2</v>
      </c>
      <c r="N152" s="44"/>
      <c r="P152" s="93">
        <f t="array" ref="P152">ROUND(IFERROR(INDEX('Detail inputs'!$B$3:$L$304,MATCH($B152&amp;$C152&amp;$E152&amp;$G152&amp;P$5,'Detail inputs'!$B$3:$B$304&amp;'Detail inputs'!$D$3:$D$304&amp;'Detail inputs'!$F$3:$F$304&amp;'Detail inputs'!$G$3:$G$304&amp;'Detail inputs'!$H$3:$H$304,0),MATCH(P$4,'Detail inputs'!$B$3:$L$3,0)),0)*SUM(P147:P151),2)</f>
        <v>4.49</v>
      </c>
      <c r="Q152" s="93">
        <f>IF(AND(O152="",P152=""),"",O152+P152*$F152/1000)</f>
        <v>2.4739900000000001</v>
      </c>
      <c r="R152" s="44">
        <f>IFERROR(Q152/Q153,"")</f>
        <v>6.1055208050040791E-2</v>
      </c>
    </row>
    <row r="153" spans="2:22" x14ac:dyDescent="0.3">
      <c r="B153" s="3" t="str">
        <f t="shared" si="69"/>
        <v>Energex</v>
      </c>
      <c r="C153" s="3" t="str">
        <f t="shared" si="67"/>
        <v>Residential</v>
      </c>
      <c r="D153" s="3" t="str">
        <f t="shared" si="68"/>
        <v>with CL</v>
      </c>
      <c r="E153" s="3" t="s">
        <v>15</v>
      </c>
      <c r="F153" s="41">
        <f t="array" ref="F153">IFERROR(INDEX(Usage!$B$5:$T$18,MATCH($B153,Usage!$B$5:$B$18,0),MATCH($C153&amp;$D153&amp;$E153,Usage!$B$5:$W$5&amp;Usage!$B$6:$W$6&amp;Usage!$B$7:$W$7,0)),0)</f>
        <v>551</v>
      </c>
      <c r="G153" s="3" t="s">
        <v>58</v>
      </c>
      <c r="H153" s="99"/>
      <c r="I153" s="99">
        <f t="array" ref="I153">INDEX('Key inputs'!$B$15:$G$33,MATCH($B153&amp;$E153,'Key inputs'!$B$15:$B$33&amp;'Key inputs'!$C$15:$C$33,0),MATCH($A$2&amp;I$4,'Key inputs'!$B$16:$G$16&amp;'Key inputs'!$B$17:$G$17,0))</f>
        <v>72.52000000000001</v>
      </c>
      <c r="J153" s="93">
        <f t="shared" ref="J153" si="73">IF(AND(H153="",I153=""),"",H153+I153*$F153/1000)</f>
        <v>39.958520000000007</v>
      </c>
      <c r="K153" s="91"/>
      <c r="L153" s="92"/>
      <c r="M153" s="83">
        <f>IF(OR(J153=0,Q153=""),"",Q153/J153-1)</f>
        <v>1.4065085493656815E-2</v>
      </c>
      <c r="N153" s="92"/>
      <c r="O153" s="99"/>
      <c r="P153" s="99">
        <f t="array" ref="P153">INDEX('Key inputs'!$B$15:$G$33,MATCH($B153&amp;$E153,'Key inputs'!$B$15:$B$33&amp;'Key inputs'!$C$15:$C$33,0),MATCH($A$2&amp;P$4,'Key inputs'!$B$16:$G$16&amp;'Key inputs'!$B$17:$G$17,0))</f>
        <v>73.540000000000006</v>
      </c>
      <c r="Q153" s="93">
        <f t="shared" ref="Q153" si="74">IF(AND(O153="",P153=""),"",O153+P153*$F153/1000)</f>
        <v>40.520540000000004</v>
      </c>
      <c r="R153" s="91"/>
      <c r="S153" s="133" t="b">
        <f>ROUND(I153,$W$5)=ROUND(SUM(I147:I152),$W$5)</f>
        <v>1</v>
      </c>
      <c r="T153" s="133" t="b">
        <f>ROUND(P153,$W$5)=ROUND(SUM(P147:P152),$W$5)</f>
        <v>1</v>
      </c>
      <c r="U153" s="132"/>
      <c r="V153" s="132"/>
    </row>
    <row r="154" spans="2:22" x14ac:dyDescent="0.3">
      <c r="B154" s="3" t="str">
        <f t="shared" si="69"/>
        <v>Energex</v>
      </c>
      <c r="C154" s="3" t="str">
        <f t="shared" si="67"/>
        <v>Residential</v>
      </c>
      <c r="D154" s="3" t="str">
        <f t="shared" si="68"/>
        <v>with CL</v>
      </c>
      <c r="E154" s="3" t="s">
        <v>16</v>
      </c>
      <c r="F154" s="41">
        <f t="array" ref="F154">IFERROR(INDEX(Usage!$B$5:$T$18,MATCH($B154,Usage!$B$5:$B$18,0),MATCH($C154&amp;$D154&amp;$E154,Usage!$B$5:$W$5&amp;Usage!$B$6:$W$6&amp;Usage!$B$7:$W$7,0)),0)</f>
        <v>1349</v>
      </c>
      <c r="G154" s="3" t="s">
        <v>78</v>
      </c>
      <c r="H154" s="99"/>
      <c r="I154" s="99">
        <f t="array" ref="I154">IFERROR(INDEX('Detail inputs'!$B$3:$L$304,MATCH($B154&amp;$C154&amp;$D154&amp;$E154&amp;$G154&amp;I$5&amp;$S154,'Detail inputs'!$B$3:$B$304&amp;'Detail inputs'!$D$3:$D$304&amp;'Detail inputs'!$E$3:$E$304&amp;'Detail inputs'!$F$3:$F$304&amp;'Detail inputs'!$G$3:$G$304&amp;'Detail inputs'!$H$3:$H$304&amp;'Detail inputs'!$L$3:$L$304,0),MATCH(I$4,'Detail inputs'!$B$3:$L$3,0)),0)</f>
        <v>72.849999999999994</v>
      </c>
      <c r="J154" s="99">
        <f>IF(AND(H154="",I154=""),"",H154+I154*F154/1000)</f>
        <v>98.274649999999994</v>
      </c>
      <c r="K154" s="91">
        <f>IFERROR(J154/J160,"")</f>
        <v>0.89971594417685563</v>
      </c>
      <c r="L154" s="91"/>
      <c r="M154" s="83">
        <f>IF(OR(J154=0,Q154=""),"",Q154/J154-1)</f>
        <v>-7.385037748798895E-2</v>
      </c>
      <c r="N154" s="91"/>
      <c r="O154" s="99"/>
      <c r="P154" s="99">
        <f t="array" ref="P154">IF(OR($T154="NA",$T154="x-factor",$T154="CPI"),"",IFERROR(INDEX('Detail inputs'!$B$3:$L$304,MATCH($B154&amp;$C154&amp;$D154&amp;$E154&amp;$G154&amp;P$5&amp;$S154,'Detail inputs'!$B$3:$B$304&amp;'Detail inputs'!$D$3:$D$304&amp;'Detail inputs'!$E$3:$E$304&amp;'Detail inputs'!$F$3:$F$304&amp;'Detail inputs'!$G$3:$G$304&amp;'Detail inputs'!$H$3:$H$304&amp;'Detail inputs'!$L$3:$L$304,0),MATCH(P$4,'Detail inputs'!$B$3:$L$3,0)),0))</f>
        <v>67.47</v>
      </c>
      <c r="Q154" s="99">
        <f>IF(AND(O154="",P154=""),"",O154+P154*F154/1000)</f>
        <v>91.017030000000005</v>
      </c>
      <c r="R154" s="91">
        <f>IFERROR(Q154/Q160,"")</f>
        <v>0.8974461292897048</v>
      </c>
    </row>
    <row r="155" spans="2:22" x14ac:dyDescent="0.3">
      <c r="B155" s="3" t="str">
        <f t="shared" si="69"/>
        <v>Energex</v>
      </c>
      <c r="C155" s="3" t="str">
        <f t="shared" si="67"/>
        <v>Residential</v>
      </c>
      <c r="D155" s="3" t="str">
        <f t="shared" si="68"/>
        <v>with CL</v>
      </c>
      <c r="E155" s="3" t="s">
        <v>16</v>
      </c>
      <c r="F155" s="41">
        <f t="array" ref="F155">IFERROR(INDEX(Usage!$B$5:$T$18,MATCH($B155,Usage!$B$5:$B$18,0),MATCH($C155&amp;$D155&amp;$E155,Usage!$B$5:$W$5&amp;Usage!$B$6:$W$6&amp;Usage!$B$7:$W$7,0)),0)</f>
        <v>1349</v>
      </c>
      <c r="G155" s="3" t="s">
        <v>79</v>
      </c>
      <c r="H155" s="99"/>
      <c r="I155" s="99">
        <f t="array" ref="I155">IFERROR(INDEX('Detail inputs'!$B$3:$L$304,MATCH($B155&amp;$G155&amp;I$5,'Detail inputs'!$B$3:$B$304&amp;'Detail inputs'!$G$3:$G$304&amp;'Detail inputs'!$H$3:$H$304,0),MATCH(I$4,'Detail inputs'!$B$3:$L$3,0)),0)</f>
        <v>0.37</v>
      </c>
      <c r="J155" s="99">
        <f>IF(AND(H155="",I155=""),"",H155+I155*$F155/1000)</f>
        <v>0.49913000000000002</v>
      </c>
      <c r="K155" s="91">
        <f>IFERROR(J155/J160,"")</f>
        <v>4.5695936766703719E-3</v>
      </c>
      <c r="L155" s="91"/>
      <c r="M155" s="83">
        <f>IF(OR(J155=0,Q155=""),"",Q155/J155-1)</f>
        <v>1</v>
      </c>
      <c r="N155" s="91"/>
      <c r="O155" s="99"/>
      <c r="P155" s="99">
        <f t="array" ref="P155">IFERROR(INDEX('Detail inputs'!$B$3:$L$304,MATCH($B155&amp;$G155&amp;P$5,'Detail inputs'!$B$3:$B$304&amp;'Detail inputs'!$G$3:$G$304&amp;'Detail inputs'!$H$3:$H$304,0),MATCH(P$4,'Detail inputs'!$B$3:$L$3,0)),0)</f>
        <v>0.74</v>
      </c>
      <c r="Q155" s="99">
        <f>IF(AND(O155="",P155=""),"",O155+P155*$F155/1000)</f>
        <v>0.99826000000000004</v>
      </c>
      <c r="R155" s="91">
        <f>IFERROR(Q155/Q160,"")</f>
        <v>9.8430433625964365E-3</v>
      </c>
    </row>
    <row r="156" spans="2:22" x14ac:dyDescent="0.3">
      <c r="B156" s="3" t="str">
        <f t="shared" si="69"/>
        <v>Energex</v>
      </c>
      <c r="C156" s="3" t="str">
        <f t="shared" si="67"/>
        <v>Residential</v>
      </c>
      <c r="D156" s="3" t="str">
        <f t="shared" si="68"/>
        <v>with CL</v>
      </c>
      <c r="E156" s="3" t="s">
        <v>16</v>
      </c>
      <c r="F156" s="41">
        <f t="array" ref="F156">IFERROR(INDEX(Usage!$B$5:$T$18,MATCH($B156,Usage!$B$5:$B$18,0),MATCH($C156&amp;$D156&amp;$E156,Usage!$B$5:$W$5&amp;Usage!$B$6:$W$6&amp;Usage!$B$7:$W$7,0)),0)</f>
        <v>1349</v>
      </c>
      <c r="G156" s="3" t="s">
        <v>89</v>
      </c>
      <c r="H156" s="99"/>
      <c r="I156" s="99">
        <f t="array" ref="I156">IFERROR(INDEX('Detail inputs'!$B$3:$L$304,MATCH($B156&amp;$G156&amp;I$5,'Detail inputs'!$B$3:$B$304&amp;'Detail inputs'!$G$3:$G$304&amp;'Detail inputs'!$H$3:$H$304,0),MATCH(I$4,'Detail inputs'!$B$3:$L$3,0)),0)</f>
        <v>0.63</v>
      </c>
      <c r="J156" s="99">
        <f>IF(AND(H156="",I156=""),"",H156+I156*$F156/1000)</f>
        <v>0.84987000000000001</v>
      </c>
      <c r="K156" s="91">
        <f>IFERROR(J156/J160,"")</f>
        <v>7.7806595035198227E-3</v>
      </c>
      <c r="L156" s="91"/>
      <c r="M156" s="83">
        <f t="shared" ref="M156:M161" si="75">IF(OR(J156=0,Q156=""),"",Q156/J156-1)</f>
        <v>0.11111111111111094</v>
      </c>
      <c r="N156" s="91"/>
      <c r="O156" s="99"/>
      <c r="P156" s="99">
        <f t="array" ref="P156">IFERROR(INDEX('Detail inputs'!$B$3:$L$304,MATCH($B156&amp;$G156&amp;P$5,'Detail inputs'!$B$3:$B$304&amp;'Detail inputs'!$G$3:$G$304&amp;'Detail inputs'!$H$3:$H$304,0),MATCH(P$4,'Detail inputs'!$B$3:$L$3,0)),0)</f>
        <v>0.7</v>
      </c>
      <c r="Q156" s="99">
        <f>IF(AND(O156="",P156=""),"",O156+P156*$F156/1000)</f>
        <v>0.94429999999999992</v>
      </c>
      <c r="R156" s="91">
        <f>IFERROR(Q156/Q160,"")</f>
        <v>9.3109869646182501E-3</v>
      </c>
    </row>
    <row r="157" spans="2:22" x14ac:dyDescent="0.3">
      <c r="B157" s="3" t="str">
        <f t="shared" si="69"/>
        <v>Energex</v>
      </c>
      <c r="C157" s="3" t="str">
        <f t="shared" si="67"/>
        <v>Residential</v>
      </c>
      <c r="D157" s="3" t="str">
        <f t="shared" si="68"/>
        <v>with CL</v>
      </c>
      <c r="E157" s="3" t="s">
        <v>16</v>
      </c>
      <c r="F157" s="41">
        <f t="array" ref="F157">IFERROR(INDEX(Usage!$B$5:$T$18,MATCH($B157,Usage!$B$5:$B$18,0),MATCH($C157&amp;$D157&amp;$E157,Usage!$B$5:$W$5&amp;Usage!$B$6:$W$6&amp;Usage!$B$7:$W$7,0)),0)</f>
        <v>1349</v>
      </c>
      <c r="G157" s="3" t="s">
        <v>80</v>
      </c>
      <c r="H157" s="99"/>
      <c r="I157" s="99">
        <f t="array" ref="I157">IFERROR(INDEX('Detail inputs'!$B$3:$L$304,MATCH($B157&amp;$G157&amp;I$5,'Detail inputs'!$B$3:$B$304&amp;'Detail inputs'!$G$3:$G$304&amp;'Detail inputs'!$H$3:$H$304,0),MATCH(I$4,'Detail inputs'!$B$3:$L$3,0)),0)</f>
        <v>0</v>
      </c>
      <c r="J157" s="99">
        <f t="shared" ref="J157:J160" si="76">IF(AND(H157="",I157=""),"",H157+I157*$F157/1000)</f>
        <v>0</v>
      </c>
      <c r="K157" s="91">
        <f>IFERROR(J157/J160,"")</f>
        <v>0</v>
      </c>
      <c r="L157" s="91"/>
      <c r="M157" s="83" t="str">
        <f t="shared" si="75"/>
        <v/>
      </c>
      <c r="N157" s="91"/>
      <c r="O157" s="99"/>
      <c r="P157" s="99">
        <f t="array" ref="P157">IFERROR(INDEX('Detail inputs'!$B$3:$L$304,MATCH($B157&amp;$G157&amp;P$5,'Detail inputs'!$B$3:$B$304&amp;'Detail inputs'!$G$3:$G$304&amp;'Detail inputs'!$H$3:$H$304,0),MATCH(P$4,'Detail inputs'!$B$3:$L$3,0)),0)</f>
        <v>0</v>
      </c>
      <c r="Q157" s="99">
        <f t="shared" ref="Q157:Q160" si="77">IF(AND(O157="",P157=""),"",O157+P157*$F157/1000)</f>
        <v>0</v>
      </c>
      <c r="R157" s="91">
        <f>IFERROR(Q157/Q160,"")</f>
        <v>0</v>
      </c>
    </row>
    <row r="158" spans="2:22" x14ac:dyDescent="0.3">
      <c r="B158" s="3" t="str">
        <f t="shared" si="69"/>
        <v>Energex</v>
      </c>
      <c r="C158" s="3" t="str">
        <f t="shared" si="67"/>
        <v>Residential</v>
      </c>
      <c r="D158" s="3" t="str">
        <f t="shared" si="68"/>
        <v>with CL</v>
      </c>
      <c r="E158" s="3" t="s">
        <v>16</v>
      </c>
      <c r="F158" s="41">
        <f t="array" ref="F158">IFERROR(INDEX(Usage!$B$5:$T$18,MATCH($B158,Usage!$B$5:$B$18,0),MATCH($C158&amp;$D158&amp;$E158,Usage!$B$5:$W$5&amp;Usage!$B$6:$W$6&amp;Usage!$B$7:$W$7,0)),0)</f>
        <v>1349</v>
      </c>
      <c r="G158" s="3" t="s">
        <v>177</v>
      </c>
      <c r="H158" s="99"/>
      <c r="I158" s="99">
        <f t="array" ref="I158">IFERROR(INDEX('Detail inputs'!$B$3:$L$304,MATCH($B158&amp;$G158&amp;I$5,'Detail inputs'!$B$3:$B$304&amp;'Detail inputs'!$G$3:$G$304&amp;'Detail inputs'!$H$3:$H$304,0),MATCH(I$4,'Detail inputs'!$B$3:$L$3,0)),0)</f>
        <v>2.1800000000000002</v>
      </c>
      <c r="J158" s="99">
        <f t="shared" si="76"/>
        <v>2.94082</v>
      </c>
      <c r="K158" s="91">
        <f>IFERROR(J158/J160,"")</f>
        <v>2.6923551932814625E-2</v>
      </c>
      <c r="L158" s="91"/>
      <c r="M158" s="83">
        <f t="shared" si="75"/>
        <v>-0.22935779816513768</v>
      </c>
      <c r="N158" s="91"/>
      <c r="O158" s="99"/>
      <c r="P158" s="99">
        <f t="array" ref="P158">IFERROR(INDEX('Detail inputs'!$B$3:$L$304,MATCH($B158&amp;$G158&amp;P$5,'Detail inputs'!$B$3:$B$304&amp;'Detail inputs'!$G$3:$G$304&amp;'Detail inputs'!$H$3:$H$304,0),MATCH(P$4,'Detail inputs'!$B$3:$L$3,0)),0)</f>
        <v>1.68</v>
      </c>
      <c r="Q158" s="99">
        <f t="shared" si="77"/>
        <v>2.2663199999999999</v>
      </c>
      <c r="R158" s="91">
        <f>IFERROR(Q158/Q160,"")</f>
        <v>2.23463687150838E-2</v>
      </c>
    </row>
    <row r="159" spans="2:22" x14ac:dyDescent="0.3">
      <c r="B159" s="3" t="str">
        <f t="shared" si="69"/>
        <v>Energex</v>
      </c>
      <c r="C159" s="3" t="str">
        <f t="shared" si="67"/>
        <v>Residential</v>
      </c>
      <c r="D159" s="3" t="str">
        <f t="shared" si="68"/>
        <v>with CL</v>
      </c>
      <c r="E159" s="3" t="s">
        <v>16</v>
      </c>
      <c r="F159" s="41">
        <f t="array" ref="F159">IFERROR(INDEX(Usage!$B$5:$T$18,MATCH($B159,Usage!$B$5:$B$18,0),MATCH($C159&amp;$D159&amp;$E159,Usage!$B$5:$W$5&amp;Usage!$B$6:$W$6&amp;Usage!$B$7:$W$7,0)),0)</f>
        <v>1349</v>
      </c>
      <c r="G159" s="3" t="s">
        <v>81</v>
      </c>
      <c r="H159" s="99"/>
      <c r="I159" s="93">
        <f t="array" ref="I159">ROUND(IFERROR(INDEX('Detail inputs'!$B$3:$L$304,MATCH($B159&amp;$C159&amp;$E159&amp;$G159&amp;I$5,'Detail inputs'!$B$3:$B$304&amp;'Detail inputs'!$D$3:$D$304&amp;'Detail inputs'!$F$3:$F$304&amp;'Detail inputs'!$G$3:$G$304&amp;'Detail inputs'!$H$3:$H$304,0),MATCH(I$4,'Detail inputs'!$B$3:$L$3,0)),0)*SUM(I154:I158),2)</f>
        <v>4.9400000000000004</v>
      </c>
      <c r="J159" s="99">
        <f t="shared" si="76"/>
        <v>6.6640600000000001</v>
      </c>
      <c r="K159" s="91">
        <f>IFERROR(J159/J160,"")</f>
        <v>6.101025071013956E-2</v>
      </c>
      <c r="L159" s="91"/>
      <c r="M159" s="83">
        <f t="shared" si="75"/>
        <v>-7.0850202429149856E-2</v>
      </c>
      <c r="N159" s="91"/>
      <c r="O159" s="99"/>
      <c r="P159" s="93">
        <f t="array" ref="P159">ROUND(IFERROR(INDEX('Detail inputs'!$B$3:$L$304,MATCH($B159&amp;$C159&amp;$E159&amp;$G159&amp;P$5,'Detail inputs'!$B$3:$B$304&amp;'Detail inputs'!$D$3:$D$304&amp;'Detail inputs'!$F$3:$F$304&amp;'Detail inputs'!$G$3:$G$304&amp;'Detail inputs'!$H$3:$H$304,0),MATCH(P$4,'Detail inputs'!$B$3:$L$3,0)),0)*SUM(P154:P158),2)</f>
        <v>4.59</v>
      </c>
      <c r="Q159" s="99">
        <f t="shared" si="77"/>
        <v>6.19191</v>
      </c>
      <c r="R159" s="91">
        <f>IFERROR(Q159/Q160,"")</f>
        <v>6.1053471667996816E-2</v>
      </c>
    </row>
    <row r="160" spans="2:22" x14ac:dyDescent="0.3">
      <c r="B160" s="3" t="str">
        <f t="shared" si="69"/>
        <v>Energex</v>
      </c>
      <c r="C160" s="3" t="str">
        <f t="shared" si="67"/>
        <v>Residential</v>
      </c>
      <c r="D160" s="3" t="str">
        <f t="shared" si="68"/>
        <v>with CL</v>
      </c>
      <c r="E160" s="3" t="s">
        <v>16</v>
      </c>
      <c r="F160" s="41">
        <f t="array" ref="F160">IFERROR(INDEX(Usage!$B$5:$T$18,MATCH($B160,Usage!$B$5:$B$18,0),MATCH($C160&amp;$D160&amp;$E160,Usage!$B$5:$W$5&amp;Usage!$B$6:$W$6&amp;Usage!$B$7:$W$7,0)),0)</f>
        <v>1349</v>
      </c>
      <c r="G160" s="3" t="s">
        <v>58</v>
      </c>
      <c r="H160" s="99"/>
      <c r="I160" s="99">
        <f t="array" ref="I160">INDEX('Key inputs'!$B$15:$G$33,MATCH($B160&amp;$E160,'Key inputs'!$B$15:$B$33&amp;'Key inputs'!$C$15:$C$33,0),MATCH($A$2&amp;I$4,'Key inputs'!$B$16:$G$16&amp;'Key inputs'!$B$17:$G$17,0))</f>
        <v>80.97</v>
      </c>
      <c r="J160" s="93">
        <f t="shared" si="76"/>
        <v>109.22852999999999</v>
      </c>
      <c r="K160" s="91"/>
      <c r="L160" s="92"/>
      <c r="M160" s="83">
        <f t="shared" si="75"/>
        <v>-7.1507965913301219E-2</v>
      </c>
      <c r="N160" s="92"/>
      <c r="O160" s="99"/>
      <c r="P160" s="99">
        <f t="array" ref="P160">INDEX('Key inputs'!$B$15:$G$33,MATCH($B160&amp;$E160,'Key inputs'!$B$15:$B$33&amp;'Key inputs'!$C$15:$C$33,0),MATCH($A$2&amp;P$4,'Key inputs'!$B$16:$G$16&amp;'Key inputs'!$B$17:$G$17,0))</f>
        <v>75.179999999999993</v>
      </c>
      <c r="Q160" s="93">
        <f t="shared" si="77"/>
        <v>101.41781999999999</v>
      </c>
      <c r="R160" s="91"/>
      <c r="S160" s="133" t="b">
        <f>ROUND(I160,$W$5)=ROUND(SUM(I154:I159),$W$5)</f>
        <v>1</v>
      </c>
      <c r="T160" s="133" t="b">
        <f>ROUND(P160,$W$5)=ROUND(SUM(P154:P159),$W$5)</f>
        <v>1</v>
      </c>
      <c r="U160" s="132"/>
      <c r="V160" s="132"/>
    </row>
    <row r="161" spans="2:22" s="81" customFormat="1" x14ac:dyDescent="0.3">
      <c r="B161" s="3" t="str">
        <f t="shared" si="69"/>
        <v>Energex</v>
      </c>
      <c r="C161" s="3" t="str">
        <f t="shared" si="67"/>
        <v>Residential</v>
      </c>
      <c r="D161" s="3" t="str">
        <f t="shared" si="68"/>
        <v>with CL</v>
      </c>
      <c r="E161" s="81" t="s">
        <v>58</v>
      </c>
      <c r="F161" s="41">
        <f t="array" ref="F161">IFERROR(INDEX(Usage!$B$5:$T$18,MATCH($B161,Usage!$B$5:$B$18,0),MATCH($C161&amp;$D161&amp;$E161,Usage!$B$5:$W$5&amp;Usage!$B$6:$W$6&amp;Usage!$B$7:$W$7,0)),0)</f>
        <v>6300</v>
      </c>
      <c r="G161" s="81" t="s">
        <v>58</v>
      </c>
      <c r="H161" s="99"/>
      <c r="I161" s="99">
        <f>I146+I153+I160</f>
        <v>251.83</v>
      </c>
      <c r="J161" s="99">
        <f>J146+J153+J160</f>
        <v>581.88305000000003</v>
      </c>
      <c r="K161" s="91"/>
      <c r="L161" s="92"/>
      <c r="M161" s="83">
        <f t="shared" si="75"/>
        <v>-4.4745572155779678E-2</v>
      </c>
      <c r="N161" s="92"/>
      <c r="O161" s="99"/>
      <c r="P161" s="99">
        <f>P146+P153+P160</f>
        <v>242.79000000000002</v>
      </c>
      <c r="Q161" s="99">
        <f>Q146+Q153+Q160</f>
        <v>555.84635999999989</v>
      </c>
      <c r="R161" s="91"/>
      <c r="S161" s="133"/>
      <c r="T161" s="134"/>
    </row>
    <row r="162" spans="2:22" x14ac:dyDescent="0.3">
      <c r="B162" s="3" t="str">
        <f t="shared" si="69"/>
        <v>Energex</v>
      </c>
      <c r="C162" s="3" t="str">
        <f t="shared" si="67"/>
        <v>Residential</v>
      </c>
      <c r="D162" s="3" t="str">
        <f t="shared" si="68"/>
        <v>with CL</v>
      </c>
      <c r="F162" s="41"/>
      <c r="G162" s="81" t="s">
        <v>41</v>
      </c>
      <c r="H162" s="99"/>
      <c r="I162" s="99"/>
      <c r="J162" s="99">
        <f>J161*GST</f>
        <v>58.188305000000007</v>
      </c>
      <c r="K162" s="91"/>
      <c r="L162" s="92"/>
      <c r="M162" s="83"/>
      <c r="N162" s="92"/>
      <c r="O162" s="99"/>
      <c r="P162" s="99"/>
      <c r="Q162" s="99">
        <f>Q161*GST</f>
        <v>55.584635999999989</v>
      </c>
      <c r="R162" s="79"/>
    </row>
    <row r="163" spans="2:22" x14ac:dyDescent="0.3">
      <c r="B163" s="3" t="str">
        <f t="shared" si="69"/>
        <v>Energex</v>
      </c>
      <c r="C163" s="3" t="str">
        <f t="shared" si="67"/>
        <v>Residential</v>
      </c>
      <c r="D163" s="3" t="str">
        <f t="shared" si="68"/>
        <v>with CL</v>
      </c>
      <c r="F163" s="41"/>
      <c r="G163" s="5" t="s">
        <v>91</v>
      </c>
      <c r="H163" s="98"/>
      <c r="I163" s="98"/>
      <c r="J163" s="98">
        <f>SUM(J161:J162)</f>
        <v>640.07135500000004</v>
      </c>
      <c r="K163" s="79"/>
      <c r="L163" s="27"/>
      <c r="M163" s="80">
        <f>IF(OR(J163=0,Q163=""),"",Q163/J163-1)</f>
        <v>-4.4745572155779789E-2</v>
      </c>
      <c r="N163" s="27"/>
      <c r="O163" s="98"/>
      <c r="P163" s="98"/>
      <c r="Q163" s="98">
        <f>SUM(Q161:Q162)</f>
        <v>611.43099599999982</v>
      </c>
      <c r="R163" s="79"/>
    </row>
    <row r="164" spans="2:22" x14ac:dyDescent="0.3">
      <c r="F164" s="41"/>
      <c r="K164" s="44"/>
      <c r="M164" s="49"/>
      <c r="R164" s="44"/>
    </row>
    <row r="165" spans="2:22" x14ac:dyDescent="0.3">
      <c r="B165" s="5" t="s">
        <v>0</v>
      </c>
      <c r="C165" s="5" t="s">
        <v>14</v>
      </c>
      <c r="D165" s="5" t="s">
        <v>158</v>
      </c>
      <c r="F165" s="41"/>
      <c r="K165" s="44"/>
      <c r="M165" s="49"/>
      <c r="R165" s="44"/>
    </row>
    <row r="166" spans="2:22" x14ac:dyDescent="0.3">
      <c r="B166" s="3" t="str">
        <f>B165</f>
        <v>Energex</v>
      </c>
      <c r="C166" s="3" t="str">
        <f t="shared" ref="C166:C174" si="78">C165</f>
        <v>Small business</v>
      </c>
      <c r="D166" s="3" t="str">
        <f t="shared" ref="D166:D174" si="79">D165</f>
        <v>without CL</v>
      </c>
      <c r="E166" s="3" t="s">
        <v>24</v>
      </c>
      <c r="F166" s="41">
        <f t="array" ref="F166">IFERROR(INDEX(Usage!$B$5:$T$18,MATCH($B166,Usage!$B$5:$B$18,0),MATCH($C166&amp;$D166&amp;$E166,Usage!$B$5:$W$5&amp;Usage!$B$6:$W$6&amp;Usage!$B$7:$W$7,0)),0)</f>
        <v>20000</v>
      </c>
      <c r="G166" s="3" t="s">
        <v>78</v>
      </c>
      <c r="I166" s="93">
        <f t="array" ref="I166">IFERROR(INDEX('Detail inputs'!$B$3:$L$304,MATCH($B166&amp;$C166&amp;$E166&amp;$G166&amp;I$5,'Detail inputs'!$B$3:$B$304&amp;'Detail inputs'!$D$3:$D$304&amp;'Detail inputs'!$F$3:$F$304&amp;'Detail inputs'!$G$3:$G$304&amp;'Detail inputs'!$H$3:$H$304,0),MATCH(I$4,'Detail inputs'!$B$3:$L$3,0)),0)</f>
        <v>89.16</v>
      </c>
      <c r="J166" s="93">
        <f>IF(AND(H166="",I166=""),"",H166+I166*$F166/1000)</f>
        <v>1783.2</v>
      </c>
      <c r="K166" s="44">
        <f>IFERROR(J166/J172,"")</f>
        <v>0.9066503965832825</v>
      </c>
      <c r="L166" s="44"/>
      <c r="M166" s="49">
        <f t="shared" ref="M166:M172" si="80">IF(OR(J166=0,Q166=""),"",Q166/J166-1)</f>
        <v>-4.4302377747869159E-2</v>
      </c>
      <c r="N166" s="44"/>
      <c r="P166" s="93">
        <f t="array" ref="P166">IFERROR(INDEX('Detail inputs'!$B$3:$L$304,MATCH($B166&amp;$C166&amp;$E166&amp;$G166&amp;P$5,'Detail inputs'!$B$3:$B$304&amp;'Detail inputs'!$D$3:$D$304&amp;'Detail inputs'!$F$3:$F$304&amp;'Detail inputs'!$G$3:$G$304&amp;'Detail inputs'!$H$3:$H$304,0),MATCH(P$4,'Detail inputs'!$B$3:$L$3,0)),0)</f>
        <v>85.21</v>
      </c>
      <c r="Q166" s="93">
        <f>IF(AND(O166="",P166=""),"",O166+P166*$F166/1000)</f>
        <v>1704.1999999999998</v>
      </c>
      <c r="R166" s="44">
        <f>IFERROR(Q166/Q172,"")</f>
        <v>0.90581481875199321</v>
      </c>
    </row>
    <row r="167" spans="2:22" x14ac:dyDescent="0.3">
      <c r="B167" s="3" t="str">
        <f t="shared" ref="B167:B174" si="81">B166</f>
        <v>Energex</v>
      </c>
      <c r="C167" s="3" t="str">
        <f t="shared" si="78"/>
        <v>Small business</v>
      </c>
      <c r="D167" s="3" t="str">
        <f t="shared" si="79"/>
        <v>without CL</v>
      </c>
      <c r="E167" s="3" t="s">
        <v>24</v>
      </c>
      <c r="F167" s="41">
        <f t="array" ref="F167">IFERROR(INDEX(Usage!$B$5:$T$18,MATCH($B167,Usage!$B$5:$B$18,0),MATCH($C167&amp;$D167&amp;$E167,Usage!$B$5:$W$5&amp;Usage!$B$6:$W$6&amp;Usage!$B$7:$W$7,0)),0)</f>
        <v>20000</v>
      </c>
      <c r="G167" s="3" t="s">
        <v>79</v>
      </c>
      <c r="I167" s="93">
        <f t="array" ref="I167">IFERROR(INDEX('Detail inputs'!$B$3:$L$304,MATCH($B167&amp;$G167&amp;I$5,'Detail inputs'!$B$3:$B$304&amp;'Detail inputs'!$G$3:$G$304&amp;'Detail inputs'!$H$3:$H$304,0),MATCH(I$4,'Detail inputs'!$B$3:$L$3,0)),0)</f>
        <v>0.37</v>
      </c>
      <c r="J167" s="93">
        <f t="shared" ref="J167:J172" si="82">IF(AND(H167="",I167=""),"",H167+I167*$F167/1000)</f>
        <v>7.4</v>
      </c>
      <c r="K167" s="44">
        <f>IFERROR(J167/J172,"")</f>
        <v>3.7624567825910111E-3</v>
      </c>
      <c r="L167" s="44"/>
      <c r="M167" s="49">
        <f t="shared" si="80"/>
        <v>1</v>
      </c>
      <c r="N167" s="44"/>
      <c r="P167" s="93">
        <f t="array" ref="P167">IFERROR(INDEX('Detail inputs'!$B$3:$L$304,MATCH($B167&amp;$G167&amp;P$5,'Detail inputs'!$B$3:$B$304&amp;'Detail inputs'!$G$3:$G$304&amp;'Detail inputs'!$H$3:$H$304,0),MATCH(P$4,'Detail inputs'!$B$3:$L$3,0)),0)</f>
        <v>0.74</v>
      </c>
      <c r="Q167" s="93">
        <f t="shared" ref="Q167:Q172" si="83">IF(AND(O167="",P167=""),"",O167+P167*$F167/1000)</f>
        <v>14.8</v>
      </c>
      <c r="R167" s="44">
        <f>IFERROR(Q167/Q172,"")</f>
        <v>7.8664824067184013E-3</v>
      </c>
    </row>
    <row r="168" spans="2:22" x14ac:dyDescent="0.3">
      <c r="B168" s="3" t="str">
        <f t="shared" si="81"/>
        <v>Energex</v>
      </c>
      <c r="C168" s="3" t="str">
        <f t="shared" si="78"/>
        <v>Small business</v>
      </c>
      <c r="D168" s="3" t="str">
        <f t="shared" si="79"/>
        <v>without CL</v>
      </c>
      <c r="E168" s="3" t="s">
        <v>24</v>
      </c>
      <c r="F168" s="41">
        <f t="array" ref="F168">IFERROR(INDEX(Usage!$B$5:$T$18,MATCH($B168,Usage!$B$5:$B$18,0),MATCH($C168&amp;$D168&amp;$E168,Usage!$B$5:$W$5&amp;Usage!$B$6:$W$6&amp;Usage!$B$7:$W$7,0)),0)</f>
        <v>20000</v>
      </c>
      <c r="G168" s="3" t="s">
        <v>89</v>
      </c>
      <c r="I168" s="93">
        <f t="array" ref="I168">IFERROR(INDEX('Detail inputs'!$B$3:$L$304,MATCH($B168&amp;$G168&amp;I$5,'Detail inputs'!$B$3:$B$304&amp;'Detail inputs'!$G$3:$G$304&amp;'Detail inputs'!$H$3:$H$304,0),MATCH(I$4,'Detail inputs'!$B$3:$L$3,0)),0)</f>
        <v>0.63</v>
      </c>
      <c r="J168" s="93">
        <f t="shared" si="82"/>
        <v>12.6</v>
      </c>
      <c r="K168" s="44">
        <f>IFERROR(J168/J172,"")</f>
        <v>6.4063453325198293E-3</v>
      </c>
      <c r="L168" s="44"/>
      <c r="M168" s="49">
        <f t="shared" si="80"/>
        <v>0.11111111111111116</v>
      </c>
      <c r="N168" s="44"/>
      <c r="P168" s="93">
        <f t="array" ref="P168">IFERROR(INDEX('Detail inputs'!$B$3:$L$304,MATCH($B168&amp;$G168&amp;P$5,'Detail inputs'!$B$3:$B$304&amp;'Detail inputs'!$G$3:$G$304&amp;'Detail inputs'!$H$3:$H$304,0),MATCH(P$4,'Detail inputs'!$B$3:$L$3,0)),0)</f>
        <v>0.7</v>
      </c>
      <c r="Q168" s="93">
        <f t="shared" si="83"/>
        <v>14</v>
      </c>
      <c r="R168" s="44">
        <f>IFERROR(Q168/Q172,"")</f>
        <v>7.4412671414903798E-3</v>
      </c>
    </row>
    <row r="169" spans="2:22" x14ac:dyDescent="0.3">
      <c r="B169" s="3" t="str">
        <f t="shared" si="81"/>
        <v>Energex</v>
      </c>
      <c r="C169" s="3" t="str">
        <f t="shared" si="78"/>
        <v>Small business</v>
      </c>
      <c r="D169" s="3" t="str">
        <f t="shared" si="79"/>
        <v>without CL</v>
      </c>
      <c r="E169" s="3" t="s">
        <v>24</v>
      </c>
      <c r="F169" s="41">
        <f t="array" ref="F169">IFERROR(INDEX(Usage!$B$5:$T$18,MATCH($B169,Usage!$B$5:$B$18,0),MATCH($C169&amp;$D169&amp;$E169,Usage!$B$5:$W$5&amp;Usage!$B$6:$W$6&amp;Usage!$B$7:$W$7,0)),0)</f>
        <v>20000</v>
      </c>
      <c r="G169" s="3" t="s">
        <v>80</v>
      </c>
      <c r="I169" s="93">
        <f t="array" ref="I169">IFERROR(INDEX('Detail inputs'!$B$3:$L$304,MATCH($B169&amp;$G169&amp;I$5,'Detail inputs'!$B$3:$B$304&amp;'Detail inputs'!$G$3:$G$304&amp;'Detail inputs'!$H$3:$H$304,0),MATCH(I$4,'Detail inputs'!$B$3:$L$3,0)),0)</f>
        <v>0</v>
      </c>
      <c r="J169" s="93">
        <f t="shared" si="82"/>
        <v>0</v>
      </c>
      <c r="K169" s="44">
        <f>IFERROR(J169/J172,"")</f>
        <v>0</v>
      </c>
      <c r="L169" s="44"/>
      <c r="M169" s="49" t="str">
        <f t="shared" si="80"/>
        <v/>
      </c>
      <c r="N169" s="44"/>
      <c r="P169" s="93">
        <f t="array" ref="P169">IFERROR(INDEX('Detail inputs'!$B$3:$L$304,MATCH($B169&amp;$G169&amp;P$5,'Detail inputs'!$B$3:$B$304&amp;'Detail inputs'!$G$3:$G$304&amp;'Detail inputs'!$H$3:$H$304,0),MATCH(P$4,'Detail inputs'!$B$3:$L$3,0)),0)</f>
        <v>0</v>
      </c>
      <c r="Q169" s="93">
        <f t="shared" si="83"/>
        <v>0</v>
      </c>
      <c r="R169" s="44">
        <f>IFERROR(Q169/Q172,"")</f>
        <v>0</v>
      </c>
    </row>
    <row r="170" spans="2:22" x14ac:dyDescent="0.3">
      <c r="B170" s="3" t="str">
        <f t="shared" si="81"/>
        <v>Energex</v>
      </c>
      <c r="C170" s="3" t="str">
        <f t="shared" si="78"/>
        <v>Small business</v>
      </c>
      <c r="D170" s="3" t="str">
        <f t="shared" si="79"/>
        <v>without CL</v>
      </c>
      <c r="E170" s="3" t="s">
        <v>24</v>
      </c>
      <c r="F170" s="41">
        <f t="array" ref="F170">IFERROR(INDEX(Usage!$B$5:$T$18,MATCH($B170,Usage!$B$5:$B$18,0),MATCH($C170&amp;$D170&amp;$E170,Usage!$B$5:$W$5&amp;Usage!$B$6:$W$6&amp;Usage!$B$7:$W$7,0)),0)</f>
        <v>20000</v>
      </c>
      <c r="G170" s="3" t="s">
        <v>177</v>
      </c>
      <c r="I170" s="93">
        <f t="array" ref="I170">IFERROR(INDEX('Detail inputs'!$B$3:$L$304,MATCH($B170&amp;$G170&amp;I$5,'Detail inputs'!$B$3:$B$304&amp;'Detail inputs'!$G$3:$G$304&amp;'Detail inputs'!$H$3:$H$304,0),MATCH(I$4,'Detail inputs'!$B$3:$L$3,0)),0)</f>
        <v>2.1800000000000002</v>
      </c>
      <c r="J170" s="93">
        <f t="shared" si="82"/>
        <v>43.6</v>
      </c>
      <c r="K170" s="44">
        <f>IFERROR(J170/J172,"")</f>
        <v>2.2167988610941634E-2</v>
      </c>
      <c r="L170" s="44"/>
      <c r="M170" s="49">
        <f t="shared" si="80"/>
        <v>-0.22935779816513757</v>
      </c>
      <c r="N170" s="44"/>
      <c r="P170" s="93">
        <f t="array" ref="P170">IFERROR(INDEX('Detail inputs'!$B$3:$L$304,MATCH($B170&amp;$G170&amp;P$5,'Detail inputs'!$B$3:$B$304&amp;'Detail inputs'!$G$3:$G$304&amp;'Detail inputs'!$H$3:$H$304,0),MATCH(P$4,'Detail inputs'!$B$3:$L$3,0)),0)</f>
        <v>1.68</v>
      </c>
      <c r="Q170" s="93">
        <f t="shared" si="83"/>
        <v>33.6</v>
      </c>
      <c r="R170" s="44">
        <f>IFERROR(Q170/Q172,"")</f>
        <v>1.7859041139576912E-2</v>
      </c>
    </row>
    <row r="171" spans="2:22" x14ac:dyDescent="0.3">
      <c r="B171" s="3" t="str">
        <f t="shared" si="81"/>
        <v>Energex</v>
      </c>
      <c r="C171" s="3" t="str">
        <f t="shared" si="78"/>
        <v>Small business</v>
      </c>
      <c r="D171" s="3" t="str">
        <f t="shared" si="79"/>
        <v>without CL</v>
      </c>
      <c r="E171" s="3" t="s">
        <v>24</v>
      </c>
      <c r="F171" s="41">
        <f t="array" ref="F171">IFERROR(INDEX(Usage!$B$5:$T$18,MATCH($B171,Usage!$B$5:$B$18,0),MATCH($C171&amp;$D171&amp;$E171,Usage!$B$5:$W$5&amp;Usage!$B$6:$W$6&amp;Usage!$B$7:$W$7,0)),0)</f>
        <v>20000</v>
      </c>
      <c r="G171" s="3" t="s">
        <v>81</v>
      </c>
      <c r="I171" s="93">
        <f t="array" ref="I171">ROUND(IFERROR(INDEX('Detail inputs'!$B$3:$L$304,MATCH($B171&amp;$C171&amp;$E171&amp;$G171&amp;I$5,'Detail inputs'!$B$3:$B$304&amp;'Detail inputs'!$D$3:$D$304&amp;'Detail inputs'!$F$3:$F$304&amp;'Detail inputs'!$G$3:$G$304&amp;'Detail inputs'!$H$3:$H$304,0),MATCH(I$4,'Detail inputs'!$B$3:$L$3,0)),0)*SUM(I166:I170),2)</f>
        <v>6</v>
      </c>
      <c r="J171" s="93">
        <f t="shared" si="82"/>
        <v>120</v>
      </c>
      <c r="K171" s="44">
        <f>IFERROR(J171/J172,"")</f>
        <v>6.1012812690665039E-2</v>
      </c>
      <c r="L171" s="44"/>
      <c r="M171" s="49">
        <f t="shared" si="80"/>
        <v>-4.3333333333333335E-2</v>
      </c>
      <c r="N171" s="44"/>
      <c r="P171" s="93">
        <f t="array" ref="P171">ROUND(IFERROR(INDEX('Detail inputs'!$B$3:$L$304,MATCH($B171&amp;$C171&amp;$E171&amp;$G171&amp;P$5,'Detail inputs'!$B$3:$B$304&amp;'Detail inputs'!$D$3:$D$304&amp;'Detail inputs'!$F$3:$F$304&amp;'Detail inputs'!$G$3:$G$304&amp;'Detail inputs'!$H$3:$H$304,0),MATCH(P$4,'Detail inputs'!$B$3:$L$3,0)),0)*SUM(P166:P170),2)</f>
        <v>5.74</v>
      </c>
      <c r="Q171" s="93">
        <f t="shared" si="83"/>
        <v>114.8</v>
      </c>
      <c r="R171" s="44">
        <f>IFERROR(Q171/Q172,"")</f>
        <v>6.1018390560221118E-2</v>
      </c>
    </row>
    <row r="172" spans="2:22" s="81" customFormat="1" x14ac:dyDescent="0.3">
      <c r="B172" s="3" t="str">
        <f t="shared" si="81"/>
        <v>Energex</v>
      </c>
      <c r="C172" s="3" t="str">
        <f t="shared" si="78"/>
        <v>Small business</v>
      </c>
      <c r="D172" s="3" t="str">
        <f t="shared" si="79"/>
        <v>without CL</v>
      </c>
      <c r="E172" s="3" t="s">
        <v>24</v>
      </c>
      <c r="F172" s="41">
        <f t="array" ref="F172">IFERROR(INDEX(Usage!$B$5:$T$18,MATCH($B172,Usage!$B$5:$B$18,0),MATCH($C172&amp;$D172&amp;$E172,Usage!$B$5:$W$5&amp;Usage!$B$6:$W$6&amp;Usage!$B$7:$W$7,0)),0)</f>
        <v>20000</v>
      </c>
      <c r="G172" s="81" t="s">
        <v>58</v>
      </c>
      <c r="H172" s="99"/>
      <c r="I172" s="99">
        <f t="array" ref="I172">INDEX('Key inputs'!$B$15:$G$33,MATCH($B172&amp;$E172,'Key inputs'!$B$15:$B$33&amp;'Key inputs'!$C$15:$C$33,0),MATCH($A$2&amp;I$4,'Key inputs'!$B$16:$G$16&amp;'Key inputs'!$B$17:$G$17,0))</f>
        <v>98.34</v>
      </c>
      <c r="J172" s="93">
        <f t="shared" si="82"/>
        <v>1966.8</v>
      </c>
      <c r="K172" s="91"/>
      <c r="L172" s="92"/>
      <c r="M172" s="83">
        <f t="shared" si="80"/>
        <v>-4.3420785031523357E-2</v>
      </c>
      <c r="N172" s="92"/>
      <c r="O172" s="99"/>
      <c r="P172" s="99">
        <f t="array" ref="P172">INDEX('Key inputs'!$B$15:$G$33,MATCH($B172&amp;$E172,'Key inputs'!$B$15:$B$33&amp;'Key inputs'!$C$15:$C$33,0),MATCH($A$2&amp;P$4,'Key inputs'!$B$16:$G$16&amp;'Key inputs'!$B$17:$G$17,0))</f>
        <v>94.07</v>
      </c>
      <c r="Q172" s="93">
        <f t="shared" si="83"/>
        <v>1881.3999999999999</v>
      </c>
      <c r="R172" s="91"/>
      <c r="S172" s="133" t="b">
        <f>ROUND(I172,$W$5)=ROUND(SUM(I166:I171),$W$5)</f>
        <v>1</v>
      </c>
      <c r="T172" s="133" t="b">
        <f>ROUND(P172,$W$5)=ROUND(SUM(P166:P171),$W$5)</f>
        <v>1</v>
      </c>
      <c r="U172" s="132"/>
      <c r="V172" s="132"/>
    </row>
    <row r="173" spans="2:22" x14ac:dyDescent="0.3">
      <c r="B173" s="3" t="str">
        <f t="shared" si="81"/>
        <v>Energex</v>
      </c>
      <c r="C173" s="3" t="str">
        <f t="shared" si="78"/>
        <v>Small business</v>
      </c>
      <c r="D173" s="3" t="str">
        <f t="shared" si="79"/>
        <v>without CL</v>
      </c>
      <c r="F173" s="41"/>
      <c r="G173" s="81" t="s">
        <v>41</v>
      </c>
      <c r="H173" s="99"/>
      <c r="I173" s="99"/>
      <c r="J173" s="99">
        <f>J172*GST</f>
        <v>196.68</v>
      </c>
      <c r="K173" s="91"/>
      <c r="L173" s="92"/>
      <c r="M173" s="83"/>
      <c r="N173" s="92"/>
      <c r="O173" s="99"/>
      <c r="P173" s="99"/>
      <c r="Q173" s="99">
        <f>Q172*GST</f>
        <v>188.14</v>
      </c>
      <c r="R173" s="79"/>
    </row>
    <row r="174" spans="2:22" x14ac:dyDescent="0.3">
      <c r="B174" s="3" t="str">
        <f t="shared" si="81"/>
        <v>Energex</v>
      </c>
      <c r="C174" s="3" t="str">
        <f t="shared" si="78"/>
        <v>Small business</v>
      </c>
      <c r="D174" s="3" t="str">
        <f t="shared" si="79"/>
        <v>without CL</v>
      </c>
      <c r="F174" s="41"/>
      <c r="G174" s="5" t="s">
        <v>91</v>
      </c>
      <c r="H174" s="98"/>
      <c r="I174" s="98"/>
      <c r="J174" s="98">
        <f>SUM(J172:J173)</f>
        <v>2163.48</v>
      </c>
      <c r="K174" s="79"/>
      <c r="L174" s="27"/>
      <c r="M174" s="80">
        <f>IF(OR(J174=0,Q174=""),"",Q174/J174-1)</f>
        <v>-4.3420785031523357E-2</v>
      </c>
      <c r="N174" s="27"/>
      <c r="O174" s="98"/>
      <c r="P174" s="98"/>
      <c r="Q174" s="98">
        <f>SUM(Q172:Q173)</f>
        <v>2069.54</v>
      </c>
      <c r="R174" s="79"/>
    </row>
    <row r="175" spans="2:22" x14ac:dyDescent="0.3">
      <c r="F175" s="41"/>
      <c r="K175" s="44"/>
      <c r="M175" s="49"/>
      <c r="R175" s="44"/>
    </row>
    <row r="176" spans="2:22" x14ac:dyDescent="0.3">
      <c r="B176" s="5" t="s">
        <v>5</v>
      </c>
      <c r="C176" s="5" t="s">
        <v>6</v>
      </c>
      <c r="D176" s="5" t="s">
        <v>158</v>
      </c>
      <c r="F176" s="41"/>
      <c r="K176" s="44"/>
      <c r="M176" s="49"/>
      <c r="R176" s="44"/>
    </row>
    <row r="177" spans="2:22" x14ac:dyDescent="0.3">
      <c r="B177" s="3" t="str">
        <f>B176</f>
        <v>SAPN</v>
      </c>
      <c r="C177" s="3" t="str">
        <f t="shared" ref="C177:C185" si="84">C176</f>
        <v>Residential</v>
      </c>
      <c r="D177" s="3" t="str">
        <f t="shared" ref="D177:D185" si="85">D176</f>
        <v>without CL</v>
      </c>
      <c r="E177" s="3" t="s">
        <v>24</v>
      </c>
      <c r="F177" s="41">
        <f t="array" ref="F177">IFERROR(INDEX(Usage!$B$5:$T$18,MATCH($B177,Usage!$B$5:$B$18,0),MATCH($C177&amp;$D177&amp;$E177&amp;"Total",Usage!$B$5:$W$5&amp;Usage!$B$6:$W$6&amp;Usage!$B$7:$W$7&amp;Usage!$B$13:$W$13,0)),0)</f>
        <v>4000</v>
      </c>
      <c r="G177" s="3" t="s">
        <v>78</v>
      </c>
      <c r="I177" s="93">
        <f t="array" ref="I177">IFERROR(INDEX('Detail inputs'!$B$3:$L$304,MATCH($B177&amp;$C177&amp;$E177&amp;$G177&amp;I$5,'Detail inputs'!$B$3:$B$304&amp;'Detail inputs'!$D$3:$D$304&amp;'Detail inputs'!$F$3:$F$304&amp;'Detail inputs'!$G$3:$G$304&amp;'Detail inputs'!$H$3:$H$304,0),MATCH(I$4,'Detail inputs'!$B$3:$L$3,0)),0)</f>
        <v>141.38999999999999</v>
      </c>
      <c r="J177" s="93">
        <f>IF(AND(H177="",I177=""),"",H177+I177*$F177/1000)</f>
        <v>565.55999999999995</v>
      </c>
      <c r="K177" s="44">
        <f>IFERROR(J177/J183,"")</f>
        <v>0.86103160587053162</v>
      </c>
      <c r="L177" s="44"/>
      <c r="M177" s="49">
        <f t="shared" ref="M177:M183" si="86">IF(OR(J177=0,Q177=""),"",Q177/J177-1)</f>
        <v>-4.1445646792559465E-2</v>
      </c>
      <c r="N177" s="44"/>
      <c r="P177" s="93">
        <f t="array" ref="P177">IFERROR(INDEX('Detail inputs'!$B$3:$L$304,MATCH($B177&amp;$C177&amp;$E177&amp;$G177&amp;P$5,'Detail inputs'!$B$3:$B$304&amp;'Detail inputs'!$D$3:$D$304&amp;'Detail inputs'!$F$3:$F$304&amp;'Detail inputs'!$G$3:$G$304&amp;'Detail inputs'!$H$3:$H$304,0),MATCH(P$4,'Detail inputs'!$B$3:$L$3,0)),0)</f>
        <v>135.53</v>
      </c>
      <c r="Q177" s="93">
        <f>IF(AND(O177="",P177=""),"",O177+P177*$F177/1000)</f>
        <v>542.12</v>
      </c>
      <c r="R177" s="44">
        <f>IFERROR(Q177/Q183,"")</f>
        <v>0.86247931780577836</v>
      </c>
    </row>
    <row r="178" spans="2:22" x14ac:dyDescent="0.3">
      <c r="B178" s="3" t="str">
        <f t="shared" ref="B178:B185" si="87">B177</f>
        <v>SAPN</v>
      </c>
      <c r="C178" s="3" t="str">
        <f t="shared" si="84"/>
        <v>Residential</v>
      </c>
      <c r="D178" s="3" t="str">
        <f t="shared" si="85"/>
        <v>without CL</v>
      </c>
      <c r="E178" s="3" t="s">
        <v>24</v>
      </c>
      <c r="F178" s="41">
        <f t="array" ref="F178">IFERROR(INDEX(Usage!$B$5:$T$18,MATCH($B178,Usage!$B$5:$B$18,0),MATCH($C178&amp;$D178&amp;$E178&amp;"Total",Usage!$B$5:$W$5&amp;Usage!$B$6:$W$6&amp;Usage!$B$7:$W$7&amp;Usage!$B$13:$W$13,0)),0)</f>
        <v>4000</v>
      </c>
      <c r="G178" s="3" t="s">
        <v>79</v>
      </c>
      <c r="I178" s="93">
        <f t="array" ref="I178">IFERROR(INDEX('Detail inputs'!$B$3:$L$304,MATCH($B178&amp;$G178&amp;I$5,'Detail inputs'!$B$3:$B$304&amp;'Detail inputs'!$G$3:$G$304&amp;'Detail inputs'!$H$3:$H$304,0),MATCH(I$4,'Detail inputs'!$B$3:$L$3,0)),0)</f>
        <v>0.37</v>
      </c>
      <c r="J178" s="93">
        <f t="shared" ref="J178:J183" si="88">IF(AND(H178="",I178=""),"",H178+I178*$F178/1000)</f>
        <v>1.48</v>
      </c>
      <c r="K178" s="44">
        <f>IFERROR(J178/J183,"")</f>
        <v>2.2532123500395838E-3</v>
      </c>
      <c r="L178" s="44"/>
      <c r="M178" s="49">
        <f t="shared" si="86"/>
        <v>1</v>
      </c>
      <c r="N178" s="44"/>
      <c r="P178" s="93">
        <f t="array" ref="P178">IFERROR(INDEX('Detail inputs'!$B$3:$L$304,MATCH($B178&amp;$G178&amp;P$5,'Detail inputs'!$B$3:$B$304&amp;'Detail inputs'!$G$3:$G$304&amp;'Detail inputs'!$H$3:$H$304,0),MATCH(P$4,'Detail inputs'!$B$3:$L$3,0)),0)</f>
        <v>0.74</v>
      </c>
      <c r="Q178" s="93">
        <f t="shared" ref="Q178:Q183" si="89">IF(AND(O178="",P178=""),"",O178+P178*$F178/1000)</f>
        <v>2.96</v>
      </c>
      <c r="R178" s="44">
        <f>IFERROR(Q178/Q183,"")</f>
        <v>4.7091765304823731E-3</v>
      </c>
    </row>
    <row r="179" spans="2:22" x14ac:dyDescent="0.3">
      <c r="B179" s="3" t="str">
        <f t="shared" si="87"/>
        <v>SAPN</v>
      </c>
      <c r="C179" s="3" t="str">
        <f t="shared" si="84"/>
        <v>Residential</v>
      </c>
      <c r="D179" s="3" t="str">
        <f t="shared" si="85"/>
        <v>without CL</v>
      </c>
      <c r="E179" s="3" t="s">
        <v>24</v>
      </c>
      <c r="F179" s="41">
        <f t="array" ref="F179">IFERROR(INDEX(Usage!$B$5:$T$18,MATCH($B179,Usage!$B$5:$B$18,0),MATCH($C179&amp;$D179&amp;$E179&amp;"Total",Usage!$B$5:$W$5&amp;Usage!$B$6:$W$6&amp;Usage!$B$7:$W$7&amp;Usage!$B$13:$W$13,0)),0)</f>
        <v>4000</v>
      </c>
      <c r="G179" s="3" t="s">
        <v>89</v>
      </c>
      <c r="I179" s="93">
        <f t="array" ref="I179">IFERROR(INDEX('Detail inputs'!$B$3:$L$304,MATCH($B179&amp;$G179&amp;I$5,'Detail inputs'!$B$3:$B$304&amp;'Detail inputs'!$G$3:$G$304&amp;'Detail inputs'!$H$3:$H$304,0),MATCH(I$4,'Detail inputs'!$B$3:$L$3,0)),0)</f>
        <v>0.63</v>
      </c>
      <c r="J179" s="93">
        <f t="shared" si="88"/>
        <v>2.52</v>
      </c>
      <c r="K179" s="44">
        <f>IFERROR(J179/J183,"")</f>
        <v>3.8365507581755074E-3</v>
      </c>
      <c r="L179" s="44"/>
      <c r="M179" s="49">
        <f t="shared" si="86"/>
        <v>0.11111111111111094</v>
      </c>
      <c r="N179" s="44"/>
      <c r="P179" s="93">
        <f t="array" ref="P179">IFERROR(INDEX('Detail inputs'!$B$3:$L$304,MATCH($B179&amp;$G179&amp;P$5,'Detail inputs'!$B$3:$B$304&amp;'Detail inputs'!$G$3:$G$304&amp;'Detail inputs'!$H$3:$H$304,0),MATCH(P$4,'Detail inputs'!$B$3:$L$3,0)),0)</f>
        <v>0.7</v>
      </c>
      <c r="Q179" s="93">
        <f t="shared" si="89"/>
        <v>2.8</v>
      </c>
      <c r="R179" s="44">
        <f>IFERROR(Q179/Q183,"")</f>
        <v>4.4546264477535952E-3</v>
      </c>
    </row>
    <row r="180" spans="2:22" x14ac:dyDescent="0.3">
      <c r="B180" s="3" t="str">
        <f t="shared" si="87"/>
        <v>SAPN</v>
      </c>
      <c r="C180" s="3" t="str">
        <f t="shared" si="84"/>
        <v>Residential</v>
      </c>
      <c r="D180" s="3" t="str">
        <f t="shared" si="85"/>
        <v>without CL</v>
      </c>
      <c r="E180" s="3" t="s">
        <v>24</v>
      </c>
      <c r="F180" s="41">
        <f t="array" ref="F180">IFERROR(INDEX(Usage!$B$5:$T$18,MATCH($B180,Usage!$B$5:$B$18,0),MATCH($C180&amp;$D180&amp;$E180&amp;"Total",Usage!$B$5:$W$5&amp;Usage!$B$6:$W$6&amp;Usage!$B$7:$W$7&amp;Usage!$B$13:$W$13,0)),0)</f>
        <v>4000</v>
      </c>
      <c r="G180" s="3" t="s">
        <v>80</v>
      </c>
      <c r="I180" s="93">
        <f t="array" ref="I180">IFERROR(INDEX('Detail inputs'!$B$3:$L$304,MATCH($B180&amp;$G180&amp;I$5,'Detail inputs'!$B$3:$B$304&amp;'Detail inputs'!$G$3:$G$304&amp;'Detail inputs'!$H$3:$H$304,0),MATCH(I$4,'Detail inputs'!$B$3:$L$3,0)),0)</f>
        <v>0.63</v>
      </c>
      <c r="J180" s="93">
        <f t="shared" si="88"/>
        <v>2.52</v>
      </c>
      <c r="K180" s="44">
        <f>IFERROR(J180/J183,"")</f>
        <v>3.8365507581755074E-3</v>
      </c>
      <c r="L180" s="44"/>
      <c r="M180" s="49">
        <f t="shared" si="86"/>
        <v>0</v>
      </c>
      <c r="N180" s="44"/>
      <c r="P180" s="93">
        <f t="array" ref="P180">IFERROR(INDEX('Detail inputs'!$B$3:$L$304,MATCH($B180&amp;$G180&amp;P$5,'Detail inputs'!$B$3:$B$304&amp;'Detail inputs'!$G$3:$G$304&amp;'Detail inputs'!$H$3:$H$304,0),MATCH(P$4,'Detail inputs'!$B$3:$L$3,0)),0)</f>
        <v>0.63</v>
      </c>
      <c r="Q180" s="93">
        <f t="shared" si="89"/>
        <v>2.52</v>
      </c>
      <c r="R180" s="44">
        <f>IFERROR(Q180/Q183,"")</f>
        <v>4.0091638029782365E-3</v>
      </c>
    </row>
    <row r="181" spans="2:22" x14ac:dyDescent="0.3">
      <c r="B181" s="3" t="str">
        <f t="shared" si="87"/>
        <v>SAPN</v>
      </c>
      <c r="C181" s="3" t="str">
        <f t="shared" si="84"/>
        <v>Residential</v>
      </c>
      <c r="D181" s="3" t="str">
        <f t="shared" si="85"/>
        <v>without CL</v>
      </c>
      <c r="E181" s="3" t="s">
        <v>24</v>
      </c>
      <c r="F181" s="41">
        <f t="array" ref="F181">IFERROR(INDEX(Usage!$B$5:$T$18,MATCH($B181,Usage!$B$5:$B$18,0),MATCH($C181&amp;$D181&amp;$E181&amp;"Total",Usage!$B$5:$W$5&amp;Usage!$B$6:$W$6&amp;Usage!$B$7:$W$7&amp;Usage!$B$13:$W$13,0)),0)</f>
        <v>4000</v>
      </c>
      <c r="G181" s="3" t="s">
        <v>177</v>
      </c>
      <c r="I181" s="93">
        <f t="array" ref="I181">IFERROR(INDEX('Detail inputs'!$B$3:$L$304,MATCH($B181&amp;$G181&amp;I$5,'Detail inputs'!$B$3:$B$304&amp;'Detail inputs'!$G$3:$G$304&amp;'Detail inputs'!$H$3:$H$304,0),MATCH(I$4,'Detail inputs'!$B$3:$L$3,0)),0)</f>
        <v>4.92</v>
      </c>
      <c r="J181" s="93">
        <f t="shared" si="88"/>
        <v>19.68</v>
      </c>
      <c r="K181" s="44">
        <f>IFERROR(J181/J183,"")</f>
        <v>2.9961634492418249E-2</v>
      </c>
      <c r="L181" s="44"/>
      <c r="M181" s="49">
        <f t="shared" si="86"/>
        <v>-0.19308943089430886</v>
      </c>
      <c r="N181" s="44"/>
      <c r="P181" s="93">
        <f t="array" ref="P181">IFERROR(INDEX('Detail inputs'!$B$3:$L$304,MATCH($B181&amp;$G181&amp;P$5,'Detail inputs'!$B$3:$B$304&amp;'Detail inputs'!$G$3:$G$304&amp;'Detail inputs'!$H$3:$H$304,0),MATCH(P$4,'Detail inputs'!$B$3:$L$3,0)),0)</f>
        <v>3.97</v>
      </c>
      <c r="Q181" s="93">
        <f t="shared" si="89"/>
        <v>15.88</v>
      </c>
      <c r="R181" s="44">
        <f>IFERROR(Q181/Q183,"")</f>
        <v>2.526409571083111E-2</v>
      </c>
    </row>
    <row r="182" spans="2:22" x14ac:dyDescent="0.3">
      <c r="B182" s="3" t="str">
        <f t="shared" si="87"/>
        <v>SAPN</v>
      </c>
      <c r="C182" s="3" t="str">
        <f t="shared" si="84"/>
        <v>Residential</v>
      </c>
      <c r="D182" s="3" t="str">
        <f t="shared" si="85"/>
        <v>without CL</v>
      </c>
      <c r="E182" s="3" t="s">
        <v>24</v>
      </c>
      <c r="F182" s="41">
        <f t="array" ref="F182">IFERROR(INDEX(Usage!$B$5:$T$18,MATCH($B182,Usage!$B$5:$B$18,0),MATCH($C182&amp;$D182&amp;$E182&amp;"Total",Usage!$B$5:$W$5&amp;Usage!$B$6:$W$6&amp;Usage!$B$7:$W$7&amp;Usage!$B$13:$W$13,0)),0)</f>
        <v>4000</v>
      </c>
      <c r="G182" s="3" t="s">
        <v>81</v>
      </c>
      <c r="I182" s="93">
        <f t="array" ref="I182">ROUND(IFERROR(INDEX('Detail inputs'!$B$3:$L$304,MATCH($B182&amp;$C182&amp;$E182&amp;$G182&amp;I$5,'Detail inputs'!$B$3:$B$304&amp;'Detail inputs'!$D$3:$D$304&amp;'Detail inputs'!$F$3:$F$304&amp;'Detail inputs'!$G$3:$G$304&amp;'Detail inputs'!$H$3:$H$304,0),MATCH(I$4,'Detail inputs'!$B$3:$L$3,0)),0)*SUM(I177:I181),2)</f>
        <v>16.27</v>
      </c>
      <c r="J182" s="93">
        <f t="shared" si="88"/>
        <v>65.08</v>
      </c>
      <c r="K182" s="44">
        <f>IFERROR(J182/J183,"")</f>
        <v>9.9080445770659525E-2</v>
      </c>
      <c r="L182" s="44"/>
      <c r="M182" s="49">
        <f t="shared" si="86"/>
        <v>-4.3023970497848785E-2</v>
      </c>
      <c r="N182" s="44"/>
      <c r="P182" s="93">
        <f t="array" ref="P182">ROUND(IFERROR(INDEX('Detail inputs'!$B$3:$L$304,MATCH($B182&amp;$C182&amp;$E182&amp;$G182&amp;P$5,'Detail inputs'!$B$3:$B$304&amp;'Detail inputs'!$D$3:$D$304&amp;'Detail inputs'!$F$3:$F$304&amp;'Detail inputs'!$G$3:$G$304&amp;'Detail inputs'!$H$3:$H$304,0),MATCH(P$4,'Detail inputs'!$B$3:$L$3,0)),0)*SUM(P177:P181),2)</f>
        <v>15.57</v>
      </c>
      <c r="Q182" s="93">
        <f t="shared" si="89"/>
        <v>62.28</v>
      </c>
      <c r="R182" s="44">
        <f>IFERROR(Q182/Q183,"")</f>
        <v>9.9083619702176412E-2</v>
      </c>
    </row>
    <row r="183" spans="2:22" s="81" customFormat="1" x14ac:dyDescent="0.3">
      <c r="B183" s="3" t="str">
        <f t="shared" si="87"/>
        <v>SAPN</v>
      </c>
      <c r="C183" s="3" t="str">
        <f t="shared" si="84"/>
        <v>Residential</v>
      </c>
      <c r="D183" s="3" t="str">
        <f t="shared" si="85"/>
        <v>without CL</v>
      </c>
      <c r="E183" s="3" t="s">
        <v>24</v>
      </c>
      <c r="F183" s="41">
        <f t="array" ref="F183">IFERROR(INDEX(Usage!$B$5:$T$18,MATCH($B183,Usage!$B$5:$B$18,0),MATCH($C183&amp;$D183&amp;$E183&amp;"Total",Usage!$B$5:$W$5&amp;Usage!$B$6:$W$6&amp;Usage!$B$7:$W$7&amp;Usage!$B$13:$W$13,0)),0)</f>
        <v>4000</v>
      </c>
      <c r="G183" s="81" t="s">
        <v>58</v>
      </c>
      <c r="H183" s="99"/>
      <c r="I183" s="99">
        <f t="array" ref="I183">INDEX('Key inputs'!$B$15:$G$33,MATCH($B183&amp;$E183,'Key inputs'!$B$15:$B$33&amp;'Key inputs'!$C$15:$C$33,0),MATCH($A$2&amp;I$4,'Key inputs'!$B$16:$G$16&amp;'Key inputs'!$B$17:$G$17,0))</f>
        <v>164.20999999999998</v>
      </c>
      <c r="J183" s="93">
        <f t="shared" si="88"/>
        <v>656.83999999999992</v>
      </c>
      <c r="K183" s="91"/>
      <c r="L183" s="92"/>
      <c r="M183" s="83">
        <f t="shared" si="86"/>
        <v>-4.305462517508063E-2</v>
      </c>
      <c r="N183" s="92"/>
      <c r="O183" s="99"/>
      <c r="P183" s="99">
        <f t="array" ref="P183">INDEX('Key inputs'!$B$15:$G$33,MATCH($B183&amp;$E183,'Key inputs'!$B$15:$B$33&amp;'Key inputs'!$C$15:$C$33,0),MATCH($A$2&amp;P$4,'Key inputs'!$B$16:$G$16&amp;'Key inputs'!$B$17:$G$17,0))</f>
        <v>157.13999999999999</v>
      </c>
      <c r="Q183" s="93">
        <f t="shared" si="89"/>
        <v>628.55999999999995</v>
      </c>
      <c r="R183" s="91"/>
      <c r="S183" s="133" t="b">
        <f>ROUND(I183,$W$5)=ROUND(SUM(I177:I182),$W$5)</f>
        <v>1</v>
      </c>
      <c r="T183" s="133" t="b">
        <f>ROUND(P183,$W$5)=ROUND(SUM(P177:P182),$W$5)</f>
        <v>1</v>
      </c>
      <c r="U183" s="132"/>
      <c r="V183" s="132"/>
    </row>
    <row r="184" spans="2:22" x14ac:dyDescent="0.3">
      <c r="B184" s="3" t="str">
        <f t="shared" si="87"/>
        <v>SAPN</v>
      </c>
      <c r="C184" s="3" t="str">
        <f t="shared" si="84"/>
        <v>Residential</v>
      </c>
      <c r="D184" s="3" t="str">
        <f t="shared" si="85"/>
        <v>without CL</v>
      </c>
      <c r="F184" s="41"/>
      <c r="G184" s="81" t="s">
        <v>41</v>
      </c>
      <c r="H184" s="99"/>
      <c r="I184" s="99"/>
      <c r="J184" s="99">
        <f>J183*GST</f>
        <v>65.683999999999997</v>
      </c>
      <c r="K184" s="91"/>
      <c r="L184" s="92"/>
      <c r="M184" s="83"/>
      <c r="N184" s="92"/>
      <c r="O184" s="99"/>
      <c r="P184" s="99"/>
      <c r="Q184" s="99">
        <f>Q183*GST</f>
        <v>62.855999999999995</v>
      </c>
      <c r="R184" s="79"/>
    </row>
    <row r="185" spans="2:22" x14ac:dyDescent="0.3">
      <c r="B185" s="3" t="str">
        <f t="shared" si="87"/>
        <v>SAPN</v>
      </c>
      <c r="C185" s="3" t="str">
        <f t="shared" si="84"/>
        <v>Residential</v>
      </c>
      <c r="D185" s="3" t="str">
        <f t="shared" si="85"/>
        <v>without CL</v>
      </c>
      <c r="F185" s="41"/>
      <c r="G185" s="5" t="s">
        <v>91</v>
      </c>
      <c r="H185" s="98"/>
      <c r="I185" s="98"/>
      <c r="J185" s="98">
        <f>SUM(J183:J184)</f>
        <v>722.52399999999989</v>
      </c>
      <c r="K185" s="79"/>
      <c r="L185" s="27"/>
      <c r="M185" s="80">
        <f>IF(OR(J185=0,Q185=""),"",Q185/J185-1)</f>
        <v>-4.305462517508063E-2</v>
      </c>
      <c r="N185" s="27"/>
      <c r="O185" s="98"/>
      <c r="P185" s="98"/>
      <c r="Q185" s="98">
        <f>SUM(Q183:Q184)</f>
        <v>691.41599999999994</v>
      </c>
      <c r="R185" s="79"/>
    </row>
    <row r="186" spans="2:22" x14ac:dyDescent="0.3">
      <c r="F186" s="41"/>
      <c r="K186" s="44"/>
      <c r="M186" s="49"/>
      <c r="R186" s="44"/>
    </row>
    <row r="187" spans="2:22" x14ac:dyDescent="0.3">
      <c r="B187" s="5" t="s">
        <v>5</v>
      </c>
      <c r="C187" s="5" t="s">
        <v>6</v>
      </c>
      <c r="D187" s="5" t="s">
        <v>159</v>
      </c>
      <c r="F187" s="41"/>
      <c r="K187" s="44"/>
      <c r="M187" s="49"/>
      <c r="R187" s="44"/>
    </row>
    <row r="188" spans="2:22" x14ac:dyDescent="0.3">
      <c r="B188" s="3" t="str">
        <f>B187</f>
        <v>SAPN</v>
      </c>
      <c r="C188" s="3" t="str">
        <f t="shared" ref="C188:C198" si="90">C187</f>
        <v>Residential</v>
      </c>
      <c r="D188" s="3" t="str">
        <f t="shared" ref="D188:D198" si="91">D187</f>
        <v>with CL</v>
      </c>
      <c r="E188" s="3" t="s">
        <v>24</v>
      </c>
      <c r="F188" s="41">
        <f t="array" ref="F188">IFERROR(INDEX(Usage!$B$5:$T$18,MATCH($B188,Usage!$B$5:$B$18,0),MATCH($C188&amp;$D188&amp;$E188&amp;"Total",Usage!$B$5:$W$5&amp;Usage!$B$6:$W$6&amp;Usage!$B$7:$W$7&amp;Usage!$B$13:$W$13,0)),0)</f>
        <v>4200</v>
      </c>
      <c r="G188" s="3" t="s">
        <v>58</v>
      </c>
      <c r="I188" s="93">
        <f>I183</f>
        <v>164.20999999999998</v>
      </c>
      <c r="J188" s="93">
        <f>IF(AND(H188="",I188=""),"",H188+I188*$F188/1000)</f>
        <v>689.6819999999999</v>
      </c>
      <c r="K188" s="44"/>
      <c r="M188" s="49">
        <f>IF(OR(J188=0,Q188=""),"",Q188/J188-1)</f>
        <v>-4.3054625175080519E-2</v>
      </c>
      <c r="P188" s="93">
        <f>P183</f>
        <v>157.13999999999999</v>
      </c>
      <c r="Q188" s="93">
        <f>IF(AND(O188="",P188=""),"",O188+P188*$F188/1000)</f>
        <v>659.98800000000006</v>
      </c>
      <c r="R188" s="44"/>
    </row>
    <row r="189" spans="2:22" x14ac:dyDescent="0.3">
      <c r="B189" s="3" t="str">
        <f t="shared" ref="B189:B198" si="92">B188</f>
        <v>SAPN</v>
      </c>
      <c r="C189" s="3" t="str">
        <f t="shared" si="90"/>
        <v>Residential</v>
      </c>
      <c r="D189" s="3" t="str">
        <f t="shared" si="91"/>
        <v>with CL</v>
      </c>
      <c r="E189" s="3" t="s">
        <v>15</v>
      </c>
      <c r="F189" s="41">
        <f t="array" ref="F189">IFERROR(INDEX(Usage!$B$5:$T$18,MATCH($B189,Usage!$B$5:$B$18,0),MATCH($C189&amp;$D189&amp;$E189,Usage!$B$5:$W$5&amp;Usage!$B$6:$W$6&amp;Usage!$B$7:$W$7,0)),0)</f>
        <v>1800</v>
      </c>
      <c r="G189" s="3" t="s">
        <v>78</v>
      </c>
      <c r="I189" s="93">
        <f t="array" ref="I189">IFERROR(INDEX('Detail inputs'!$B$3:$L$304,MATCH($B189&amp;$C189&amp;$E189&amp;$G189&amp;I$5,'Detail inputs'!$B$3:$B$304&amp;'Detail inputs'!$D$3:$D$304&amp;'Detail inputs'!$F$3:$F$304&amp;'Detail inputs'!$G$3:$G$304&amp;'Detail inputs'!$H$3:$H$304,0),MATCH(I$4,'Detail inputs'!$B$3:$L$3,0)),0)</f>
        <v>92.23</v>
      </c>
      <c r="J189" s="93">
        <f>IF(AND(H189="",I189=""),"",H189+I189*$F189/1000)</f>
        <v>166.01400000000001</v>
      </c>
      <c r="K189" s="44">
        <f>IFERROR(J189/J195,"")</f>
        <v>0.84113087095303241</v>
      </c>
      <c r="L189" s="44"/>
      <c r="M189" s="49">
        <f t="shared" ref="M189:M196" si="93">IF(OR(J189=0,Q189=""),"",Q189/J189-1)</f>
        <v>-0.11742383172503523</v>
      </c>
      <c r="N189" s="44"/>
      <c r="P189" s="93">
        <f t="array" ref="P189">IFERROR(INDEX('Detail inputs'!$B$3:$L$304,MATCH($B189&amp;$C189&amp;$E189&amp;$G189&amp;P$5,'Detail inputs'!$B$3:$B$304&amp;'Detail inputs'!$D$3:$D$304&amp;'Detail inputs'!$F$3:$F$304&amp;'Detail inputs'!$G$3:$G$304&amp;'Detail inputs'!$H$3:$H$304,0),MATCH(P$4,'Detail inputs'!$B$3:$L$3,0)),0)</f>
        <v>81.400000000000006</v>
      </c>
      <c r="Q189" s="93">
        <f>IF(AND(O189="",P189=""),"",O189+P189*$F189/1000)</f>
        <v>146.52000000000001</v>
      </c>
      <c r="R189" s="44">
        <f>IFERROR(Q189/Q195,"")</f>
        <v>0.83865650113331969</v>
      </c>
    </row>
    <row r="190" spans="2:22" x14ac:dyDescent="0.3">
      <c r="B190" s="3" t="str">
        <f t="shared" si="92"/>
        <v>SAPN</v>
      </c>
      <c r="C190" s="3" t="str">
        <f t="shared" si="90"/>
        <v>Residential</v>
      </c>
      <c r="D190" s="3" t="str">
        <f t="shared" si="91"/>
        <v>with CL</v>
      </c>
      <c r="E190" s="3" t="s">
        <v>15</v>
      </c>
      <c r="F190" s="41">
        <f t="array" ref="F190">IFERROR(INDEX(Usage!$B$5:$T$18,MATCH($B190,Usage!$B$5:$B$18,0),MATCH($C190&amp;$D190&amp;$E190,Usage!$B$5:$W$5&amp;Usage!$B$6:$W$6&amp;Usage!$B$7:$W$7,0)),0)</f>
        <v>1800</v>
      </c>
      <c r="G190" s="3" t="s">
        <v>79</v>
      </c>
      <c r="I190" s="93">
        <f t="array" ref="I190">IFERROR(INDEX('Detail inputs'!$B$3:$L$304,MATCH($B190&amp;$G190&amp;I$5,'Detail inputs'!$B$3:$B$304&amp;'Detail inputs'!$G$3:$G$304&amp;'Detail inputs'!$H$3:$H$304,0),MATCH(I$4,'Detail inputs'!$B$3:$L$3,0)),0)</f>
        <v>0.37</v>
      </c>
      <c r="J190" s="93">
        <f t="shared" ref="J190:J195" si="94">IF(AND(H190="",I190=""),"",H190+I190*$F190/1000)</f>
        <v>0.66600000000000004</v>
      </c>
      <c r="K190" s="44">
        <f>IFERROR(J190/J195,"")</f>
        <v>3.3743730050159598E-3</v>
      </c>
      <c r="L190" s="44"/>
      <c r="M190" s="49">
        <f t="shared" si="93"/>
        <v>1</v>
      </c>
      <c r="N190" s="44"/>
      <c r="P190" s="93">
        <f t="array" ref="P190">IFERROR(INDEX('Detail inputs'!$B$3:$L$304,MATCH($B190&amp;$G190&amp;P$5,'Detail inputs'!$B$3:$B$304&amp;'Detail inputs'!$G$3:$G$304&amp;'Detail inputs'!$H$3:$H$304,0),MATCH(P$4,'Detail inputs'!$B$3:$L$3,0)),0)</f>
        <v>0.74</v>
      </c>
      <c r="Q190" s="93">
        <f t="shared" ref="Q190:Q195" si="95">IF(AND(O190="",P190=""),"",O190+P190*$F190/1000)</f>
        <v>1.3320000000000001</v>
      </c>
      <c r="R190" s="44">
        <f>IFERROR(Q190/Q195,"")</f>
        <v>7.6241500103029058E-3</v>
      </c>
    </row>
    <row r="191" spans="2:22" x14ac:dyDescent="0.3">
      <c r="B191" s="3" t="str">
        <f t="shared" si="92"/>
        <v>SAPN</v>
      </c>
      <c r="C191" s="3" t="str">
        <f t="shared" si="90"/>
        <v>Residential</v>
      </c>
      <c r="D191" s="3" t="str">
        <f t="shared" si="91"/>
        <v>with CL</v>
      </c>
      <c r="E191" s="3" t="s">
        <v>15</v>
      </c>
      <c r="F191" s="41">
        <f t="array" ref="F191">IFERROR(INDEX(Usage!$B$5:$T$18,MATCH($B191,Usage!$B$5:$B$18,0),MATCH($C191&amp;$D191&amp;$E191,Usage!$B$5:$W$5&amp;Usage!$B$6:$W$6&amp;Usage!$B$7:$W$7,0)),0)</f>
        <v>1800</v>
      </c>
      <c r="G191" s="3" t="s">
        <v>89</v>
      </c>
      <c r="I191" s="93">
        <f t="array" ref="I191">IFERROR(INDEX('Detail inputs'!$B$3:$L$304,MATCH($B191&amp;$G191&amp;I$5,'Detail inputs'!$B$3:$B$304&amp;'Detail inputs'!$G$3:$G$304&amp;'Detail inputs'!$H$3:$H$304,0),MATCH(I$4,'Detail inputs'!$B$3:$L$3,0)),0)</f>
        <v>0.63</v>
      </c>
      <c r="J191" s="93">
        <f t="shared" si="94"/>
        <v>1.1339999999999999</v>
      </c>
      <c r="K191" s="44">
        <f>IFERROR(J191/J195,"")</f>
        <v>5.7455540355677145E-3</v>
      </c>
      <c r="L191" s="44"/>
      <c r="M191" s="49">
        <f t="shared" si="93"/>
        <v>0.11111111111111116</v>
      </c>
      <c r="N191" s="44"/>
      <c r="P191" s="93">
        <f t="array" ref="P191">IFERROR(INDEX('Detail inputs'!$B$3:$L$304,MATCH($B191&amp;$G191&amp;P$5,'Detail inputs'!$B$3:$B$304&amp;'Detail inputs'!$G$3:$G$304&amp;'Detail inputs'!$H$3:$H$304,0),MATCH(P$4,'Detail inputs'!$B$3:$L$3,0)),0)</f>
        <v>0.7</v>
      </c>
      <c r="Q191" s="93">
        <f t="shared" si="95"/>
        <v>1.26</v>
      </c>
      <c r="R191" s="44">
        <f>IFERROR(Q191/Q195,"")</f>
        <v>7.2120337935297754E-3</v>
      </c>
    </row>
    <row r="192" spans="2:22" x14ac:dyDescent="0.3">
      <c r="B192" s="3" t="str">
        <f t="shared" si="92"/>
        <v>SAPN</v>
      </c>
      <c r="C192" s="3" t="str">
        <f t="shared" si="90"/>
        <v>Residential</v>
      </c>
      <c r="D192" s="3" t="str">
        <f t="shared" si="91"/>
        <v>with CL</v>
      </c>
      <c r="E192" s="3" t="s">
        <v>15</v>
      </c>
      <c r="F192" s="41">
        <f t="array" ref="F192">IFERROR(INDEX(Usage!$B$5:$T$18,MATCH($B192,Usage!$B$5:$B$18,0),MATCH($C192&amp;$D192&amp;$E192,Usage!$B$5:$W$5&amp;Usage!$B$6:$W$6&amp;Usage!$B$7:$W$7,0)),0)</f>
        <v>1800</v>
      </c>
      <c r="G192" s="3" t="s">
        <v>80</v>
      </c>
      <c r="I192" s="93">
        <f t="array" ref="I192">IFERROR(INDEX('Detail inputs'!$B$3:$L$304,MATCH($B192&amp;$G192&amp;I$5,'Detail inputs'!$B$3:$B$304&amp;'Detail inputs'!$G$3:$G$304&amp;'Detail inputs'!$H$3:$H$304,0),MATCH(I$4,'Detail inputs'!$B$3:$L$3,0)),0)</f>
        <v>0.63</v>
      </c>
      <c r="J192" s="93">
        <f t="shared" si="94"/>
        <v>1.1339999999999999</v>
      </c>
      <c r="K192" s="44">
        <f>IFERROR(J192/J195,"")</f>
        <v>5.7455540355677145E-3</v>
      </c>
      <c r="L192" s="44"/>
      <c r="M192" s="49">
        <f t="shared" si="93"/>
        <v>0</v>
      </c>
      <c r="N192" s="44"/>
      <c r="P192" s="93">
        <f t="array" ref="P192">IFERROR(INDEX('Detail inputs'!$B$3:$L$304,MATCH($B192&amp;$G192&amp;P$5,'Detail inputs'!$B$3:$B$304&amp;'Detail inputs'!$G$3:$G$304&amp;'Detail inputs'!$H$3:$H$304,0),MATCH(P$4,'Detail inputs'!$B$3:$L$3,0)),0)</f>
        <v>0.63</v>
      </c>
      <c r="Q192" s="93">
        <f t="shared" si="95"/>
        <v>1.1339999999999999</v>
      </c>
      <c r="R192" s="44">
        <f>IFERROR(Q192/Q195,"")</f>
        <v>6.4908304141767974E-3</v>
      </c>
    </row>
    <row r="193" spans="2:22" x14ac:dyDescent="0.3">
      <c r="B193" s="3" t="str">
        <f t="shared" si="92"/>
        <v>SAPN</v>
      </c>
      <c r="C193" s="3" t="str">
        <f t="shared" si="90"/>
        <v>Residential</v>
      </c>
      <c r="D193" s="3" t="str">
        <f t="shared" si="91"/>
        <v>with CL</v>
      </c>
      <c r="E193" s="3" t="s">
        <v>15</v>
      </c>
      <c r="F193" s="41">
        <f t="array" ref="F193">IFERROR(INDEX(Usage!$B$5:$T$18,MATCH($B193,Usage!$B$5:$B$18,0),MATCH($C193&amp;$D193&amp;$E193,Usage!$B$5:$W$5&amp;Usage!$B$6:$W$6&amp;Usage!$B$7:$W$7,0)),0)</f>
        <v>1800</v>
      </c>
      <c r="G193" s="3" t="s">
        <v>177</v>
      </c>
      <c r="I193" s="93">
        <f t="array" ref="I193">IFERROR(INDEX('Detail inputs'!$B$3:$L$304,MATCH($B193&amp;$G193&amp;I$5,'Detail inputs'!$B$3:$B$304&amp;'Detail inputs'!$G$3:$G$304&amp;'Detail inputs'!$H$3:$H$304,0),MATCH(I$4,'Detail inputs'!$B$3:$L$3,0)),0)</f>
        <v>4.92</v>
      </c>
      <c r="J193" s="93">
        <f t="shared" si="94"/>
        <v>8.8559999999999999</v>
      </c>
      <c r="K193" s="44">
        <f>IFERROR(J193/J195,"")</f>
        <v>4.4870041039671682E-2</v>
      </c>
      <c r="L193" s="44"/>
      <c r="M193" s="49">
        <f t="shared" si="93"/>
        <v>-0.19308943089430897</v>
      </c>
      <c r="N193" s="44"/>
      <c r="P193" s="93">
        <f t="array" ref="P193">IFERROR(INDEX('Detail inputs'!$B$3:$L$304,MATCH($B193&amp;$G193&amp;P$5,'Detail inputs'!$B$3:$B$304&amp;'Detail inputs'!$G$3:$G$304&amp;'Detail inputs'!$H$3:$H$304,0),MATCH(P$4,'Detail inputs'!$B$3:$L$3,0)),0)</f>
        <v>3.97</v>
      </c>
      <c r="Q193" s="93">
        <f t="shared" si="95"/>
        <v>7.1459999999999999</v>
      </c>
      <c r="R193" s="44">
        <f>IFERROR(Q193/Q195,"")</f>
        <v>4.0902534514733156E-2</v>
      </c>
    </row>
    <row r="194" spans="2:22" x14ac:dyDescent="0.3">
      <c r="B194" s="3" t="str">
        <f t="shared" si="92"/>
        <v>SAPN</v>
      </c>
      <c r="C194" s="3" t="str">
        <f t="shared" si="90"/>
        <v>Residential</v>
      </c>
      <c r="D194" s="3" t="str">
        <f t="shared" si="91"/>
        <v>with CL</v>
      </c>
      <c r="E194" s="3" t="s">
        <v>15</v>
      </c>
      <c r="F194" s="41">
        <f t="array" ref="F194">IFERROR(INDEX(Usage!$B$5:$T$18,MATCH($B194,Usage!$B$5:$B$18,0),MATCH($C194&amp;$D194&amp;$E194,Usage!$B$5:$W$5&amp;Usage!$B$6:$W$6&amp;Usage!$B$7:$W$7,0)),0)</f>
        <v>1800</v>
      </c>
      <c r="G194" s="3" t="s">
        <v>81</v>
      </c>
      <c r="I194" s="93">
        <f t="array" ref="I194">ROUND(IFERROR(INDEX('Detail inputs'!$B$3:$L$304,MATCH($B194&amp;$C194&amp;$E194&amp;$G194&amp;I$5,'Detail inputs'!$B$3:$B$304&amp;'Detail inputs'!$D$3:$D$304&amp;'Detail inputs'!$F$3:$F$304&amp;'Detail inputs'!$G$3:$G$304&amp;'Detail inputs'!$H$3:$H$304,0),MATCH(I$4,'Detail inputs'!$B$3:$L$3,0)),0)*SUM(I189:I193),2)</f>
        <v>10.87</v>
      </c>
      <c r="J194" s="93">
        <f t="shared" si="94"/>
        <v>19.565999999999999</v>
      </c>
      <c r="K194" s="44">
        <f>IFERROR(J194/J195,"")</f>
        <v>9.9133606931144549E-2</v>
      </c>
      <c r="L194" s="44"/>
      <c r="M194" s="49">
        <f t="shared" si="93"/>
        <v>-0.11499540018399268</v>
      </c>
      <c r="N194" s="44"/>
      <c r="P194" s="93">
        <f t="array" ref="P194">ROUND(IFERROR(INDEX('Detail inputs'!$B$3:$L$304,MATCH($B194&amp;$C194&amp;$E194&amp;$G194&amp;P$5,'Detail inputs'!$B$3:$B$304&amp;'Detail inputs'!$D$3:$D$304&amp;'Detail inputs'!$F$3:$F$304&amp;'Detail inputs'!$G$3:$G$304&amp;'Detail inputs'!$H$3:$H$304,0),MATCH(P$4,'Detail inputs'!$B$3:$L$3,0)),0)*SUM(P189:P193),2)</f>
        <v>9.6199999999999992</v>
      </c>
      <c r="Q194" s="93">
        <f t="shared" si="95"/>
        <v>17.315999999999999</v>
      </c>
      <c r="R194" s="44">
        <f>IFERROR(Q194/Q195,"")</f>
        <v>9.911395013393777E-2</v>
      </c>
    </row>
    <row r="195" spans="2:22" x14ac:dyDescent="0.3">
      <c r="B195" s="3" t="str">
        <f t="shared" si="92"/>
        <v>SAPN</v>
      </c>
      <c r="C195" s="3" t="str">
        <f t="shared" si="90"/>
        <v>Residential</v>
      </c>
      <c r="D195" s="3" t="str">
        <f t="shared" si="91"/>
        <v>with CL</v>
      </c>
      <c r="E195" s="3" t="s">
        <v>15</v>
      </c>
      <c r="F195" s="41">
        <f t="array" ref="F195">IFERROR(INDEX(Usage!$B$5:$T$18,MATCH($B195,Usage!$B$5:$B$18,0),MATCH($C195&amp;$D195&amp;$E195,Usage!$B$5:$W$5&amp;Usage!$B$6:$W$6&amp;Usage!$B$7:$W$7,0)),0)</f>
        <v>1800</v>
      </c>
      <c r="G195" s="3" t="s">
        <v>58</v>
      </c>
      <c r="H195" s="99"/>
      <c r="I195" s="99">
        <f t="array" ref="I195">INDEX('Key inputs'!$B$15:$G$33,MATCH($B195&amp;$E195,'Key inputs'!$B$15:$B$33&amp;'Key inputs'!$C$15:$C$33,0),MATCH($A$2&amp;I$4,'Key inputs'!$B$16:$G$16&amp;'Key inputs'!$B$17:$G$17,0))</f>
        <v>109.65</v>
      </c>
      <c r="J195" s="93">
        <f t="shared" si="94"/>
        <v>197.37</v>
      </c>
      <c r="K195" s="91"/>
      <c r="L195" s="92"/>
      <c r="M195" s="83">
        <f t="shared" si="93"/>
        <v>-0.11481988144094846</v>
      </c>
      <c r="N195" s="92"/>
      <c r="O195" s="99"/>
      <c r="P195" s="99">
        <f t="array" ref="P195">INDEX('Key inputs'!$B$15:$G$33,MATCH($B195&amp;$E195,'Key inputs'!$B$15:$B$33&amp;'Key inputs'!$C$15:$C$33,0),MATCH($A$2&amp;P$4,'Key inputs'!$B$16:$G$16&amp;'Key inputs'!$B$17:$G$17,0))</f>
        <v>97.06</v>
      </c>
      <c r="Q195" s="93">
        <f t="shared" si="95"/>
        <v>174.708</v>
      </c>
      <c r="R195" s="91"/>
      <c r="S195" s="133" t="b">
        <f>ROUND(I195,$W$5)=ROUND(SUM(I189:I194),$W$5)</f>
        <v>1</v>
      </c>
      <c r="T195" s="133" t="b">
        <f>ROUND(P195,$W$5)=ROUND(SUM(P189:P194),$W$5)</f>
        <v>1</v>
      </c>
      <c r="U195" s="132"/>
      <c r="V195" s="132"/>
    </row>
    <row r="196" spans="2:22" s="81" customFormat="1" x14ac:dyDescent="0.3">
      <c r="B196" s="3" t="str">
        <f t="shared" si="92"/>
        <v>SAPN</v>
      </c>
      <c r="C196" s="3" t="str">
        <f t="shared" si="90"/>
        <v>Residential</v>
      </c>
      <c r="D196" s="3" t="str">
        <f t="shared" si="91"/>
        <v>with CL</v>
      </c>
      <c r="E196" s="81" t="s">
        <v>58</v>
      </c>
      <c r="F196" s="41">
        <f t="array" ref="F196">IFERROR(INDEX(Usage!$B$5:$T$18,MATCH($B196,Usage!$B$5:$B$18,0),MATCH($C196&amp;$D196&amp;$E196,Usage!$B$5:$W$5&amp;Usage!$B$6:$W$6&amp;Usage!$B$7:$W$7,0)),0)</f>
        <v>6000</v>
      </c>
      <c r="G196" s="81" t="s">
        <v>58</v>
      </c>
      <c r="H196" s="99"/>
      <c r="I196" s="99">
        <f>I188+I195</f>
        <v>273.86</v>
      </c>
      <c r="J196" s="99">
        <f>J188+J195</f>
        <v>887.05199999999991</v>
      </c>
      <c r="K196" s="91"/>
      <c r="L196" s="92"/>
      <c r="M196" s="83">
        <f t="shared" si="93"/>
        <v>-5.9022469934118749E-2</v>
      </c>
      <c r="N196" s="92"/>
      <c r="O196" s="99"/>
      <c r="P196" s="99">
        <f>P188+P195</f>
        <v>254.2</v>
      </c>
      <c r="Q196" s="99">
        <f>Q188+Q195</f>
        <v>834.69600000000003</v>
      </c>
      <c r="R196" s="91"/>
      <c r="S196" s="133"/>
      <c r="T196" s="134"/>
      <c r="U196" s="3"/>
    </row>
    <row r="197" spans="2:22" x14ac:dyDescent="0.3">
      <c r="B197" s="3" t="str">
        <f t="shared" si="92"/>
        <v>SAPN</v>
      </c>
      <c r="C197" s="3" t="str">
        <f t="shared" si="90"/>
        <v>Residential</v>
      </c>
      <c r="D197" s="3" t="str">
        <f t="shared" si="91"/>
        <v>with CL</v>
      </c>
      <c r="F197" s="41"/>
      <c r="G197" s="81" t="s">
        <v>41</v>
      </c>
      <c r="H197" s="99"/>
      <c r="I197" s="99"/>
      <c r="J197" s="99">
        <f>J196*GST</f>
        <v>88.705199999999991</v>
      </c>
      <c r="K197" s="91"/>
      <c r="L197" s="92"/>
      <c r="M197" s="83"/>
      <c r="N197" s="92"/>
      <c r="O197" s="99"/>
      <c r="P197" s="99"/>
      <c r="Q197" s="99">
        <f>Q196*GST</f>
        <v>83.469600000000014</v>
      </c>
      <c r="R197" s="91"/>
    </row>
    <row r="198" spans="2:22" x14ac:dyDescent="0.3">
      <c r="B198" s="3" t="str">
        <f t="shared" si="92"/>
        <v>SAPN</v>
      </c>
      <c r="C198" s="3" t="str">
        <f t="shared" si="90"/>
        <v>Residential</v>
      </c>
      <c r="D198" s="3" t="str">
        <f t="shared" si="91"/>
        <v>with CL</v>
      </c>
      <c r="F198" s="41"/>
      <c r="G198" s="5" t="s">
        <v>91</v>
      </c>
      <c r="H198" s="98"/>
      <c r="I198" s="98"/>
      <c r="J198" s="98">
        <f>SUM(J196:J197)</f>
        <v>975.7571999999999</v>
      </c>
      <c r="K198" s="79"/>
      <c r="L198" s="27"/>
      <c r="M198" s="80">
        <f>IF(OR(J198=0,Q198=""),"",Q198/J198-1)</f>
        <v>-5.9022469934118749E-2</v>
      </c>
      <c r="N198" s="27"/>
      <c r="O198" s="98"/>
      <c r="P198" s="98"/>
      <c r="Q198" s="98">
        <f>SUM(Q196:Q197)</f>
        <v>918.16560000000004</v>
      </c>
      <c r="R198" s="91"/>
    </row>
    <row r="199" spans="2:22" x14ac:dyDescent="0.3">
      <c r="F199" s="41"/>
      <c r="K199" s="91"/>
      <c r="M199" s="49"/>
      <c r="R199" s="91"/>
    </row>
    <row r="200" spans="2:22" x14ac:dyDescent="0.3">
      <c r="B200" s="5" t="s">
        <v>5</v>
      </c>
      <c r="C200" s="5" t="s">
        <v>14</v>
      </c>
      <c r="D200" s="5" t="s">
        <v>158</v>
      </c>
      <c r="F200" s="41"/>
      <c r="K200" s="91"/>
      <c r="M200" s="49"/>
      <c r="R200" s="91"/>
    </row>
    <row r="201" spans="2:22" x14ac:dyDescent="0.3">
      <c r="B201" s="3" t="str">
        <f>B200</f>
        <v>SAPN</v>
      </c>
      <c r="C201" s="3" t="str">
        <f t="shared" ref="C201:C209" si="96">C200</f>
        <v>Small business</v>
      </c>
      <c r="D201" s="3" t="str">
        <f t="shared" ref="D201:D209" si="97">D200</f>
        <v>without CL</v>
      </c>
      <c r="E201" s="3" t="s">
        <v>24</v>
      </c>
      <c r="F201" s="41">
        <f t="array" ref="F201">IFERROR(INDEX(Usage!$B$5:$T$18,MATCH($B201,Usage!$B$5:$B$18,0),MATCH($C201&amp;$D201&amp;$E201,Usage!$B$5:$W$5&amp;Usage!$B$6:$W$6&amp;Usage!$B$7:$W$7,0)),0)</f>
        <v>20000</v>
      </c>
      <c r="G201" s="3" t="s">
        <v>78</v>
      </c>
      <c r="I201" s="93">
        <f t="array" ref="I201">IFERROR(INDEX('Detail inputs'!$B$3:$L$304,MATCH($B201&amp;$C201&amp;$E201&amp;$G201&amp;I$5,'Detail inputs'!$B$3:$B$304&amp;'Detail inputs'!$D$3:$D$304&amp;'Detail inputs'!$F$3:$F$304&amp;'Detail inputs'!$G$3:$G$304&amp;'Detail inputs'!$H$3:$H$304,0),MATCH(I$4,'Detail inputs'!$B$3:$L$3,0)),0)</f>
        <v>141.38999999999999</v>
      </c>
      <c r="J201" s="93">
        <f>IF(AND(H201="",I201=""),"",H201+I201*$F201/1000)</f>
        <v>2827.7999999999997</v>
      </c>
      <c r="K201" s="44">
        <f>IFERROR(J201/J207,"")</f>
        <v>0.86103160587053174</v>
      </c>
      <c r="L201" s="44"/>
      <c r="M201" s="49">
        <f t="shared" ref="M201:M207" si="98">IF(OR(J201=0,Q201=""),"",Q201/J201-1)</f>
        <v>-4.1445646792559576E-2</v>
      </c>
      <c r="N201" s="44"/>
      <c r="P201" s="93">
        <f t="array" ref="P201">IFERROR(INDEX('Detail inputs'!$B$3:$L$304,MATCH($B201&amp;$C201&amp;$E201&amp;$G201&amp;P$5,'Detail inputs'!$B$3:$B$304&amp;'Detail inputs'!$D$3:$D$304&amp;'Detail inputs'!$F$3:$F$304&amp;'Detail inputs'!$G$3:$G$304&amp;'Detail inputs'!$H$3:$H$304,0),MATCH(P$4,'Detail inputs'!$B$3:$L$3,0)),0)</f>
        <v>135.53</v>
      </c>
      <c r="Q201" s="93">
        <f>IF(AND(O201="",P201=""),"",O201+P201*$F201/1000)</f>
        <v>2710.6</v>
      </c>
      <c r="R201" s="44">
        <f>IFERROR(Q201/Q207,"")</f>
        <v>0.86247931780577836</v>
      </c>
    </row>
    <row r="202" spans="2:22" x14ac:dyDescent="0.3">
      <c r="B202" s="3" t="str">
        <f t="shared" ref="B202:B209" si="99">B201</f>
        <v>SAPN</v>
      </c>
      <c r="C202" s="3" t="str">
        <f t="shared" si="96"/>
        <v>Small business</v>
      </c>
      <c r="D202" s="3" t="str">
        <f t="shared" si="97"/>
        <v>without CL</v>
      </c>
      <c r="E202" s="3" t="s">
        <v>24</v>
      </c>
      <c r="F202" s="41">
        <f t="array" ref="F202">IFERROR(INDEX(Usage!$B$5:$T$18,MATCH($B202,Usage!$B$5:$B$18,0),MATCH($C202&amp;$D202&amp;$E202,Usage!$B$5:$W$5&amp;Usage!$B$6:$W$6&amp;Usage!$B$7:$W$7,0)),0)</f>
        <v>20000</v>
      </c>
      <c r="G202" s="3" t="s">
        <v>79</v>
      </c>
      <c r="I202" s="93">
        <f t="array" ref="I202">IFERROR(INDEX('Detail inputs'!$B$3:$L$304,MATCH($B202&amp;$G202&amp;I$5,'Detail inputs'!$B$3:$B$304&amp;'Detail inputs'!$G$3:$G$304&amp;'Detail inputs'!$H$3:$H$304,0),MATCH(I$4,'Detail inputs'!$B$3:$L$3,0)),0)</f>
        <v>0.37</v>
      </c>
      <c r="J202" s="93">
        <f t="shared" ref="J202:J207" si="100">IF(AND(H202="",I202=""),"",H202+I202*$F202/1000)</f>
        <v>7.4</v>
      </c>
      <c r="K202" s="44">
        <f>IFERROR(J202/J207,"")</f>
        <v>2.2532123500395842E-3</v>
      </c>
      <c r="L202" s="44"/>
      <c r="M202" s="49">
        <f t="shared" si="98"/>
        <v>1</v>
      </c>
      <c r="N202" s="44"/>
      <c r="P202" s="93">
        <f t="array" ref="P202">IFERROR(INDEX('Detail inputs'!$B$3:$L$304,MATCH($B202&amp;$G202&amp;P$5,'Detail inputs'!$B$3:$B$304&amp;'Detail inputs'!$G$3:$G$304&amp;'Detail inputs'!$H$3:$H$304,0),MATCH(P$4,'Detail inputs'!$B$3:$L$3,0)),0)</f>
        <v>0.74</v>
      </c>
      <c r="Q202" s="93">
        <f t="shared" ref="Q202:Q207" si="101">IF(AND(O202="",P202=""),"",O202+P202*$F202/1000)</f>
        <v>14.8</v>
      </c>
      <c r="R202" s="44">
        <f>IFERROR(Q202/Q207,"")</f>
        <v>4.7091765304823731E-3</v>
      </c>
    </row>
    <row r="203" spans="2:22" x14ac:dyDescent="0.3">
      <c r="B203" s="3" t="str">
        <f t="shared" si="99"/>
        <v>SAPN</v>
      </c>
      <c r="C203" s="3" t="str">
        <f t="shared" si="96"/>
        <v>Small business</v>
      </c>
      <c r="D203" s="3" t="str">
        <f t="shared" si="97"/>
        <v>without CL</v>
      </c>
      <c r="E203" s="3" t="s">
        <v>24</v>
      </c>
      <c r="F203" s="41">
        <f t="array" ref="F203">IFERROR(INDEX(Usage!$B$5:$T$18,MATCH($B203,Usage!$B$5:$B$18,0),MATCH($C203&amp;$D203&amp;$E203,Usage!$B$5:$W$5&amp;Usage!$B$6:$W$6&amp;Usage!$B$7:$W$7,0)),0)</f>
        <v>20000</v>
      </c>
      <c r="G203" s="3" t="s">
        <v>89</v>
      </c>
      <c r="I203" s="93">
        <f t="array" ref="I203">IFERROR(INDEX('Detail inputs'!$B$3:$L$304,MATCH($B203&amp;$G203&amp;I$5,'Detail inputs'!$B$3:$B$304&amp;'Detail inputs'!$G$3:$G$304&amp;'Detail inputs'!$H$3:$H$304,0),MATCH(I$4,'Detail inputs'!$B$3:$L$3,0)),0)</f>
        <v>0.63</v>
      </c>
      <c r="J203" s="93">
        <f>IF(AND(H203="",I203=""),"",H203+I203*$F203/1000)</f>
        <v>12.6</v>
      </c>
      <c r="K203" s="44">
        <f>IFERROR(J203/J207,"")</f>
        <v>3.8365507581755078E-3</v>
      </c>
      <c r="L203" s="44"/>
      <c r="M203" s="49">
        <f t="shared" si="98"/>
        <v>0.11111111111111116</v>
      </c>
      <c r="N203" s="44"/>
      <c r="P203" s="93">
        <f t="array" ref="P203">IFERROR(INDEX('Detail inputs'!$B$3:$L$304,MATCH($B203&amp;$G203&amp;P$5,'Detail inputs'!$B$3:$B$304&amp;'Detail inputs'!$G$3:$G$304&amp;'Detail inputs'!$H$3:$H$304,0),MATCH(P$4,'Detail inputs'!$B$3:$L$3,0)),0)</f>
        <v>0.7</v>
      </c>
      <c r="Q203" s="93">
        <f>IF(AND(O203="",P203=""),"",O203+P203*$F203/1000)</f>
        <v>14</v>
      </c>
      <c r="R203" s="44">
        <f>IFERROR(Q203/Q207,"")</f>
        <v>4.4546264477535961E-3</v>
      </c>
    </row>
    <row r="204" spans="2:22" x14ac:dyDescent="0.3">
      <c r="B204" s="3" t="str">
        <f t="shared" si="99"/>
        <v>SAPN</v>
      </c>
      <c r="C204" s="3" t="str">
        <f t="shared" si="96"/>
        <v>Small business</v>
      </c>
      <c r="D204" s="3" t="str">
        <f t="shared" si="97"/>
        <v>without CL</v>
      </c>
      <c r="E204" s="3" t="s">
        <v>24</v>
      </c>
      <c r="F204" s="41">
        <f t="array" ref="F204">IFERROR(INDEX(Usage!$B$5:$T$18,MATCH($B204,Usage!$B$5:$B$18,0),MATCH($C204&amp;$D204&amp;$E204,Usage!$B$5:$W$5&amp;Usage!$B$6:$W$6&amp;Usage!$B$7:$W$7,0)),0)</f>
        <v>20000</v>
      </c>
      <c r="G204" s="3" t="s">
        <v>80</v>
      </c>
      <c r="I204" s="93">
        <f t="array" ref="I204">IFERROR(INDEX('Detail inputs'!$B$3:$L$304,MATCH($B204&amp;$G204&amp;I$5,'Detail inputs'!$B$3:$B$304&amp;'Detail inputs'!$G$3:$G$304&amp;'Detail inputs'!$H$3:$H$304,0),MATCH(I$4,'Detail inputs'!$B$3:$L$3,0)),0)</f>
        <v>0.63</v>
      </c>
      <c r="J204" s="93">
        <f t="shared" si="100"/>
        <v>12.6</v>
      </c>
      <c r="K204" s="44">
        <f>IFERROR(J204/J207,"")</f>
        <v>3.8365507581755078E-3</v>
      </c>
      <c r="L204" s="44"/>
      <c r="M204" s="49">
        <f t="shared" si="98"/>
        <v>0</v>
      </c>
      <c r="N204" s="44"/>
      <c r="P204" s="93">
        <f t="array" ref="P204">IFERROR(INDEX('Detail inputs'!$B$3:$L$304,MATCH($B204&amp;$G204&amp;P$5,'Detail inputs'!$B$3:$B$304&amp;'Detail inputs'!$G$3:$G$304&amp;'Detail inputs'!$H$3:$H$304,0),MATCH(P$4,'Detail inputs'!$B$3:$L$3,0)),0)</f>
        <v>0.63</v>
      </c>
      <c r="Q204" s="93">
        <f t="shared" si="101"/>
        <v>12.6</v>
      </c>
      <c r="R204" s="44">
        <f>IFERROR(Q204/Q207,"")</f>
        <v>4.0091638029782365E-3</v>
      </c>
      <c r="U204" s="81"/>
    </row>
    <row r="205" spans="2:22" x14ac:dyDescent="0.3">
      <c r="B205" s="3" t="str">
        <f t="shared" si="99"/>
        <v>SAPN</v>
      </c>
      <c r="C205" s="3" t="str">
        <f t="shared" si="96"/>
        <v>Small business</v>
      </c>
      <c r="D205" s="3" t="str">
        <f t="shared" si="97"/>
        <v>without CL</v>
      </c>
      <c r="E205" s="3" t="s">
        <v>24</v>
      </c>
      <c r="F205" s="41">
        <f t="array" ref="F205">IFERROR(INDEX(Usage!$B$5:$T$18,MATCH($B205,Usage!$B$5:$B$18,0),MATCH($C205&amp;$D205&amp;$E205,Usage!$B$5:$W$5&amp;Usage!$B$6:$W$6&amp;Usage!$B$7:$W$7,0)),0)</f>
        <v>20000</v>
      </c>
      <c r="G205" s="3" t="s">
        <v>177</v>
      </c>
      <c r="I205" s="93">
        <f t="array" ref="I205">IFERROR(INDEX('Detail inputs'!$B$3:$L$304,MATCH($B205&amp;$G205&amp;I$5,'Detail inputs'!$B$3:$B$304&amp;'Detail inputs'!$G$3:$G$304&amp;'Detail inputs'!$H$3:$H$304,0),MATCH(I$4,'Detail inputs'!$B$3:$L$3,0)),0)</f>
        <v>4.92</v>
      </c>
      <c r="J205" s="93">
        <f t="shared" si="100"/>
        <v>98.4</v>
      </c>
      <c r="K205" s="44">
        <f>IFERROR(J205/J207,"")</f>
        <v>2.9961634492418253E-2</v>
      </c>
      <c r="L205" s="44"/>
      <c r="M205" s="49">
        <f t="shared" si="98"/>
        <v>-0.19308943089430897</v>
      </c>
      <c r="N205" s="44"/>
      <c r="P205" s="93">
        <f t="array" ref="P205">IFERROR(INDEX('Detail inputs'!$B$3:$L$304,MATCH($B205&amp;$G205&amp;P$5,'Detail inputs'!$B$3:$B$304&amp;'Detail inputs'!$G$3:$G$304&amp;'Detail inputs'!$H$3:$H$304,0),MATCH(P$4,'Detail inputs'!$B$3:$L$3,0)),0)</f>
        <v>3.97</v>
      </c>
      <c r="Q205" s="93">
        <f t="shared" si="101"/>
        <v>79.400000000000006</v>
      </c>
      <c r="R205" s="44">
        <f>IFERROR(Q205/Q207,"")</f>
        <v>2.526409571083111E-2</v>
      </c>
    </row>
    <row r="206" spans="2:22" x14ac:dyDescent="0.3">
      <c r="B206" s="3" t="str">
        <f t="shared" si="99"/>
        <v>SAPN</v>
      </c>
      <c r="C206" s="3" t="str">
        <f t="shared" si="96"/>
        <v>Small business</v>
      </c>
      <c r="D206" s="3" t="str">
        <f t="shared" si="97"/>
        <v>without CL</v>
      </c>
      <c r="E206" s="3" t="s">
        <v>24</v>
      </c>
      <c r="F206" s="41">
        <f t="array" ref="F206">IFERROR(INDEX(Usage!$B$5:$T$18,MATCH($B206,Usage!$B$5:$B$18,0),MATCH($C206&amp;$D206&amp;$E206,Usage!$B$5:$W$5&amp;Usage!$B$6:$W$6&amp;Usage!$B$7:$W$7,0)),0)</f>
        <v>20000</v>
      </c>
      <c r="G206" s="3" t="s">
        <v>81</v>
      </c>
      <c r="I206" s="93">
        <f t="array" ref="I206">ROUND(IFERROR(INDEX('Detail inputs'!$B$3:$L$304,MATCH($B206&amp;$C206&amp;$E206&amp;$G206&amp;I$5,'Detail inputs'!$B$3:$B$304&amp;'Detail inputs'!$D$3:$D$304&amp;'Detail inputs'!$F$3:$F$304&amp;'Detail inputs'!$G$3:$G$304&amp;'Detail inputs'!$H$3:$H$304,0),MATCH(I$4,'Detail inputs'!$B$3:$L$3,0)),0)*SUM(I201:I205),2)</f>
        <v>16.27</v>
      </c>
      <c r="J206" s="93">
        <f t="shared" si="100"/>
        <v>325.39999999999998</v>
      </c>
      <c r="K206" s="44">
        <f>IFERROR(J206/J207,"")</f>
        <v>9.9080445770659539E-2</v>
      </c>
      <c r="L206" s="44"/>
      <c r="M206" s="49">
        <f t="shared" si="98"/>
        <v>-4.3023970497848785E-2</v>
      </c>
      <c r="N206" s="44"/>
      <c r="P206" s="93">
        <f t="array" ref="P206">ROUND(IFERROR(INDEX('Detail inputs'!$B$3:$L$304,MATCH($B206&amp;$C206&amp;$E206&amp;$G206&amp;P$5,'Detail inputs'!$B$3:$B$304&amp;'Detail inputs'!$D$3:$D$304&amp;'Detail inputs'!$F$3:$F$304&amp;'Detail inputs'!$G$3:$G$304&amp;'Detail inputs'!$H$3:$H$304,0),MATCH(P$4,'Detail inputs'!$B$3:$L$3,0)),0)*SUM(P201:P205),2)</f>
        <v>15.57</v>
      </c>
      <c r="Q206" s="93">
        <f t="shared" si="101"/>
        <v>311.39999999999998</v>
      </c>
      <c r="R206" s="44">
        <f>IFERROR(Q206/Q207,"")</f>
        <v>9.9083619702176398E-2</v>
      </c>
    </row>
    <row r="207" spans="2:22" s="81" customFormat="1" x14ac:dyDescent="0.3">
      <c r="B207" s="3" t="str">
        <f t="shared" si="99"/>
        <v>SAPN</v>
      </c>
      <c r="C207" s="3" t="str">
        <f t="shared" si="96"/>
        <v>Small business</v>
      </c>
      <c r="D207" s="3" t="str">
        <f t="shared" si="97"/>
        <v>without CL</v>
      </c>
      <c r="E207" s="3" t="s">
        <v>24</v>
      </c>
      <c r="F207" s="41">
        <f t="array" ref="F207">IFERROR(INDEX(Usage!$B$5:$T$18,MATCH($B207,Usage!$B$5:$B$18,0),MATCH($C207&amp;$D207&amp;$E207,Usage!$B$5:$W$5&amp;Usage!$B$6:$W$6&amp;Usage!$B$7:$W$7,0)),0)</f>
        <v>20000</v>
      </c>
      <c r="G207" s="81" t="s">
        <v>58</v>
      </c>
      <c r="H207" s="99"/>
      <c r="I207" s="99">
        <f t="array" ref="I207">INDEX('Key inputs'!$B$15:$G$33,MATCH($B207&amp;$E207,'Key inputs'!$B$15:$B$33&amp;'Key inputs'!$C$15:$C$33,0),MATCH($A$2&amp;I$4,'Key inputs'!$B$16:$G$16&amp;'Key inputs'!$B$17:$G$17,0))</f>
        <v>164.20999999999998</v>
      </c>
      <c r="J207" s="93">
        <f t="shared" si="100"/>
        <v>3284.1999999999994</v>
      </c>
      <c r="K207" s="91"/>
      <c r="L207" s="92"/>
      <c r="M207" s="83">
        <f t="shared" si="98"/>
        <v>-4.305462517508063E-2</v>
      </c>
      <c r="N207" s="92"/>
      <c r="O207" s="99"/>
      <c r="P207" s="99">
        <f t="array" ref="P207">INDEX('Key inputs'!$B$15:$G$33,MATCH($B207&amp;$E207,'Key inputs'!$B$15:$B$33&amp;'Key inputs'!$C$15:$C$33,0),MATCH($A$2&amp;P$4,'Key inputs'!$B$16:$G$16&amp;'Key inputs'!$B$17:$G$17,0))</f>
        <v>157.13999999999999</v>
      </c>
      <c r="Q207" s="93">
        <f t="shared" si="101"/>
        <v>3142.7999999999997</v>
      </c>
      <c r="R207" s="91"/>
      <c r="S207" s="133" t="b">
        <f>ROUND(I207,$W$5)=ROUND(SUM(I201:I206),$W$5)</f>
        <v>1</v>
      </c>
      <c r="T207" s="133" t="b">
        <f>ROUND(P207,$W$5)=ROUND(SUM(P201:P206),$W$5)</f>
        <v>1</v>
      </c>
      <c r="U207" s="132"/>
      <c r="V207" s="132"/>
    </row>
    <row r="208" spans="2:22" x14ac:dyDescent="0.3">
      <c r="B208" s="3" t="str">
        <f t="shared" si="99"/>
        <v>SAPN</v>
      </c>
      <c r="C208" s="3" t="str">
        <f t="shared" si="96"/>
        <v>Small business</v>
      </c>
      <c r="D208" s="3" t="str">
        <f t="shared" si="97"/>
        <v>without CL</v>
      </c>
      <c r="G208" s="81" t="s">
        <v>41</v>
      </c>
      <c r="H208" s="99"/>
      <c r="I208" s="99"/>
      <c r="J208" s="99">
        <f>J207*GST</f>
        <v>328.41999999999996</v>
      </c>
      <c r="K208" s="91"/>
      <c r="L208" s="92"/>
      <c r="M208" s="83"/>
      <c r="N208" s="92"/>
      <c r="O208" s="99"/>
      <c r="P208" s="99"/>
      <c r="Q208" s="99">
        <f>Q207*GST</f>
        <v>314.27999999999997</v>
      </c>
      <c r="R208" s="44" t="str">
        <f>IFERROR(Q208/Q218,"")</f>
        <v/>
      </c>
    </row>
    <row r="209" spans="2:21" x14ac:dyDescent="0.3">
      <c r="B209" s="3" t="str">
        <f t="shared" si="99"/>
        <v>SAPN</v>
      </c>
      <c r="C209" s="3" t="str">
        <f t="shared" si="96"/>
        <v>Small business</v>
      </c>
      <c r="D209" s="3" t="str">
        <f t="shared" si="97"/>
        <v>without CL</v>
      </c>
      <c r="G209" s="5" t="s">
        <v>91</v>
      </c>
      <c r="H209" s="98"/>
      <c r="I209" s="98"/>
      <c r="J209" s="98">
        <f>SUM(J207:J208)</f>
        <v>3612.6199999999994</v>
      </c>
      <c r="K209" s="79"/>
      <c r="L209" s="27"/>
      <c r="M209" s="80">
        <f>IF(OR(J209=0,Q209=""),"",Q209/J209-1)</f>
        <v>-4.3054625175080519E-2</v>
      </c>
      <c r="N209" s="27"/>
      <c r="O209" s="98"/>
      <c r="P209" s="98"/>
      <c r="Q209" s="98">
        <f>SUM(Q207:Q208)</f>
        <v>3457.08</v>
      </c>
      <c r="R209" s="44" t="str">
        <f>IFERROR(Q209/Q218,"")</f>
        <v/>
      </c>
    </row>
    <row r="210" spans="2:21" hidden="1" x14ac:dyDescent="0.3">
      <c r="K210" s="44" t="str">
        <f>IFERROR(J210/J218,"")</f>
        <v/>
      </c>
      <c r="R210" s="44" t="str">
        <f>IFERROR(Q210/Q218,"")</f>
        <v/>
      </c>
    </row>
    <row r="211" spans="2:21" hidden="1" x14ac:dyDescent="0.3">
      <c r="K211" s="44" t="str">
        <f>IFERROR(J211/J218,"")</f>
        <v/>
      </c>
      <c r="R211" s="44" t="str">
        <f>IFERROR(Q211/Q218,"")</f>
        <v/>
      </c>
    </row>
    <row r="212" spans="2:21" hidden="1" x14ac:dyDescent="0.3">
      <c r="K212" s="44" t="str">
        <f>IFERROR(J212/J218,"")</f>
        <v/>
      </c>
      <c r="R212" s="44" t="str">
        <f>IFERROR(Q212/Q218,"")</f>
        <v/>
      </c>
    </row>
    <row r="213" spans="2:21" hidden="1" x14ac:dyDescent="0.3">
      <c r="K213" s="44" t="str">
        <f>IFERROR(J213/J218,"")</f>
        <v/>
      </c>
      <c r="R213" s="44" t="str">
        <f>IFERROR(Q213/Q218,"")</f>
        <v/>
      </c>
    </row>
    <row r="214" spans="2:21" hidden="1" x14ac:dyDescent="0.3">
      <c r="K214" s="44" t="str">
        <f>IFERROR(J214/J218,"")</f>
        <v/>
      </c>
      <c r="R214" s="44" t="str">
        <f>IFERROR(Q214/Q218,"")</f>
        <v/>
      </c>
    </row>
    <row r="215" spans="2:21" hidden="1" x14ac:dyDescent="0.3">
      <c r="K215" s="44" t="str">
        <f>IFERROR(J215/J218,"")</f>
        <v/>
      </c>
      <c r="R215" s="44" t="str">
        <f>IFERROR(Q215/Q218,"")</f>
        <v/>
      </c>
    </row>
    <row r="216" spans="2:21" hidden="1" x14ac:dyDescent="0.3">
      <c r="K216" s="44" t="str">
        <f>IFERROR(J216/J218,"")</f>
        <v/>
      </c>
      <c r="R216" s="44" t="str">
        <f>IFERROR(Q216/Q218,"")</f>
        <v/>
      </c>
    </row>
    <row r="217" spans="2:21" hidden="1" x14ac:dyDescent="0.3">
      <c r="K217" s="44" t="str">
        <f>IFERROR(J217/J218,"")</f>
        <v/>
      </c>
      <c r="R217" s="44" t="str">
        <f>IFERROR(Q217/Q218,"")</f>
        <v/>
      </c>
    </row>
    <row r="218" spans="2:21" hidden="1" x14ac:dyDescent="0.3">
      <c r="K218" s="79"/>
      <c r="R218" s="79"/>
      <c r="T218" s="133"/>
      <c r="U218" s="132"/>
    </row>
    <row r="219" spans="2:21" hidden="1" x14ac:dyDescent="0.3"/>
  </sheetData>
  <sheetProtection algorithmName="SHA-256" hashValue="TOkTxo9nlZjClHrqVk1a2ex8F6MIJkWmZfzw3z4fRVU=" saltValue="VRrE5D6ix6dbv/AvFpZdag==" spinCount="100000" sheet="1" objects="1" scenarios="1"/>
  <mergeCells count="3">
    <mergeCell ref="O3:R3"/>
    <mergeCell ref="H3:K3"/>
    <mergeCell ref="A1:B1"/>
  </mergeCells>
  <conditionalFormatting sqref="B7:R250">
    <cfRule type="expression" dxfId="13" priority="7">
      <formula>MOD(ROW(),2)=0</formula>
    </cfRule>
  </conditionalFormatting>
  <conditionalFormatting sqref="S7:T250">
    <cfRule type="cellIs" dxfId="12" priority="9" operator="equal">
      <formula>FALSE</formula>
    </cfRule>
    <cfRule type="cellIs" dxfId="11" priority="27" operator="equal">
      <formula>TRUE</formula>
    </cfRule>
  </conditionalFormatting>
  <conditionalFormatting sqref="B7:D250">
    <cfRule type="expression" dxfId="10" priority="119">
      <formula>AND(B7=B6,MOD(ROW(),2)=1)</formula>
    </cfRule>
    <cfRule type="expression" dxfId="9" priority="120">
      <formula>AND(B7=B6,MOD(ROW(),2)=0)</formula>
    </cfRule>
  </conditionalFormatting>
  <hyperlinks>
    <hyperlink ref="A1" location="Index!A1" display="&lt;&lt;Back to Index"/>
  </hyperlinks>
  <pageMargins left="0.7" right="0.7" top="0.75" bottom="0.75" header="0.3" footer="0.3"/>
  <pageSetup paperSize="9" orientation="portrait" r:id="rId1"/>
  <ignoredErrors>
    <ignoredError sqref="K27:N27 K69:N69 K111:N11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177"/>
  <sheetViews>
    <sheetView workbookViewId="0">
      <pane ySplit="6" topLeftCell="A7" activePane="bottomLeft" state="frozen"/>
      <selection activeCell="K25" sqref="K25"/>
      <selection pane="bottomLeft" activeCell="A133" sqref="A133"/>
    </sheetView>
  </sheetViews>
  <sheetFormatPr defaultColWidth="0" defaultRowHeight="14.4" zeroHeight="1" x14ac:dyDescent="0.3"/>
  <cols>
    <col min="1" max="1" width="1.6640625" style="3" customWidth="1"/>
    <col min="2" max="3" width="15.6640625" style="3" customWidth="1"/>
    <col min="4" max="4" width="18.33203125" style="3" customWidth="1"/>
    <col min="5" max="5" width="10.6640625" style="3" customWidth="1"/>
    <col min="6" max="6" width="10.6640625" style="21" customWidth="1"/>
    <col min="7" max="7" width="10.6640625" style="3" customWidth="1"/>
    <col min="8" max="10" width="10.6640625" style="93" customWidth="1"/>
    <col min="11" max="11" width="10.6640625" style="21" hidden="1" customWidth="1"/>
    <col min="12" max="12" width="0.88671875" style="21" customWidth="1"/>
    <col min="13" max="13" width="10.6640625" style="21" customWidth="1"/>
    <col min="14" max="14" width="0.88671875" style="21" customWidth="1"/>
    <col min="15" max="17" width="10.6640625" style="93" customWidth="1"/>
    <col min="18" max="18" width="10.6640625" style="21" customWidth="1"/>
    <col min="19" max="20" width="8.88671875" style="21" hidden="1" customWidth="1"/>
    <col min="21" max="16384" width="8.88671875" style="3" hidden="1"/>
  </cols>
  <sheetData>
    <row r="1" spans="1:23" ht="10.199999999999999" customHeight="1" x14ac:dyDescent="0.3">
      <c r="A1" s="246" t="s">
        <v>22</v>
      </c>
      <c r="B1" s="272"/>
    </row>
    <row r="2" spans="1:23" s="15" customFormat="1" ht="22.5" customHeight="1" x14ac:dyDescent="0.3">
      <c r="A2" s="16" t="s">
        <v>93</v>
      </c>
      <c r="F2" s="22"/>
      <c r="H2" s="94"/>
      <c r="I2" s="94"/>
      <c r="J2" s="94"/>
      <c r="K2" s="22"/>
      <c r="L2" s="22"/>
      <c r="M2" s="22"/>
      <c r="N2" s="22"/>
      <c r="O2" s="94"/>
      <c r="P2" s="94"/>
      <c r="Q2" s="94"/>
      <c r="R2" s="22"/>
      <c r="S2" s="22"/>
      <c r="T2" s="22"/>
    </row>
    <row r="3" spans="1:23" s="31" customFormat="1" ht="17.7" customHeight="1" x14ac:dyDescent="0.3">
      <c r="B3" s="32"/>
      <c r="C3" s="32"/>
      <c r="D3" s="32"/>
      <c r="E3" s="32"/>
      <c r="F3" s="57"/>
      <c r="G3" s="32"/>
      <c r="H3" s="280" t="str">
        <f>PY</f>
        <v>2019-20</v>
      </c>
      <c r="I3" s="280"/>
      <c r="J3" s="280"/>
      <c r="K3" s="280"/>
      <c r="L3" s="42"/>
      <c r="M3" s="48" t="str">
        <f>FY</f>
        <v>2020-21</v>
      </c>
      <c r="N3" s="42"/>
      <c r="O3" s="280" t="str">
        <f>FY</f>
        <v>2020-21</v>
      </c>
      <c r="P3" s="280"/>
      <c r="Q3" s="280"/>
      <c r="R3" s="280"/>
      <c r="S3" s="137"/>
      <c r="T3" s="138"/>
    </row>
    <row r="4" spans="1:23" s="31" customFormat="1" ht="3" customHeight="1" x14ac:dyDescent="0.3">
      <c r="B4" s="32"/>
      <c r="C4" s="32"/>
      <c r="D4" s="32"/>
      <c r="E4" s="32"/>
      <c r="F4" s="47" t="str">
        <f t="shared" ref="F4:K4" si="0">$H$3</f>
        <v>2019-20</v>
      </c>
      <c r="G4" s="32"/>
      <c r="H4" s="95" t="str">
        <f>$H$3</f>
        <v>2019-20</v>
      </c>
      <c r="I4" s="95" t="str">
        <f t="shared" si="0"/>
        <v>2019-20</v>
      </c>
      <c r="J4" s="95" t="str">
        <f t="shared" si="0"/>
        <v>2019-20</v>
      </c>
      <c r="K4" s="47" t="str">
        <f t="shared" si="0"/>
        <v>2019-20</v>
      </c>
      <c r="L4" s="47"/>
      <c r="M4" s="47" t="str">
        <f>FY</f>
        <v>2020-21</v>
      </c>
      <c r="N4" s="47"/>
      <c r="O4" s="95" t="str">
        <f>$O$3</f>
        <v>2020-21</v>
      </c>
      <c r="P4" s="95" t="str">
        <f>$O$3</f>
        <v>2020-21</v>
      </c>
      <c r="Q4" s="95" t="str">
        <f>$O$3</f>
        <v>2020-21</v>
      </c>
      <c r="R4" s="47" t="str">
        <f>$O$3</f>
        <v>2020-21</v>
      </c>
      <c r="S4" s="137"/>
      <c r="T4" s="138"/>
    </row>
    <row r="5" spans="1:23" s="5" customFormat="1" ht="17.7" customHeight="1" x14ac:dyDescent="0.3">
      <c r="B5" s="25" t="s">
        <v>1</v>
      </c>
      <c r="C5" s="25" t="s">
        <v>12</v>
      </c>
      <c r="D5" s="25" t="s">
        <v>27</v>
      </c>
      <c r="E5" s="25" t="s">
        <v>13</v>
      </c>
      <c r="F5" s="13" t="s">
        <v>29</v>
      </c>
      <c r="G5" s="25" t="s">
        <v>38</v>
      </c>
      <c r="H5" s="96" t="s">
        <v>48</v>
      </c>
      <c r="I5" s="96" t="s">
        <v>49</v>
      </c>
      <c r="J5" s="96" t="s">
        <v>26</v>
      </c>
      <c r="K5" s="13" t="s">
        <v>28</v>
      </c>
      <c r="L5" s="13"/>
      <c r="M5" s="13" t="s">
        <v>25</v>
      </c>
      <c r="N5" s="13"/>
      <c r="O5" s="96" t="s">
        <v>48</v>
      </c>
      <c r="P5" s="96" t="s">
        <v>49</v>
      </c>
      <c r="Q5" s="96" t="s">
        <v>26</v>
      </c>
      <c r="R5" s="13" t="s">
        <v>28</v>
      </c>
      <c r="S5" s="139"/>
      <c r="T5" s="140"/>
      <c r="V5" s="185" t="s">
        <v>176</v>
      </c>
      <c r="W5" s="185">
        <v>2</v>
      </c>
    </row>
    <row r="6" spans="1:23" s="33" customFormat="1" ht="17.7" customHeight="1" x14ac:dyDescent="0.25">
      <c r="B6" s="34"/>
      <c r="C6" s="34"/>
      <c r="D6" s="34"/>
      <c r="E6" s="34"/>
      <c r="F6" s="35" t="s">
        <v>57</v>
      </c>
      <c r="G6" s="34"/>
      <c r="H6" s="97" t="s">
        <v>76</v>
      </c>
      <c r="I6" s="97" t="s">
        <v>46</v>
      </c>
      <c r="J6" s="97" t="s">
        <v>47</v>
      </c>
      <c r="K6" s="35" t="s">
        <v>33</v>
      </c>
      <c r="L6" s="35"/>
      <c r="M6" s="35" t="s">
        <v>33</v>
      </c>
      <c r="N6" s="35"/>
      <c r="O6" s="97" t="s">
        <v>76</v>
      </c>
      <c r="P6" s="97" t="s">
        <v>46</v>
      </c>
      <c r="Q6" s="97" t="s">
        <v>47</v>
      </c>
      <c r="R6" s="35" t="s">
        <v>33</v>
      </c>
      <c r="S6" s="141" t="s">
        <v>106</v>
      </c>
      <c r="T6" s="141" t="s">
        <v>106</v>
      </c>
    </row>
    <row r="7" spans="1:23" x14ac:dyDescent="0.25">
      <c r="F7" s="41"/>
      <c r="K7" s="44"/>
      <c r="L7" s="44"/>
      <c r="M7" s="49"/>
      <c r="N7" s="44"/>
      <c r="R7" s="44"/>
      <c r="S7" s="142" t="b">
        <f>IF(COUNTIF(S8:S300,"FALSE")&gt;0,FALSE,TRUE)</f>
        <v>1</v>
      </c>
      <c r="T7" s="142" t="b">
        <f>IF(COUNTIF(T8:T300,"FALSE")&gt;0,FALSE,TRUE)</f>
        <v>1</v>
      </c>
    </row>
    <row r="8" spans="1:23" x14ac:dyDescent="0.25">
      <c r="B8" s="5" t="s">
        <v>2</v>
      </c>
      <c r="C8" s="5" t="s">
        <v>6</v>
      </c>
      <c r="D8" s="5" t="s">
        <v>158</v>
      </c>
      <c r="F8" s="41"/>
      <c r="K8" s="44"/>
      <c r="L8" s="44"/>
      <c r="M8" s="49"/>
      <c r="N8" s="44"/>
      <c r="R8" s="44"/>
      <c r="S8" s="142"/>
      <c r="T8" s="142"/>
    </row>
    <row r="9" spans="1:23" x14ac:dyDescent="0.25">
      <c r="B9" s="3" t="str">
        <f t="shared" ref="B9:D15" si="1">B8</f>
        <v>Ausgrid</v>
      </c>
      <c r="C9" s="3" t="str">
        <f t="shared" si="1"/>
        <v>Residential</v>
      </c>
      <c r="D9" s="3" t="str">
        <f t="shared" si="1"/>
        <v>without CL</v>
      </c>
      <c r="E9" s="3" t="s">
        <v>24</v>
      </c>
      <c r="F9" s="41">
        <f t="array" ref="F9">IFERROR(INDEX(Usage!$B$5:$T$18,MATCH($B9,Usage!$B$5:$B$18,0),MATCH($C9&amp;$D9&amp;$E9&amp;"Total",Usage!$B$5:$W$5&amp;Usage!$B$6:$W$6&amp;Usage!$B$7:$W$7&amp;Usage!$B$13:$W$13,0)),0)</f>
        <v>3900</v>
      </c>
      <c r="G9" s="3" t="s">
        <v>82</v>
      </c>
      <c r="I9" s="93">
        <f t="array" ref="I9">IFERROR(INDEX('Detail inputs'!$B$3:$L$304,MATCH($B9&amp;$G9&amp;I$5,'Detail inputs'!$B$3:$B$304&amp;'Detail inputs'!$G$3:$G$304&amp;'Detail inputs'!$H$3:$H$304,0),MATCH(I$4,'Detail inputs'!$B$3:$L$3,0)),0)</f>
        <v>9.3800000000000008</v>
      </c>
      <c r="J9" s="93">
        <f>IF(AND(H9="",I9=""),"",H9+I9*$F9/1000)</f>
        <v>36.582000000000001</v>
      </c>
      <c r="K9" s="44">
        <f>IFERROR(J9/J13,"")</f>
        <v>0.48500517063081694</v>
      </c>
      <c r="L9" s="44"/>
      <c r="M9" s="49">
        <f>IF(OR(J9=0,Q9=""),"",Q9/J9-1)</f>
        <v>-0.51385927505330486</v>
      </c>
      <c r="N9" s="44"/>
      <c r="P9" s="93">
        <f t="array" ref="P9">IFERROR(INDEX('Detail inputs'!$B$3:$L$304,MATCH($B9&amp;$G9&amp;P$5,'Detail inputs'!$B$3:$B$304&amp;'Detail inputs'!$G$3:$G$304&amp;'Detail inputs'!$H$3:$H$304,0),MATCH(P$4,'Detail inputs'!$B$3:$L$3,0)),0)</f>
        <v>4.5599999999999996</v>
      </c>
      <c r="Q9" s="93">
        <f>IF(AND(O9="",P9=""),"",O9+P9*$F9/1000)</f>
        <v>17.783999999999999</v>
      </c>
      <c r="R9" s="44">
        <f>IFERROR(Q9/Q13,"")</f>
        <v>0.26557949912638323</v>
      </c>
      <c r="S9" s="142"/>
      <c r="T9" s="142"/>
    </row>
    <row r="10" spans="1:23" x14ac:dyDescent="0.25">
      <c r="B10" s="3" t="str">
        <f t="shared" si="1"/>
        <v>Ausgrid</v>
      </c>
      <c r="C10" s="3" t="str">
        <f t="shared" si="1"/>
        <v>Residential</v>
      </c>
      <c r="D10" s="3" t="str">
        <f t="shared" si="1"/>
        <v>without CL</v>
      </c>
      <c r="E10" s="3" t="s">
        <v>24</v>
      </c>
      <c r="F10" s="41">
        <f t="array" ref="F10">IFERROR(INDEX(Usage!$B$5:$T$18,MATCH($B10,Usage!$B$5:$B$18,0),MATCH($C10&amp;$D10&amp;$E10&amp;"Total",Usage!$B$5:$W$5&amp;Usage!$B$6:$W$6&amp;Usage!$B$7:$W$7&amp;Usage!$B$13:$W$13,0)),0)</f>
        <v>3900</v>
      </c>
      <c r="G10" s="3" t="s">
        <v>83</v>
      </c>
      <c r="I10" s="93">
        <f t="array" ref="I10">IFERROR(INDEX('Detail inputs'!$B$3:$L$304,MATCH($B10&amp;$G10&amp;I$5,'Detail inputs'!$B$3:$B$304&amp;'Detail inputs'!$G$3:$G$304&amp;'Detail inputs'!$H$3:$H$304,0),MATCH(I$4,'Detail inputs'!$B$3:$L$3,0)),0)</f>
        <v>7.26</v>
      </c>
      <c r="J10" s="93">
        <f>IF(AND(H10="",I10=""),"",H10+I10*$F10/1000)</f>
        <v>28.314</v>
      </c>
      <c r="K10" s="44">
        <f>IFERROR(J10/J13,"")</f>
        <v>0.37538779731127198</v>
      </c>
      <c r="L10" s="44"/>
      <c r="M10" s="49">
        <f>IF(OR(J10=0,Q10=""),"",Q10/J10-1)</f>
        <v>0.33884297520661155</v>
      </c>
      <c r="N10" s="44"/>
      <c r="P10" s="93">
        <f t="array" ref="P10">IFERROR(INDEX('Detail inputs'!$B$3:$L$304,MATCH($B10&amp;$G10&amp;P$5,'Detail inputs'!$B$3:$B$304&amp;'Detail inputs'!$G$3:$G$304&amp;'Detail inputs'!$H$3:$H$304,0),MATCH(P$4,'Detail inputs'!$B$3:$L$3,0)),0)</f>
        <v>9.7200000000000006</v>
      </c>
      <c r="Q10" s="93">
        <f>IF(AND(O10="",P10=""),"",O10+P10*$F10/1000)</f>
        <v>37.908000000000001</v>
      </c>
      <c r="R10" s="44">
        <f>IFERROR(Q10/Q13,"")</f>
        <v>0.56610366919044852</v>
      </c>
      <c r="S10" s="142"/>
      <c r="T10" s="142"/>
    </row>
    <row r="11" spans="1:23" x14ac:dyDescent="0.25">
      <c r="B11" s="3" t="str">
        <f t="shared" si="1"/>
        <v>Ausgrid</v>
      </c>
      <c r="C11" s="3" t="str">
        <f t="shared" si="1"/>
        <v>Residential</v>
      </c>
      <c r="D11" s="3" t="str">
        <f t="shared" si="1"/>
        <v>without CL</v>
      </c>
      <c r="E11" s="3" t="s">
        <v>24</v>
      </c>
      <c r="F11" s="41">
        <f t="array" ref="F11">IFERROR(INDEX(Usage!$B$5:$T$18,MATCH($B11,Usage!$B$5:$B$18,0),MATCH($C11&amp;$D11&amp;$E11&amp;"Total",Usage!$B$5:$W$5&amp;Usage!$B$6:$W$6&amp;Usage!$B$7:$W$7&amp;Usage!$B$13:$W$13,0)),0)</f>
        <v>3900</v>
      </c>
      <c r="G11" s="3" t="s">
        <v>84</v>
      </c>
      <c r="I11" s="93">
        <f t="array" ref="I11">IFERROR(INDEX('Detail inputs'!$B$3:$L$304,MATCH($B11&amp;$G11&amp;I$5,'Detail inputs'!$B$3:$B$304&amp;'Detail inputs'!$G$3:$G$304&amp;'Detail inputs'!$H$3:$H$304,0),MATCH(I$4,'Detail inputs'!$B$3:$L$3,0)),0)</f>
        <v>1.8</v>
      </c>
      <c r="J11" s="93">
        <f>IF(AND(H11="",I11=""),"",H11+I11*$F11/1000)</f>
        <v>7.02</v>
      </c>
      <c r="K11" s="44">
        <f>IFERROR(J11/J13,"")</f>
        <v>9.3071354705274029E-2</v>
      </c>
      <c r="L11" s="44"/>
      <c r="M11" s="49">
        <f>IF(OR(J11=0,Q11=""),"",Q11/J11-1)</f>
        <v>0.12777777777777777</v>
      </c>
      <c r="N11" s="44"/>
      <c r="P11" s="93">
        <f t="array" ref="P11">IFERROR(INDEX('Detail inputs'!$B$3:$L$304,MATCH($B11&amp;$G11&amp;P$5,'Detail inputs'!$B$3:$B$304&amp;'Detail inputs'!$G$3:$G$304&amp;'Detail inputs'!$H$3:$H$304,0),MATCH(P$4,'Detail inputs'!$B$3:$L$3,0)),0)</f>
        <v>2.0299999999999998</v>
      </c>
      <c r="Q11" s="93">
        <f>IF(AND(O11="",P11=""),"",O11+P11*$F11/1000)</f>
        <v>7.9169999999999989</v>
      </c>
      <c r="R11" s="44">
        <f>IFERROR(Q11/Q13,"")</f>
        <v>0.11822947000582411</v>
      </c>
      <c r="S11" s="142"/>
      <c r="T11" s="142"/>
    </row>
    <row r="12" spans="1:23" s="21" customFormat="1" x14ac:dyDescent="0.25">
      <c r="A12" s="3"/>
      <c r="B12" s="3" t="str">
        <f t="shared" si="1"/>
        <v>Ausgrid</v>
      </c>
      <c r="C12" s="3" t="str">
        <f t="shared" si="1"/>
        <v>Residential</v>
      </c>
      <c r="D12" s="3" t="str">
        <f t="shared" si="1"/>
        <v>without CL</v>
      </c>
      <c r="E12" s="3" t="s">
        <v>24</v>
      </c>
      <c r="F12" s="41">
        <f t="array" ref="F12">IFERROR(INDEX(Usage!$B$5:$T$18,MATCH($B12,Usage!$B$5:$B$18,0),MATCH($C12&amp;$D12&amp;$E12&amp;"Total",Usage!$B$5:$W$5&amp;Usage!$B$6:$W$6&amp;Usage!$B$7:$W$7&amp;Usage!$B$13:$W$13,0)),0)</f>
        <v>3900</v>
      </c>
      <c r="G12" s="3" t="s">
        <v>81</v>
      </c>
      <c r="H12" s="93"/>
      <c r="I12" s="93">
        <f t="array" ref="I12">ROUND(IFERROR(INDEX('Detail inputs'!$B$3:$L$304,MATCH($B12&amp;$C12&amp;$E12&amp;$G12&amp;I$5,'Detail inputs'!$B$3:$B$304&amp;'Detail inputs'!$D$3:$D$304&amp;'Detail inputs'!$F$3:$F$304&amp;'Detail inputs'!$G$3:$G$304&amp;'Detail inputs'!$H$3:$H$304,0),MATCH(I$4,'Detail inputs'!$B$3:$L$3,0)),0)*SUM(I9:I11),2)</f>
        <v>0.9</v>
      </c>
      <c r="J12" s="93">
        <f>IF(AND(H12="",I12=""),"",H12+I12*$F12/1000)</f>
        <v>3.51</v>
      </c>
      <c r="K12" s="44">
        <f>IFERROR(J12/J13,"")</f>
        <v>4.6535677352637014E-2</v>
      </c>
      <c r="L12" s="44"/>
      <c r="M12" s="49">
        <f>IF(OR(J12=0,Q12=""),"",Q12/J12-1)</f>
        <v>-4.4444444444444398E-2</v>
      </c>
      <c r="N12" s="44"/>
      <c r="O12" s="93"/>
      <c r="P12" s="93">
        <f t="array" ref="P12">ROUND(IFERROR(INDEX('Detail inputs'!$B$3:$L$304,MATCH($B12&amp;$C12&amp;$E12&amp;$G12&amp;P$5,'Detail inputs'!$B$3:$B$304&amp;'Detail inputs'!$D$3:$D$304&amp;'Detail inputs'!$F$3:$F$304&amp;'Detail inputs'!$G$3:$G$304&amp;'Detail inputs'!$H$3:$H$304,0),MATCH(P$4,'Detail inputs'!$B$3:$L$3,0)),0)*SUM(P9:P11),2)</f>
        <v>0.86</v>
      </c>
      <c r="Q12" s="93">
        <f>IF(AND(O12="",P12=""),"",O12+P12*$F12/1000)</f>
        <v>3.3540000000000001</v>
      </c>
      <c r="R12" s="44">
        <f>IFERROR(Q12/Q13,"")</f>
        <v>5.0087361677344212E-2</v>
      </c>
      <c r="S12" s="142"/>
      <c r="T12" s="142"/>
    </row>
    <row r="13" spans="1:23" s="92" customFormat="1" x14ac:dyDescent="0.25">
      <c r="A13" s="81"/>
      <c r="B13" s="81" t="str">
        <f t="shared" si="1"/>
        <v>Ausgrid</v>
      </c>
      <c r="C13" s="81" t="str">
        <f t="shared" si="1"/>
        <v>Residential</v>
      </c>
      <c r="D13" s="81" t="str">
        <f t="shared" si="1"/>
        <v>without CL</v>
      </c>
      <c r="E13" s="3" t="s">
        <v>24</v>
      </c>
      <c r="F13" s="41">
        <f t="array" ref="F13">IFERROR(INDEX(Usage!$B$5:$T$18,MATCH($B13,Usage!$B$5:$B$18,0),MATCH($C13&amp;$D13&amp;$E13&amp;"Total",Usage!$B$5:$W$5&amp;Usage!$B$6:$W$6&amp;Usage!$B$7:$W$7&amp;Usage!$B$13:$W$13,0)),0)</f>
        <v>3900</v>
      </c>
      <c r="G13" s="81" t="s">
        <v>58</v>
      </c>
      <c r="H13" s="99"/>
      <c r="I13" s="99">
        <f t="array" ref="I13">INDEX('Key inputs'!$B$15:$G$33,MATCH($B13&amp;$E13,'Key inputs'!$B$15:$B$33&amp;'Key inputs'!$C$15:$C$33,0),MATCH($A$2&amp;I$4,'Key inputs'!$B$16:$G$16&amp;'Key inputs'!$B$17:$G$17,0))</f>
        <v>19.34</v>
      </c>
      <c r="J13" s="93">
        <f t="shared" ref="J13" si="2">IF(AND(H13="",I13=""),"",H13+I13*$F13/1000)</f>
        <v>75.426000000000002</v>
      </c>
      <c r="K13" s="91"/>
      <c r="M13" s="83">
        <f>IF(OR(J13=0,Q13=""),"",Q13/J13-1)</f>
        <v>-0.11220268872802497</v>
      </c>
      <c r="O13" s="99"/>
      <c r="P13" s="99">
        <f t="array" ref="P13">INDEX('Key inputs'!$B$15:$G$33,MATCH($B13&amp;$E13,'Key inputs'!$B$15:$B$33&amp;'Key inputs'!$C$15:$C$33,0),MATCH($A$2&amp;P$4,'Key inputs'!$B$16:$G$16&amp;'Key inputs'!$B$17:$G$17,0))</f>
        <v>17.170000000000002</v>
      </c>
      <c r="Q13" s="93">
        <f t="shared" ref="Q13" si="3">IF(AND(O13="",P13=""),"",O13+P13*$F13/1000)</f>
        <v>66.962999999999994</v>
      </c>
      <c r="R13" s="91"/>
      <c r="S13" s="142" t="b">
        <f>ROUND(I13,$W$5)=ROUND(SUM(I9:I12),$W$5)</f>
        <v>1</v>
      </c>
      <c r="T13" s="142" t="b">
        <f>ROUND(P13,$W$5)=ROUND(SUM(P9:P12),$W$5)</f>
        <v>1</v>
      </c>
      <c r="U13" s="99"/>
      <c r="V13" s="99"/>
    </row>
    <row r="14" spans="1:23" s="21" customFormat="1" x14ac:dyDescent="0.25">
      <c r="A14" s="3"/>
      <c r="B14" s="3" t="str">
        <f t="shared" si="1"/>
        <v>Ausgrid</v>
      </c>
      <c r="C14" s="3" t="str">
        <f t="shared" si="1"/>
        <v>Residential</v>
      </c>
      <c r="D14" s="3" t="str">
        <f t="shared" si="1"/>
        <v>without CL</v>
      </c>
      <c r="E14" s="3"/>
      <c r="F14" s="41"/>
      <c r="G14" s="81" t="s">
        <v>41</v>
      </c>
      <c r="H14" s="99"/>
      <c r="I14" s="99"/>
      <c r="J14" s="99">
        <f>J13*GST</f>
        <v>7.5426000000000002</v>
      </c>
      <c r="K14" s="91"/>
      <c r="L14" s="92"/>
      <c r="M14" s="83"/>
      <c r="N14" s="92"/>
      <c r="O14" s="99"/>
      <c r="P14" s="99"/>
      <c r="Q14" s="99">
        <f>Q13*GST</f>
        <v>6.6962999999999999</v>
      </c>
      <c r="R14" s="79"/>
      <c r="S14" s="142"/>
      <c r="T14" s="142"/>
    </row>
    <row r="15" spans="1:23" s="21" customFormat="1" x14ac:dyDescent="0.25">
      <c r="A15" s="3"/>
      <c r="B15" s="3" t="str">
        <f t="shared" si="1"/>
        <v>Ausgrid</v>
      </c>
      <c r="C15" s="3" t="str">
        <f t="shared" si="1"/>
        <v>Residential</v>
      </c>
      <c r="D15" s="3" t="str">
        <f t="shared" si="1"/>
        <v>without CL</v>
      </c>
      <c r="E15" s="3"/>
      <c r="F15" s="41"/>
      <c r="G15" s="5" t="s">
        <v>91</v>
      </c>
      <c r="H15" s="98"/>
      <c r="I15" s="98"/>
      <c r="J15" s="98">
        <f>SUM(J13:J14)</f>
        <v>82.968600000000009</v>
      </c>
      <c r="K15" s="79"/>
      <c r="L15" s="27"/>
      <c r="M15" s="80">
        <f>IF(OR(J15=0,Q15=""),"",Q15/J15-1)</f>
        <v>-0.11220268872802508</v>
      </c>
      <c r="N15" s="27"/>
      <c r="O15" s="98"/>
      <c r="P15" s="98"/>
      <c r="Q15" s="98">
        <f>SUM(Q13:Q14)</f>
        <v>73.659299999999988</v>
      </c>
      <c r="R15" s="79"/>
      <c r="S15" s="142"/>
      <c r="T15" s="142"/>
    </row>
    <row r="16" spans="1:23" s="21" customFormat="1" x14ac:dyDescent="0.25">
      <c r="A16" s="3"/>
      <c r="B16" s="3"/>
      <c r="C16" s="3"/>
      <c r="D16" s="3"/>
      <c r="E16" s="3"/>
      <c r="F16" s="41"/>
      <c r="G16" s="3"/>
      <c r="H16" s="93"/>
      <c r="I16" s="93"/>
      <c r="J16" s="93"/>
      <c r="K16" s="44"/>
      <c r="M16" s="49"/>
      <c r="O16" s="93"/>
      <c r="P16" s="93"/>
      <c r="Q16" s="93"/>
      <c r="R16" s="44"/>
      <c r="S16" s="142"/>
      <c r="T16" s="142"/>
    </row>
    <row r="17" spans="1:22" s="21" customFormat="1" x14ac:dyDescent="0.25">
      <c r="A17" s="3"/>
      <c r="B17" s="5" t="s">
        <v>2</v>
      </c>
      <c r="C17" s="5" t="s">
        <v>6</v>
      </c>
      <c r="D17" s="5" t="s">
        <v>159</v>
      </c>
      <c r="E17" s="3"/>
      <c r="F17" s="41"/>
      <c r="G17" s="3"/>
      <c r="H17" s="93"/>
      <c r="I17" s="93"/>
      <c r="J17" s="93"/>
      <c r="K17" s="44"/>
      <c r="M17" s="49"/>
      <c r="O17" s="93"/>
      <c r="P17" s="93"/>
      <c r="Q17" s="93"/>
      <c r="R17" s="44"/>
      <c r="S17" s="142"/>
      <c r="T17" s="142"/>
    </row>
    <row r="18" spans="1:22" s="21" customFormat="1" x14ac:dyDescent="0.25">
      <c r="A18" s="3"/>
      <c r="B18" s="3" t="str">
        <f t="shared" ref="B18:B29" si="4">B17</f>
        <v>Ausgrid</v>
      </c>
      <c r="C18" s="3" t="str">
        <f t="shared" ref="C18:C29" si="5">C17</f>
        <v>Residential</v>
      </c>
      <c r="D18" s="3" t="str">
        <f t="shared" ref="D18:D29" si="6">D17</f>
        <v>with CL</v>
      </c>
      <c r="E18" s="3" t="s">
        <v>24</v>
      </c>
      <c r="F18" s="41">
        <f t="array" ref="F18">IFERROR(INDEX(Usage!$B$5:$T$18,MATCH($B18,Usage!$B$5:$B$18,0),MATCH($C18&amp;$D18&amp;$E18&amp;"Total",Usage!$B$5:$W$5&amp;Usage!$B$6:$W$6&amp;Usage!$B$7:$W$7&amp;Usage!$B$13:$W$13,0)),0)</f>
        <v>4800</v>
      </c>
      <c r="G18" s="3" t="s">
        <v>58</v>
      </c>
      <c r="H18" s="93"/>
      <c r="I18" s="93">
        <f>I13</f>
        <v>19.34</v>
      </c>
      <c r="J18" s="93">
        <f>IF(AND(H18="",I18=""),"",H18+I18*$F18/1000)</f>
        <v>92.831999999999994</v>
      </c>
      <c r="K18" s="44"/>
      <c r="M18" s="49">
        <f>IF(OR(J18=0,Q18=""),"",Q18/J18-1)</f>
        <v>-0.11220268872802464</v>
      </c>
      <c r="O18" s="93"/>
      <c r="P18" s="93">
        <f>P13</f>
        <v>17.170000000000002</v>
      </c>
      <c r="Q18" s="93">
        <f>IF(AND(O18="",P18=""),"",O18+P18*$F18/1000)</f>
        <v>82.416000000000011</v>
      </c>
      <c r="R18" s="44"/>
      <c r="S18" s="142"/>
      <c r="T18" s="142"/>
    </row>
    <row r="19" spans="1:22" s="21" customFormat="1" x14ac:dyDescent="0.25">
      <c r="A19" s="3"/>
      <c r="B19" s="3" t="str">
        <f t="shared" si="4"/>
        <v>Ausgrid</v>
      </c>
      <c r="C19" s="3" t="str">
        <f t="shared" si="5"/>
        <v>Residential</v>
      </c>
      <c r="D19" s="3" t="str">
        <f t="shared" si="6"/>
        <v>with CL</v>
      </c>
      <c r="E19" s="3" t="s">
        <v>15</v>
      </c>
      <c r="F19" s="41">
        <f t="array" ref="F19">IFERROR(INDEX(Usage!$B$5:$T$18,MATCH($B19,Usage!$B$5:$B$18,0),MATCH($C19&amp;$D19&amp;$E19,Usage!$B$5:$W$5&amp;Usage!$B$6:$W$6&amp;Usage!$B$7:$W$7,0)),0)</f>
        <v>1340</v>
      </c>
      <c r="G19" s="3" t="s">
        <v>82</v>
      </c>
      <c r="H19" s="93"/>
      <c r="I19" s="93">
        <f t="array" ref="I19">IFERROR(INDEX('Detail inputs'!$B$3:$L$304,MATCH($B19&amp;$G19&amp;I$5,'Detail inputs'!$B$3:$B$304&amp;'Detail inputs'!$G$3:$G$304&amp;'Detail inputs'!$H$3:$H$304,0),MATCH(I$4,'Detail inputs'!$B$3:$L$3,0)),0)</f>
        <v>9.3800000000000008</v>
      </c>
      <c r="J19" s="93">
        <f>IF(AND(H19="",I19=""),"",H19+I19*$F19/1000)</f>
        <v>12.5692</v>
      </c>
      <c r="K19" s="44">
        <f>IFERROR(J19/J23,"")</f>
        <v>0.4830072090628218</v>
      </c>
      <c r="L19" s="44"/>
      <c r="M19" s="49">
        <f t="shared" ref="M19:M29" si="7">IF(OR(J19=0,Q19=""),"",Q19/J19-1)</f>
        <v>-0.51385927505330498</v>
      </c>
      <c r="N19" s="44"/>
      <c r="O19" s="93"/>
      <c r="P19" s="93">
        <f t="array" ref="P19">IFERROR(INDEX('Detail inputs'!$B$3:$L$304,MATCH($B19&amp;$G19&amp;P$5,'Detail inputs'!$B$3:$B$304&amp;'Detail inputs'!$G$3:$G$304&amp;'Detail inputs'!$H$3:$H$304,0),MATCH(P$4,'Detail inputs'!$B$3:$L$3,0)),0)</f>
        <v>4.5599999999999996</v>
      </c>
      <c r="Q19" s="93">
        <f>IF(AND(O19="",P19=""),"",O19+P19*$F19/1000)</f>
        <v>6.1103999999999994</v>
      </c>
      <c r="R19" s="44">
        <f>IFERROR(Q19/Q23,"")</f>
        <v>0.26480836236933791</v>
      </c>
      <c r="S19" s="142"/>
      <c r="T19" s="142"/>
    </row>
    <row r="20" spans="1:22" s="21" customFormat="1" x14ac:dyDescent="0.25">
      <c r="A20" s="3"/>
      <c r="B20" s="3" t="str">
        <f t="shared" si="4"/>
        <v>Ausgrid</v>
      </c>
      <c r="C20" s="3" t="str">
        <f t="shared" si="5"/>
        <v>Residential</v>
      </c>
      <c r="D20" s="3" t="str">
        <f t="shared" si="6"/>
        <v>with CL</v>
      </c>
      <c r="E20" s="3" t="s">
        <v>15</v>
      </c>
      <c r="F20" s="41">
        <f t="array" ref="F20">IFERROR(INDEX(Usage!$B$5:$T$18,MATCH($B20,Usage!$B$5:$B$18,0),MATCH($C20&amp;$D20&amp;$E20,Usage!$B$5:$W$5&amp;Usage!$B$6:$W$6&amp;Usage!$B$7:$W$7,0)),0)</f>
        <v>1340</v>
      </c>
      <c r="G20" s="3" t="s">
        <v>83</v>
      </c>
      <c r="H20" s="93"/>
      <c r="I20" s="93">
        <f t="array" ref="I20">IFERROR(INDEX('Detail inputs'!$B$3:$L$304,MATCH($B20&amp;$G20&amp;I$5,'Detail inputs'!$B$3:$B$304&amp;'Detail inputs'!$G$3:$G$304&amp;'Detail inputs'!$H$3:$H$304,0),MATCH(I$4,'Detail inputs'!$B$3:$L$3,0)),0)</f>
        <v>7.26</v>
      </c>
      <c r="J20" s="93">
        <f>IF(AND(H20="",I20=""),"",H20+I20*$F20/1000)</f>
        <v>9.7283999999999988</v>
      </c>
      <c r="K20" s="44">
        <f>IFERROR(J20/J23,"")</f>
        <v>0.37384140061791959</v>
      </c>
      <c r="L20" s="44"/>
      <c r="M20" s="49">
        <f t="shared" si="7"/>
        <v>0.33884297520661177</v>
      </c>
      <c r="N20" s="44"/>
      <c r="O20" s="93"/>
      <c r="P20" s="93">
        <f t="array" ref="P20">IFERROR(INDEX('Detail inputs'!$B$3:$L$304,MATCH($B20&amp;$G20&amp;P$5,'Detail inputs'!$B$3:$B$304&amp;'Detail inputs'!$G$3:$G$304&amp;'Detail inputs'!$H$3:$H$304,0),MATCH(P$4,'Detail inputs'!$B$3:$L$3,0)),0)</f>
        <v>9.7200000000000006</v>
      </c>
      <c r="Q20" s="93">
        <f>IF(AND(O20="",P20=""),"",O20+P20*$F20/1000)</f>
        <v>13.024800000000001</v>
      </c>
      <c r="R20" s="44">
        <f>IFERROR(Q20/Q23,"")</f>
        <v>0.56445993031358876</v>
      </c>
      <c r="S20" s="142"/>
      <c r="T20" s="142"/>
    </row>
    <row r="21" spans="1:22" s="21" customFormat="1" x14ac:dyDescent="0.25">
      <c r="A21" s="3"/>
      <c r="B21" s="3" t="str">
        <f t="shared" si="4"/>
        <v>Ausgrid</v>
      </c>
      <c r="C21" s="3" t="str">
        <f t="shared" si="5"/>
        <v>Residential</v>
      </c>
      <c r="D21" s="3" t="str">
        <f t="shared" si="6"/>
        <v>with CL</v>
      </c>
      <c r="E21" s="3" t="s">
        <v>15</v>
      </c>
      <c r="F21" s="41">
        <f t="array" ref="F21">IFERROR(INDEX(Usage!$B$5:$T$18,MATCH($B21,Usage!$B$5:$B$18,0),MATCH($C21&amp;$D21&amp;$E21,Usage!$B$5:$W$5&amp;Usage!$B$6:$W$6&amp;Usage!$B$7:$W$7,0)),0)</f>
        <v>1340</v>
      </c>
      <c r="G21" s="3" t="s">
        <v>84</v>
      </c>
      <c r="H21" s="93"/>
      <c r="I21" s="93">
        <f t="array" ref="I21">IFERROR(INDEX('Detail inputs'!$B$3:$L$304,MATCH($B21&amp;$G21&amp;I$5,'Detail inputs'!$B$3:$B$304&amp;'Detail inputs'!$G$3:$G$304&amp;'Detail inputs'!$H$3:$H$304,0),MATCH(I$4,'Detail inputs'!$B$3:$L$3,0)),0)</f>
        <v>1.8</v>
      </c>
      <c r="J21" s="93">
        <f>IF(AND(H21="",I21=""),"",H21+I21*$F21/1000)</f>
        <v>2.4119999999999999</v>
      </c>
      <c r="K21" s="44">
        <f>IFERROR(J21/J23,"")</f>
        <v>9.2687950566426341E-2</v>
      </c>
      <c r="L21" s="44"/>
      <c r="M21" s="49">
        <f t="shared" si="7"/>
        <v>0.12777777777777777</v>
      </c>
      <c r="N21" s="44"/>
      <c r="O21" s="93"/>
      <c r="P21" s="93">
        <f t="array" ref="P21">IFERROR(INDEX('Detail inputs'!$B$3:$L$304,MATCH($B21&amp;$G21&amp;P$5,'Detail inputs'!$B$3:$B$304&amp;'Detail inputs'!$G$3:$G$304&amp;'Detail inputs'!$H$3:$H$304,0),MATCH(P$4,'Detail inputs'!$B$3:$L$3,0)),0)</f>
        <v>2.0299999999999998</v>
      </c>
      <c r="Q21" s="93">
        <f>IF(AND(O21="",P21=""),"",O21+P21*$F21/1000)</f>
        <v>2.7201999999999997</v>
      </c>
      <c r="R21" s="44">
        <f>IFERROR(Q21/Q23,"")</f>
        <v>0.11788617886178859</v>
      </c>
      <c r="S21" s="142"/>
      <c r="T21" s="142"/>
    </row>
    <row r="22" spans="1:22" s="21" customFormat="1" x14ac:dyDescent="0.25">
      <c r="A22" s="3"/>
      <c r="B22" s="3" t="str">
        <f t="shared" si="4"/>
        <v>Ausgrid</v>
      </c>
      <c r="C22" s="3" t="str">
        <f t="shared" si="5"/>
        <v>Residential</v>
      </c>
      <c r="D22" s="3" t="str">
        <f t="shared" si="6"/>
        <v>with CL</v>
      </c>
      <c r="E22" s="3" t="s">
        <v>15</v>
      </c>
      <c r="F22" s="41">
        <f t="array" ref="F22">IFERROR(INDEX(Usage!$B$5:$T$18,MATCH($B22,Usage!$B$5:$B$18,0),MATCH($C22&amp;$D22&amp;$E22,Usage!$B$5:$W$5&amp;Usage!$B$6:$W$6&amp;Usage!$B$7:$W$7,0)),0)</f>
        <v>1340</v>
      </c>
      <c r="G22" s="3" t="s">
        <v>81</v>
      </c>
      <c r="H22" s="93"/>
      <c r="I22" s="93">
        <f t="array" ref="I22">ROUND(IFERROR(INDEX('Detail inputs'!$B$3:$L$304,MATCH($B22&amp;$C22&amp;$E22&amp;$G22&amp;I$5,'Detail inputs'!$B$3:$B$304&amp;'Detail inputs'!$D$3:$D$304&amp;'Detail inputs'!$F$3:$F$304&amp;'Detail inputs'!$G$3:$G$304&amp;'Detail inputs'!$H$3:$H$304,0),MATCH(I$4,'Detail inputs'!$B$3:$L$3,0)),0)*SUM(I19:I21),2)</f>
        <v>0.98</v>
      </c>
      <c r="J22" s="93">
        <f>IF(AND(H22="",I22=""),"",H22+I22*$F22/1000)</f>
        <v>1.3132000000000001</v>
      </c>
      <c r="K22" s="44">
        <f>IFERROR(J22/J23,"")</f>
        <v>5.0463439752832129E-2</v>
      </c>
      <c r="L22" s="44"/>
      <c r="M22" s="49">
        <f t="shared" si="7"/>
        <v>-7.1428571428571508E-2</v>
      </c>
      <c r="N22" s="44"/>
      <c r="O22" s="93"/>
      <c r="P22" s="93">
        <f t="array" ref="P22">ROUND(IFERROR(INDEX('Detail inputs'!$B$3:$L$304,MATCH($B22&amp;$C22&amp;$E22&amp;$G22&amp;P$5,'Detail inputs'!$B$3:$B$304&amp;'Detail inputs'!$D$3:$D$304&amp;'Detail inputs'!$F$3:$F$304&amp;'Detail inputs'!$G$3:$G$304&amp;'Detail inputs'!$H$3:$H$304,0),MATCH(P$4,'Detail inputs'!$B$3:$L$3,0)),0)*SUM(P19:P21),2)</f>
        <v>0.91</v>
      </c>
      <c r="Q22" s="93">
        <f>IF(AND(O22="",P22=""),"",O22+P22*$F22/1000)</f>
        <v>1.2194</v>
      </c>
      <c r="R22" s="44">
        <f>IFERROR(Q22/Q23,"")</f>
        <v>5.2845528455284549E-2</v>
      </c>
      <c r="S22" s="142"/>
      <c r="T22" s="142"/>
    </row>
    <row r="23" spans="1:22" s="21" customFormat="1" x14ac:dyDescent="0.25">
      <c r="A23" s="3"/>
      <c r="B23" s="3" t="str">
        <f t="shared" si="4"/>
        <v>Ausgrid</v>
      </c>
      <c r="C23" s="3" t="str">
        <f t="shared" si="5"/>
        <v>Residential</v>
      </c>
      <c r="D23" s="3" t="str">
        <f t="shared" si="6"/>
        <v>with CL</v>
      </c>
      <c r="E23" s="3" t="s">
        <v>15</v>
      </c>
      <c r="F23" s="41">
        <f t="array" ref="F23">IFERROR(INDEX(Usage!$B$5:$T$18,MATCH($B23,Usage!$B$5:$B$18,0),MATCH($C23&amp;$D23&amp;$E23,Usage!$B$5:$W$5&amp;Usage!$B$6:$W$6&amp;Usage!$B$7:$W$7,0)),0)</f>
        <v>1340</v>
      </c>
      <c r="G23" s="3" t="s">
        <v>58</v>
      </c>
      <c r="H23" s="99"/>
      <c r="I23" s="99">
        <f t="array" ref="I23">INDEX('Key inputs'!$B$15:$G$33,MATCH($B23&amp;$E23,'Key inputs'!$B$15:$B$33&amp;'Key inputs'!$C$15:$C$33,0),MATCH($A$2&amp;I$4,'Key inputs'!$B$16:$G$16&amp;'Key inputs'!$B$17:$G$17,0))</f>
        <v>19.420000000000002</v>
      </c>
      <c r="J23" s="93">
        <f t="shared" ref="J23" si="8">IF(AND(H23="",I23=""),"",H23+I23*$F23/1000)</f>
        <v>26.022800000000004</v>
      </c>
      <c r="K23" s="91"/>
      <c r="L23" s="92"/>
      <c r="M23" s="83">
        <f t="shared" si="7"/>
        <v>-0.11328527291452106</v>
      </c>
      <c r="N23" s="92"/>
      <c r="O23" s="99"/>
      <c r="P23" s="99">
        <f t="array" ref="P23">INDEX('Key inputs'!$B$15:$G$33,MATCH($B23&amp;$E23,'Key inputs'!$B$15:$B$33&amp;'Key inputs'!$C$15:$C$33,0),MATCH($A$2&amp;P$4,'Key inputs'!$B$16:$G$16&amp;'Key inputs'!$B$17:$G$17,0))</f>
        <v>17.220000000000002</v>
      </c>
      <c r="Q23" s="93">
        <f t="shared" ref="Q23" si="9">IF(AND(O23="",P23=""),"",O23+P23*$F23/1000)</f>
        <v>23.074800000000003</v>
      </c>
      <c r="R23" s="91"/>
      <c r="S23" s="142" t="b">
        <f>ROUND(I23,$W$5)=ROUND(SUM(I19:I22),$W$5)</f>
        <v>1</v>
      </c>
      <c r="T23" s="142" t="b">
        <f>ROUND(P23,$W$5)=ROUND(SUM(P19:P22),$W$5)</f>
        <v>1</v>
      </c>
      <c r="U23" s="99"/>
      <c r="V23" s="99"/>
    </row>
    <row r="24" spans="1:22" s="21" customFormat="1" x14ac:dyDescent="0.25">
      <c r="A24" s="3"/>
      <c r="B24" s="3" t="str">
        <f t="shared" si="4"/>
        <v>Ausgrid</v>
      </c>
      <c r="C24" s="3" t="str">
        <f t="shared" si="5"/>
        <v>Residential</v>
      </c>
      <c r="D24" s="3" t="str">
        <f t="shared" si="6"/>
        <v>with CL</v>
      </c>
      <c r="E24" s="3" t="s">
        <v>16</v>
      </c>
      <c r="F24" s="41">
        <f t="array" ref="F24">IFERROR(INDEX(Usage!$B$5:$T$18,MATCH($B24,Usage!$B$5:$B$18,0),MATCH($C24&amp;$D24&amp;$E24,Usage!$B$5:$W$5&amp;Usage!$B$6:$W$6&amp;Usage!$B$7:$W$7,0)),0)</f>
        <v>660</v>
      </c>
      <c r="G24" s="3" t="s">
        <v>82</v>
      </c>
      <c r="H24" s="93"/>
      <c r="I24" s="93">
        <f t="array" ref="I24">IFERROR(INDEX('Detail inputs'!$B$3:$L$304,MATCH($B24&amp;$G24&amp;I$5,'Detail inputs'!$B$3:$B$304&amp;'Detail inputs'!$G$3:$G$304&amp;'Detail inputs'!$H$3:$H$304,0),MATCH(I$4,'Detail inputs'!$B$3:$L$3,0)),0)</f>
        <v>9.3800000000000008</v>
      </c>
      <c r="J24" s="93">
        <f>IF(AND(H24="",I24=""),"",H24+I24*$F24/1000)</f>
        <v>6.1908000000000003</v>
      </c>
      <c r="K24" s="44">
        <f>IFERROR(J24/J28,"")</f>
        <v>0.4830072090628218</v>
      </c>
      <c r="L24" s="44"/>
      <c r="M24" s="49">
        <f t="shared" si="7"/>
        <v>-0.51385927505330498</v>
      </c>
      <c r="N24" s="44"/>
      <c r="O24" s="93"/>
      <c r="P24" s="93">
        <f t="array" ref="P24">IFERROR(INDEX('Detail inputs'!$B$3:$L$304,MATCH($B24&amp;$G24&amp;P$5,'Detail inputs'!$B$3:$B$304&amp;'Detail inputs'!$G$3:$G$304&amp;'Detail inputs'!$H$3:$H$304,0),MATCH(P$4,'Detail inputs'!$B$3:$L$3,0)),0)</f>
        <v>4.5599999999999996</v>
      </c>
      <c r="Q24" s="93">
        <f>IF(AND(O24="",P24=""),"",O24+P24*$F24/1000)</f>
        <v>3.0095999999999998</v>
      </c>
      <c r="R24" s="44">
        <f>IFERROR(Q24/Q28,"")</f>
        <v>0.26480836236933791</v>
      </c>
      <c r="S24" s="142"/>
      <c r="T24" s="142"/>
    </row>
    <row r="25" spans="1:22" s="21" customFormat="1" x14ac:dyDescent="0.25">
      <c r="A25" s="3"/>
      <c r="B25" s="3" t="str">
        <f t="shared" si="4"/>
        <v>Ausgrid</v>
      </c>
      <c r="C25" s="3" t="str">
        <f t="shared" si="5"/>
        <v>Residential</v>
      </c>
      <c r="D25" s="3" t="str">
        <f t="shared" si="6"/>
        <v>with CL</v>
      </c>
      <c r="E25" s="3" t="s">
        <v>16</v>
      </c>
      <c r="F25" s="41">
        <f t="array" ref="F25">IFERROR(INDEX(Usage!$B$5:$T$18,MATCH($B25,Usage!$B$5:$B$18,0),MATCH($C25&amp;$D25&amp;$E25,Usage!$B$5:$W$5&amp;Usage!$B$6:$W$6&amp;Usage!$B$7:$W$7,0)),0)</f>
        <v>660</v>
      </c>
      <c r="G25" s="3" t="s">
        <v>83</v>
      </c>
      <c r="H25" s="99"/>
      <c r="I25" s="99">
        <f t="array" ref="I25">IFERROR(INDEX('Detail inputs'!$B$3:$L$304,MATCH($B25&amp;$G25&amp;I$5,'Detail inputs'!$B$3:$B$304&amp;'Detail inputs'!$G$3:$G$304&amp;'Detail inputs'!$H$3:$H$304,0),MATCH(I$4,'Detail inputs'!$B$3:$L$3,0)),0)</f>
        <v>7.26</v>
      </c>
      <c r="J25" s="99">
        <f>IF(AND(H25="",I25=""),"",H25+I25*$F25/1000)</f>
        <v>4.7915999999999999</v>
      </c>
      <c r="K25" s="91">
        <f>IFERROR(J25/J28,"")</f>
        <v>0.37384140061791959</v>
      </c>
      <c r="L25" s="91"/>
      <c r="M25" s="83">
        <f t="shared" si="7"/>
        <v>0.33884297520661177</v>
      </c>
      <c r="N25" s="91"/>
      <c r="O25" s="99"/>
      <c r="P25" s="99">
        <f t="array" ref="P25">IFERROR(INDEX('Detail inputs'!$B$3:$L$304,MATCH($B25&amp;$G25&amp;P$5,'Detail inputs'!$B$3:$B$304&amp;'Detail inputs'!$G$3:$G$304&amp;'Detail inputs'!$H$3:$H$304,0),MATCH(P$4,'Detail inputs'!$B$3:$L$3,0)),0)</f>
        <v>9.7200000000000006</v>
      </c>
      <c r="Q25" s="99">
        <f>IF(AND(O25="",P25=""),"",O25+P25*$F25/1000)</f>
        <v>6.4152000000000005</v>
      </c>
      <c r="R25" s="91">
        <f>IFERROR(Q25/Q28,"")</f>
        <v>0.56445993031358876</v>
      </c>
      <c r="S25" s="142"/>
      <c r="T25" s="142"/>
    </row>
    <row r="26" spans="1:22" s="21" customFormat="1" x14ac:dyDescent="0.25">
      <c r="A26" s="3"/>
      <c r="B26" s="3" t="str">
        <f t="shared" si="4"/>
        <v>Ausgrid</v>
      </c>
      <c r="C26" s="3" t="str">
        <f t="shared" si="5"/>
        <v>Residential</v>
      </c>
      <c r="D26" s="3" t="str">
        <f t="shared" si="6"/>
        <v>with CL</v>
      </c>
      <c r="E26" s="3" t="s">
        <v>16</v>
      </c>
      <c r="F26" s="41">
        <f t="array" ref="F26">IFERROR(INDEX(Usage!$B$5:$T$18,MATCH($B26,Usage!$B$5:$B$18,0),MATCH($C26&amp;$D26&amp;$E26,Usage!$B$5:$W$5&amp;Usage!$B$6:$W$6&amp;Usage!$B$7:$W$7,0)),0)</f>
        <v>660</v>
      </c>
      <c r="G26" s="3" t="s">
        <v>84</v>
      </c>
      <c r="H26" s="99"/>
      <c r="I26" s="99">
        <f t="array" ref="I26">IFERROR(INDEX('Detail inputs'!$B$3:$L$304,MATCH($B26&amp;$G26&amp;I$5,'Detail inputs'!$B$3:$B$304&amp;'Detail inputs'!$G$3:$G$304&amp;'Detail inputs'!$H$3:$H$304,0),MATCH(I$4,'Detail inputs'!$B$3:$L$3,0)),0)</f>
        <v>1.8</v>
      </c>
      <c r="J26" s="99">
        <f>IF(AND(H26="",I26=""),"",H26+I26*$F26/1000)</f>
        <v>1.1879999999999999</v>
      </c>
      <c r="K26" s="91">
        <f>IFERROR(J26/J28,"")</f>
        <v>9.2687950566426355E-2</v>
      </c>
      <c r="L26" s="91"/>
      <c r="M26" s="83">
        <f t="shared" si="7"/>
        <v>0.12777777777777777</v>
      </c>
      <c r="N26" s="91"/>
      <c r="O26" s="99"/>
      <c r="P26" s="99">
        <f t="array" ref="P26">IFERROR(INDEX('Detail inputs'!$B$3:$L$304,MATCH($B26&amp;$G26&amp;P$5,'Detail inputs'!$B$3:$B$304&amp;'Detail inputs'!$G$3:$G$304&amp;'Detail inputs'!$H$3:$H$304,0),MATCH(P$4,'Detail inputs'!$B$3:$L$3,0)),0)</f>
        <v>2.0299999999999998</v>
      </c>
      <c r="Q26" s="99">
        <f>IF(AND(O26="",P26=""),"",O26+P26*$F26/1000)</f>
        <v>1.3397999999999999</v>
      </c>
      <c r="R26" s="91">
        <f>IFERROR(Q26/Q28,"")</f>
        <v>0.11788617886178859</v>
      </c>
      <c r="S26" s="142"/>
      <c r="T26" s="142"/>
    </row>
    <row r="27" spans="1:22" s="21" customFormat="1" x14ac:dyDescent="0.25">
      <c r="A27" s="3"/>
      <c r="B27" s="3" t="str">
        <f t="shared" si="4"/>
        <v>Ausgrid</v>
      </c>
      <c r="C27" s="3" t="str">
        <f t="shared" si="5"/>
        <v>Residential</v>
      </c>
      <c r="D27" s="3" t="str">
        <f t="shared" si="6"/>
        <v>with CL</v>
      </c>
      <c r="E27" s="3" t="s">
        <v>16</v>
      </c>
      <c r="F27" s="41">
        <f t="array" ref="F27">IFERROR(INDEX(Usage!$B$5:$T$18,MATCH($B27,Usage!$B$5:$B$18,0),MATCH($C27&amp;$D27&amp;$E27,Usage!$B$5:$W$5&amp;Usage!$B$6:$W$6&amp;Usage!$B$7:$W$7,0)),0)</f>
        <v>660</v>
      </c>
      <c r="G27" s="3" t="s">
        <v>81</v>
      </c>
      <c r="H27" s="99"/>
      <c r="I27" s="93">
        <f t="array" ref="I27">ROUND(IFERROR(INDEX('Detail inputs'!$B$3:$L$304,MATCH($B27&amp;$C27&amp;$E27&amp;$G27&amp;I$5,'Detail inputs'!$B$3:$B$304&amp;'Detail inputs'!$D$3:$D$304&amp;'Detail inputs'!$F$3:$F$304&amp;'Detail inputs'!$G$3:$G$304&amp;'Detail inputs'!$H$3:$H$304,0),MATCH(I$4,'Detail inputs'!$B$3:$L$3,0)),0)*SUM(I24:I26),2)</f>
        <v>0.98</v>
      </c>
      <c r="J27" s="99">
        <f>IF(AND(H27="",I27=""),"",H27+I27*$F27/1000)</f>
        <v>0.64679999999999993</v>
      </c>
      <c r="K27" s="91">
        <f>IFERROR(J27/J28,"")</f>
        <v>5.0463439752832122E-2</v>
      </c>
      <c r="L27" s="91"/>
      <c r="M27" s="83">
        <f t="shared" si="7"/>
        <v>-7.1428571428571286E-2</v>
      </c>
      <c r="N27" s="91"/>
      <c r="O27" s="99"/>
      <c r="P27" s="93">
        <f t="array" ref="P27">ROUND(IFERROR(INDEX('Detail inputs'!$B$3:$L$304,MATCH($B27&amp;$C27&amp;$E27&amp;$G27&amp;P$5,'Detail inputs'!$B$3:$B$304&amp;'Detail inputs'!$D$3:$D$304&amp;'Detail inputs'!$F$3:$F$304&amp;'Detail inputs'!$G$3:$G$304&amp;'Detail inputs'!$H$3:$H$304,0),MATCH(P$4,'Detail inputs'!$B$3:$L$3,0)),0)*SUM(P24:P26),2)</f>
        <v>0.91</v>
      </c>
      <c r="Q27" s="99">
        <f>IF(AND(O27="",P27=""),"",O27+P27*$F27/1000)</f>
        <v>0.60060000000000002</v>
      </c>
      <c r="R27" s="91">
        <f>IFERROR(Q27/Q28,"")</f>
        <v>5.2845528455284549E-2</v>
      </c>
      <c r="S27" s="142"/>
      <c r="T27" s="142"/>
    </row>
    <row r="28" spans="1:22" s="21" customFormat="1" x14ac:dyDescent="0.25">
      <c r="A28" s="3"/>
      <c r="B28" s="3" t="str">
        <f t="shared" si="4"/>
        <v>Ausgrid</v>
      </c>
      <c r="C28" s="3" t="str">
        <f t="shared" si="5"/>
        <v>Residential</v>
      </c>
      <c r="D28" s="3" t="str">
        <f t="shared" si="6"/>
        <v>with CL</v>
      </c>
      <c r="E28" s="3" t="s">
        <v>16</v>
      </c>
      <c r="F28" s="41">
        <f t="array" ref="F28">IFERROR(INDEX(Usage!$B$5:$T$18,MATCH($B28,Usage!$B$5:$B$18,0),MATCH($C28&amp;$D28&amp;$E28,Usage!$B$5:$W$5&amp;Usage!$B$6:$W$6&amp;Usage!$B$7:$W$7,0)),0)</f>
        <v>660</v>
      </c>
      <c r="G28" s="3" t="s">
        <v>58</v>
      </c>
      <c r="H28" s="99"/>
      <c r="I28" s="99">
        <f t="array" ref="I28">INDEX('Key inputs'!$B$15:$G$33,MATCH($B28&amp;$E28,'Key inputs'!$B$15:$B$33&amp;'Key inputs'!$C$15:$C$33,0),MATCH($A$2&amp;I$4,'Key inputs'!$B$16:$G$16&amp;'Key inputs'!$B$17:$G$17,0))</f>
        <v>19.420000000000002</v>
      </c>
      <c r="J28" s="93">
        <f t="shared" ref="J28" si="10">IF(AND(H28="",I28=""),"",H28+I28*$F28/1000)</f>
        <v>12.817200000000001</v>
      </c>
      <c r="K28" s="91"/>
      <c r="L28" s="92"/>
      <c r="M28" s="83">
        <f t="shared" si="7"/>
        <v>-0.11328527291452106</v>
      </c>
      <c r="N28" s="92"/>
      <c r="O28" s="99"/>
      <c r="P28" s="99">
        <f t="array" ref="P28">INDEX('Key inputs'!$B$15:$G$33,MATCH($B28&amp;$E28,'Key inputs'!$B$15:$B$33&amp;'Key inputs'!$C$15:$C$33,0),MATCH($A$2&amp;P$4,'Key inputs'!$B$16:$G$16&amp;'Key inputs'!$B$17:$G$17,0))</f>
        <v>17.220000000000002</v>
      </c>
      <c r="Q28" s="93">
        <f t="shared" ref="Q28" si="11">IF(AND(O28="",P28=""),"",O28+P28*$F28/1000)</f>
        <v>11.365200000000002</v>
      </c>
      <c r="R28" s="91"/>
      <c r="S28" s="142" t="b">
        <f>ROUND(I28,$W$5)=ROUND(SUM(I24:I27),$W$5)</f>
        <v>1</v>
      </c>
      <c r="T28" s="142" t="b">
        <f>ROUND(P28,$W$5)=ROUND(SUM(P24:P27),$W$5)</f>
        <v>1</v>
      </c>
      <c r="U28" s="99"/>
      <c r="V28" s="99"/>
    </row>
    <row r="29" spans="1:22" s="92" customFormat="1" x14ac:dyDescent="0.3">
      <c r="A29" s="81"/>
      <c r="B29" s="81" t="str">
        <f t="shared" si="4"/>
        <v>Ausgrid</v>
      </c>
      <c r="C29" s="81" t="str">
        <f t="shared" si="5"/>
        <v>Residential</v>
      </c>
      <c r="D29" s="81" t="str">
        <f t="shared" si="6"/>
        <v>with CL</v>
      </c>
      <c r="E29" s="81" t="s">
        <v>58</v>
      </c>
      <c r="F29" s="41">
        <f t="array" ref="F29">IFERROR(INDEX(Usage!$B$5:$T$18,MATCH($B29,Usage!$B$5:$B$18,0),MATCH($C29&amp;$D29&amp;$E29,Usage!$B$5:$W$5&amp;Usage!$B$6:$W$6&amp;Usage!$B$7:$W$7,0)),0)</f>
        <v>6800</v>
      </c>
      <c r="G29" s="81" t="s">
        <v>58</v>
      </c>
      <c r="H29" s="99"/>
      <c r="I29" s="99">
        <f>I18+I23+I28</f>
        <v>58.180000000000007</v>
      </c>
      <c r="J29" s="99">
        <f>J18+J23+J28</f>
        <v>131.672</v>
      </c>
      <c r="K29" s="91"/>
      <c r="M29" s="83">
        <f t="shared" si="7"/>
        <v>-0.11252202442432702</v>
      </c>
      <c r="O29" s="99"/>
      <c r="P29" s="99">
        <f>P18+P23+P28</f>
        <v>51.61</v>
      </c>
      <c r="Q29" s="99">
        <f>Q18+Q23+Q28</f>
        <v>116.85600000000001</v>
      </c>
      <c r="R29" s="91"/>
    </row>
    <row r="30" spans="1:22" s="21" customFormat="1" x14ac:dyDescent="0.3">
      <c r="A30" s="3"/>
      <c r="B30" s="3" t="str">
        <f t="shared" ref="B30:D31" si="12">B29</f>
        <v>Ausgrid</v>
      </c>
      <c r="C30" s="3" t="str">
        <f t="shared" si="12"/>
        <v>Residential</v>
      </c>
      <c r="D30" s="3" t="str">
        <f t="shared" si="12"/>
        <v>with CL</v>
      </c>
      <c r="E30" s="3"/>
      <c r="F30" s="41"/>
      <c r="G30" s="81" t="s">
        <v>41</v>
      </c>
      <c r="H30" s="99"/>
      <c r="I30" s="99"/>
      <c r="J30" s="99">
        <f>J29*GST</f>
        <v>13.167200000000001</v>
      </c>
      <c r="K30" s="91"/>
      <c r="L30" s="92"/>
      <c r="M30" s="83"/>
      <c r="N30" s="92"/>
      <c r="O30" s="99"/>
      <c r="P30" s="99"/>
      <c r="Q30" s="99">
        <f>Q29*GST</f>
        <v>11.685600000000001</v>
      </c>
      <c r="R30" s="79"/>
    </row>
    <row r="31" spans="1:22" s="21" customFormat="1" x14ac:dyDescent="0.3">
      <c r="A31" s="3"/>
      <c r="B31" s="3" t="str">
        <f t="shared" si="12"/>
        <v>Ausgrid</v>
      </c>
      <c r="C31" s="3" t="str">
        <f t="shared" si="12"/>
        <v>Residential</v>
      </c>
      <c r="D31" s="3" t="str">
        <f t="shared" si="12"/>
        <v>with CL</v>
      </c>
      <c r="E31" s="3"/>
      <c r="F31" s="41"/>
      <c r="G31" s="5" t="s">
        <v>91</v>
      </c>
      <c r="H31" s="98"/>
      <c r="I31" s="98"/>
      <c r="J31" s="98">
        <f>SUM(J29:J30)</f>
        <v>144.83920000000001</v>
      </c>
      <c r="K31" s="79"/>
      <c r="L31" s="27"/>
      <c r="M31" s="80">
        <f>IF(OR(J31=0,Q31=""),"",Q31/J31-1)</f>
        <v>-0.11252202442432702</v>
      </c>
      <c r="N31" s="27"/>
      <c r="O31" s="98"/>
      <c r="P31" s="98"/>
      <c r="Q31" s="98">
        <f>SUM(Q29:Q30)</f>
        <v>128.54160000000002</v>
      </c>
      <c r="R31" s="79"/>
    </row>
    <row r="32" spans="1:22" s="21" customFormat="1" x14ac:dyDescent="0.3">
      <c r="A32" s="3"/>
      <c r="B32" s="3"/>
      <c r="C32" s="3"/>
      <c r="D32" s="3"/>
      <c r="E32" s="3"/>
      <c r="F32" s="41"/>
      <c r="G32" s="3"/>
      <c r="H32" s="93"/>
      <c r="I32" s="93"/>
      <c r="J32" s="93"/>
      <c r="K32" s="44"/>
      <c r="M32" s="49"/>
      <c r="O32" s="93"/>
      <c r="P32" s="93"/>
      <c r="Q32" s="93"/>
      <c r="R32" s="44"/>
    </row>
    <row r="33" spans="1:22" s="21" customFormat="1" x14ac:dyDescent="0.3">
      <c r="A33" s="3"/>
      <c r="B33" s="5" t="s">
        <v>2</v>
      </c>
      <c r="C33" s="5" t="s">
        <v>14</v>
      </c>
      <c r="D33" s="5" t="s">
        <v>158</v>
      </c>
      <c r="E33" s="3"/>
      <c r="F33" s="41"/>
      <c r="G33" s="3"/>
      <c r="H33" s="93"/>
      <c r="I33" s="93"/>
      <c r="J33" s="93"/>
      <c r="K33" s="44"/>
      <c r="M33" s="49"/>
      <c r="O33" s="93"/>
      <c r="P33" s="93"/>
      <c r="Q33" s="93"/>
      <c r="R33" s="44"/>
    </row>
    <row r="34" spans="1:22" s="21" customFormat="1" x14ac:dyDescent="0.3">
      <c r="A34" s="3"/>
      <c r="B34" s="3" t="str">
        <f t="shared" ref="B34:D40" si="13">B33</f>
        <v>Ausgrid</v>
      </c>
      <c r="C34" s="3" t="str">
        <f t="shared" si="13"/>
        <v>Small business</v>
      </c>
      <c r="D34" s="3" t="str">
        <f t="shared" si="13"/>
        <v>without CL</v>
      </c>
      <c r="E34" s="3" t="s">
        <v>24</v>
      </c>
      <c r="F34" s="41">
        <f t="array" ref="F34">IFERROR(INDEX(Usage!$B$5:$T$18,MATCH($B34,Usage!$B$5:$B$18,0),MATCH($C34&amp;$D34&amp;$E34,Usage!$B$5:$W$5&amp;Usage!$B$6:$W$6&amp;Usage!$B$7:$W$7,0)),0)</f>
        <v>20000</v>
      </c>
      <c r="G34" s="3" t="s">
        <v>82</v>
      </c>
      <c r="H34" s="93"/>
      <c r="I34" s="93">
        <f t="array" ref="I34">IFERROR(INDEX('Detail inputs'!$B$3:$L$304,MATCH($B34&amp;$G34&amp;I$5,'Detail inputs'!$B$3:$B$304&amp;'Detail inputs'!$G$3:$G$304&amp;'Detail inputs'!$H$3:$H$304,0),MATCH(I$4,'Detail inputs'!$B$3:$L$3,0)),0)</f>
        <v>9.3800000000000008</v>
      </c>
      <c r="J34" s="93">
        <f>IF(AND(H34="",I34=""),"",H34+I34*$F34/1000)</f>
        <v>187.60000000000002</v>
      </c>
      <c r="K34" s="44">
        <f>IFERROR(J34/J38,"")</f>
        <v>0.485005170630817</v>
      </c>
      <c r="L34" s="44"/>
      <c r="M34" s="49">
        <f>IF(OR(J34=0,Q34=""),"",Q34/J34-1)</f>
        <v>-0.51385927505330509</v>
      </c>
      <c r="N34" s="44"/>
      <c r="O34" s="93"/>
      <c r="P34" s="93">
        <f t="array" ref="P34">IFERROR(INDEX('Detail inputs'!$B$3:$L$304,MATCH($B34&amp;$G34&amp;P$5,'Detail inputs'!$B$3:$B$304&amp;'Detail inputs'!$G$3:$G$304&amp;'Detail inputs'!$H$3:$H$304,0),MATCH(P$4,'Detail inputs'!$B$3:$L$3,0)),0)</f>
        <v>4.5599999999999996</v>
      </c>
      <c r="Q34" s="93">
        <f>IF(AND(O34="",P34=""),"",O34+P34*$F34/1000)</f>
        <v>91.199999999999989</v>
      </c>
      <c r="R34" s="44">
        <f>IFERROR(Q34/Q38,"")</f>
        <v>0.26557949912638318</v>
      </c>
    </row>
    <row r="35" spans="1:22" s="21" customFormat="1" x14ac:dyDescent="0.3">
      <c r="A35" s="3"/>
      <c r="B35" s="3" t="str">
        <f t="shared" si="13"/>
        <v>Ausgrid</v>
      </c>
      <c r="C35" s="3" t="str">
        <f t="shared" si="13"/>
        <v>Small business</v>
      </c>
      <c r="D35" s="3" t="str">
        <f t="shared" si="13"/>
        <v>without CL</v>
      </c>
      <c r="E35" s="3" t="s">
        <v>24</v>
      </c>
      <c r="F35" s="41">
        <f t="array" ref="F35">IFERROR(INDEX(Usage!$B$5:$T$18,MATCH($B35,Usage!$B$5:$B$18,0),MATCH($C35&amp;$D35&amp;$E35,Usage!$B$5:$W$5&amp;Usage!$B$6:$W$6&amp;Usage!$B$7:$W$7,0)),0)</f>
        <v>20000</v>
      </c>
      <c r="G35" s="3" t="s">
        <v>83</v>
      </c>
      <c r="H35" s="93"/>
      <c r="I35" s="93">
        <f t="array" ref="I35">IFERROR(INDEX('Detail inputs'!$B$3:$L$304,MATCH($B35&amp;$G35&amp;I$5,'Detail inputs'!$B$3:$B$304&amp;'Detail inputs'!$G$3:$G$304&amp;'Detail inputs'!$H$3:$H$304,0),MATCH(I$4,'Detail inputs'!$B$3:$L$3,0)),0)</f>
        <v>7.26</v>
      </c>
      <c r="J35" s="93">
        <f>IF(AND(H35="",I35=""),"",H35+I35*$F35/1000)</f>
        <v>145.19999999999999</v>
      </c>
      <c r="K35" s="44">
        <f>IFERROR(J35/J38,"")</f>
        <v>0.37538779731127192</v>
      </c>
      <c r="L35" s="44"/>
      <c r="M35" s="49">
        <f>IF(OR(J35=0,Q35=""),"",Q35/J35-1)</f>
        <v>0.33884297520661177</v>
      </c>
      <c r="N35" s="44"/>
      <c r="O35" s="93"/>
      <c r="P35" s="93">
        <f t="array" ref="P35">IFERROR(INDEX('Detail inputs'!$B$3:$L$304,MATCH($B35&amp;$G35&amp;P$5,'Detail inputs'!$B$3:$B$304&amp;'Detail inputs'!$G$3:$G$304&amp;'Detail inputs'!$H$3:$H$304,0),MATCH(P$4,'Detail inputs'!$B$3:$L$3,0)),0)</f>
        <v>9.7200000000000006</v>
      </c>
      <c r="Q35" s="93">
        <f>IF(AND(O35="",P35=""),"",O35+P35*$F35/1000)</f>
        <v>194.4</v>
      </c>
      <c r="R35" s="44">
        <f>IFERROR(Q35/Q38,"")</f>
        <v>0.56610366919044841</v>
      </c>
    </row>
    <row r="36" spans="1:22" s="21" customFormat="1" x14ac:dyDescent="0.3">
      <c r="A36" s="3"/>
      <c r="B36" s="3" t="str">
        <f t="shared" si="13"/>
        <v>Ausgrid</v>
      </c>
      <c r="C36" s="3" t="str">
        <f t="shared" si="13"/>
        <v>Small business</v>
      </c>
      <c r="D36" s="3" t="str">
        <f t="shared" si="13"/>
        <v>without CL</v>
      </c>
      <c r="E36" s="3" t="s">
        <v>24</v>
      </c>
      <c r="F36" s="41">
        <f t="array" ref="F36">IFERROR(INDEX(Usage!$B$5:$T$18,MATCH($B36,Usage!$B$5:$B$18,0),MATCH($C36&amp;$D36&amp;$E36,Usage!$B$5:$W$5&amp;Usage!$B$6:$W$6&amp;Usage!$B$7:$W$7,0)),0)</f>
        <v>20000</v>
      </c>
      <c r="G36" s="3" t="s">
        <v>84</v>
      </c>
      <c r="H36" s="93"/>
      <c r="I36" s="93">
        <f t="array" ref="I36">IFERROR(INDEX('Detail inputs'!$B$3:$L$304,MATCH($B36&amp;$G36&amp;I$5,'Detail inputs'!$B$3:$B$304&amp;'Detail inputs'!$G$3:$G$304&amp;'Detail inputs'!$H$3:$H$304,0),MATCH(I$4,'Detail inputs'!$B$3:$L$3,0)),0)</f>
        <v>1.8</v>
      </c>
      <c r="J36" s="93">
        <f>IF(AND(H36="",I36=""),"",H36+I36*$F36/1000)</f>
        <v>36</v>
      </c>
      <c r="K36" s="44">
        <f>IFERROR(J36/J38,"")</f>
        <v>9.3071354705274043E-2</v>
      </c>
      <c r="L36" s="44"/>
      <c r="M36" s="49">
        <f>IF(OR(J36=0,Q36=""),"",Q36/J36-1)</f>
        <v>0.12777777777777755</v>
      </c>
      <c r="N36" s="44"/>
      <c r="O36" s="93"/>
      <c r="P36" s="93">
        <f t="array" ref="P36">IFERROR(INDEX('Detail inputs'!$B$3:$L$304,MATCH($B36&amp;$G36&amp;P$5,'Detail inputs'!$B$3:$B$304&amp;'Detail inputs'!$G$3:$G$304&amp;'Detail inputs'!$H$3:$H$304,0),MATCH(P$4,'Detail inputs'!$B$3:$L$3,0)),0)</f>
        <v>2.0299999999999998</v>
      </c>
      <c r="Q36" s="93">
        <f>IF(AND(O36="",P36=""),"",O36+P36*$F36/1000)</f>
        <v>40.599999999999994</v>
      </c>
      <c r="R36" s="44">
        <f>IFERROR(Q36/Q38,"")</f>
        <v>0.11822947000582408</v>
      </c>
    </row>
    <row r="37" spans="1:22" s="21" customFormat="1" x14ac:dyDescent="0.3">
      <c r="A37" s="3"/>
      <c r="B37" s="3" t="str">
        <f t="shared" si="13"/>
        <v>Ausgrid</v>
      </c>
      <c r="C37" s="3" t="str">
        <f t="shared" si="13"/>
        <v>Small business</v>
      </c>
      <c r="D37" s="3" t="str">
        <f t="shared" si="13"/>
        <v>without CL</v>
      </c>
      <c r="E37" s="3" t="s">
        <v>24</v>
      </c>
      <c r="F37" s="41">
        <f t="array" ref="F37">IFERROR(INDEX(Usage!$B$5:$T$18,MATCH($B37,Usage!$B$5:$B$18,0),MATCH($C37&amp;$D37&amp;$E37,Usage!$B$5:$W$5&amp;Usage!$B$6:$W$6&amp;Usage!$B$7:$W$7,0)),0)</f>
        <v>20000</v>
      </c>
      <c r="G37" s="3" t="s">
        <v>81</v>
      </c>
      <c r="H37" s="93"/>
      <c r="I37" s="93">
        <f t="array" ref="I37">ROUND(IFERROR(INDEX('Detail inputs'!$B$3:$L$304,MATCH($B37&amp;$C37&amp;$E37&amp;$G37&amp;I$5,'Detail inputs'!$B$3:$B$304&amp;'Detail inputs'!$D$3:$D$304&amp;'Detail inputs'!$F$3:$F$304&amp;'Detail inputs'!$G$3:$G$304&amp;'Detail inputs'!$H$3:$H$304,0),MATCH(I$4,'Detail inputs'!$B$3:$L$3,0)),0)*SUM(I34:I36),2)</f>
        <v>0.9</v>
      </c>
      <c r="J37" s="93">
        <f>IF(AND(H37="",I37=""),"",H37+I37*$F37/1000)</f>
        <v>18</v>
      </c>
      <c r="K37" s="44">
        <f>IFERROR(J37/J38,"")</f>
        <v>4.6535677352637021E-2</v>
      </c>
      <c r="L37" s="44"/>
      <c r="M37" s="49">
        <f>IF(OR(J37=0,Q37=""),"",Q37/J37-1)</f>
        <v>-4.4444444444444509E-2</v>
      </c>
      <c r="N37" s="44"/>
      <c r="O37" s="93"/>
      <c r="P37" s="93">
        <f t="array" ref="P37">ROUND(IFERROR(INDEX('Detail inputs'!$B$3:$L$304,MATCH($B37&amp;$C37&amp;$E37&amp;$G37&amp;P$5,'Detail inputs'!$B$3:$B$304&amp;'Detail inputs'!$D$3:$D$304&amp;'Detail inputs'!$F$3:$F$304&amp;'Detail inputs'!$G$3:$G$304&amp;'Detail inputs'!$H$3:$H$304,0),MATCH(P$4,'Detail inputs'!$B$3:$L$3,0)),0)*SUM(P34:P36),2)</f>
        <v>0.86</v>
      </c>
      <c r="Q37" s="93">
        <f>IF(AND(O37="",P37=""),"",O37+P37*$F37/1000)</f>
        <v>17.2</v>
      </c>
      <c r="R37" s="44">
        <f>IFERROR(Q37/Q38,"")</f>
        <v>5.0087361677344198E-2</v>
      </c>
    </row>
    <row r="38" spans="1:22" s="92" customFormat="1" x14ac:dyDescent="0.25">
      <c r="A38" s="81"/>
      <c r="B38" s="81" t="str">
        <f t="shared" si="13"/>
        <v>Ausgrid</v>
      </c>
      <c r="C38" s="81" t="str">
        <f t="shared" si="13"/>
        <v>Small business</v>
      </c>
      <c r="D38" s="81" t="str">
        <f t="shared" si="13"/>
        <v>without CL</v>
      </c>
      <c r="E38" s="3" t="s">
        <v>24</v>
      </c>
      <c r="F38" s="41">
        <f t="array" ref="F38">IFERROR(INDEX(Usage!$B$5:$T$18,MATCH($B38,Usage!$B$5:$B$18,0),MATCH($C38&amp;$D38&amp;$E38,Usage!$B$5:$W$5&amp;Usage!$B$6:$W$6&amp;Usage!$B$7:$W$7,0)),0)</f>
        <v>20000</v>
      </c>
      <c r="G38" s="81" t="s">
        <v>58</v>
      </c>
      <c r="H38" s="99"/>
      <c r="I38" s="99">
        <f t="array" ref="I38">INDEX('Key inputs'!$B$15:$G$33,MATCH($B38&amp;$E38,'Key inputs'!$B$15:$B$33&amp;'Key inputs'!$C$15:$C$33,0),MATCH($A$2&amp;I$4,'Key inputs'!$B$16:$G$16&amp;'Key inputs'!$B$17:$G$17,0))</f>
        <v>19.34</v>
      </c>
      <c r="J38" s="93">
        <f t="shared" ref="J38" si="14">IF(AND(H38="",I38=""),"",H38+I38*$F38/1000)</f>
        <v>386.8</v>
      </c>
      <c r="K38" s="91"/>
      <c r="M38" s="83">
        <f>IF(OR(J38=0,Q38=""),"",Q38/J38-1)</f>
        <v>-0.11220268872802475</v>
      </c>
      <c r="O38" s="99"/>
      <c r="P38" s="99">
        <f t="array" ref="P38">INDEX('Key inputs'!$B$15:$G$33,MATCH($B38&amp;$E38,'Key inputs'!$B$15:$B$33&amp;'Key inputs'!$C$15:$C$33,0),MATCH($A$2&amp;P$4,'Key inputs'!$B$16:$G$16&amp;'Key inputs'!$B$17:$G$17,0))</f>
        <v>17.170000000000002</v>
      </c>
      <c r="Q38" s="93">
        <f t="shared" ref="Q38" si="15">IF(AND(O38="",P38=""),"",O38+P38*$F38/1000)</f>
        <v>343.40000000000003</v>
      </c>
      <c r="R38" s="91"/>
      <c r="S38" s="142" t="b">
        <f>ROUND(I38,$W$5)=ROUND(SUM(I34:I37),$W$5)</f>
        <v>1</v>
      </c>
      <c r="T38" s="142" t="b">
        <f>ROUND(P38,$W$5)=ROUND(SUM(P34:P37),$W$5)</f>
        <v>1</v>
      </c>
      <c r="U38" s="99"/>
      <c r="V38" s="99"/>
    </row>
    <row r="39" spans="1:22" s="21" customFormat="1" x14ac:dyDescent="0.3">
      <c r="A39" s="3"/>
      <c r="B39" s="3" t="str">
        <f t="shared" si="13"/>
        <v>Ausgrid</v>
      </c>
      <c r="C39" s="3" t="str">
        <f t="shared" si="13"/>
        <v>Small business</v>
      </c>
      <c r="D39" s="3" t="str">
        <f t="shared" si="13"/>
        <v>without CL</v>
      </c>
      <c r="E39" s="3"/>
      <c r="F39" s="41"/>
      <c r="G39" s="81" t="s">
        <v>41</v>
      </c>
      <c r="H39" s="99"/>
      <c r="I39" s="99"/>
      <c r="J39" s="99">
        <f>J38*GST</f>
        <v>38.680000000000007</v>
      </c>
      <c r="K39" s="91"/>
      <c r="L39" s="92"/>
      <c r="M39" s="83"/>
      <c r="N39" s="92"/>
      <c r="O39" s="99"/>
      <c r="P39" s="99"/>
      <c r="Q39" s="99">
        <f>Q38*GST</f>
        <v>34.340000000000003</v>
      </c>
      <c r="R39" s="44"/>
    </row>
    <row r="40" spans="1:22" s="21" customFormat="1" x14ac:dyDescent="0.3">
      <c r="A40" s="3"/>
      <c r="B40" s="3" t="str">
        <f t="shared" si="13"/>
        <v>Ausgrid</v>
      </c>
      <c r="C40" s="3" t="str">
        <f t="shared" si="13"/>
        <v>Small business</v>
      </c>
      <c r="D40" s="3" t="str">
        <f t="shared" si="13"/>
        <v>without CL</v>
      </c>
      <c r="E40" s="3"/>
      <c r="F40" s="41"/>
      <c r="G40" s="5" t="s">
        <v>91</v>
      </c>
      <c r="H40" s="98"/>
      <c r="I40" s="98"/>
      <c r="J40" s="98">
        <f>SUM(J38:J39)</f>
        <v>425.48</v>
      </c>
      <c r="K40" s="79"/>
      <c r="L40" s="27"/>
      <c r="M40" s="80">
        <f>IF(OR(J40=0,Q40=""),"",Q40/J40-1)</f>
        <v>-0.11220268872802486</v>
      </c>
      <c r="N40" s="27"/>
      <c r="O40" s="98"/>
      <c r="P40" s="98"/>
      <c r="Q40" s="98">
        <f>SUM(Q38:Q39)</f>
        <v>377.74</v>
      </c>
      <c r="R40" s="44"/>
    </row>
    <row r="41" spans="1:22" s="21" customFormat="1" x14ac:dyDescent="0.3">
      <c r="A41" s="3"/>
      <c r="B41" s="3"/>
      <c r="C41" s="3"/>
      <c r="D41" s="3"/>
      <c r="E41" s="3"/>
      <c r="F41" s="41"/>
      <c r="G41" s="3"/>
      <c r="H41" s="93"/>
      <c r="I41" s="93"/>
      <c r="J41" s="93"/>
      <c r="K41" s="44"/>
      <c r="M41" s="49"/>
      <c r="O41" s="93"/>
      <c r="P41" s="93"/>
      <c r="Q41" s="93"/>
      <c r="R41" s="44"/>
    </row>
    <row r="42" spans="1:22" s="21" customFormat="1" x14ac:dyDescent="0.3">
      <c r="A42" s="3"/>
      <c r="B42" s="5" t="s">
        <v>4</v>
      </c>
      <c r="C42" s="5" t="s">
        <v>6</v>
      </c>
      <c r="D42" s="5" t="s">
        <v>158</v>
      </c>
      <c r="E42" s="3"/>
      <c r="F42" s="41"/>
      <c r="G42" s="3"/>
      <c r="H42" s="93"/>
      <c r="I42" s="93"/>
      <c r="J42" s="93"/>
      <c r="K42" s="44"/>
      <c r="M42" s="49"/>
      <c r="O42" s="93"/>
      <c r="P42" s="93"/>
      <c r="Q42" s="93"/>
      <c r="R42" s="44"/>
    </row>
    <row r="43" spans="1:22" s="21" customFormat="1" x14ac:dyDescent="0.3">
      <c r="A43" s="3"/>
      <c r="B43" s="3" t="str">
        <f t="shared" ref="B43:D49" si="16">B42</f>
        <v>Endeavour</v>
      </c>
      <c r="C43" s="3" t="str">
        <f t="shared" si="16"/>
        <v>Residential</v>
      </c>
      <c r="D43" s="3" t="str">
        <f t="shared" si="16"/>
        <v>without CL</v>
      </c>
      <c r="E43" s="3" t="s">
        <v>24</v>
      </c>
      <c r="F43" s="41">
        <f t="array" ref="F43">IFERROR(INDEX(Usage!$B$5:$T$18,MATCH($B43,Usage!$B$5:$B$18,0),MATCH($C43&amp;$D43&amp;$E43&amp;"Total",Usage!$B$5:$W$5&amp;Usage!$B$6:$W$6&amp;Usage!$B$7:$W$7&amp;Usage!$B$13:$W$13,0)),0)</f>
        <v>4900</v>
      </c>
      <c r="G43" s="3" t="s">
        <v>82</v>
      </c>
      <c r="H43" s="93"/>
      <c r="I43" s="93">
        <f t="array" ref="I43">IFERROR(INDEX('Detail inputs'!$B$3:$L$304,MATCH($B43&amp;$G43&amp;I$5,'Detail inputs'!$B$3:$B$304&amp;'Detail inputs'!$G$3:$G$304&amp;'Detail inputs'!$H$3:$H$304,0),MATCH(I$4,'Detail inputs'!$B$3:$L$3,0)),0)</f>
        <v>9.3800000000000008</v>
      </c>
      <c r="J43" s="93">
        <f>IF(AND(H43="",I43=""),"",H43+I43*$F43/1000)</f>
        <v>45.96200000000001</v>
      </c>
      <c r="K43" s="44">
        <f>IFERROR(J43/J47,"")</f>
        <v>0.48226221079691522</v>
      </c>
      <c r="L43" s="44"/>
      <c r="M43" s="49">
        <f>IF(OR(J43=0,Q43=""),"",Q43/J43-1)</f>
        <v>-0.51385927505330509</v>
      </c>
      <c r="N43" s="44"/>
      <c r="O43" s="93"/>
      <c r="P43" s="93">
        <f t="array" ref="P43">IFERROR(INDEX('Detail inputs'!$B$3:$L$304,MATCH($B43&amp;$G43&amp;P$5,'Detail inputs'!$B$3:$B$304&amp;'Detail inputs'!$G$3:$G$304&amp;'Detail inputs'!$H$3:$H$304,0),MATCH(P$4,'Detail inputs'!$B$3:$L$3,0)),0)</f>
        <v>4.5599999999999996</v>
      </c>
      <c r="Q43" s="93">
        <f>IF(AND(O43="",P43=""),"",O43+P43*$F43/1000)</f>
        <v>22.343999999999998</v>
      </c>
      <c r="R43" s="44">
        <f>IFERROR(Q43/Q47,"")</f>
        <v>0.26527050610820241</v>
      </c>
    </row>
    <row r="44" spans="1:22" s="21" customFormat="1" x14ac:dyDescent="0.3">
      <c r="A44" s="3"/>
      <c r="B44" s="3" t="str">
        <f t="shared" si="16"/>
        <v>Endeavour</v>
      </c>
      <c r="C44" s="3" t="str">
        <f t="shared" si="16"/>
        <v>Residential</v>
      </c>
      <c r="D44" s="3" t="str">
        <f t="shared" si="16"/>
        <v>without CL</v>
      </c>
      <c r="E44" s="3" t="s">
        <v>24</v>
      </c>
      <c r="F44" s="41">
        <f t="array" ref="F44">IFERROR(INDEX(Usage!$B$5:$T$18,MATCH($B44,Usage!$B$5:$B$18,0),MATCH($C44&amp;$D44&amp;$E44&amp;"Total",Usage!$B$5:$W$5&amp;Usage!$B$6:$W$6&amp;Usage!$B$7:$W$7&amp;Usage!$B$13:$W$13,0)),0)</f>
        <v>4900</v>
      </c>
      <c r="G44" s="3" t="s">
        <v>83</v>
      </c>
      <c r="H44" s="93"/>
      <c r="I44" s="93">
        <f t="array" ref="I44">IFERROR(INDEX('Detail inputs'!$B$3:$L$304,MATCH($B44&amp;$G44&amp;I$5,'Detail inputs'!$B$3:$B$304&amp;'Detail inputs'!$G$3:$G$304&amp;'Detail inputs'!$H$3:$H$304,0),MATCH(I$4,'Detail inputs'!$B$3:$L$3,0)),0)</f>
        <v>7.26</v>
      </c>
      <c r="J44" s="93">
        <f>IF(AND(H44="",I44=""),"",H44+I44*$F44/1000)</f>
        <v>35.573999999999998</v>
      </c>
      <c r="K44" s="44">
        <f>IFERROR(J44/J47,"")</f>
        <v>0.37326478149100251</v>
      </c>
      <c r="L44" s="44"/>
      <c r="M44" s="49">
        <f>IF(OR(J44=0,Q44=""),"",Q44/J44-1)</f>
        <v>0.33884297520661155</v>
      </c>
      <c r="N44" s="44"/>
      <c r="O44" s="93"/>
      <c r="P44" s="93">
        <f t="array" ref="P44">IFERROR(INDEX('Detail inputs'!$B$3:$L$304,MATCH($B44&amp;$G44&amp;P$5,'Detail inputs'!$B$3:$B$304&amp;'Detail inputs'!$G$3:$G$304&amp;'Detail inputs'!$H$3:$H$304,0),MATCH(P$4,'Detail inputs'!$B$3:$L$3,0)),0)</f>
        <v>9.7200000000000006</v>
      </c>
      <c r="Q44" s="93">
        <f>IF(AND(O44="",P44=""),"",O44+P44*$F44/1000)</f>
        <v>47.628</v>
      </c>
      <c r="R44" s="44">
        <f>IFERROR(Q44/Q47,"")</f>
        <v>0.56544502617801051</v>
      </c>
    </row>
    <row r="45" spans="1:22" s="21" customFormat="1" x14ac:dyDescent="0.3">
      <c r="A45" s="3"/>
      <c r="B45" s="3" t="str">
        <f t="shared" si="16"/>
        <v>Endeavour</v>
      </c>
      <c r="C45" s="3" t="str">
        <f t="shared" si="16"/>
        <v>Residential</v>
      </c>
      <c r="D45" s="3" t="str">
        <f t="shared" si="16"/>
        <v>without CL</v>
      </c>
      <c r="E45" s="3" t="s">
        <v>24</v>
      </c>
      <c r="F45" s="41">
        <f t="array" ref="F45">IFERROR(INDEX(Usage!$B$5:$T$18,MATCH($B45,Usage!$B$5:$B$18,0),MATCH($C45&amp;$D45&amp;$E45&amp;"Total",Usage!$B$5:$W$5&amp;Usage!$B$6:$W$6&amp;Usage!$B$7:$W$7&amp;Usage!$B$13:$W$13,0)),0)</f>
        <v>4900</v>
      </c>
      <c r="G45" s="3" t="s">
        <v>84</v>
      </c>
      <c r="H45" s="93"/>
      <c r="I45" s="93">
        <f t="array" ref="I45">IFERROR(INDEX('Detail inputs'!$B$3:$L$304,MATCH($B45&amp;$G45&amp;I$5,'Detail inputs'!$B$3:$B$304&amp;'Detail inputs'!$G$3:$G$304&amp;'Detail inputs'!$H$3:$H$304,0),MATCH(I$4,'Detail inputs'!$B$3:$L$3,0)),0)</f>
        <v>1.8</v>
      </c>
      <c r="J45" s="93">
        <f>IF(AND(H45="",I45=""),"",H45+I45*$F45/1000)</f>
        <v>8.82</v>
      </c>
      <c r="K45" s="44">
        <f>IFERROR(J45/J47,"")</f>
        <v>9.2544987146529561E-2</v>
      </c>
      <c r="L45" s="44"/>
      <c r="M45" s="49">
        <f>IF(OR(J45=0,Q45=""),"",Q45/J45-1)</f>
        <v>0.12777777777777755</v>
      </c>
      <c r="N45" s="44"/>
      <c r="O45" s="93"/>
      <c r="P45" s="93">
        <f t="array" ref="P45">IFERROR(INDEX('Detail inputs'!$B$3:$L$304,MATCH($B45&amp;$G45&amp;P$5,'Detail inputs'!$B$3:$B$304&amp;'Detail inputs'!$G$3:$G$304&amp;'Detail inputs'!$H$3:$H$304,0),MATCH(P$4,'Detail inputs'!$B$3:$L$3,0)),0)</f>
        <v>2.0299999999999998</v>
      </c>
      <c r="Q45" s="93">
        <f>IF(AND(O45="",P45=""),"",O45+P45*$F45/1000)</f>
        <v>9.9469999999999974</v>
      </c>
      <c r="R45" s="44">
        <f>IFERROR(Q45/Q47,"")</f>
        <v>0.11809191390343221</v>
      </c>
    </row>
    <row r="46" spans="1:22" s="21" customFormat="1" x14ac:dyDescent="0.3">
      <c r="A46" s="3"/>
      <c r="B46" s="3" t="str">
        <f t="shared" si="16"/>
        <v>Endeavour</v>
      </c>
      <c r="C46" s="3" t="str">
        <f t="shared" si="16"/>
        <v>Residential</v>
      </c>
      <c r="D46" s="3" t="str">
        <f t="shared" si="16"/>
        <v>without CL</v>
      </c>
      <c r="E46" s="3" t="s">
        <v>24</v>
      </c>
      <c r="F46" s="41">
        <f t="array" ref="F46">IFERROR(INDEX(Usage!$B$5:$T$18,MATCH($B46,Usage!$B$5:$B$18,0),MATCH($C46&amp;$D46&amp;$E46&amp;"Total",Usage!$B$5:$W$5&amp;Usage!$B$6:$W$6&amp;Usage!$B$7:$W$7&amp;Usage!$B$13:$W$13,0)),0)</f>
        <v>4900</v>
      </c>
      <c r="G46" s="3" t="s">
        <v>81</v>
      </c>
      <c r="H46" s="93"/>
      <c r="I46" s="93">
        <f t="array" ref="I46">ROUND(IFERROR(INDEX('Detail inputs'!$B$3:$L$304,MATCH($B46&amp;$C46&amp;$E46&amp;$G46&amp;I$5,'Detail inputs'!$B$3:$B$304&amp;'Detail inputs'!$D$3:$D$304&amp;'Detail inputs'!$F$3:$F$304&amp;'Detail inputs'!$G$3:$G$304&amp;'Detail inputs'!$H$3:$H$304,0),MATCH(I$4,'Detail inputs'!$B$3:$L$3,0)),0)*SUM(I43:I45),2)</f>
        <v>1.01</v>
      </c>
      <c r="J46" s="93">
        <f>IF(AND(H46="",I46=""),"",H46+I46*$F46/1000)</f>
        <v>4.9489999999999998</v>
      </c>
      <c r="K46" s="44">
        <f>IFERROR(J46/J47,"")</f>
        <v>5.1928020565552693E-2</v>
      </c>
      <c r="L46" s="44"/>
      <c r="M46" s="49">
        <f>IF(OR(J46=0,Q46=""),"",Q46/J46-1)</f>
        <v>-0.12871287128712861</v>
      </c>
      <c r="N46" s="44"/>
      <c r="O46" s="93"/>
      <c r="P46" s="93">
        <f t="array" ref="P46">ROUND(IFERROR(INDEX('Detail inputs'!$B$3:$L$304,MATCH($B46&amp;$C46&amp;$E46&amp;$G46&amp;P$5,'Detail inputs'!$B$3:$B$304&amp;'Detail inputs'!$D$3:$D$304&amp;'Detail inputs'!$F$3:$F$304&amp;'Detail inputs'!$G$3:$G$304&amp;'Detail inputs'!$H$3:$H$304,0),MATCH(P$4,'Detail inputs'!$B$3:$L$3,0)),0)*SUM(P43:P45),2)</f>
        <v>0.88</v>
      </c>
      <c r="Q46" s="93">
        <f>IF(AND(O46="",P46=""),"",O46+P46*$F46/1000)</f>
        <v>4.3120000000000003</v>
      </c>
      <c r="R46" s="44">
        <f>IFERROR(Q46/Q47,"")</f>
        <v>5.1192553810354861E-2</v>
      </c>
    </row>
    <row r="47" spans="1:22" s="92" customFormat="1" x14ac:dyDescent="0.25">
      <c r="A47" s="81"/>
      <c r="B47" s="81" t="str">
        <f t="shared" si="16"/>
        <v>Endeavour</v>
      </c>
      <c r="C47" s="81" t="str">
        <f t="shared" si="16"/>
        <v>Residential</v>
      </c>
      <c r="D47" s="81" t="str">
        <f t="shared" si="16"/>
        <v>without CL</v>
      </c>
      <c r="E47" s="3" t="s">
        <v>24</v>
      </c>
      <c r="F47" s="41">
        <f t="array" ref="F47">IFERROR(INDEX(Usage!$B$5:$T$18,MATCH($B47,Usage!$B$5:$B$18,0),MATCH($C47&amp;$D47&amp;$E47&amp;"Total",Usage!$B$5:$W$5&amp;Usage!$B$6:$W$6&amp;Usage!$B$7:$W$7&amp;Usage!$B$13:$W$13,0)),0)</f>
        <v>4900</v>
      </c>
      <c r="G47" s="81" t="s">
        <v>58</v>
      </c>
      <c r="H47" s="99"/>
      <c r="I47" s="99">
        <f t="array" ref="I47">INDEX('Key inputs'!$B$15:$G$33,MATCH($B47&amp;$E47,'Key inputs'!$B$15:$B$33&amp;'Key inputs'!$C$15:$C$33,0),MATCH($A$2&amp;I$4,'Key inputs'!$B$16:$G$16&amp;'Key inputs'!$B$17:$G$17,0))</f>
        <v>19.45</v>
      </c>
      <c r="J47" s="93">
        <f t="shared" ref="J47" si="17">IF(AND(H47="",I47=""),"",H47+I47*$F47/1000)</f>
        <v>95.305000000000007</v>
      </c>
      <c r="K47" s="91"/>
      <c r="M47" s="83">
        <f>IF(OR(J47=0,Q47=""),"",Q47/J47-1)</f>
        <v>-0.11619537275064284</v>
      </c>
      <c r="O47" s="99"/>
      <c r="P47" s="99">
        <f t="array" ref="P47">INDEX('Key inputs'!$B$15:$G$33,MATCH($B47&amp;$E47,'Key inputs'!$B$15:$B$33&amp;'Key inputs'!$C$15:$C$33,0),MATCH($A$2&amp;P$4,'Key inputs'!$B$16:$G$16&amp;'Key inputs'!$B$17:$G$17,0))</f>
        <v>17.190000000000001</v>
      </c>
      <c r="Q47" s="93">
        <f t="shared" ref="Q47" si="18">IF(AND(O47="",P47=""),"",O47+P47*$F47/1000)</f>
        <v>84.230999999999995</v>
      </c>
      <c r="R47" s="91"/>
      <c r="S47" s="142" t="b">
        <f>ROUND(I47,$W$5)=ROUND(SUM(I43:I46),$W$5)</f>
        <v>1</v>
      </c>
      <c r="T47" s="142" t="b">
        <f>ROUND(P47,$W$5)=ROUND(SUM(P43:P46),$W$5)</f>
        <v>1</v>
      </c>
      <c r="U47" s="99"/>
      <c r="V47" s="99"/>
    </row>
    <row r="48" spans="1:22" s="21" customFormat="1" x14ac:dyDescent="0.3">
      <c r="A48" s="3"/>
      <c r="B48" s="3" t="str">
        <f t="shared" si="16"/>
        <v>Endeavour</v>
      </c>
      <c r="C48" s="3" t="str">
        <f t="shared" si="16"/>
        <v>Residential</v>
      </c>
      <c r="D48" s="3" t="str">
        <f t="shared" si="16"/>
        <v>without CL</v>
      </c>
      <c r="E48" s="3"/>
      <c r="F48" s="41"/>
      <c r="G48" s="81" t="s">
        <v>41</v>
      </c>
      <c r="H48" s="99"/>
      <c r="I48" s="99"/>
      <c r="J48" s="99">
        <f>J47*GST</f>
        <v>9.5305000000000017</v>
      </c>
      <c r="K48" s="91"/>
      <c r="L48" s="92"/>
      <c r="M48" s="83"/>
      <c r="N48" s="92"/>
      <c r="O48" s="99"/>
      <c r="P48" s="99"/>
      <c r="Q48" s="99">
        <f>Q47*GST</f>
        <v>8.4230999999999998</v>
      </c>
      <c r="R48" s="79"/>
    </row>
    <row r="49" spans="1:22" s="21" customFormat="1" x14ac:dyDescent="0.3">
      <c r="A49" s="3"/>
      <c r="B49" s="3" t="str">
        <f t="shared" si="16"/>
        <v>Endeavour</v>
      </c>
      <c r="C49" s="3" t="str">
        <f t="shared" si="16"/>
        <v>Residential</v>
      </c>
      <c r="D49" s="3" t="str">
        <f t="shared" si="16"/>
        <v>without CL</v>
      </c>
      <c r="E49" s="3"/>
      <c r="F49" s="41"/>
      <c r="G49" s="5" t="s">
        <v>91</v>
      </c>
      <c r="H49" s="98"/>
      <c r="I49" s="98"/>
      <c r="J49" s="98">
        <f>SUM(J47:J48)</f>
        <v>104.83550000000001</v>
      </c>
      <c r="K49" s="79"/>
      <c r="L49" s="27"/>
      <c r="M49" s="80">
        <f>IF(OR(J49=0,Q49=""),"",Q49/J49-1)</f>
        <v>-0.11619537275064273</v>
      </c>
      <c r="N49" s="27"/>
      <c r="O49" s="98"/>
      <c r="P49" s="98"/>
      <c r="Q49" s="98">
        <f>SUM(Q47:Q48)</f>
        <v>92.6541</v>
      </c>
      <c r="R49" s="79"/>
    </row>
    <row r="50" spans="1:22" s="21" customFormat="1" x14ac:dyDescent="0.3">
      <c r="A50" s="3"/>
      <c r="B50" s="3"/>
      <c r="C50" s="3"/>
      <c r="D50" s="3"/>
      <c r="E50" s="3"/>
      <c r="F50" s="41"/>
      <c r="G50" s="3"/>
      <c r="H50" s="93"/>
      <c r="I50" s="93"/>
      <c r="J50" s="93"/>
      <c r="K50" s="44"/>
      <c r="M50" s="49"/>
      <c r="O50" s="93"/>
      <c r="P50" s="93"/>
      <c r="Q50" s="93"/>
      <c r="R50" s="44"/>
    </row>
    <row r="51" spans="1:22" s="21" customFormat="1" x14ac:dyDescent="0.3">
      <c r="A51" s="3"/>
      <c r="B51" s="5" t="s">
        <v>4</v>
      </c>
      <c r="C51" s="5" t="s">
        <v>6</v>
      </c>
      <c r="D51" s="5" t="s">
        <v>159</v>
      </c>
      <c r="E51" s="3"/>
      <c r="F51" s="41"/>
      <c r="G51" s="3"/>
      <c r="H51" s="93"/>
      <c r="I51" s="93"/>
      <c r="J51" s="93"/>
      <c r="K51" s="44"/>
      <c r="M51" s="49"/>
      <c r="O51" s="93"/>
      <c r="P51" s="93"/>
      <c r="Q51" s="93"/>
      <c r="R51" s="44"/>
    </row>
    <row r="52" spans="1:22" s="21" customFormat="1" x14ac:dyDescent="0.3">
      <c r="A52" s="3"/>
      <c r="B52" s="3" t="str">
        <f t="shared" ref="B52:B63" si="19">B51</f>
        <v>Endeavour</v>
      </c>
      <c r="C52" s="3" t="str">
        <f t="shared" ref="C52:C63" si="20">C51</f>
        <v>Residential</v>
      </c>
      <c r="D52" s="3" t="str">
        <f t="shared" ref="D52:D63" si="21">D51</f>
        <v>with CL</v>
      </c>
      <c r="E52" s="3" t="s">
        <v>24</v>
      </c>
      <c r="F52" s="41">
        <f t="array" ref="F52">IFERROR(INDEX(Usage!$B$5:$T$18,MATCH($B52,Usage!$B$5:$B$18,0),MATCH($C52&amp;$D52&amp;$E52&amp;"Total",Usage!$B$5:$W$5&amp;Usage!$B$6:$W$6&amp;Usage!$B$7:$W$7&amp;Usage!$B$13:$W$13,0)),0)</f>
        <v>5200</v>
      </c>
      <c r="G52" s="3" t="s">
        <v>58</v>
      </c>
      <c r="H52" s="93"/>
      <c r="I52" s="93">
        <f>I47</f>
        <v>19.45</v>
      </c>
      <c r="J52" s="93">
        <f>IF(AND(H52="",I52=""),"",H52+I52*$F52/1000)</f>
        <v>101.14</v>
      </c>
      <c r="K52" s="44"/>
      <c r="M52" s="49">
        <f>IF(OR(J52=0,Q52=""),"",Q52/J52-1)</f>
        <v>-0.11619537275064262</v>
      </c>
      <c r="O52" s="93"/>
      <c r="P52" s="93">
        <f>P47</f>
        <v>17.190000000000001</v>
      </c>
      <c r="Q52" s="93">
        <f>IF(AND(O52="",P52=""),"",O52+P52*$F52/1000)</f>
        <v>89.388000000000005</v>
      </c>
      <c r="R52" s="44"/>
    </row>
    <row r="53" spans="1:22" s="21" customFormat="1" x14ac:dyDescent="0.3">
      <c r="A53" s="3"/>
      <c r="B53" s="3" t="str">
        <f t="shared" si="19"/>
        <v>Endeavour</v>
      </c>
      <c r="C53" s="3" t="str">
        <f t="shared" si="20"/>
        <v>Residential</v>
      </c>
      <c r="D53" s="3" t="str">
        <f t="shared" si="21"/>
        <v>with CL</v>
      </c>
      <c r="E53" s="3" t="s">
        <v>15</v>
      </c>
      <c r="F53" s="41">
        <f t="array" ref="F53">IFERROR(INDEX(Usage!$B$5:$T$18,MATCH($B53,Usage!$B$5:$B$18,0),MATCH($C53&amp;$D53&amp;$E53,Usage!$B$5:$W$5&amp;Usage!$B$6:$W$6&amp;Usage!$B$7:$W$7,0)),0)</f>
        <v>1474</v>
      </c>
      <c r="G53" s="3" t="s">
        <v>82</v>
      </c>
      <c r="H53" s="93"/>
      <c r="I53" s="93">
        <f t="array" ref="I53">IFERROR(INDEX('Detail inputs'!$B$3:$L$304,MATCH($B53&amp;$G53&amp;I$5,'Detail inputs'!$B$3:$B$304&amp;'Detail inputs'!$G$3:$G$304&amp;'Detail inputs'!$H$3:$H$304,0),MATCH(I$4,'Detail inputs'!$B$3:$L$3,0)),0)</f>
        <v>9.3800000000000008</v>
      </c>
      <c r="J53" s="93">
        <f>IF(AND(H53="",I53=""),"",H53+I53*$F53/1000)</f>
        <v>13.826120000000001</v>
      </c>
      <c r="K53" s="44">
        <f>IFERROR(J53/J57,"")</f>
        <v>0.48226221079691522</v>
      </c>
      <c r="L53" s="44"/>
      <c r="M53" s="49">
        <f t="shared" ref="M53:M63" si="22">IF(OR(J53=0,Q53=""),"",Q53/J53-1)</f>
        <v>-0.51385927505330498</v>
      </c>
      <c r="N53" s="44"/>
      <c r="O53" s="93"/>
      <c r="P53" s="93">
        <f t="array" ref="P53">IFERROR(INDEX('Detail inputs'!$B$3:$L$304,MATCH($B53&amp;$G53&amp;P$5,'Detail inputs'!$B$3:$B$304&amp;'Detail inputs'!$G$3:$G$304&amp;'Detail inputs'!$H$3:$H$304,0),MATCH(P$4,'Detail inputs'!$B$3:$L$3,0)),0)</f>
        <v>4.5599999999999996</v>
      </c>
      <c r="Q53" s="93">
        <f>IF(AND(O53="",P53=""),"",O53+P53*$F53/1000)</f>
        <v>6.7214399999999994</v>
      </c>
      <c r="R53" s="44">
        <f>IFERROR(Q53/Q57,"")</f>
        <v>0.26527050610820241</v>
      </c>
    </row>
    <row r="54" spans="1:22" s="21" customFormat="1" x14ac:dyDescent="0.3">
      <c r="A54" s="3"/>
      <c r="B54" s="3" t="str">
        <f t="shared" si="19"/>
        <v>Endeavour</v>
      </c>
      <c r="C54" s="3" t="str">
        <f t="shared" si="20"/>
        <v>Residential</v>
      </c>
      <c r="D54" s="3" t="str">
        <f t="shared" si="21"/>
        <v>with CL</v>
      </c>
      <c r="E54" s="3" t="s">
        <v>15</v>
      </c>
      <c r="F54" s="41">
        <f t="array" ref="F54">IFERROR(INDEX(Usage!$B$5:$T$18,MATCH($B54,Usage!$B$5:$B$18,0),MATCH($C54&amp;$D54&amp;$E54,Usage!$B$5:$W$5&amp;Usage!$B$6:$W$6&amp;Usage!$B$7:$W$7,0)),0)</f>
        <v>1474</v>
      </c>
      <c r="G54" s="3" t="s">
        <v>83</v>
      </c>
      <c r="H54" s="93"/>
      <c r="I54" s="93">
        <f t="array" ref="I54">IFERROR(INDEX('Detail inputs'!$B$3:$L$304,MATCH($B54&amp;$G54&amp;I$5,'Detail inputs'!$B$3:$B$304&amp;'Detail inputs'!$G$3:$G$304&amp;'Detail inputs'!$H$3:$H$304,0),MATCH(I$4,'Detail inputs'!$B$3:$L$3,0)),0)</f>
        <v>7.26</v>
      </c>
      <c r="J54" s="93">
        <f>IF(AND(H54="",I54=""),"",H54+I54*$F54/1000)</f>
        <v>10.70124</v>
      </c>
      <c r="K54" s="44">
        <f>IFERROR(J54/J57,"")</f>
        <v>0.37326478149100256</v>
      </c>
      <c r="L54" s="44"/>
      <c r="M54" s="49">
        <f t="shared" si="22"/>
        <v>0.33884297520661155</v>
      </c>
      <c r="N54" s="44"/>
      <c r="O54" s="93"/>
      <c r="P54" s="93">
        <f t="array" ref="P54">IFERROR(INDEX('Detail inputs'!$B$3:$L$304,MATCH($B54&amp;$G54&amp;P$5,'Detail inputs'!$B$3:$B$304&amp;'Detail inputs'!$G$3:$G$304&amp;'Detail inputs'!$H$3:$H$304,0),MATCH(P$4,'Detail inputs'!$B$3:$L$3,0)),0)</f>
        <v>9.7200000000000006</v>
      </c>
      <c r="Q54" s="93">
        <f>IF(AND(O54="",P54=""),"",O54+P54*$F54/1000)</f>
        <v>14.32728</v>
      </c>
      <c r="R54" s="44">
        <f>IFERROR(Q54/Q57,"")</f>
        <v>0.5654450261780104</v>
      </c>
    </row>
    <row r="55" spans="1:22" s="21" customFormat="1" x14ac:dyDescent="0.3">
      <c r="A55" s="3"/>
      <c r="B55" s="3" t="str">
        <f t="shared" si="19"/>
        <v>Endeavour</v>
      </c>
      <c r="C55" s="3" t="str">
        <f t="shared" si="20"/>
        <v>Residential</v>
      </c>
      <c r="D55" s="3" t="str">
        <f t="shared" si="21"/>
        <v>with CL</v>
      </c>
      <c r="E55" s="3" t="s">
        <v>15</v>
      </c>
      <c r="F55" s="41">
        <f t="array" ref="F55">IFERROR(INDEX(Usage!$B$5:$T$18,MATCH($B55,Usage!$B$5:$B$18,0),MATCH($C55&amp;$D55&amp;$E55,Usage!$B$5:$W$5&amp;Usage!$B$6:$W$6&amp;Usage!$B$7:$W$7,0)),0)</f>
        <v>1474</v>
      </c>
      <c r="G55" s="3" t="s">
        <v>84</v>
      </c>
      <c r="H55" s="93"/>
      <c r="I55" s="93">
        <f t="array" ref="I55">IFERROR(INDEX('Detail inputs'!$B$3:$L$304,MATCH($B55&amp;$G55&amp;I$5,'Detail inputs'!$B$3:$B$304&amp;'Detail inputs'!$G$3:$G$304&amp;'Detail inputs'!$H$3:$H$304,0),MATCH(I$4,'Detail inputs'!$B$3:$L$3,0)),0)</f>
        <v>1.8</v>
      </c>
      <c r="J55" s="93">
        <f>IF(AND(H55="",I55=""),"",H55+I55*$F55/1000)</f>
        <v>2.6532000000000004</v>
      </c>
      <c r="K55" s="44">
        <f>IFERROR(J55/J57,"")</f>
        <v>9.2544987146529575E-2</v>
      </c>
      <c r="L55" s="44"/>
      <c r="M55" s="49">
        <f t="shared" si="22"/>
        <v>0.12777777777777755</v>
      </c>
      <c r="N55" s="44"/>
      <c r="O55" s="93"/>
      <c r="P55" s="93">
        <f t="array" ref="P55">IFERROR(INDEX('Detail inputs'!$B$3:$L$304,MATCH($B55&amp;$G55&amp;P$5,'Detail inputs'!$B$3:$B$304&amp;'Detail inputs'!$G$3:$G$304&amp;'Detail inputs'!$H$3:$H$304,0),MATCH(P$4,'Detail inputs'!$B$3:$L$3,0)),0)</f>
        <v>2.0299999999999998</v>
      </c>
      <c r="Q55" s="93">
        <f>IF(AND(O55="",P55=""),"",O55+P55*$F55/1000)</f>
        <v>2.9922199999999997</v>
      </c>
      <c r="R55" s="44">
        <f>IFERROR(Q55/Q57,"")</f>
        <v>0.11809191390343221</v>
      </c>
    </row>
    <row r="56" spans="1:22" s="21" customFormat="1" x14ac:dyDescent="0.3">
      <c r="A56" s="3"/>
      <c r="B56" s="3" t="str">
        <f t="shared" si="19"/>
        <v>Endeavour</v>
      </c>
      <c r="C56" s="3" t="str">
        <f t="shared" si="20"/>
        <v>Residential</v>
      </c>
      <c r="D56" s="3" t="str">
        <f t="shared" si="21"/>
        <v>with CL</v>
      </c>
      <c r="E56" s="3" t="s">
        <v>15</v>
      </c>
      <c r="F56" s="41">
        <f t="array" ref="F56">IFERROR(INDEX(Usage!$B$5:$T$18,MATCH($B56,Usage!$B$5:$B$18,0),MATCH($C56&amp;$D56&amp;$E56,Usage!$B$5:$W$5&amp;Usage!$B$6:$W$6&amp;Usage!$B$7:$W$7,0)),0)</f>
        <v>1474</v>
      </c>
      <c r="G56" s="3" t="s">
        <v>81</v>
      </c>
      <c r="H56" s="93"/>
      <c r="I56" s="93">
        <f t="array" ref="I56">ROUND(IFERROR(INDEX('Detail inputs'!$B$3:$L$304,MATCH($B56&amp;$C56&amp;$E56&amp;$G56&amp;I$5,'Detail inputs'!$B$3:$B$304&amp;'Detail inputs'!$D$3:$D$304&amp;'Detail inputs'!$F$3:$F$304&amp;'Detail inputs'!$G$3:$G$304&amp;'Detail inputs'!$H$3:$H$304,0),MATCH(I$4,'Detail inputs'!$B$3:$L$3,0)),0)*SUM(I53:I55),2)</f>
        <v>1.01</v>
      </c>
      <c r="J56" s="93">
        <f>IF(AND(H56="",I56=""),"",H56+I56*$F56/1000)</f>
        <v>1.48874</v>
      </c>
      <c r="K56" s="44">
        <f>IFERROR(J56/J57,"")</f>
        <v>5.19280205655527E-2</v>
      </c>
      <c r="L56" s="44"/>
      <c r="M56" s="49">
        <f t="shared" si="22"/>
        <v>-0.12871287128712861</v>
      </c>
      <c r="N56" s="44"/>
      <c r="O56" s="93"/>
      <c r="P56" s="93">
        <f t="array" ref="P56">ROUND(IFERROR(INDEX('Detail inputs'!$B$3:$L$304,MATCH($B56&amp;$C56&amp;$E56&amp;$G56&amp;P$5,'Detail inputs'!$B$3:$B$304&amp;'Detail inputs'!$D$3:$D$304&amp;'Detail inputs'!$F$3:$F$304&amp;'Detail inputs'!$G$3:$G$304&amp;'Detail inputs'!$H$3:$H$304,0),MATCH(P$4,'Detail inputs'!$B$3:$L$3,0)),0)*SUM(P53:P55),2)</f>
        <v>0.88</v>
      </c>
      <c r="Q56" s="93">
        <f>IF(AND(O56="",P56=""),"",O56+P56*$F56/1000)</f>
        <v>1.2971200000000001</v>
      </c>
      <c r="R56" s="44">
        <f>IFERROR(Q56/Q57,"")</f>
        <v>5.1192553810354854E-2</v>
      </c>
    </row>
    <row r="57" spans="1:22" s="21" customFormat="1" x14ac:dyDescent="0.25">
      <c r="A57" s="3"/>
      <c r="B57" s="3" t="str">
        <f t="shared" si="19"/>
        <v>Endeavour</v>
      </c>
      <c r="C57" s="3" t="str">
        <f t="shared" si="20"/>
        <v>Residential</v>
      </c>
      <c r="D57" s="3" t="str">
        <f t="shared" si="21"/>
        <v>with CL</v>
      </c>
      <c r="E57" s="3" t="s">
        <v>15</v>
      </c>
      <c r="F57" s="41">
        <f t="array" ref="F57">IFERROR(INDEX(Usage!$B$5:$T$18,MATCH($B57,Usage!$B$5:$B$18,0),MATCH($C57&amp;$D57&amp;$E57,Usage!$B$5:$W$5&amp;Usage!$B$6:$W$6&amp;Usage!$B$7:$W$7,0)),0)</f>
        <v>1474</v>
      </c>
      <c r="G57" s="3" t="s">
        <v>58</v>
      </c>
      <c r="H57" s="99"/>
      <c r="I57" s="99">
        <f t="array" ref="I57">INDEX('Key inputs'!$B$15:$G$33,MATCH($B57&amp;$E57,'Key inputs'!$B$15:$B$33&amp;'Key inputs'!$C$15:$C$33,0),MATCH($A$2&amp;I$4,'Key inputs'!$B$16:$G$16&amp;'Key inputs'!$B$17:$G$17,0))</f>
        <v>19.45</v>
      </c>
      <c r="J57" s="93">
        <f t="shared" ref="J57" si="23">IF(AND(H57="",I57=""),"",H57+I57*$F57/1000)</f>
        <v>28.6693</v>
      </c>
      <c r="K57" s="91"/>
      <c r="L57" s="92"/>
      <c r="M57" s="83">
        <f t="shared" si="22"/>
        <v>-0.11619537275064262</v>
      </c>
      <c r="N57" s="92"/>
      <c r="O57" s="99"/>
      <c r="P57" s="99">
        <f t="array" ref="P57">INDEX('Key inputs'!$B$15:$G$33,MATCH($B57&amp;$E57,'Key inputs'!$B$15:$B$33&amp;'Key inputs'!$C$15:$C$33,0),MATCH($A$2&amp;P$4,'Key inputs'!$B$16:$G$16&amp;'Key inputs'!$B$17:$G$17,0))</f>
        <v>17.190000000000001</v>
      </c>
      <c r="Q57" s="93">
        <f t="shared" ref="Q57" si="24">IF(AND(O57="",P57=""),"",O57+P57*$F57/1000)</f>
        <v>25.338060000000002</v>
      </c>
      <c r="R57" s="91"/>
      <c r="S57" s="142" t="b">
        <f>ROUND(I57,$W$5)=ROUND(SUM(I53:I56),$W$5)</f>
        <v>1</v>
      </c>
      <c r="T57" s="142" t="b">
        <f>ROUND(P57,$W$5)=ROUND(SUM(P53:P56),$W$5)</f>
        <v>1</v>
      </c>
      <c r="U57" s="99"/>
      <c r="V57" s="99"/>
    </row>
    <row r="58" spans="1:22" s="21" customFormat="1" x14ac:dyDescent="0.3">
      <c r="A58" s="3"/>
      <c r="B58" s="3" t="str">
        <f t="shared" si="19"/>
        <v>Endeavour</v>
      </c>
      <c r="C58" s="3" t="str">
        <f t="shared" si="20"/>
        <v>Residential</v>
      </c>
      <c r="D58" s="3" t="str">
        <f t="shared" si="21"/>
        <v>with CL</v>
      </c>
      <c r="E58" s="3" t="s">
        <v>16</v>
      </c>
      <c r="F58" s="41">
        <f t="array" ref="F58">IFERROR(INDEX(Usage!$B$5:$T$18,MATCH($B58,Usage!$B$5:$B$18,0),MATCH($C58&amp;$D58&amp;$E58,Usage!$B$5:$W$5&amp;Usage!$B$6:$W$6&amp;Usage!$B$7:$W$7,0)),0)</f>
        <v>726</v>
      </c>
      <c r="G58" s="3" t="s">
        <v>82</v>
      </c>
      <c r="H58" s="93"/>
      <c r="I58" s="93">
        <f t="array" ref="I58">IFERROR(INDEX('Detail inputs'!$B$3:$L$304,MATCH($B58&amp;$G58&amp;I$5,'Detail inputs'!$B$3:$B$304&amp;'Detail inputs'!$G$3:$G$304&amp;'Detail inputs'!$H$3:$H$304,0),MATCH(I$4,'Detail inputs'!$B$3:$L$3,0)),0)</f>
        <v>9.3800000000000008</v>
      </c>
      <c r="J58" s="93">
        <f>IF(AND(H58="",I58=""),"",H58+I58*$F58/1000)</f>
        <v>6.8098800000000006</v>
      </c>
      <c r="K58" s="44">
        <f>IFERROR(J58/J62,"")</f>
        <v>0.48226221079691522</v>
      </c>
      <c r="L58" s="44"/>
      <c r="M58" s="49">
        <f t="shared" si="22"/>
        <v>-0.51385927505330509</v>
      </c>
      <c r="N58" s="44"/>
      <c r="O58" s="93"/>
      <c r="P58" s="93">
        <f t="array" ref="P58">IFERROR(INDEX('Detail inputs'!$B$3:$L$304,MATCH($B58&amp;$G58&amp;P$5,'Detail inputs'!$B$3:$B$304&amp;'Detail inputs'!$G$3:$G$304&amp;'Detail inputs'!$H$3:$H$304,0),MATCH(P$4,'Detail inputs'!$B$3:$L$3,0)),0)</f>
        <v>4.5599999999999996</v>
      </c>
      <c r="Q58" s="93">
        <f>IF(AND(O58="",P58=""),"",O58+P58*$F58/1000)</f>
        <v>3.3105599999999993</v>
      </c>
      <c r="R58" s="44">
        <f>IFERROR(Q58/Q62,"")</f>
        <v>0.26527050610820235</v>
      </c>
    </row>
    <row r="59" spans="1:22" s="21" customFormat="1" x14ac:dyDescent="0.3">
      <c r="A59" s="3"/>
      <c r="B59" s="3" t="str">
        <f t="shared" si="19"/>
        <v>Endeavour</v>
      </c>
      <c r="C59" s="3" t="str">
        <f t="shared" si="20"/>
        <v>Residential</v>
      </c>
      <c r="D59" s="3" t="str">
        <f t="shared" si="21"/>
        <v>with CL</v>
      </c>
      <c r="E59" s="3" t="s">
        <v>16</v>
      </c>
      <c r="F59" s="41">
        <f t="array" ref="F59">IFERROR(INDEX(Usage!$B$5:$T$18,MATCH($B59,Usage!$B$5:$B$18,0),MATCH($C59&amp;$D59&amp;$E59,Usage!$B$5:$W$5&amp;Usage!$B$6:$W$6&amp;Usage!$B$7:$W$7,0)),0)</f>
        <v>726</v>
      </c>
      <c r="G59" s="3" t="s">
        <v>83</v>
      </c>
      <c r="H59" s="99"/>
      <c r="I59" s="99">
        <f t="array" ref="I59">IFERROR(INDEX('Detail inputs'!$B$3:$L$304,MATCH($B59&amp;$G59&amp;I$5,'Detail inputs'!$B$3:$B$304&amp;'Detail inputs'!$G$3:$G$304&amp;'Detail inputs'!$H$3:$H$304,0),MATCH(I$4,'Detail inputs'!$B$3:$L$3,0)),0)</f>
        <v>7.26</v>
      </c>
      <c r="J59" s="99">
        <f>IF(AND(H59="",I59=""),"",H59+I59*$F59/1000)</f>
        <v>5.2707600000000001</v>
      </c>
      <c r="K59" s="91">
        <f>IFERROR(J59/J62,"")</f>
        <v>0.37326478149100262</v>
      </c>
      <c r="L59" s="91"/>
      <c r="M59" s="83">
        <f t="shared" si="22"/>
        <v>0.33884297520661155</v>
      </c>
      <c r="N59" s="91"/>
      <c r="O59" s="99"/>
      <c r="P59" s="99">
        <f t="array" ref="P59">IFERROR(INDEX('Detail inputs'!$B$3:$L$304,MATCH($B59&amp;$G59&amp;P$5,'Detail inputs'!$B$3:$B$304&amp;'Detail inputs'!$G$3:$G$304&amp;'Detail inputs'!$H$3:$H$304,0),MATCH(P$4,'Detail inputs'!$B$3:$L$3,0)),0)</f>
        <v>9.7200000000000006</v>
      </c>
      <c r="Q59" s="99">
        <f>IF(AND(O59="",P59=""),"",O59+P59*$F59/1000)</f>
        <v>7.0567200000000003</v>
      </c>
      <c r="R59" s="91">
        <f>IFERROR(Q59/Q62,"")</f>
        <v>0.5654450261780104</v>
      </c>
    </row>
    <row r="60" spans="1:22" s="21" customFormat="1" x14ac:dyDescent="0.3">
      <c r="A60" s="3"/>
      <c r="B60" s="3" t="str">
        <f t="shared" si="19"/>
        <v>Endeavour</v>
      </c>
      <c r="C60" s="3" t="str">
        <f t="shared" si="20"/>
        <v>Residential</v>
      </c>
      <c r="D60" s="3" t="str">
        <f t="shared" si="21"/>
        <v>with CL</v>
      </c>
      <c r="E60" s="3" t="s">
        <v>16</v>
      </c>
      <c r="F60" s="41">
        <f t="array" ref="F60">IFERROR(INDEX(Usage!$B$5:$T$18,MATCH($B60,Usage!$B$5:$B$18,0),MATCH($C60&amp;$D60&amp;$E60,Usage!$B$5:$W$5&amp;Usage!$B$6:$W$6&amp;Usage!$B$7:$W$7,0)),0)</f>
        <v>726</v>
      </c>
      <c r="G60" s="3" t="s">
        <v>84</v>
      </c>
      <c r="H60" s="99"/>
      <c r="I60" s="99">
        <f t="array" ref="I60">IFERROR(INDEX('Detail inputs'!$B$3:$L$304,MATCH($B60&amp;$G60&amp;I$5,'Detail inputs'!$B$3:$B$304&amp;'Detail inputs'!$G$3:$G$304&amp;'Detail inputs'!$H$3:$H$304,0),MATCH(I$4,'Detail inputs'!$B$3:$L$3,0)),0)</f>
        <v>1.8</v>
      </c>
      <c r="J60" s="99">
        <f>IF(AND(H60="",I60=""),"",H60+I60*$F60/1000)</f>
        <v>1.3068</v>
      </c>
      <c r="K60" s="91">
        <f>IFERROR(J60/J62,"")</f>
        <v>9.2544987146529561E-2</v>
      </c>
      <c r="L60" s="91"/>
      <c r="M60" s="83">
        <f t="shared" si="22"/>
        <v>0.12777777777777755</v>
      </c>
      <c r="N60" s="91"/>
      <c r="O60" s="99"/>
      <c r="P60" s="99">
        <f t="array" ref="P60">IFERROR(INDEX('Detail inputs'!$B$3:$L$304,MATCH($B60&amp;$G60&amp;P$5,'Detail inputs'!$B$3:$B$304&amp;'Detail inputs'!$G$3:$G$304&amp;'Detail inputs'!$H$3:$H$304,0),MATCH(P$4,'Detail inputs'!$B$3:$L$3,0)),0)</f>
        <v>2.0299999999999998</v>
      </c>
      <c r="Q60" s="99">
        <f>IF(AND(O60="",P60=""),"",O60+P60*$F60/1000)</f>
        <v>1.4737799999999996</v>
      </c>
      <c r="R60" s="91">
        <f>IFERROR(Q60/Q62,"")</f>
        <v>0.1180919139034322</v>
      </c>
    </row>
    <row r="61" spans="1:22" s="21" customFormat="1" x14ac:dyDescent="0.3">
      <c r="A61" s="3"/>
      <c r="B61" s="3" t="str">
        <f t="shared" si="19"/>
        <v>Endeavour</v>
      </c>
      <c r="C61" s="3" t="str">
        <f t="shared" si="20"/>
        <v>Residential</v>
      </c>
      <c r="D61" s="3" t="str">
        <f t="shared" si="21"/>
        <v>with CL</v>
      </c>
      <c r="E61" s="3" t="s">
        <v>16</v>
      </c>
      <c r="F61" s="41">
        <f t="array" ref="F61">IFERROR(INDEX(Usage!$B$5:$T$18,MATCH($B61,Usage!$B$5:$B$18,0),MATCH($C61&amp;$D61&amp;$E61,Usage!$B$5:$W$5&amp;Usage!$B$6:$W$6&amp;Usage!$B$7:$W$7,0)),0)</f>
        <v>726</v>
      </c>
      <c r="G61" s="3" t="s">
        <v>81</v>
      </c>
      <c r="H61" s="99"/>
      <c r="I61" s="93">
        <f t="array" ref="I61">ROUND(IFERROR(INDEX('Detail inputs'!$B$3:$L$304,MATCH($B61&amp;$C61&amp;$E61&amp;$G61&amp;I$5,'Detail inputs'!$B$3:$B$304&amp;'Detail inputs'!$D$3:$D$304&amp;'Detail inputs'!$F$3:$F$304&amp;'Detail inputs'!$G$3:$G$304&amp;'Detail inputs'!$H$3:$H$304,0),MATCH(I$4,'Detail inputs'!$B$3:$L$3,0)),0)*SUM(I58:I60),2)</f>
        <v>1.01</v>
      </c>
      <c r="J61" s="99">
        <f>IF(AND(H61="",I61=""),"",H61+I61*$F61/1000)</f>
        <v>0.73326000000000002</v>
      </c>
      <c r="K61" s="91">
        <f>IFERROR(J61/J62,"")</f>
        <v>5.19280205655527E-2</v>
      </c>
      <c r="L61" s="91"/>
      <c r="M61" s="83">
        <f t="shared" si="22"/>
        <v>-0.12871287128712872</v>
      </c>
      <c r="N61" s="91"/>
      <c r="O61" s="99"/>
      <c r="P61" s="93">
        <f t="array" ref="P61">ROUND(IFERROR(INDEX('Detail inputs'!$B$3:$L$304,MATCH($B61&amp;$C61&amp;$E61&amp;$G61&amp;P$5,'Detail inputs'!$B$3:$B$304&amp;'Detail inputs'!$D$3:$D$304&amp;'Detail inputs'!$F$3:$F$304&amp;'Detail inputs'!$G$3:$G$304&amp;'Detail inputs'!$H$3:$H$304,0),MATCH(P$4,'Detail inputs'!$B$3:$L$3,0)),0)*SUM(P58:P60),2)</f>
        <v>0.88</v>
      </c>
      <c r="Q61" s="99">
        <f>IF(AND(O61="",P61=""),"",O61+P61*$F61/1000)</f>
        <v>0.63888</v>
      </c>
      <c r="R61" s="91">
        <f>IFERROR(Q61/Q62,"")</f>
        <v>5.1192553810354854E-2</v>
      </c>
    </row>
    <row r="62" spans="1:22" s="21" customFormat="1" x14ac:dyDescent="0.25">
      <c r="A62" s="3"/>
      <c r="B62" s="3" t="str">
        <f t="shared" si="19"/>
        <v>Endeavour</v>
      </c>
      <c r="C62" s="3" t="str">
        <f t="shared" si="20"/>
        <v>Residential</v>
      </c>
      <c r="D62" s="3" t="str">
        <f t="shared" si="21"/>
        <v>with CL</v>
      </c>
      <c r="E62" s="3" t="s">
        <v>16</v>
      </c>
      <c r="F62" s="41">
        <f t="array" ref="F62">IFERROR(INDEX(Usage!$B$5:$T$18,MATCH($B62,Usage!$B$5:$B$18,0),MATCH($C62&amp;$D62&amp;$E62,Usage!$B$5:$W$5&amp;Usage!$B$6:$W$6&amp;Usage!$B$7:$W$7,0)),0)</f>
        <v>726</v>
      </c>
      <c r="G62" s="3" t="s">
        <v>58</v>
      </c>
      <c r="H62" s="99"/>
      <c r="I62" s="99">
        <f t="array" ref="I62">INDEX('Key inputs'!$B$15:$G$33,MATCH($B62&amp;$E62,'Key inputs'!$B$15:$B$33&amp;'Key inputs'!$C$15:$C$33,0),MATCH($A$2&amp;I$4,'Key inputs'!$B$16:$G$16&amp;'Key inputs'!$B$17:$G$17,0))</f>
        <v>19.45</v>
      </c>
      <c r="J62" s="93">
        <f t="shared" ref="J62" si="25">IF(AND(H62="",I62=""),"",H62+I62*$F62/1000)</f>
        <v>14.120699999999999</v>
      </c>
      <c r="K62" s="91"/>
      <c r="L62" s="92"/>
      <c r="M62" s="83">
        <f t="shared" si="22"/>
        <v>-0.11619537275064262</v>
      </c>
      <c r="N62" s="92"/>
      <c r="O62" s="99"/>
      <c r="P62" s="99">
        <f t="array" ref="P62">INDEX('Key inputs'!$B$15:$G$33,MATCH($B62&amp;$E62,'Key inputs'!$B$15:$B$33&amp;'Key inputs'!$C$15:$C$33,0),MATCH($A$2&amp;P$4,'Key inputs'!$B$16:$G$16&amp;'Key inputs'!$B$17:$G$17,0))</f>
        <v>17.190000000000001</v>
      </c>
      <c r="Q62" s="93">
        <f t="shared" ref="Q62" si="26">IF(AND(O62="",P62=""),"",O62+P62*$F62/1000)</f>
        <v>12.479940000000001</v>
      </c>
      <c r="R62" s="91"/>
      <c r="S62" s="142" t="b">
        <f>ROUND(I62,$W$5)=ROUND(SUM(I58:I61),$W$5)</f>
        <v>1</v>
      </c>
      <c r="T62" s="142" t="b">
        <f>ROUND(P62,$W$5)=ROUND(SUM(P58:P61),$W$5)</f>
        <v>1</v>
      </c>
      <c r="U62" s="99"/>
      <c r="V62" s="99"/>
    </row>
    <row r="63" spans="1:22" s="92" customFormat="1" x14ac:dyDescent="0.25">
      <c r="A63" s="81"/>
      <c r="B63" s="81" t="str">
        <f t="shared" si="19"/>
        <v>Endeavour</v>
      </c>
      <c r="C63" s="81" t="str">
        <f t="shared" si="20"/>
        <v>Residential</v>
      </c>
      <c r="D63" s="81" t="str">
        <f t="shared" si="21"/>
        <v>with CL</v>
      </c>
      <c r="E63" s="81" t="s">
        <v>58</v>
      </c>
      <c r="F63" s="41">
        <f t="array" ref="F63">IFERROR(INDEX(Usage!$B$5:$T$18,MATCH($B63,Usage!$B$5:$B$18,0),MATCH($C63&amp;$D63&amp;$E63,Usage!$B$5:$W$5&amp;Usage!$B$6:$W$6&amp;Usage!$B$7:$W$7,0)),0)</f>
        <v>7400</v>
      </c>
      <c r="G63" s="81" t="s">
        <v>58</v>
      </c>
      <c r="H63" s="99"/>
      <c r="I63" s="99">
        <f>I52+I57+I62</f>
        <v>58.349999999999994</v>
      </c>
      <c r="J63" s="99">
        <f>J52+J57+J62</f>
        <v>143.93</v>
      </c>
      <c r="K63" s="91"/>
      <c r="M63" s="83">
        <f t="shared" si="22"/>
        <v>-0.11619537275064273</v>
      </c>
      <c r="O63" s="99"/>
      <c r="P63" s="99">
        <f>P52+P57+P62</f>
        <v>51.570000000000007</v>
      </c>
      <c r="Q63" s="99">
        <f>Q52+Q57+Q62</f>
        <v>127.206</v>
      </c>
      <c r="R63" s="91"/>
      <c r="S63" s="142"/>
      <c r="T63" s="142"/>
      <c r="U63" s="99"/>
      <c r="V63" s="99"/>
    </row>
    <row r="64" spans="1:22" s="21" customFormat="1" x14ac:dyDescent="0.3">
      <c r="A64" s="3"/>
      <c r="B64" s="3" t="str">
        <f t="shared" ref="B64:D65" si="27">B63</f>
        <v>Endeavour</v>
      </c>
      <c r="C64" s="3" t="str">
        <f t="shared" si="27"/>
        <v>Residential</v>
      </c>
      <c r="D64" s="3" t="str">
        <f t="shared" si="27"/>
        <v>with CL</v>
      </c>
      <c r="E64" s="3"/>
      <c r="F64" s="41"/>
      <c r="G64" s="81" t="s">
        <v>41</v>
      </c>
      <c r="H64" s="99"/>
      <c r="I64" s="99"/>
      <c r="J64" s="99">
        <f>J63*GST</f>
        <v>14.393000000000001</v>
      </c>
      <c r="K64" s="91"/>
      <c r="L64" s="92"/>
      <c r="M64" s="83"/>
      <c r="N64" s="92"/>
      <c r="O64" s="99"/>
      <c r="P64" s="99"/>
      <c r="Q64" s="99">
        <f>Q63*GST</f>
        <v>12.720600000000001</v>
      </c>
      <c r="R64" s="79"/>
    </row>
    <row r="65" spans="1:22" s="21" customFormat="1" x14ac:dyDescent="0.3">
      <c r="A65" s="3"/>
      <c r="B65" s="3" t="str">
        <f t="shared" si="27"/>
        <v>Endeavour</v>
      </c>
      <c r="C65" s="3" t="str">
        <f t="shared" si="27"/>
        <v>Residential</v>
      </c>
      <c r="D65" s="3" t="str">
        <f t="shared" si="27"/>
        <v>with CL</v>
      </c>
      <c r="E65" s="3"/>
      <c r="F65" s="41"/>
      <c r="G65" s="5" t="s">
        <v>91</v>
      </c>
      <c r="H65" s="98"/>
      <c r="I65" s="98"/>
      <c r="J65" s="98">
        <f>SUM(J63:J64)</f>
        <v>158.32300000000001</v>
      </c>
      <c r="K65" s="79"/>
      <c r="L65" s="27"/>
      <c r="M65" s="80">
        <f>IF(OR(J65=0,Q65=""),"",Q65/J65-1)</f>
        <v>-0.11619537275064262</v>
      </c>
      <c r="N65" s="27"/>
      <c r="O65" s="98"/>
      <c r="P65" s="98"/>
      <c r="Q65" s="98">
        <f>SUM(Q63:Q64)</f>
        <v>139.92660000000001</v>
      </c>
      <c r="R65" s="79"/>
    </row>
    <row r="66" spans="1:22" s="21" customFormat="1" x14ac:dyDescent="0.3">
      <c r="A66" s="3"/>
      <c r="B66" s="3"/>
      <c r="C66" s="3"/>
      <c r="D66" s="3"/>
      <c r="E66" s="3"/>
      <c r="F66" s="41"/>
      <c r="G66" s="3"/>
      <c r="H66" s="93"/>
      <c r="I66" s="93"/>
      <c r="J66" s="93"/>
      <c r="K66" s="44"/>
      <c r="M66" s="49"/>
      <c r="O66" s="93"/>
      <c r="P66" s="93"/>
      <c r="Q66" s="93"/>
      <c r="R66" s="44"/>
    </row>
    <row r="67" spans="1:22" s="21" customFormat="1" x14ac:dyDescent="0.3">
      <c r="A67" s="3"/>
      <c r="B67" s="5" t="s">
        <v>4</v>
      </c>
      <c r="C67" s="5" t="s">
        <v>14</v>
      </c>
      <c r="D67" s="5" t="s">
        <v>158</v>
      </c>
      <c r="E67" s="3"/>
      <c r="F67" s="41"/>
      <c r="G67" s="3"/>
      <c r="H67" s="93"/>
      <c r="I67" s="93"/>
      <c r="J67" s="93"/>
      <c r="K67" s="44"/>
      <c r="M67" s="49"/>
      <c r="O67" s="93"/>
      <c r="P67" s="93"/>
      <c r="Q67" s="93"/>
      <c r="R67" s="44"/>
    </row>
    <row r="68" spans="1:22" s="21" customFormat="1" x14ac:dyDescent="0.3">
      <c r="A68" s="3"/>
      <c r="B68" s="3" t="str">
        <f t="shared" ref="B68:D74" si="28">B67</f>
        <v>Endeavour</v>
      </c>
      <c r="C68" s="3" t="str">
        <f t="shared" si="28"/>
        <v>Small business</v>
      </c>
      <c r="D68" s="3" t="str">
        <f t="shared" si="28"/>
        <v>without CL</v>
      </c>
      <c r="E68" s="3" t="s">
        <v>24</v>
      </c>
      <c r="F68" s="41">
        <f t="array" ref="F68">IFERROR(INDEX(Usage!$B$5:$T$18,MATCH($B68,Usage!$B$5:$B$18,0),MATCH($C68&amp;$D68&amp;$E68,Usage!$B$5:$W$5&amp;Usage!$B$6:$W$6&amp;Usage!$B$7:$W$7,0)),0)</f>
        <v>20000</v>
      </c>
      <c r="G68" s="3" t="s">
        <v>82</v>
      </c>
      <c r="H68" s="93"/>
      <c r="I68" s="93">
        <f t="array" ref="I68">IFERROR(INDEX('Detail inputs'!$B$3:$L$304,MATCH($B68&amp;$G68&amp;I$5,'Detail inputs'!$B$3:$B$304&amp;'Detail inputs'!$G$3:$G$304&amp;'Detail inputs'!$H$3:$H$304,0),MATCH(I$4,'Detail inputs'!$B$3:$L$3,0)),0)</f>
        <v>9.3800000000000008</v>
      </c>
      <c r="J68" s="93">
        <f>IF(AND(H68="",I68=""),"",H68+I68*$F68/1000)</f>
        <v>187.60000000000002</v>
      </c>
      <c r="K68" s="44">
        <f>IFERROR(J68/J72,"")</f>
        <v>0.48226221079691522</v>
      </c>
      <c r="L68" s="44"/>
      <c r="M68" s="49">
        <f>IF(OR(J68=0,Q68=""),"",Q68/J68-1)</f>
        <v>-0.51385927505330509</v>
      </c>
      <c r="N68" s="44"/>
      <c r="O68" s="93"/>
      <c r="P68" s="93">
        <f t="array" ref="P68">IFERROR(INDEX('Detail inputs'!$B$3:$L$304,MATCH($B68&amp;$G68&amp;P$5,'Detail inputs'!$B$3:$B$304&amp;'Detail inputs'!$G$3:$G$304&amp;'Detail inputs'!$H$3:$H$304,0),MATCH(P$4,'Detail inputs'!$B$3:$L$3,0)),0)</f>
        <v>4.5599999999999996</v>
      </c>
      <c r="Q68" s="93">
        <f>IF(AND(O68="",P68=""),"",O68+P68*$F68/1000)</f>
        <v>91.199999999999989</v>
      </c>
      <c r="R68" s="44">
        <f>IFERROR(Q68/Q72,"")</f>
        <v>0.26527050610820241</v>
      </c>
    </row>
    <row r="69" spans="1:22" s="21" customFormat="1" x14ac:dyDescent="0.3">
      <c r="A69" s="3"/>
      <c r="B69" s="3" t="str">
        <f t="shared" si="28"/>
        <v>Endeavour</v>
      </c>
      <c r="C69" s="3" t="str">
        <f t="shared" si="28"/>
        <v>Small business</v>
      </c>
      <c r="D69" s="3" t="str">
        <f t="shared" si="28"/>
        <v>without CL</v>
      </c>
      <c r="E69" s="3" t="s">
        <v>24</v>
      </c>
      <c r="F69" s="41">
        <f t="array" ref="F69">IFERROR(INDEX(Usage!$B$5:$T$18,MATCH($B69,Usage!$B$5:$B$18,0),MATCH($C69&amp;$D69&amp;$E69,Usage!$B$5:$W$5&amp;Usage!$B$6:$W$6&amp;Usage!$B$7:$W$7,0)),0)</f>
        <v>20000</v>
      </c>
      <c r="G69" s="3" t="s">
        <v>83</v>
      </c>
      <c r="H69" s="93"/>
      <c r="I69" s="93">
        <f t="array" ref="I69">IFERROR(INDEX('Detail inputs'!$B$3:$L$304,MATCH($B69&amp;$G69&amp;I$5,'Detail inputs'!$B$3:$B$304&amp;'Detail inputs'!$G$3:$G$304&amp;'Detail inputs'!$H$3:$H$304,0),MATCH(I$4,'Detail inputs'!$B$3:$L$3,0)),0)</f>
        <v>7.26</v>
      </c>
      <c r="J69" s="93">
        <f>IF(AND(H69="",I69=""),"",H69+I69*$F69/1000)</f>
        <v>145.19999999999999</v>
      </c>
      <c r="K69" s="44">
        <f>IFERROR(J69/J72,"")</f>
        <v>0.37326478149100256</v>
      </c>
      <c r="L69" s="44"/>
      <c r="M69" s="49">
        <f>IF(OR(J69=0,Q69=""),"",Q69/J69-1)</f>
        <v>0.33884297520661177</v>
      </c>
      <c r="N69" s="44"/>
      <c r="O69" s="93"/>
      <c r="P69" s="93">
        <f t="array" ref="P69">IFERROR(INDEX('Detail inputs'!$B$3:$L$304,MATCH($B69&amp;$G69&amp;P$5,'Detail inputs'!$B$3:$B$304&amp;'Detail inputs'!$G$3:$G$304&amp;'Detail inputs'!$H$3:$H$304,0),MATCH(P$4,'Detail inputs'!$B$3:$L$3,0)),0)</f>
        <v>9.7200000000000006</v>
      </c>
      <c r="Q69" s="93">
        <f>IF(AND(O69="",P69=""),"",O69+P69*$F69/1000)</f>
        <v>194.4</v>
      </c>
      <c r="R69" s="44">
        <f>IFERROR(Q69/Q72,"")</f>
        <v>0.56544502617801051</v>
      </c>
    </row>
    <row r="70" spans="1:22" s="21" customFormat="1" x14ac:dyDescent="0.3">
      <c r="A70" s="3"/>
      <c r="B70" s="3" t="str">
        <f t="shared" si="28"/>
        <v>Endeavour</v>
      </c>
      <c r="C70" s="3" t="str">
        <f t="shared" si="28"/>
        <v>Small business</v>
      </c>
      <c r="D70" s="3" t="str">
        <f t="shared" si="28"/>
        <v>without CL</v>
      </c>
      <c r="E70" s="3" t="s">
        <v>24</v>
      </c>
      <c r="F70" s="41">
        <f t="array" ref="F70">IFERROR(INDEX(Usage!$B$5:$T$18,MATCH($B70,Usage!$B$5:$B$18,0),MATCH($C70&amp;$D70&amp;$E70,Usage!$B$5:$W$5&amp;Usage!$B$6:$W$6&amp;Usage!$B$7:$W$7,0)),0)</f>
        <v>20000</v>
      </c>
      <c r="G70" s="3" t="s">
        <v>84</v>
      </c>
      <c r="H70" s="93"/>
      <c r="I70" s="93">
        <f t="array" ref="I70">IFERROR(INDEX('Detail inputs'!$B$3:$L$304,MATCH($B70&amp;$G70&amp;I$5,'Detail inputs'!$B$3:$B$304&amp;'Detail inputs'!$G$3:$G$304&amp;'Detail inputs'!$H$3:$H$304,0),MATCH(I$4,'Detail inputs'!$B$3:$L$3,0)),0)</f>
        <v>1.8</v>
      </c>
      <c r="J70" s="93">
        <f>IF(AND(H70="",I70=""),"",H70+I70*$F70/1000)</f>
        <v>36</v>
      </c>
      <c r="K70" s="44">
        <f>IFERROR(J70/J72,"")</f>
        <v>9.2544987146529561E-2</v>
      </c>
      <c r="L70" s="44"/>
      <c r="M70" s="49">
        <f>IF(OR(J70=0,Q70=""),"",Q70/J70-1)</f>
        <v>0.12777777777777755</v>
      </c>
      <c r="N70" s="44"/>
      <c r="O70" s="93"/>
      <c r="P70" s="93">
        <f t="array" ref="P70">IFERROR(INDEX('Detail inputs'!$B$3:$L$304,MATCH($B70&amp;$G70&amp;P$5,'Detail inputs'!$B$3:$B$304&amp;'Detail inputs'!$G$3:$G$304&amp;'Detail inputs'!$H$3:$H$304,0),MATCH(P$4,'Detail inputs'!$B$3:$L$3,0)),0)</f>
        <v>2.0299999999999998</v>
      </c>
      <c r="Q70" s="93">
        <f>IF(AND(O70="",P70=""),"",O70+P70*$F70/1000)</f>
        <v>40.599999999999994</v>
      </c>
      <c r="R70" s="44">
        <f>IFERROR(Q70/Q72,"")</f>
        <v>0.11809191390343221</v>
      </c>
    </row>
    <row r="71" spans="1:22" s="21" customFormat="1" x14ac:dyDescent="0.3">
      <c r="A71" s="3"/>
      <c r="B71" s="3" t="str">
        <f t="shared" si="28"/>
        <v>Endeavour</v>
      </c>
      <c r="C71" s="3" t="str">
        <f t="shared" si="28"/>
        <v>Small business</v>
      </c>
      <c r="D71" s="3" t="str">
        <f t="shared" si="28"/>
        <v>without CL</v>
      </c>
      <c r="E71" s="3" t="s">
        <v>24</v>
      </c>
      <c r="F71" s="41">
        <f t="array" ref="F71">IFERROR(INDEX(Usage!$B$5:$T$18,MATCH($B71,Usage!$B$5:$B$18,0),MATCH($C71&amp;$D71&amp;$E71,Usage!$B$5:$W$5&amp;Usage!$B$6:$W$6&amp;Usage!$B$7:$W$7,0)),0)</f>
        <v>20000</v>
      </c>
      <c r="G71" s="3" t="s">
        <v>81</v>
      </c>
      <c r="H71" s="93"/>
      <c r="I71" s="93">
        <f t="array" ref="I71">ROUND(IFERROR(INDEX('Detail inputs'!$B$3:$L$304,MATCH($B71&amp;$C71&amp;$E71&amp;$G71&amp;I$5,'Detail inputs'!$B$3:$B$304&amp;'Detail inputs'!$D$3:$D$304&amp;'Detail inputs'!$F$3:$F$304&amp;'Detail inputs'!$G$3:$G$304&amp;'Detail inputs'!$H$3:$H$304,0),MATCH(I$4,'Detail inputs'!$B$3:$L$3,0)),0)*SUM(I68:I70),2)</f>
        <v>1.01</v>
      </c>
      <c r="J71" s="93">
        <f>IF(AND(H71="",I71=""),"",H71+I71*$F71/1000)</f>
        <v>20.2</v>
      </c>
      <c r="K71" s="44">
        <f>IFERROR(J71/J72,"")</f>
        <v>5.19280205655527E-2</v>
      </c>
      <c r="L71" s="44"/>
      <c r="M71" s="49">
        <f>IF(OR(J71=0,Q71=""),"",Q71/J71-1)</f>
        <v>-0.12871287128712861</v>
      </c>
      <c r="N71" s="44"/>
      <c r="O71" s="93"/>
      <c r="P71" s="93">
        <f t="array" ref="P71">ROUND(IFERROR(INDEX('Detail inputs'!$B$3:$L$304,MATCH($B71&amp;$C71&amp;$E71&amp;$G71&amp;P$5,'Detail inputs'!$B$3:$B$304&amp;'Detail inputs'!$D$3:$D$304&amp;'Detail inputs'!$F$3:$F$304&amp;'Detail inputs'!$G$3:$G$304&amp;'Detail inputs'!$H$3:$H$304,0),MATCH(P$4,'Detail inputs'!$B$3:$L$3,0)),0)*SUM(P68:P70),2)</f>
        <v>0.88</v>
      </c>
      <c r="Q71" s="93">
        <f>IF(AND(O71="",P71=""),"",O71+P71*$F71/1000)</f>
        <v>17.600000000000001</v>
      </c>
      <c r="R71" s="44">
        <f>IFERROR(Q71/Q72,"")</f>
        <v>5.1192553810354861E-2</v>
      </c>
    </row>
    <row r="72" spans="1:22" s="92" customFormat="1" x14ac:dyDescent="0.25">
      <c r="A72" s="81"/>
      <c r="B72" s="81" t="str">
        <f t="shared" si="28"/>
        <v>Endeavour</v>
      </c>
      <c r="C72" s="81" t="str">
        <f t="shared" si="28"/>
        <v>Small business</v>
      </c>
      <c r="D72" s="81" t="str">
        <f t="shared" si="28"/>
        <v>without CL</v>
      </c>
      <c r="E72" s="3" t="s">
        <v>24</v>
      </c>
      <c r="F72" s="41">
        <f t="array" ref="F72">IFERROR(INDEX(Usage!$B$5:$T$18,MATCH($B72,Usage!$B$5:$B$18,0),MATCH($C72&amp;$D72&amp;$E72,Usage!$B$5:$W$5&amp;Usage!$B$6:$W$6&amp;Usage!$B$7:$W$7,0)),0)</f>
        <v>20000</v>
      </c>
      <c r="G72" s="81" t="s">
        <v>58</v>
      </c>
      <c r="H72" s="99"/>
      <c r="I72" s="99">
        <f t="array" ref="I72">INDEX('Key inputs'!$B$15:$G$33,MATCH($B72&amp;$E72,'Key inputs'!$B$15:$B$33&amp;'Key inputs'!$C$15:$C$33,0),MATCH($A$2&amp;I$4,'Key inputs'!$B$16:$G$16&amp;'Key inputs'!$B$17:$G$17,0))</f>
        <v>19.45</v>
      </c>
      <c r="J72" s="93">
        <f t="shared" ref="J72" si="29">IF(AND(H72="",I72=""),"",H72+I72*$F72/1000)</f>
        <v>389</v>
      </c>
      <c r="K72" s="91"/>
      <c r="M72" s="83">
        <f>IF(OR(J72=0,Q72=""),"",Q72/J72-1)</f>
        <v>-0.11619537275064262</v>
      </c>
      <c r="O72" s="99"/>
      <c r="P72" s="99">
        <f t="array" ref="P72">INDEX('Key inputs'!$B$15:$G$33,MATCH($B72&amp;$E72,'Key inputs'!$B$15:$B$33&amp;'Key inputs'!$C$15:$C$33,0),MATCH($A$2&amp;P$4,'Key inputs'!$B$16:$G$16&amp;'Key inputs'!$B$17:$G$17,0))</f>
        <v>17.190000000000001</v>
      </c>
      <c r="Q72" s="93">
        <f t="shared" ref="Q72" si="30">IF(AND(O72="",P72=""),"",O72+P72*$F72/1000)</f>
        <v>343.8</v>
      </c>
      <c r="R72" s="91"/>
      <c r="S72" s="142" t="b">
        <f>ROUND(I72,$W$5)=ROUND(SUM(I68:I71),$W$5)</f>
        <v>1</v>
      </c>
      <c r="T72" s="142" t="b">
        <f>ROUND(P72,$W$5)=ROUND(SUM(P68:P71),$W$5)</f>
        <v>1</v>
      </c>
      <c r="U72" s="99"/>
      <c r="V72" s="99"/>
    </row>
    <row r="73" spans="1:22" s="21" customFormat="1" x14ac:dyDescent="0.3">
      <c r="A73" s="3"/>
      <c r="B73" s="3" t="str">
        <f t="shared" si="28"/>
        <v>Endeavour</v>
      </c>
      <c r="C73" s="3" t="str">
        <f t="shared" si="28"/>
        <v>Small business</v>
      </c>
      <c r="D73" s="3" t="str">
        <f t="shared" si="28"/>
        <v>without CL</v>
      </c>
      <c r="E73" s="3"/>
      <c r="F73" s="41"/>
      <c r="G73" s="81" t="s">
        <v>41</v>
      </c>
      <c r="H73" s="99"/>
      <c r="I73" s="99"/>
      <c r="J73" s="99">
        <f>J72*GST</f>
        <v>38.900000000000006</v>
      </c>
      <c r="K73" s="91"/>
      <c r="L73" s="92"/>
      <c r="M73" s="83"/>
      <c r="N73" s="92"/>
      <c r="O73" s="99"/>
      <c r="P73" s="99"/>
      <c r="Q73" s="99">
        <f>Q72*GST</f>
        <v>34.380000000000003</v>
      </c>
      <c r="R73" s="79"/>
    </row>
    <row r="74" spans="1:22" s="21" customFormat="1" x14ac:dyDescent="0.3">
      <c r="A74" s="3"/>
      <c r="B74" s="3" t="str">
        <f t="shared" si="28"/>
        <v>Endeavour</v>
      </c>
      <c r="C74" s="3" t="str">
        <f t="shared" si="28"/>
        <v>Small business</v>
      </c>
      <c r="D74" s="3" t="str">
        <f t="shared" si="28"/>
        <v>without CL</v>
      </c>
      <c r="E74" s="3"/>
      <c r="F74" s="41"/>
      <c r="G74" s="5" t="s">
        <v>91</v>
      </c>
      <c r="H74" s="98"/>
      <c r="I74" s="98"/>
      <c r="J74" s="98">
        <f>SUM(J72:J73)</f>
        <v>427.9</v>
      </c>
      <c r="K74" s="79"/>
      <c r="L74" s="27"/>
      <c r="M74" s="80">
        <f>IF(OR(J74=0,Q74=""),"",Q74/J74-1)</f>
        <v>-0.11619537275064262</v>
      </c>
      <c r="N74" s="27"/>
      <c r="O74" s="98"/>
      <c r="P74" s="98"/>
      <c r="Q74" s="98">
        <f>SUM(Q72:Q73)</f>
        <v>378.18</v>
      </c>
      <c r="R74" s="79"/>
    </row>
    <row r="75" spans="1:22" s="21" customFormat="1" x14ac:dyDescent="0.3">
      <c r="A75" s="3"/>
      <c r="B75" s="3"/>
      <c r="C75" s="3"/>
      <c r="D75" s="3"/>
      <c r="E75" s="3"/>
      <c r="F75" s="41"/>
      <c r="G75" s="3"/>
      <c r="H75" s="93"/>
      <c r="I75" s="93"/>
      <c r="J75" s="93"/>
      <c r="K75" s="44"/>
      <c r="M75" s="49"/>
      <c r="O75" s="93"/>
      <c r="P75" s="93"/>
      <c r="Q75" s="93"/>
      <c r="R75" s="44"/>
    </row>
    <row r="76" spans="1:22" s="21" customFormat="1" x14ac:dyDescent="0.3">
      <c r="A76" s="3"/>
      <c r="B76" s="5" t="s">
        <v>3</v>
      </c>
      <c r="C76" s="5" t="s">
        <v>6</v>
      </c>
      <c r="D76" s="5" t="s">
        <v>158</v>
      </c>
      <c r="E76" s="3"/>
      <c r="F76" s="41"/>
      <c r="G76" s="3"/>
      <c r="H76" s="93"/>
      <c r="I76" s="93"/>
      <c r="J76" s="93"/>
      <c r="K76" s="44"/>
      <c r="M76" s="49"/>
      <c r="O76" s="93"/>
      <c r="P76" s="93"/>
      <c r="Q76" s="93"/>
      <c r="R76" s="44"/>
    </row>
    <row r="77" spans="1:22" s="21" customFormat="1" x14ac:dyDescent="0.3">
      <c r="A77" s="3"/>
      <c r="B77" s="3" t="str">
        <f t="shared" ref="B77:D83" si="31">B76</f>
        <v>Essential</v>
      </c>
      <c r="C77" s="3" t="str">
        <f t="shared" si="31"/>
        <v>Residential</v>
      </c>
      <c r="D77" s="3" t="str">
        <f t="shared" si="31"/>
        <v>without CL</v>
      </c>
      <c r="E77" s="3" t="s">
        <v>24</v>
      </c>
      <c r="F77" s="41">
        <f t="array" ref="F77">IFERROR(INDEX(Usage!$B$5:$T$18,MATCH($B77,Usage!$B$5:$B$18,0),MATCH($C77&amp;$D77&amp;$E77&amp;"Total",Usage!$B$5:$W$5&amp;Usage!$B$6:$W$6&amp;Usage!$B$7:$W$7&amp;Usage!$B$13:$W$13,0)),0)</f>
        <v>4600</v>
      </c>
      <c r="G77" s="3" t="s">
        <v>82</v>
      </c>
      <c r="H77" s="93"/>
      <c r="I77" s="93">
        <f t="array" ref="I77">IFERROR(INDEX('Detail inputs'!$B$3:$L$304,MATCH($B77&amp;$G77&amp;I$5,'Detail inputs'!$B$3:$B$304&amp;'Detail inputs'!$G$3:$G$304&amp;'Detail inputs'!$H$3:$H$304,0),MATCH(I$4,'Detail inputs'!$B$3:$L$3,0)),0)</f>
        <v>9.3800000000000008</v>
      </c>
      <c r="J77" s="93">
        <f>IF(AND(H77="",I77=""),"",H77+I77*$F77/1000)</f>
        <v>43.148000000000003</v>
      </c>
      <c r="K77" s="44">
        <f>IFERROR(J77/J81,"")</f>
        <v>0.48077908764736038</v>
      </c>
      <c r="L77" s="44"/>
      <c r="M77" s="49">
        <f>IF(OR(J77=0,Q77=""),"",Q77/J77-1)</f>
        <v>-0.51385927505330498</v>
      </c>
      <c r="N77" s="44"/>
      <c r="O77" s="93"/>
      <c r="P77" s="93">
        <f t="array" ref="P77">IFERROR(INDEX('Detail inputs'!$B$3:$L$304,MATCH($B77&amp;$G77&amp;P$5,'Detail inputs'!$B$3:$B$304&amp;'Detail inputs'!$G$3:$G$304&amp;'Detail inputs'!$H$3:$H$304,0),MATCH(P$4,'Detail inputs'!$B$3:$L$3,0)),0)</f>
        <v>4.5599999999999996</v>
      </c>
      <c r="Q77" s="93">
        <f>IF(AND(O77="",P77=""),"",O77+P77*$F77/1000)</f>
        <v>20.975999999999999</v>
      </c>
      <c r="R77" s="44">
        <f>IFERROR(Q77/Q81,"")</f>
        <v>0.26557949912638318</v>
      </c>
    </row>
    <row r="78" spans="1:22" s="21" customFormat="1" x14ac:dyDescent="0.3">
      <c r="A78" s="3"/>
      <c r="B78" s="3" t="str">
        <f t="shared" si="31"/>
        <v>Essential</v>
      </c>
      <c r="C78" s="3" t="str">
        <f t="shared" si="31"/>
        <v>Residential</v>
      </c>
      <c r="D78" s="3" t="str">
        <f t="shared" si="31"/>
        <v>without CL</v>
      </c>
      <c r="E78" s="3" t="s">
        <v>24</v>
      </c>
      <c r="F78" s="41">
        <f t="array" ref="F78">IFERROR(INDEX(Usage!$B$5:$T$18,MATCH($B78,Usage!$B$5:$B$18,0),MATCH($C78&amp;$D78&amp;$E78&amp;"Total",Usage!$B$5:$W$5&amp;Usage!$B$6:$W$6&amp;Usage!$B$7:$W$7&amp;Usage!$B$13:$W$13,0)),0)</f>
        <v>4600</v>
      </c>
      <c r="G78" s="3" t="s">
        <v>83</v>
      </c>
      <c r="H78" s="93"/>
      <c r="I78" s="93">
        <f t="array" ref="I78">IFERROR(INDEX('Detail inputs'!$B$3:$L$304,MATCH($B78&amp;$G78&amp;I$5,'Detail inputs'!$B$3:$B$304&amp;'Detail inputs'!$G$3:$G$304&amp;'Detail inputs'!$H$3:$H$304,0),MATCH(I$4,'Detail inputs'!$B$3:$L$3,0)),0)</f>
        <v>7.26</v>
      </c>
      <c r="J78" s="93">
        <f>IF(AND(H78="",I78=""),"",H78+I78*$F78/1000)</f>
        <v>33.396000000000001</v>
      </c>
      <c r="K78" s="44">
        <f>IFERROR(J78/J81,"")</f>
        <v>0.37211686314710407</v>
      </c>
      <c r="L78" s="44"/>
      <c r="M78" s="49">
        <f>IF(OR(J78=0,Q78=""),"",Q78/J78-1)</f>
        <v>0.33884297520661155</v>
      </c>
      <c r="N78" s="44"/>
      <c r="O78" s="93"/>
      <c r="P78" s="93">
        <f t="array" ref="P78">IFERROR(INDEX('Detail inputs'!$B$3:$L$304,MATCH($B78&amp;$G78&amp;P$5,'Detail inputs'!$B$3:$B$304&amp;'Detail inputs'!$G$3:$G$304&amp;'Detail inputs'!$H$3:$H$304,0),MATCH(P$4,'Detail inputs'!$B$3:$L$3,0)),0)</f>
        <v>9.7200000000000006</v>
      </c>
      <c r="Q78" s="93">
        <f>IF(AND(O78="",P78=""),"",O78+P78*$F78/1000)</f>
        <v>44.712000000000003</v>
      </c>
      <c r="R78" s="44">
        <f>IFERROR(Q78/Q81,"")</f>
        <v>0.56610366919044841</v>
      </c>
    </row>
    <row r="79" spans="1:22" s="21" customFormat="1" x14ac:dyDescent="0.3">
      <c r="A79" s="3"/>
      <c r="B79" s="3" t="str">
        <f t="shared" si="31"/>
        <v>Essential</v>
      </c>
      <c r="C79" s="3" t="str">
        <f t="shared" si="31"/>
        <v>Residential</v>
      </c>
      <c r="D79" s="3" t="str">
        <f t="shared" si="31"/>
        <v>without CL</v>
      </c>
      <c r="E79" s="3" t="s">
        <v>24</v>
      </c>
      <c r="F79" s="41">
        <f t="array" ref="F79">IFERROR(INDEX(Usage!$B$5:$T$18,MATCH($B79,Usage!$B$5:$B$18,0),MATCH($C79&amp;$D79&amp;$E79&amp;"Total",Usage!$B$5:$W$5&amp;Usage!$B$6:$W$6&amp;Usage!$B$7:$W$7&amp;Usage!$B$13:$W$13,0)),0)</f>
        <v>4600</v>
      </c>
      <c r="G79" s="3" t="s">
        <v>84</v>
      </c>
      <c r="H79" s="93"/>
      <c r="I79" s="93">
        <f t="array" ref="I79">IFERROR(INDEX('Detail inputs'!$B$3:$L$304,MATCH($B79&amp;$G79&amp;I$5,'Detail inputs'!$B$3:$B$304&amp;'Detail inputs'!$G$3:$G$304&amp;'Detail inputs'!$H$3:$H$304,0),MATCH(I$4,'Detail inputs'!$B$3:$L$3,0)),0)</f>
        <v>1.8</v>
      </c>
      <c r="J79" s="93">
        <f>IF(AND(H79="",I79=""),"",H79+I79*$F79/1000)</f>
        <v>8.2799999999999994</v>
      </c>
      <c r="K79" s="44">
        <f>IFERROR(J79/J81,"")</f>
        <v>9.2260379292670419E-2</v>
      </c>
      <c r="L79" s="44"/>
      <c r="M79" s="49">
        <f>IF(OR(J79=0,Q79=""),"",Q79/J79-1)</f>
        <v>0.12777777777777777</v>
      </c>
      <c r="N79" s="44"/>
      <c r="O79" s="93"/>
      <c r="P79" s="93">
        <f t="array" ref="P79">IFERROR(INDEX('Detail inputs'!$B$3:$L$304,MATCH($B79&amp;$G79&amp;P$5,'Detail inputs'!$B$3:$B$304&amp;'Detail inputs'!$G$3:$G$304&amp;'Detail inputs'!$H$3:$H$304,0),MATCH(P$4,'Detail inputs'!$B$3:$L$3,0)),0)</f>
        <v>2.0299999999999998</v>
      </c>
      <c r="Q79" s="93">
        <f>IF(AND(O79="",P79=""),"",O79+P79*$F79/1000)</f>
        <v>9.3379999999999992</v>
      </c>
      <c r="R79" s="44">
        <f>IFERROR(Q79/Q81,"")</f>
        <v>0.11822947000582408</v>
      </c>
    </row>
    <row r="80" spans="1:22" s="21" customFormat="1" x14ac:dyDescent="0.3">
      <c r="A80" s="3"/>
      <c r="B80" s="3" t="str">
        <f t="shared" si="31"/>
        <v>Essential</v>
      </c>
      <c r="C80" s="3" t="str">
        <f t="shared" si="31"/>
        <v>Residential</v>
      </c>
      <c r="D80" s="3" t="str">
        <f t="shared" si="31"/>
        <v>without CL</v>
      </c>
      <c r="E80" s="3" t="s">
        <v>24</v>
      </c>
      <c r="F80" s="41">
        <f t="array" ref="F80">IFERROR(INDEX(Usage!$B$5:$T$18,MATCH($B80,Usage!$B$5:$B$18,0),MATCH($C80&amp;$D80&amp;$E80&amp;"Total",Usage!$B$5:$W$5&amp;Usage!$B$6:$W$6&amp;Usage!$B$7:$W$7&amp;Usage!$B$13:$W$13,0)),0)</f>
        <v>4600</v>
      </c>
      <c r="G80" s="3" t="s">
        <v>81</v>
      </c>
      <c r="H80" s="93"/>
      <c r="I80" s="93">
        <f t="array" ref="I80">ROUND(IFERROR(INDEX('Detail inputs'!$B$3:$L$304,MATCH($B80&amp;$C80&amp;$E80&amp;$G80&amp;I$5,'Detail inputs'!$B$3:$B$304&amp;'Detail inputs'!$D$3:$D$304&amp;'Detail inputs'!$F$3:$F$304&amp;'Detail inputs'!$G$3:$G$304&amp;'Detail inputs'!$H$3:$H$304,0),MATCH(I$4,'Detail inputs'!$B$3:$L$3,0)),0)*SUM(I77:I79),2)</f>
        <v>1.07</v>
      </c>
      <c r="J80" s="93">
        <f>IF(AND(H80="",I80=""),"",H80+I80*$F80/1000)</f>
        <v>4.9219999999999997</v>
      </c>
      <c r="K80" s="44">
        <f>IFERROR(J80/J81,"")</f>
        <v>5.4843669912865198E-2</v>
      </c>
      <c r="L80" s="44"/>
      <c r="M80" s="49">
        <f>IF(OR(J80=0,Q80=""),"",Q80/J80-1)</f>
        <v>-0.19626168224299056</v>
      </c>
      <c r="N80" s="44"/>
      <c r="O80" s="93"/>
      <c r="P80" s="93">
        <f t="array" ref="P80">ROUND(IFERROR(INDEX('Detail inputs'!$B$3:$L$304,MATCH($B80&amp;$C80&amp;$E80&amp;$G80&amp;P$5,'Detail inputs'!$B$3:$B$304&amp;'Detail inputs'!$D$3:$D$304&amp;'Detail inputs'!$F$3:$F$304&amp;'Detail inputs'!$G$3:$G$304&amp;'Detail inputs'!$H$3:$H$304,0),MATCH(P$4,'Detail inputs'!$B$3:$L$3,0)),0)*SUM(P77:P79),2)</f>
        <v>0.86</v>
      </c>
      <c r="Q80" s="93">
        <f>IF(AND(O80="",P80=""),"",O80+P80*$F80/1000)</f>
        <v>3.956</v>
      </c>
      <c r="R80" s="44">
        <f>IFERROR(Q80/Q81,"")</f>
        <v>5.0087361677344198E-2</v>
      </c>
    </row>
    <row r="81" spans="1:22" s="92" customFormat="1" x14ac:dyDescent="0.25">
      <c r="A81" s="81"/>
      <c r="B81" s="81" t="str">
        <f t="shared" si="31"/>
        <v>Essential</v>
      </c>
      <c r="C81" s="81" t="str">
        <f t="shared" si="31"/>
        <v>Residential</v>
      </c>
      <c r="D81" s="81" t="str">
        <f t="shared" si="31"/>
        <v>without CL</v>
      </c>
      <c r="E81" s="3" t="s">
        <v>24</v>
      </c>
      <c r="F81" s="41">
        <f t="array" ref="F81">IFERROR(INDEX(Usage!$B$5:$T$18,MATCH($B81,Usage!$B$5:$B$18,0),MATCH($C81&amp;$D81&amp;$E81&amp;"Total",Usage!$B$5:$W$5&amp;Usage!$B$6:$W$6&amp;Usage!$B$7:$W$7&amp;Usage!$B$13:$W$13,0)),0)</f>
        <v>4600</v>
      </c>
      <c r="G81" s="81" t="s">
        <v>58</v>
      </c>
      <c r="H81" s="99"/>
      <c r="I81" s="99">
        <f t="array" ref="I81">INDEX('Key inputs'!$B$15:$G$33,MATCH($B81&amp;$E81,'Key inputs'!$B$15:$B$33&amp;'Key inputs'!$C$15:$C$33,0),MATCH($A$2&amp;I$4,'Key inputs'!$B$16:$G$16&amp;'Key inputs'!$B$17:$G$17,0))</f>
        <v>19.510000000000002</v>
      </c>
      <c r="J81" s="93">
        <f t="shared" ref="J81" si="32">IF(AND(H81="",I81=""),"",H81+I81*$F81/1000)</f>
        <v>89.745999999999995</v>
      </c>
      <c r="K81" s="91"/>
      <c r="M81" s="83">
        <f>IF(OR(J81=0,Q81=""),"",Q81/J81-1)</f>
        <v>-0.11993849308047133</v>
      </c>
      <c r="O81" s="99"/>
      <c r="P81" s="99">
        <f t="array" ref="P81">INDEX('Key inputs'!$B$15:$G$33,MATCH($B81&amp;$E81,'Key inputs'!$B$15:$B$33&amp;'Key inputs'!$C$15:$C$33,0),MATCH($A$2&amp;P$4,'Key inputs'!$B$16:$G$16&amp;'Key inputs'!$B$17:$G$17,0))</f>
        <v>17.170000000000002</v>
      </c>
      <c r="Q81" s="93">
        <f t="shared" ref="Q81" si="33">IF(AND(O81="",P81=""),"",O81+P81*$F81/1000)</f>
        <v>78.982000000000014</v>
      </c>
      <c r="R81" s="91"/>
      <c r="S81" s="142" t="b">
        <f>ROUND(I81,$W$5)=ROUND(SUM(I77:I80),$W$5)</f>
        <v>1</v>
      </c>
      <c r="T81" s="142" t="b">
        <f>ROUND(P81,$W$5)=ROUND(SUM(P77:P80),$W$5)</f>
        <v>1</v>
      </c>
      <c r="U81" s="99"/>
      <c r="V81" s="99"/>
    </row>
    <row r="82" spans="1:22" s="21" customFormat="1" x14ac:dyDescent="0.3">
      <c r="A82" s="3"/>
      <c r="B82" s="3" t="str">
        <f t="shared" si="31"/>
        <v>Essential</v>
      </c>
      <c r="C82" s="3" t="str">
        <f t="shared" si="31"/>
        <v>Residential</v>
      </c>
      <c r="D82" s="3" t="str">
        <f t="shared" si="31"/>
        <v>without CL</v>
      </c>
      <c r="E82" s="3"/>
      <c r="F82" s="41"/>
      <c r="G82" s="81" t="s">
        <v>41</v>
      </c>
      <c r="H82" s="99"/>
      <c r="I82" s="99"/>
      <c r="J82" s="99">
        <f>J81*GST</f>
        <v>8.9746000000000006</v>
      </c>
      <c r="K82" s="91"/>
      <c r="L82" s="92"/>
      <c r="M82" s="83"/>
      <c r="N82" s="92"/>
      <c r="O82" s="99"/>
      <c r="P82" s="99"/>
      <c r="Q82" s="99">
        <f>Q81*GST</f>
        <v>7.8982000000000019</v>
      </c>
      <c r="R82" s="79"/>
    </row>
    <row r="83" spans="1:22" s="21" customFormat="1" x14ac:dyDescent="0.3">
      <c r="A83" s="3"/>
      <c r="B83" s="3" t="str">
        <f t="shared" si="31"/>
        <v>Essential</v>
      </c>
      <c r="C83" s="3" t="str">
        <f t="shared" si="31"/>
        <v>Residential</v>
      </c>
      <c r="D83" s="3" t="str">
        <f t="shared" si="31"/>
        <v>without CL</v>
      </c>
      <c r="E83" s="3"/>
      <c r="F83" s="41"/>
      <c r="G83" s="5" t="s">
        <v>91</v>
      </c>
      <c r="H83" s="98"/>
      <c r="I83" s="98"/>
      <c r="J83" s="98">
        <f>SUM(J81:J82)</f>
        <v>98.72059999999999</v>
      </c>
      <c r="K83" s="79"/>
      <c r="L83" s="27"/>
      <c r="M83" s="80">
        <f>IF(OR(J83=0,Q83=""),"",Q83/J83-1)</f>
        <v>-0.11993849308047133</v>
      </c>
      <c r="N83" s="27"/>
      <c r="O83" s="98"/>
      <c r="P83" s="98"/>
      <c r="Q83" s="98">
        <f>SUM(Q81:Q82)</f>
        <v>86.880200000000016</v>
      </c>
      <c r="R83" s="79"/>
    </row>
    <row r="84" spans="1:22" s="21" customFormat="1" x14ac:dyDescent="0.3">
      <c r="A84" s="3"/>
      <c r="B84" s="3"/>
      <c r="C84" s="3"/>
      <c r="D84" s="3"/>
      <c r="E84" s="3"/>
      <c r="F84" s="41"/>
      <c r="G84" s="3"/>
      <c r="H84" s="93"/>
      <c r="I84" s="93"/>
      <c r="J84" s="93"/>
      <c r="K84" s="44"/>
      <c r="M84" s="49"/>
      <c r="O84" s="93"/>
      <c r="P84" s="93"/>
      <c r="Q84" s="93"/>
      <c r="R84" s="44"/>
    </row>
    <row r="85" spans="1:22" s="21" customFormat="1" x14ac:dyDescent="0.3">
      <c r="A85" s="3"/>
      <c r="B85" s="5" t="s">
        <v>3</v>
      </c>
      <c r="C85" s="5" t="s">
        <v>6</v>
      </c>
      <c r="D85" s="5" t="s">
        <v>159</v>
      </c>
      <c r="E85" s="3"/>
      <c r="F85" s="41"/>
      <c r="G85" s="3"/>
      <c r="H85" s="93"/>
      <c r="I85" s="93"/>
      <c r="J85" s="93"/>
      <c r="K85" s="44"/>
      <c r="M85" s="49"/>
      <c r="O85" s="93"/>
      <c r="P85" s="93"/>
      <c r="Q85" s="93"/>
      <c r="R85" s="44"/>
    </row>
    <row r="86" spans="1:22" s="21" customFormat="1" x14ac:dyDescent="0.3">
      <c r="A86" s="3"/>
      <c r="B86" s="3" t="str">
        <f t="shared" ref="B86:B97" si="34">B85</f>
        <v>Essential</v>
      </c>
      <c r="C86" s="3" t="str">
        <f t="shared" ref="C86:C97" si="35">C85</f>
        <v>Residential</v>
      </c>
      <c r="D86" s="3" t="str">
        <f t="shared" ref="D86:D97" si="36">D85</f>
        <v>with CL</v>
      </c>
      <c r="E86" s="3" t="s">
        <v>24</v>
      </c>
      <c r="F86" s="41">
        <f t="array" ref="F86">IFERROR(INDEX(Usage!$B$5:$T$18,MATCH($B86,Usage!$B$5:$B$18,0),MATCH($C86&amp;$D86&amp;$E86&amp;"Total",Usage!$B$5:$W$5&amp;Usage!$B$6:$W$6&amp;Usage!$B$7:$W$7&amp;Usage!$B$13:$W$13,0)),0)</f>
        <v>4600</v>
      </c>
      <c r="G86" s="3" t="s">
        <v>58</v>
      </c>
      <c r="H86" s="93"/>
      <c r="I86" s="93">
        <f>I81</f>
        <v>19.510000000000002</v>
      </c>
      <c r="J86" s="93">
        <f>IF(AND(H86="",I86=""),"",H86+I86*$F86/1000)</f>
        <v>89.745999999999995</v>
      </c>
      <c r="K86" s="44"/>
      <c r="M86" s="49">
        <f>IF(OR(J86=0,Q86=""),"",Q86/J86-1)</f>
        <v>-0.11993849308047133</v>
      </c>
      <c r="O86" s="93"/>
      <c r="P86" s="93">
        <f>P81</f>
        <v>17.170000000000002</v>
      </c>
      <c r="Q86" s="93">
        <f>IF(AND(O86="",P86=""),"",O86+P86*$F86/1000)</f>
        <v>78.982000000000014</v>
      </c>
      <c r="R86" s="44"/>
    </row>
    <row r="87" spans="1:22" s="21" customFormat="1" x14ac:dyDescent="0.3">
      <c r="A87" s="3"/>
      <c r="B87" s="3" t="str">
        <f t="shared" si="34"/>
        <v>Essential</v>
      </c>
      <c r="C87" s="3" t="str">
        <f t="shared" si="35"/>
        <v>Residential</v>
      </c>
      <c r="D87" s="3" t="str">
        <f t="shared" si="36"/>
        <v>with CL</v>
      </c>
      <c r="E87" s="3" t="s">
        <v>15</v>
      </c>
      <c r="F87" s="41">
        <f t="array" ref="F87">IFERROR(INDEX(Usage!$B$5:$T$18,MATCH($B87,Usage!$B$5:$B$18,0),MATCH($C87&amp;$D87&amp;$E87,Usage!$B$5:$W$5&amp;Usage!$B$6:$W$6&amp;Usage!$B$7:$W$7,0)),0)</f>
        <v>1540</v>
      </c>
      <c r="G87" s="3" t="s">
        <v>82</v>
      </c>
      <c r="H87" s="93"/>
      <c r="I87" s="93">
        <f t="array" ref="I87">IFERROR(INDEX('Detail inputs'!$B$3:$L$304,MATCH($B87&amp;$G87&amp;I$5,'Detail inputs'!$B$3:$B$304&amp;'Detail inputs'!$G$3:$G$304&amp;'Detail inputs'!$H$3:$H$304,0),MATCH(I$4,'Detail inputs'!$B$3:$L$3,0)),0)</f>
        <v>9.3800000000000008</v>
      </c>
      <c r="J87" s="93">
        <f>IF(AND(H87="",I87=""),"",H87+I87*$F87/1000)</f>
        <v>14.445200000000002</v>
      </c>
      <c r="K87" s="44">
        <f>IFERROR(J87/J91,"")</f>
        <v>0.48077908764736038</v>
      </c>
      <c r="L87" s="44"/>
      <c r="M87" s="49">
        <f t="shared" ref="M87:M97" si="37">IF(OR(J87=0,Q87=""),"",Q87/J87-1)</f>
        <v>-0.51385927505330509</v>
      </c>
      <c r="N87" s="44"/>
      <c r="O87" s="93"/>
      <c r="P87" s="93">
        <f t="array" ref="P87">IFERROR(INDEX('Detail inputs'!$B$3:$L$304,MATCH($B87&amp;$G87&amp;P$5,'Detail inputs'!$B$3:$B$304&amp;'Detail inputs'!$G$3:$G$304&amp;'Detail inputs'!$H$3:$H$304,0),MATCH(P$4,'Detail inputs'!$B$3:$L$3,0)),0)</f>
        <v>4.5599999999999996</v>
      </c>
      <c r="Q87" s="93">
        <f>IF(AND(O87="",P87=""),"",O87+P87*$F87/1000)</f>
        <v>7.0223999999999993</v>
      </c>
      <c r="R87" s="44">
        <f>IFERROR(Q87/Q91,"")</f>
        <v>0.26557949912638318</v>
      </c>
    </row>
    <row r="88" spans="1:22" s="21" customFormat="1" x14ac:dyDescent="0.3">
      <c r="A88" s="3"/>
      <c r="B88" s="3" t="str">
        <f t="shared" si="34"/>
        <v>Essential</v>
      </c>
      <c r="C88" s="3" t="str">
        <f t="shared" si="35"/>
        <v>Residential</v>
      </c>
      <c r="D88" s="3" t="str">
        <f t="shared" si="36"/>
        <v>with CL</v>
      </c>
      <c r="E88" s="3" t="s">
        <v>15</v>
      </c>
      <c r="F88" s="41">
        <f t="array" ref="F88">IFERROR(INDEX(Usage!$B$5:$T$18,MATCH($B88,Usage!$B$5:$B$18,0),MATCH($C88&amp;$D88&amp;$E88,Usage!$B$5:$W$5&amp;Usage!$B$6:$W$6&amp;Usage!$B$7:$W$7,0)),0)</f>
        <v>1540</v>
      </c>
      <c r="G88" s="3" t="s">
        <v>83</v>
      </c>
      <c r="H88" s="93"/>
      <c r="I88" s="93">
        <f t="array" ref="I88">IFERROR(INDEX('Detail inputs'!$B$3:$L$304,MATCH($B88&amp;$G88&amp;I$5,'Detail inputs'!$B$3:$B$304&amp;'Detail inputs'!$G$3:$G$304&amp;'Detail inputs'!$H$3:$H$304,0),MATCH(I$4,'Detail inputs'!$B$3:$L$3,0)),0)</f>
        <v>7.26</v>
      </c>
      <c r="J88" s="93">
        <f>IF(AND(H88="",I88=""),"",H88+I88*$F88/1000)</f>
        <v>11.180399999999999</v>
      </c>
      <c r="K88" s="44">
        <f>IFERROR(J88/J91,"")</f>
        <v>0.37211686314710402</v>
      </c>
      <c r="L88" s="44"/>
      <c r="M88" s="49">
        <f t="shared" si="37"/>
        <v>0.33884297520661177</v>
      </c>
      <c r="N88" s="44"/>
      <c r="O88" s="93"/>
      <c r="P88" s="93">
        <f t="array" ref="P88">IFERROR(INDEX('Detail inputs'!$B$3:$L$304,MATCH($B88&amp;$G88&amp;P$5,'Detail inputs'!$B$3:$B$304&amp;'Detail inputs'!$G$3:$G$304&amp;'Detail inputs'!$H$3:$H$304,0),MATCH(P$4,'Detail inputs'!$B$3:$L$3,0)),0)</f>
        <v>9.7200000000000006</v>
      </c>
      <c r="Q88" s="93">
        <f>IF(AND(O88="",P88=""),"",O88+P88*$F88/1000)</f>
        <v>14.968800000000002</v>
      </c>
      <c r="R88" s="44">
        <f>IFERROR(Q88/Q91,"")</f>
        <v>0.56610366919044841</v>
      </c>
    </row>
    <row r="89" spans="1:22" s="21" customFormat="1" x14ac:dyDescent="0.3">
      <c r="A89" s="3"/>
      <c r="B89" s="3" t="str">
        <f t="shared" si="34"/>
        <v>Essential</v>
      </c>
      <c r="C89" s="3" t="str">
        <f t="shared" si="35"/>
        <v>Residential</v>
      </c>
      <c r="D89" s="3" t="str">
        <f t="shared" si="36"/>
        <v>with CL</v>
      </c>
      <c r="E89" s="3" t="s">
        <v>15</v>
      </c>
      <c r="F89" s="41">
        <f t="array" ref="F89">IFERROR(INDEX(Usage!$B$5:$T$18,MATCH($B89,Usage!$B$5:$B$18,0),MATCH($C89&amp;$D89&amp;$E89,Usage!$B$5:$W$5&amp;Usage!$B$6:$W$6&amp;Usage!$B$7:$W$7,0)),0)</f>
        <v>1540</v>
      </c>
      <c r="G89" s="3" t="s">
        <v>84</v>
      </c>
      <c r="H89" s="93"/>
      <c r="I89" s="93">
        <f t="array" ref="I89">IFERROR(INDEX('Detail inputs'!$B$3:$L$304,MATCH($B89&amp;$G89&amp;I$5,'Detail inputs'!$B$3:$B$304&amp;'Detail inputs'!$G$3:$G$304&amp;'Detail inputs'!$H$3:$H$304,0),MATCH(I$4,'Detail inputs'!$B$3:$L$3,0)),0)</f>
        <v>1.8</v>
      </c>
      <c r="J89" s="93">
        <f>IF(AND(H89="",I89=""),"",H89+I89*$F89/1000)</f>
        <v>2.7719999999999998</v>
      </c>
      <c r="K89" s="44">
        <f>IFERROR(J89/J91,"")</f>
        <v>9.2260379292670419E-2</v>
      </c>
      <c r="L89" s="44"/>
      <c r="M89" s="49">
        <f t="shared" si="37"/>
        <v>0.12777777777777777</v>
      </c>
      <c r="N89" s="44"/>
      <c r="O89" s="93"/>
      <c r="P89" s="93">
        <f t="array" ref="P89">IFERROR(INDEX('Detail inputs'!$B$3:$L$304,MATCH($B89&amp;$G89&amp;P$5,'Detail inputs'!$B$3:$B$304&amp;'Detail inputs'!$G$3:$G$304&amp;'Detail inputs'!$H$3:$H$304,0),MATCH(P$4,'Detail inputs'!$B$3:$L$3,0)),0)</f>
        <v>2.0299999999999998</v>
      </c>
      <c r="Q89" s="93">
        <f>IF(AND(O89="",P89=""),"",O89+P89*$F89/1000)</f>
        <v>3.1261999999999999</v>
      </c>
      <c r="R89" s="44">
        <f>IFERROR(Q89/Q91,"")</f>
        <v>0.11822947000582409</v>
      </c>
    </row>
    <row r="90" spans="1:22" s="21" customFormat="1" x14ac:dyDescent="0.3">
      <c r="A90" s="3"/>
      <c r="B90" s="3" t="str">
        <f t="shared" si="34"/>
        <v>Essential</v>
      </c>
      <c r="C90" s="3" t="str">
        <f t="shared" si="35"/>
        <v>Residential</v>
      </c>
      <c r="D90" s="3" t="str">
        <f t="shared" si="36"/>
        <v>with CL</v>
      </c>
      <c r="E90" s="3" t="s">
        <v>15</v>
      </c>
      <c r="F90" s="41">
        <f t="array" ref="F90">IFERROR(INDEX(Usage!$B$5:$T$18,MATCH($B90,Usage!$B$5:$B$18,0),MATCH($C90&amp;$D90&amp;$E90,Usage!$B$5:$W$5&amp;Usage!$B$6:$W$6&amp;Usage!$B$7:$W$7,0)),0)</f>
        <v>1540</v>
      </c>
      <c r="G90" s="3" t="s">
        <v>81</v>
      </c>
      <c r="H90" s="93"/>
      <c r="I90" s="93">
        <f t="array" ref="I90">ROUND(IFERROR(INDEX('Detail inputs'!$B$3:$L$304,MATCH($B90&amp;$C90&amp;$E90&amp;$G90&amp;I$5,'Detail inputs'!$B$3:$B$304&amp;'Detail inputs'!$D$3:$D$304&amp;'Detail inputs'!$F$3:$F$304&amp;'Detail inputs'!$G$3:$G$304&amp;'Detail inputs'!$H$3:$H$304,0),MATCH(I$4,'Detail inputs'!$B$3:$L$3,0)),0)*SUM(I87:I89),2)</f>
        <v>1.07</v>
      </c>
      <c r="J90" s="93">
        <f>IF(AND(H90="",I90=""),"",H90+I90*$F90/1000)</f>
        <v>1.6478000000000002</v>
      </c>
      <c r="K90" s="44">
        <f>IFERROR(J90/J91,"")</f>
        <v>5.4843669912865198E-2</v>
      </c>
      <c r="L90" s="44"/>
      <c r="M90" s="49">
        <f t="shared" si="37"/>
        <v>-0.19626168224299068</v>
      </c>
      <c r="N90" s="44"/>
      <c r="O90" s="93"/>
      <c r="P90" s="93">
        <f t="array" ref="P90">ROUND(IFERROR(INDEX('Detail inputs'!$B$3:$L$304,MATCH($B90&amp;$C90&amp;$E90&amp;$G90&amp;P$5,'Detail inputs'!$B$3:$B$304&amp;'Detail inputs'!$D$3:$D$304&amp;'Detail inputs'!$F$3:$F$304&amp;'Detail inputs'!$G$3:$G$304&amp;'Detail inputs'!$H$3:$H$304,0),MATCH(P$4,'Detail inputs'!$B$3:$L$3,0)),0)*SUM(P87:P89),2)</f>
        <v>0.86</v>
      </c>
      <c r="Q90" s="93">
        <f>IF(AND(O90="",P90=""),"",O90+P90*$F90/1000)</f>
        <v>1.3244</v>
      </c>
      <c r="R90" s="44">
        <f>IFERROR(Q90/Q91,"")</f>
        <v>5.0087361677344198E-2</v>
      </c>
    </row>
    <row r="91" spans="1:22" s="21" customFormat="1" x14ac:dyDescent="0.25">
      <c r="A91" s="3"/>
      <c r="B91" s="3" t="str">
        <f t="shared" si="34"/>
        <v>Essential</v>
      </c>
      <c r="C91" s="3" t="str">
        <f t="shared" si="35"/>
        <v>Residential</v>
      </c>
      <c r="D91" s="3" t="str">
        <f t="shared" si="36"/>
        <v>with CL</v>
      </c>
      <c r="E91" s="3" t="s">
        <v>15</v>
      </c>
      <c r="F91" s="41">
        <f t="array" ref="F91">IFERROR(INDEX(Usage!$B$5:$T$18,MATCH($B91,Usage!$B$5:$B$18,0),MATCH($C91&amp;$D91&amp;$E91,Usage!$B$5:$W$5&amp;Usage!$B$6:$W$6&amp;Usage!$B$7:$W$7,0)),0)</f>
        <v>1540</v>
      </c>
      <c r="G91" s="3" t="s">
        <v>58</v>
      </c>
      <c r="H91" s="99"/>
      <c r="I91" s="99">
        <f t="array" ref="I91">INDEX('Key inputs'!$B$15:$G$33,MATCH($B91&amp;$E91,'Key inputs'!$B$15:$B$33&amp;'Key inputs'!$C$15:$C$33,0),MATCH($A$2&amp;I$4,'Key inputs'!$B$16:$G$16&amp;'Key inputs'!$B$17:$G$17,0))</f>
        <v>19.510000000000002</v>
      </c>
      <c r="J91" s="93">
        <f t="shared" ref="J91" si="38">IF(AND(H91="",I91=""),"",H91+I91*$F91/1000)</f>
        <v>30.045400000000001</v>
      </c>
      <c r="K91" s="91"/>
      <c r="L91" s="92"/>
      <c r="M91" s="83">
        <f t="shared" si="37"/>
        <v>-0.11993849308047144</v>
      </c>
      <c r="N91" s="92"/>
      <c r="O91" s="99"/>
      <c r="P91" s="99">
        <f t="array" ref="P91">INDEX('Key inputs'!$B$15:$G$33,MATCH($B91&amp;$E91,'Key inputs'!$B$15:$B$33&amp;'Key inputs'!$C$15:$C$33,0),MATCH($A$2&amp;P$4,'Key inputs'!$B$16:$G$16&amp;'Key inputs'!$B$17:$G$17,0))</f>
        <v>17.170000000000002</v>
      </c>
      <c r="Q91" s="93">
        <f t="shared" ref="Q91" si="39">IF(AND(O91="",P91=""),"",O91+P91*$F91/1000)</f>
        <v>26.441800000000004</v>
      </c>
      <c r="R91" s="91"/>
      <c r="S91" s="142" t="b">
        <f>ROUND(I91,$W$5)=ROUND(SUM(I87:I90),$W$5)</f>
        <v>1</v>
      </c>
      <c r="T91" s="142" t="b">
        <f>ROUND(P91,$W$5)=ROUND(SUM(P87:P90),$W$5)</f>
        <v>1</v>
      </c>
      <c r="U91" s="99"/>
      <c r="V91" s="99"/>
    </row>
    <row r="92" spans="1:22" s="21" customFormat="1" x14ac:dyDescent="0.3">
      <c r="A92" s="3"/>
      <c r="B92" s="3" t="str">
        <f t="shared" si="34"/>
        <v>Essential</v>
      </c>
      <c r="C92" s="3" t="str">
        <f t="shared" si="35"/>
        <v>Residential</v>
      </c>
      <c r="D92" s="3" t="str">
        <f t="shared" si="36"/>
        <v>with CL</v>
      </c>
      <c r="E92" s="3" t="s">
        <v>16</v>
      </c>
      <c r="F92" s="41">
        <f t="array" ref="F92">IFERROR(INDEX(Usage!$B$5:$T$18,MATCH($B92,Usage!$B$5:$B$18,0),MATCH($C92&amp;$D92&amp;$E92,Usage!$B$5:$W$5&amp;Usage!$B$6:$W$6&amp;Usage!$B$7:$W$7,0)),0)</f>
        <v>460</v>
      </c>
      <c r="G92" s="3" t="s">
        <v>82</v>
      </c>
      <c r="H92" s="93"/>
      <c r="I92" s="93">
        <f t="array" ref="I92">IFERROR(INDEX('Detail inputs'!$B$3:$L$304,MATCH($B92&amp;$G92&amp;I$5,'Detail inputs'!$B$3:$B$304&amp;'Detail inputs'!$G$3:$G$304&amp;'Detail inputs'!$H$3:$H$304,0),MATCH(I$4,'Detail inputs'!$B$3:$L$3,0)),0)</f>
        <v>9.3800000000000008</v>
      </c>
      <c r="J92" s="93">
        <f>IF(AND(H92="",I92=""),"",H92+I92*$F92/1000)</f>
        <v>4.3148</v>
      </c>
      <c r="K92" s="44">
        <f>IFERROR(J92/J96,"")</f>
        <v>0.48077908764736027</v>
      </c>
      <c r="L92" s="44"/>
      <c r="M92" s="49">
        <f t="shared" si="37"/>
        <v>-0.51385927505330486</v>
      </c>
      <c r="N92" s="44"/>
      <c r="O92" s="93"/>
      <c r="P92" s="93">
        <f t="array" ref="P92">IFERROR(INDEX('Detail inputs'!$B$3:$L$304,MATCH($B92&amp;$G92&amp;P$5,'Detail inputs'!$B$3:$B$304&amp;'Detail inputs'!$G$3:$G$304&amp;'Detail inputs'!$H$3:$H$304,0),MATCH(P$4,'Detail inputs'!$B$3:$L$3,0)),0)</f>
        <v>4.5599999999999996</v>
      </c>
      <c r="Q92" s="93">
        <f>IF(AND(O92="",P92=""),"",O92+P92*$F92/1000)</f>
        <v>2.0975999999999999</v>
      </c>
      <c r="R92" s="44">
        <f>IFERROR(Q92/Q96,"")</f>
        <v>0.26557949912638318</v>
      </c>
    </row>
    <row r="93" spans="1:22" s="21" customFormat="1" x14ac:dyDescent="0.3">
      <c r="A93" s="3"/>
      <c r="B93" s="3" t="str">
        <f t="shared" si="34"/>
        <v>Essential</v>
      </c>
      <c r="C93" s="3" t="str">
        <f t="shared" si="35"/>
        <v>Residential</v>
      </c>
      <c r="D93" s="3" t="str">
        <f t="shared" si="36"/>
        <v>with CL</v>
      </c>
      <c r="E93" s="3" t="s">
        <v>16</v>
      </c>
      <c r="F93" s="41">
        <f t="array" ref="F93">IFERROR(INDEX(Usage!$B$5:$T$18,MATCH($B93,Usage!$B$5:$B$18,0),MATCH($C93&amp;$D93&amp;$E93,Usage!$B$5:$W$5&amp;Usage!$B$6:$W$6&amp;Usage!$B$7:$W$7,0)),0)</f>
        <v>460</v>
      </c>
      <c r="G93" s="3" t="s">
        <v>83</v>
      </c>
      <c r="H93" s="99"/>
      <c r="I93" s="99">
        <f t="array" ref="I93">IFERROR(INDEX('Detail inputs'!$B$3:$L$304,MATCH($B93&amp;$G93&amp;I$5,'Detail inputs'!$B$3:$B$304&amp;'Detail inputs'!$G$3:$G$304&amp;'Detail inputs'!$H$3:$H$304,0),MATCH(I$4,'Detail inputs'!$B$3:$L$3,0)),0)</f>
        <v>7.26</v>
      </c>
      <c r="J93" s="99">
        <f>IF(AND(H93="",I93=""),"",H93+I93*$F93/1000)</f>
        <v>3.3395999999999999</v>
      </c>
      <c r="K93" s="91">
        <f>IFERROR(J93/J96,"")</f>
        <v>0.37211686314710402</v>
      </c>
      <c r="L93" s="91"/>
      <c r="M93" s="83">
        <f t="shared" si="37"/>
        <v>0.33884297520661177</v>
      </c>
      <c r="N93" s="91"/>
      <c r="O93" s="99"/>
      <c r="P93" s="99">
        <f t="array" ref="P93">IFERROR(INDEX('Detail inputs'!$B$3:$L$304,MATCH($B93&amp;$G93&amp;P$5,'Detail inputs'!$B$3:$B$304&amp;'Detail inputs'!$G$3:$G$304&amp;'Detail inputs'!$H$3:$H$304,0),MATCH(P$4,'Detail inputs'!$B$3:$L$3,0)),0)</f>
        <v>9.7200000000000006</v>
      </c>
      <c r="Q93" s="99">
        <f>IF(AND(O93="",P93=""),"",O93+P93*$F93/1000)</f>
        <v>4.4712000000000005</v>
      </c>
      <c r="R93" s="91">
        <f>IFERROR(Q93/Q96,"")</f>
        <v>0.56610366919044841</v>
      </c>
    </row>
    <row r="94" spans="1:22" s="21" customFormat="1" x14ac:dyDescent="0.3">
      <c r="A94" s="3"/>
      <c r="B94" s="3" t="str">
        <f t="shared" si="34"/>
        <v>Essential</v>
      </c>
      <c r="C94" s="3" t="str">
        <f t="shared" si="35"/>
        <v>Residential</v>
      </c>
      <c r="D94" s="3" t="str">
        <f t="shared" si="36"/>
        <v>with CL</v>
      </c>
      <c r="E94" s="3" t="s">
        <v>16</v>
      </c>
      <c r="F94" s="41">
        <f t="array" ref="F94">IFERROR(INDEX(Usage!$B$5:$T$18,MATCH($B94,Usage!$B$5:$B$18,0),MATCH($C94&amp;$D94&amp;$E94,Usage!$B$5:$W$5&amp;Usage!$B$6:$W$6&amp;Usage!$B$7:$W$7,0)),0)</f>
        <v>460</v>
      </c>
      <c r="G94" s="3" t="s">
        <v>84</v>
      </c>
      <c r="H94" s="99"/>
      <c r="I94" s="99">
        <f t="array" ref="I94">IFERROR(INDEX('Detail inputs'!$B$3:$L$304,MATCH($B94&amp;$G94&amp;I$5,'Detail inputs'!$B$3:$B$304&amp;'Detail inputs'!$G$3:$G$304&amp;'Detail inputs'!$H$3:$H$304,0),MATCH(I$4,'Detail inputs'!$B$3:$L$3,0)),0)</f>
        <v>1.8</v>
      </c>
      <c r="J94" s="99">
        <f>IF(AND(H94="",I94=""),"",H94+I94*$F94/1000)</f>
        <v>0.82799999999999996</v>
      </c>
      <c r="K94" s="91">
        <f>IFERROR(J94/J96,"")</f>
        <v>9.2260379292670419E-2</v>
      </c>
      <c r="L94" s="91"/>
      <c r="M94" s="83">
        <f t="shared" si="37"/>
        <v>0.12777777777777777</v>
      </c>
      <c r="N94" s="91"/>
      <c r="O94" s="99"/>
      <c r="P94" s="99">
        <f t="array" ref="P94">IFERROR(INDEX('Detail inputs'!$B$3:$L$304,MATCH($B94&amp;$G94&amp;P$5,'Detail inputs'!$B$3:$B$304&amp;'Detail inputs'!$G$3:$G$304&amp;'Detail inputs'!$H$3:$H$304,0),MATCH(P$4,'Detail inputs'!$B$3:$L$3,0)),0)</f>
        <v>2.0299999999999998</v>
      </c>
      <c r="Q94" s="99">
        <f>IF(AND(O94="",P94=""),"",O94+P94*$F94/1000)</f>
        <v>0.93379999999999996</v>
      </c>
      <c r="R94" s="91">
        <f>IFERROR(Q94/Q96,"")</f>
        <v>0.11822947000582409</v>
      </c>
    </row>
    <row r="95" spans="1:22" s="21" customFormat="1" x14ac:dyDescent="0.3">
      <c r="A95" s="3"/>
      <c r="B95" s="3" t="str">
        <f t="shared" si="34"/>
        <v>Essential</v>
      </c>
      <c r="C95" s="3" t="str">
        <f t="shared" si="35"/>
        <v>Residential</v>
      </c>
      <c r="D95" s="3" t="str">
        <f t="shared" si="36"/>
        <v>with CL</v>
      </c>
      <c r="E95" s="3" t="s">
        <v>16</v>
      </c>
      <c r="F95" s="41">
        <f t="array" ref="F95">IFERROR(INDEX(Usage!$B$5:$T$18,MATCH($B95,Usage!$B$5:$B$18,0),MATCH($C95&amp;$D95&amp;$E95,Usage!$B$5:$W$5&amp;Usage!$B$6:$W$6&amp;Usage!$B$7:$W$7,0)),0)</f>
        <v>460</v>
      </c>
      <c r="G95" s="3" t="s">
        <v>81</v>
      </c>
      <c r="H95" s="99"/>
      <c r="I95" s="93">
        <f t="array" ref="I95">ROUND(IFERROR(INDEX('Detail inputs'!$B$3:$L$304,MATCH($B95&amp;$C95&amp;$E95&amp;$G95&amp;I$5,'Detail inputs'!$B$3:$B$304&amp;'Detail inputs'!$D$3:$D$304&amp;'Detail inputs'!$F$3:$F$304&amp;'Detail inputs'!$G$3:$G$304&amp;'Detail inputs'!$H$3:$H$304,0),MATCH(I$4,'Detail inputs'!$B$3:$L$3,0)),0)*SUM(I92:I94),2)</f>
        <v>1.07</v>
      </c>
      <c r="J95" s="99">
        <f>IF(AND(H95="",I95=""),"",H95+I95*$F95/1000)</f>
        <v>0.49220000000000003</v>
      </c>
      <c r="K95" s="91">
        <f>IFERROR(J95/J96,"")</f>
        <v>5.4843669912865198E-2</v>
      </c>
      <c r="L95" s="91"/>
      <c r="M95" s="83">
        <f t="shared" si="37"/>
        <v>-0.19626168224299079</v>
      </c>
      <c r="N95" s="91"/>
      <c r="O95" s="99"/>
      <c r="P95" s="93">
        <f t="array" ref="P95">ROUND(IFERROR(INDEX('Detail inputs'!$B$3:$L$304,MATCH($B95&amp;$C95&amp;$E95&amp;$G95&amp;P$5,'Detail inputs'!$B$3:$B$304&amp;'Detail inputs'!$D$3:$D$304&amp;'Detail inputs'!$F$3:$F$304&amp;'Detail inputs'!$G$3:$G$304&amp;'Detail inputs'!$H$3:$H$304,0),MATCH(P$4,'Detail inputs'!$B$3:$L$3,0)),0)*SUM(P92:P94),2)</f>
        <v>0.86</v>
      </c>
      <c r="Q95" s="99">
        <f>IF(AND(O95="",P95=""),"",O95+P95*$F95/1000)</f>
        <v>0.39559999999999995</v>
      </c>
      <c r="R95" s="91">
        <f>IFERROR(Q95/Q96,"")</f>
        <v>5.0087361677344192E-2</v>
      </c>
    </row>
    <row r="96" spans="1:22" s="21" customFormat="1" x14ac:dyDescent="0.25">
      <c r="A96" s="3"/>
      <c r="B96" s="3" t="str">
        <f t="shared" si="34"/>
        <v>Essential</v>
      </c>
      <c r="C96" s="3" t="str">
        <f t="shared" si="35"/>
        <v>Residential</v>
      </c>
      <c r="D96" s="3" t="str">
        <f t="shared" si="36"/>
        <v>with CL</v>
      </c>
      <c r="E96" s="3" t="s">
        <v>16</v>
      </c>
      <c r="F96" s="41">
        <f t="array" ref="F96">IFERROR(INDEX(Usage!$B$5:$T$18,MATCH($B96,Usage!$B$5:$B$18,0),MATCH($C96&amp;$D96&amp;$E96,Usage!$B$5:$W$5&amp;Usage!$B$6:$W$6&amp;Usage!$B$7:$W$7,0)),0)</f>
        <v>460</v>
      </c>
      <c r="G96" s="3" t="s">
        <v>58</v>
      </c>
      <c r="H96" s="99"/>
      <c r="I96" s="99">
        <f t="array" ref="I96">INDEX('Key inputs'!$B$15:$G$33,MATCH($B96&amp;$E96,'Key inputs'!$B$15:$B$33&amp;'Key inputs'!$C$15:$C$33,0),MATCH($A$2&amp;I$4,'Key inputs'!$B$16:$G$16&amp;'Key inputs'!$B$17:$G$17,0))</f>
        <v>19.510000000000002</v>
      </c>
      <c r="J96" s="93">
        <f t="shared" ref="J96" si="40">IF(AND(H96="",I96=""),"",H96+I96*$F96/1000)</f>
        <v>8.9746000000000006</v>
      </c>
      <c r="K96" s="91"/>
      <c r="L96" s="92"/>
      <c r="M96" s="83">
        <f t="shared" si="37"/>
        <v>-0.11993849308047155</v>
      </c>
      <c r="N96" s="92"/>
      <c r="O96" s="99"/>
      <c r="P96" s="99">
        <f t="array" ref="P96">INDEX('Key inputs'!$B$15:$G$33,MATCH($B96&amp;$E96,'Key inputs'!$B$15:$B$33&amp;'Key inputs'!$C$15:$C$33,0),MATCH($A$2&amp;P$4,'Key inputs'!$B$16:$G$16&amp;'Key inputs'!$B$17:$G$17,0))</f>
        <v>17.170000000000002</v>
      </c>
      <c r="Q96" s="93">
        <f t="shared" ref="Q96" si="41">IF(AND(O96="",P96=""),"",O96+P96*$F96/1000)</f>
        <v>7.898200000000001</v>
      </c>
      <c r="R96" s="91"/>
      <c r="S96" s="142" t="b">
        <f>ROUND(I96,$W$5)=ROUND(SUM(I92:I95),$W$5)</f>
        <v>1</v>
      </c>
      <c r="T96" s="142" t="b">
        <f>ROUND(P96,$W$5)=ROUND(SUM(P92:P95),$W$5)</f>
        <v>1</v>
      </c>
      <c r="U96" s="99"/>
      <c r="V96" s="99"/>
    </row>
    <row r="97" spans="1:22" s="92" customFormat="1" x14ac:dyDescent="0.3">
      <c r="A97" s="81"/>
      <c r="B97" s="81" t="str">
        <f t="shared" si="34"/>
        <v>Essential</v>
      </c>
      <c r="C97" s="81" t="str">
        <f t="shared" si="35"/>
        <v>Residential</v>
      </c>
      <c r="D97" s="81" t="str">
        <f t="shared" si="36"/>
        <v>with CL</v>
      </c>
      <c r="E97" s="81" t="s">
        <v>58</v>
      </c>
      <c r="F97" s="41">
        <f t="array" ref="F97">IFERROR(INDEX(Usage!$B$5:$T$18,MATCH($B97,Usage!$B$5:$B$18,0),MATCH($C97&amp;$D97&amp;$E97,Usage!$B$5:$W$5&amp;Usage!$B$6:$W$6&amp;Usage!$B$7:$W$7,0)),0)</f>
        <v>6600</v>
      </c>
      <c r="G97" s="81" t="s">
        <v>58</v>
      </c>
      <c r="H97" s="99"/>
      <c r="I97" s="99">
        <f>I86+I91+I96</f>
        <v>58.53</v>
      </c>
      <c r="J97" s="99">
        <f>J86+J91+J96</f>
        <v>128.76599999999999</v>
      </c>
      <c r="K97" s="91"/>
      <c r="M97" s="83">
        <f t="shared" si="37"/>
        <v>-0.11993849308047133</v>
      </c>
      <c r="O97" s="99"/>
      <c r="P97" s="99">
        <f>P86+P91+P96</f>
        <v>51.510000000000005</v>
      </c>
      <c r="Q97" s="99">
        <f>Q86+Q91+Q96</f>
        <v>113.32200000000002</v>
      </c>
      <c r="R97" s="91"/>
    </row>
    <row r="98" spans="1:22" s="21" customFormat="1" x14ac:dyDescent="0.3">
      <c r="A98" s="3"/>
      <c r="B98" s="3" t="str">
        <f t="shared" ref="B98:D99" si="42">B97</f>
        <v>Essential</v>
      </c>
      <c r="C98" s="3" t="str">
        <f t="shared" si="42"/>
        <v>Residential</v>
      </c>
      <c r="D98" s="3" t="str">
        <f t="shared" si="42"/>
        <v>with CL</v>
      </c>
      <c r="E98" s="3"/>
      <c r="F98" s="41"/>
      <c r="G98" s="81" t="s">
        <v>41</v>
      </c>
      <c r="H98" s="99"/>
      <c r="I98" s="99"/>
      <c r="J98" s="99">
        <f>J97*GST</f>
        <v>12.8766</v>
      </c>
      <c r="K98" s="91"/>
      <c r="L98" s="92"/>
      <c r="M98" s="83"/>
      <c r="N98" s="92"/>
      <c r="O98" s="99"/>
      <c r="P98" s="99"/>
      <c r="Q98" s="99">
        <f>Q97*GST</f>
        <v>11.332200000000002</v>
      </c>
      <c r="R98" s="79"/>
    </row>
    <row r="99" spans="1:22" s="21" customFormat="1" x14ac:dyDescent="0.3">
      <c r="A99" s="3"/>
      <c r="B99" s="3" t="str">
        <f t="shared" si="42"/>
        <v>Essential</v>
      </c>
      <c r="C99" s="3" t="str">
        <f t="shared" si="42"/>
        <v>Residential</v>
      </c>
      <c r="D99" s="3" t="str">
        <f t="shared" si="42"/>
        <v>with CL</v>
      </c>
      <c r="E99" s="3"/>
      <c r="F99" s="41"/>
      <c r="G99" s="5" t="s">
        <v>91</v>
      </c>
      <c r="H99" s="98"/>
      <c r="I99" s="98"/>
      <c r="J99" s="98">
        <f>SUM(J97:J98)</f>
        <v>141.64259999999999</v>
      </c>
      <c r="K99" s="79"/>
      <c r="L99" s="27"/>
      <c r="M99" s="80">
        <f>IF(OR(J99=0,Q99=""),"",Q99/J99-1)</f>
        <v>-0.11993849308047133</v>
      </c>
      <c r="N99" s="27"/>
      <c r="O99" s="98"/>
      <c r="P99" s="98"/>
      <c r="Q99" s="98">
        <f>SUM(Q97:Q98)</f>
        <v>124.65420000000002</v>
      </c>
      <c r="R99" s="79"/>
    </row>
    <row r="100" spans="1:22" s="21" customFormat="1" x14ac:dyDescent="0.3">
      <c r="A100" s="3"/>
      <c r="B100" s="3"/>
      <c r="C100" s="3"/>
      <c r="D100" s="3"/>
      <c r="E100" s="3"/>
      <c r="F100" s="41"/>
      <c r="G100" s="3"/>
      <c r="H100" s="93"/>
      <c r="I100" s="93"/>
      <c r="J100" s="93"/>
      <c r="K100" s="44"/>
      <c r="M100" s="49"/>
      <c r="O100" s="93"/>
      <c r="P100" s="93"/>
      <c r="Q100" s="93"/>
      <c r="R100" s="44"/>
    </row>
    <row r="101" spans="1:22" s="21" customFormat="1" x14ac:dyDescent="0.3">
      <c r="A101" s="3"/>
      <c r="B101" s="5" t="s">
        <v>3</v>
      </c>
      <c r="C101" s="5" t="s">
        <v>14</v>
      </c>
      <c r="D101" s="5" t="s">
        <v>158</v>
      </c>
      <c r="E101" s="3"/>
      <c r="F101" s="41"/>
      <c r="G101" s="3"/>
      <c r="H101" s="93"/>
      <c r="I101" s="93"/>
      <c r="J101" s="93"/>
      <c r="K101" s="44"/>
      <c r="M101" s="49"/>
      <c r="O101" s="93"/>
      <c r="P101" s="93"/>
      <c r="Q101" s="93"/>
      <c r="R101" s="44"/>
    </row>
    <row r="102" spans="1:22" s="21" customFormat="1" x14ac:dyDescent="0.3">
      <c r="A102" s="3"/>
      <c r="B102" s="3" t="str">
        <f t="shared" ref="B102:D108" si="43">B101</f>
        <v>Essential</v>
      </c>
      <c r="C102" s="3" t="str">
        <f t="shared" si="43"/>
        <v>Small business</v>
      </c>
      <c r="D102" s="3" t="str">
        <f t="shared" si="43"/>
        <v>without CL</v>
      </c>
      <c r="E102" s="3" t="s">
        <v>24</v>
      </c>
      <c r="F102" s="41">
        <f t="array" ref="F102">IFERROR(INDEX(Usage!$B$5:$T$18,MATCH($B102,Usage!$B$5:$B$18,0),MATCH($C102&amp;$D102&amp;$E102,Usage!$B$5:$W$5&amp;Usage!$B$6:$W$6&amp;Usage!$B$7:$W$7,0)),0)</f>
        <v>20000</v>
      </c>
      <c r="G102" s="3" t="s">
        <v>82</v>
      </c>
      <c r="H102" s="93"/>
      <c r="I102" s="93">
        <f t="array" ref="I102">IFERROR(INDEX('Detail inputs'!$B$3:$L$304,MATCH($B102&amp;$G102&amp;I$5,'Detail inputs'!$B$3:$B$304&amp;'Detail inputs'!$G$3:$G$304&amp;'Detail inputs'!$H$3:$H$304,0),MATCH(I$4,'Detail inputs'!$B$3:$L$3,0)),0)</f>
        <v>9.3800000000000008</v>
      </c>
      <c r="J102" s="93">
        <f>IF(AND(H102="",I102=""),"",H102+I102*$F102/1000)</f>
        <v>187.60000000000002</v>
      </c>
      <c r="K102" s="44">
        <f>IFERROR(J102/J106,"")</f>
        <v>0.48077908764736033</v>
      </c>
      <c r="L102" s="44"/>
      <c r="M102" s="49">
        <f>IF(OR(J102=0,Q102=""),"",Q102/J102-1)</f>
        <v>-0.51385927505330509</v>
      </c>
      <c r="N102" s="44"/>
      <c r="O102" s="93"/>
      <c r="P102" s="93">
        <f t="array" ref="P102">IFERROR(INDEX('Detail inputs'!$B$3:$L$304,MATCH($B102&amp;$G102&amp;P$5,'Detail inputs'!$B$3:$B$304&amp;'Detail inputs'!$G$3:$G$304&amp;'Detail inputs'!$H$3:$H$304,0),MATCH(P$4,'Detail inputs'!$B$3:$L$3,0)),0)</f>
        <v>4.5599999999999996</v>
      </c>
      <c r="Q102" s="93">
        <f>IF(AND(O102="",P102=""),"",O102+P102*$F102/1000)</f>
        <v>91.199999999999989</v>
      </c>
      <c r="R102" s="44">
        <f>IFERROR(Q102/Q106,"")</f>
        <v>0.26557949912638318</v>
      </c>
    </row>
    <row r="103" spans="1:22" s="21" customFormat="1" x14ac:dyDescent="0.3">
      <c r="A103" s="3"/>
      <c r="B103" s="3" t="str">
        <f t="shared" si="43"/>
        <v>Essential</v>
      </c>
      <c r="C103" s="3" t="str">
        <f t="shared" si="43"/>
        <v>Small business</v>
      </c>
      <c r="D103" s="3" t="str">
        <f t="shared" si="43"/>
        <v>without CL</v>
      </c>
      <c r="E103" s="3" t="s">
        <v>24</v>
      </c>
      <c r="F103" s="41">
        <f t="array" ref="F103">IFERROR(INDEX(Usage!$B$5:$T$18,MATCH($B103,Usage!$B$5:$B$18,0),MATCH($C103&amp;$D103&amp;$E103,Usage!$B$5:$W$5&amp;Usage!$B$6:$W$6&amp;Usage!$B$7:$W$7,0)),0)</f>
        <v>20000</v>
      </c>
      <c r="G103" s="3" t="s">
        <v>83</v>
      </c>
      <c r="H103" s="93"/>
      <c r="I103" s="93">
        <f t="array" ref="I103">IFERROR(INDEX('Detail inputs'!$B$3:$L$304,MATCH($B103&amp;$G103&amp;I$5,'Detail inputs'!$B$3:$B$304&amp;'Detail inputs'!$G$3:$G$304&amp;'Detail inputs'!$H$3:$H$304,0),MATCH(I$4,'Detail inputs'!$B$3:$L$3,0)),0)</f>
        <v>7.26</v>
      </c>
      <c r="J103" s="93">
        <f>IF(AND(H103="",I103=""),"",H103+I103*$F103/1000)</f>
        <v>145.19999999999999</v>
      </c>
      <c r="K103" s="44">
        <f>IFERROR(J103/J106,"")</f>
        <v>0.37211686314710396</v>
      </c>
      <c r="L103" s="44"/>
      <c r="M103" s="49">
        <f>IF(OR(J103=0,Q103=""),"",Q103/J103-1)</f>
        <v>0.33884297520661177</v>
      </c>
      <c r="N103" s="44"/>
      <c r="O103" s="93"/>
      <c r="P103" s="93">
        <f t="array" ref="P103">IFERROR(INDEX('Detail inputs'!$B$3:$L$304,MATCH($B103&amp;$G103&amp;P$5,'Detail inputs'!$B$3:$B$304&amp;'Detail inputs'!$G$3:$G$304&amp;'Detail inputs'!$H$3:$H$304,0),MATCH(P$4,'Detail inputs'!$B$3:$L$3,0)),0)</f>
        <v>9.7200000000000006</v>
      </c>
      <c r="Q103" s="93">
        <f>IF(AND(O103="",P103=""),"",O103+P103*$F103/1000)</f>
        <v>194.4</v>
      </c>
      <c r="R103" s="44">
        <f>IFERROR(Q103/Q106,"")</f>
        <v>0.56610366919044841</v>
      </c>
    </row>
    <row r="104" spans="1:22" s="21" customFormat="1" x14ac:dyDescent="0.3">
      <c r="A104" s="3"/>
      <c r="B104" s="3" t="str">
        <f t="shared" si="43"/>
        <v>Essential</v>
      </c>
      <c r="C104" s="3" t="str">
        <f t="shared" si="43"/>
        <v>Small business</v>
      </c>
      <c r="D104" s="3" t="str">
        <f t="shared" si="43"/>
        <v>without CL</v>
      </c>
      <c r="E104" s="3" t="s">
        <v>24</v>
      </c>
      <c r="F104" s="41">
        <f t="array" ref="F104">IFERROR(INDEX(Usage!$B$5:$T$18,MATCH($B104,Usage!$B$5:$B$18,0),MATCH($C104&amp;$D104&amp;$E104,Usage!$B$5:$W$5&amp;Usage!$B$6:$W$6&amp;Usage!$B$7:$W$7,0)),0)</f>
        <v>20000</v>
      </c>
      <c r="G104" s="3" t="s">
        <v>84</v>
      </c>
      <c r="H104" s="93"/>
      <c r="I104" s="93">
        <f t="array" ref="I104">IFERROR(INDEX('Detail inputs'!$B$3:$L$304,MATCH($B104&amp;$G104&amp;I$5,'Detail inputs'!$B$3:$B$304&amp;'Detail inputs'!$G$3:$G$304&amp;'Detail inputs'!$H$3:$H$304,0),MATCH(I$4,'Detail inputs'!$B$3:$L$3,0)),0)</f>
        <v>1.8</v>
      </c>
      <c r="J104" s="93">
        <f>IF(AND(H104="",I104=""),"",H104+I104*$F104/1000)</f>
        <v>36</v>
      </c>
      <c r="K104" s="44">
        <f>IFERROR(J104/J106,"")</f>
        <v>9.2260379292670419E-2</v>
      </c>
      <c r="L104" s="44"/>
      <c r="M104" s="49">
        <f>IF(OR(J104=0,Q104=""),"",Q104/J104-1)</f>
        <v>0.12777777777777755</v>
      </c>
      <c r="N104" s="44"/>
      <c r="O104" s="93"/>
      <c r="P104" s="93">
        <f t="array" ref="P104">IFERROR(INDEX('Detail inputs'!$B$3:$L$304,MATCH($B104&amp;$G104&amp;P$5,'Detail inputs'!$B$3:$B$304&amp;'Detail inputs'!$G$3:$G$304&amp;'Detail inputs'!$H$3:$H$304,0),MATCH(P$4,'Detail inputs'!$B$3:$L$3,0)),0)</f>
        <v>2.0299999999999998</v>
      </c>
      <c r="Q104" s="93">
        <f>IF(AND(O104="",P104=""),"",O104+P104*$F104/1000)</f>
        <v>40.599999999999994</v>
      </c>
      <c r="R104" s="44">
        <f>IFERROR(Q104/Q106,"")</f>
        <v>0.11822947000582408</v>
      </c>
    </row>
    <row r="105" spans="1:22" s="21" customFormat="1" x14ac:dyDescent="0.3">
      <c r="A105" s="3"/>
      <c r="B105" s="3" t="str">
        <f t="shared" si="43"/>
        <v>Essential</v>
      </c>
      <c r="C105" s="3" t="str">
        <f t="shared" si="43"/>
        <v>Small business</v>
      </c>
      <c r="D105" s="3" t="str">
        <f t="shared" si="43"/>
        <v>without CL</v>
      </c>
      <c r="E105" s="3" t="s">
        <v>24</v>
      </c>
      <c r="F105" s="41">
        <f t="array" ref="F105">IFERROR(INDEX(Usage!$B$5:$T$18,MATCH($B105,Usage!$B$5:$B$18,0),MATCH($C105&amp;$D105&amp;$E105,Usage!$B$5:$W$5&amp;Usage!$B$6:$W$6&amp;Usage!$B$7:$W$7,0)),0)</f>
        <v>20000</v>
      </c>
      <c r="G105" s="3" t="s">
        <v>81</v>
      </c>
      <c r="H105" s="93"/>
      <c r="I105" s="93">
        <f t="array" ref="I105">ROUND(IFERROR(INDEX('Detail inputs'!$B$3:$L$304,MATCH($B105&amp;$C105&amp;$E105&amp;$G105&amp;I$5,'Detail inputs'!$B$3:$B$304&amp;'Detail inputs'!$D$3:$D$304&amp;'Detail inputs'!$F$3:$F$304&amp;'Detail inputs'!$G$3:$G$304&amp;'Detail inputs'!$H$3:$H$304,0),MATCH(I$4,'Detail inputs'!$B$3:$L$3,0)),0)*SUM(I102:I104),2)</f>
        <v>1.07</v>
      </c>
      <c r="J105" s="93">
        <f>IF(AND(H105="",I105=""),"",H105+I105*$F105/1000)</f>
        <v>21.4</v>
      </c>
      <c r="K105" s="44">
        <f>IFERROR(J105/J106,"")</f>
        <v>5.4843669912865184E-2</v>
      </c>
      <c r="L105" s="44"/>
      <c r="M105" s="49">
        <f>IF(OR(J105=0,Q105=""),"",Q105/J105-1)</f>
        <v>-0.19626168224299068</v>
      </c>
      <c r="N105" s="44"/>
      <c r="O105" s="93"/>
      <c r="P105" s="93">
        <f t="array" ref="P105">ROUND(IFERROR(INDEX('Detail inputs'!$B$3:$L$304,MATCH($B105&amp;$C105&amp;$E105&amp;$G105&amp;P$5,'Detail inputs'!$B$3:$B$304&amp;'Detail inputs'!$D$3:$D$304&amp;'Detail inputs'!$F$3:$F$304&amp;'Detail inputs'!$G$3:$G$304&amp;'Detail inputs'!$H$3:$H$304,0),MATCH(P$4,'Detail inputs'!$B$3:$L$3,0)),0)*SUM(P102:P104),2)</f>
        <v>0.86</v>
      </c>
      <c r="Q105" s="93">
        <f>IF(AND(O105="",P105=""),"",O105+P105*$F105/1000)</f>
        <v>17.2</v>
      </c>
      <c r="R105" s="44">
        <f>IFERROR(Q105/Q106,"")</f>
        <v>5.0087361677344198E-2</v>
      </c>
    </row>
    <row r="106" spans="1:22" s="92" customFormat="1" x14ac:dyDescent="0.25">
      <c r="A106" s="81"/>
      <c r="B106" s="81" t="str">
        <f t="shared" si="43"/>
        <v>Essential</v>
      </c>
      <c r="C106" s="81" t="str">
        <f t="shared" si="43"/>
        <v>Small business</v>
      </c>
      <c r="D106" s="81" t="str">
        <f t="shared" si="43"/>
        <v>without CL</v>
      </c>
      <c r="E106" s="3" t="s">
        <v>24</v>
      </c>
      <c r="F106" s="41">
        <f t="array" ref="F106">IFERROR(INDEX(Usage!$B$5:$T$18,MATCH($B106,Usage!$B$5:$B$18,0),MATCH($C106&amp;$D106&amp;$E106,Usage!$B$5:$W$5&amp;Usage!$B$6:$W$6&amp;Usage!$B$7:$W$7,0)),0)</f>
        <v>20000</v>
      </c>
      <c r="G106" s="81" t="s">
        <v>58</v>
      </c>
      <c r="H106" s="99"/>
      <c r="I106" s="99">
        <f t="array" ref="I106">INDEX('Key inputs'!$B$15:$G$33,MATCH($B106&amp;$E106,'Key inputs'!$B$15:$B$33&amp;'Key inputs'!$C$15:$C$33,0),MATCH($A$2&amp;I$4,'Key inputs'!$B$16:$G$16&amp;'Key inputs'!$B$17:$G$17,0))</f>
        <v>19.510000000000002</v>
      </c>
      <c r="J106" s="93">
        <f t="shared" ref="J106" si="44">IF(AND(H106="",I106=""),"",H106+I106*$F106/1000)</f>
        <v>390.20000000000005</v>
      </c>
      <c r="K106" s="91"/>
      <c r="M106" s="83">
        <f>IF(OR(J106=0,Q106=""),"",Q106/J106-1)</f>
        <v>-0.11993849308047155</v>
      </c>
      <c r="O106" s="99"/>
      <c r="P106" s="99">
        <f t="array" ref="P106">INDEX('Key inputs'!$B$15:$G$33,MATCH($B106&amp;$E106,'Key inputs'!$B$15:$B$33&amp;'Key inputs'!$C$15:$C$33,0),MATCH($A$2&amp;P$4,'Key inputs'!$B$16:$G$16&amp;'Key inputs'!$B$17:$G$17,0))</f>
        <v>17.170000000000002</v>
      </c>
      <c r="Q106" s="93">
        <f t="shared" ref="Q106" si="45">IF(AND(O106="",P106=""),"",O106+P106*$F106/1000)</f>
        <v>343.40000000000003</v>
      </c>
      <c r="R106" s="91"/>
      <c r="S106" s="142" t="b">
        <f>ROUND(I106,$W$5)=ROUND(SUM(I102:I105),$W$5)</f>
        <v>1</v>
      </c>
      <c r="T106" s="142" t="b">
        <f>ROUND(P106,$W$5)=ROUND(SUM(P102:P105),$W$5)</f>
        <v>1</v>
      </c>
      <c r="U106" s="99"/>
      <c r="V106" s="99"/>
    </row>
    <row r="107" spans="1:22" s="21" customFormat="1" x14ac:dyDescent="0.3">
      <c r="A107" s="3"/>
      <c r="B107" s="3" t="str">
        <f t="shared" si="43"/>
        <v>Essential</v>
      </c>
      <c r="C107" s="3" t="str">
        <f t="shared" si="43"/>
        <v>Small business</v>
      </c>
      <c r="D107" s="3" t="str">
        <f t="shared" si="43"/>
        <v>without CL</v>
      </c>
      <c r="E107" s="3"/>
      <c r="F107" s="41"/>
      <c r="G107" s="81" t="s">
        <v>41</v>
      </c>
      <c r="H107" s="99"/>
      <c r="I107" s="99"/>
      <c r="J107" s="99">
        <f>J106*GST</f>
        <v>39.02000000000001</v>
      </c>
      <c r="K107" s="91"/>
      <c r="L107" s="92"/>
      <c r="M107" s="83"/>
      <c r="N107" s="92"/>
      <c r="O107" s="99"/>
      <c r="P107" s="99"/>
      <c r="Q107" s="99">
        <f>Q106*GST</f>
        <v>34.340000000000003</v>
      </c>
      <c r="R107" s="79"/>
    </row>
    <row r="108" spans="1:22" s="21" customFormat="1" x14ac:dyDescent="0.3">
      <c r="A108" s="3"/>
      <c r="B108" s="3" t="str">
        <f t="shared" si="43"/>
        <v>Essential</v>
      </c>
      <c r="C108" s="3" t="str">
        <f t="shared" si="43"/>
        <v>Small business</v>
      </c>
      <c r="D108" s="3" t="str">
        <f t="shared" si="43"/>
        <v>without CL</v>
      </c>
      <c r="E108" s="3"/>
      <c r="F108" s="41"/>
      <c r="G108" s="5" t="s">
        <v>91</v>
      </c>
      <c r="H108" s="98"/>
      <c r="I108" s="98"/>
      <c r="J108" s="98">
        <f>SUM(J106:J107)</f>
        <v>429.22</v>
      </c>
      <c r="K108" s="79"/>
      <c r="L108" s="27"/>
      <c r="M108" s="80">
        <f>IF(OR(J108=0,Q108=""),"",Q108/J108-1)</f>
        <v>-0.11993849308047155</v>
      </c>
      <c r="N108" s="27"/>
      <c r="O108" s="98"/>
      <c r="P108" s="98"/>
      <c r="Q108" s="98">
        <f>SUM(Q106:Q107)</f>
        <v>377.74</v>
      </c>
      <c r="R108" s="79"/>
    </row>
    <row r="109" spans="1:22" s="21" customFormat="1" x14ac:dyDescent="0.3">
      <c r="A109" s="3"/>
      <c r="B109" s="3"/>
      <c r="C109" s="3"/>
      <c r="D109" s="3"/>
      <c r="E109" s="3"/>
      <c r="F109" s="41"/>
      <c r="G109" s="3"/>
      <c r="H109" s="93"/>
      <c r="I109" s="93"/>
      <c r="J109" s="93"/>
      <c r="K109" s="44"/>
      <c r="M109" s="49"/>
      <c r="O109" s="93"/>
      <c r="P109" s="93"/>
      <c r="Q109" s="93"/>
      <c r="R109" s="44"/>
    </row>
    <row r="110" spans="1:22" s="21" customFormat="1" x14ac:dyDescent="0.3">
      <c r="A110" s="3"/>
      <c r="B110" s="5" t="s">
        <v>0</v>
      </c>
      <c r="C110" s="5" t="s">
        <v>6</v>
      </c>
      <c r="D110" s="5" t="s">
        <v>158</v>
      </c>
      <c r="E110" s="3"/>
      <c r="F110" s="41"/>
      <c r="G110" s="3"/>
      <c r="H110" s="93"/>
      <c r="I110" s="93"/>
      <c r="J110" s="93"/>
      <c r="K110" s="44"/>
      <c r="M110" s="49"/>
      <c r="O110" s="93"/>
      <c r="P110" s="93"/>
      <c r="Q110" s="93"/>
      <c r="R110" s="44"/>
    </row>
    <row r="111" spans="1:22" s="21" customFormat="1" x14ac:dyDescent="0.3">
      <c r="A111" s="3"/>
      <c r="B111" s="3" t="str">
        <f t="shared" ref="B111:D116" si="46">B110</f>
        <v>Energex</v>
      </c>
      <c r="C111" s="3" t="str">
        <f t="shared" si="46"/>
        <v>Residential</v>
      </c>
      <c r="D111" s="3" t="str">
        <f t="shared" si="46"/>
        <v>without CL</v>
      </c>
      <c r="E111" s="3" t="s">
        <v>24</v>
      </c>
      <c r="F111" s="41">
        <f t="array" ref="F111">IFERROR(INDEX(Usage!$B$5:$T$18,MATCH($B111,Usage!$B$5:$B$18,0),MATCH($C111&amp;$D111&amp;$E111&amp;"Total",Usage!$B$5:$W$5&amp;Usage!$B$6:$W$6&amp;Usage!$B$7:$W$7&amp;Usage!$B$13:$W$13,0)),0)</f>
        <v>4600</v>
      </c>
      <c r="G111" s="3" t="s">
        <v>82</v>
      </c>
      <c r="H111" s="93"/>
      <c r="I111" s="93">
        <f t="array" ref="I111">IFERROR(INDEX('Detail inputs'!$B$3:$L$304,MATCH($B111&amp;$G111&amp;I$5,'Detail inputs'!$B$3:$B$304&amp;'Detail inputs'!$G$3:$G$304&amp;'Detail inputs'!$H$3:$H$304,0),MATCH(I$4,'Detail inputs'!$B$3:$L$3,0)),0)</f>
        <v>9.3800000000000008</v>
      </c>
      <c r="J111" s="93">
        <f>IF(AND(H111="",I111=""),"",H111+I111*$F111/1000)</f>
        <v>43.148000000000003</v>
      </c>
      <c r="K111" s="44">
        <f>IFERROR(J111/J114,"")</f>
        <v>0.52934537246049662</v>
      </c>
      <c r="L111" s="44"/>
      <c r="M111" s="49">
        <f>IF(OR(J111=0,Q111=""),"",Q111/J111-1)</f>
        <v>-0.51385927505330498</v>
      </c>
      <c r="N111" s="44"/>
      <c r="O111" s="93"/>
      <c r="P111" s="93">
        <f t="array" ref="P111">IFERROR(INDEX('Detail inputs'!$B$3:$L$304,MATCH($B111&amp;$G111&amp;P$5,'Detail inputs'!$B$3:$B$304&amp;'Detail inputs'!$G$3:$G$304&amp;'Detail inputs'!$H$3:$H$304,0),MATCH(P$4,'Detail inputs'!$B$3:$L$3,0)),0)</f>
        <v>4.5599999999999996</v>
      </c>
      <c r="Q111" s="93">
        <f>IF(AND(O111="",P111=""),"",O111+P111*$F111/1000)</f>
        <v>20.975999999999999</v>
      </c>
      <c r="R111" s="44">
        <f>IFERROR(Q111/Q114,"")</f>
        <v>0.29980276134122291</v>
      </c>
    </row>
    <row r="112" spans="1:22" s="21" customFormat="1" x14ac:dyDescent="0.3">
      <c r="A112" s="3"/>
      <c r="B112" s="3" t="str">
        <f t="shared" si="46"/>
        <v>Energex</v>
      </c>
      <c r="C112" s="3" t="str">
        <f t="shared" si="46"/>
        <v>Residential</v>
      </c>
      <c r="D112" s="3" t="str">
        <f t="shared" si="46"/>
        <v>without CL</v>
      </c>
      <c r="E112" s="3" t="s">
        <v>24</v>
      </c>
      <c r="F112" s="41">
        <f t="array" ref="F112">IFERROR(INDEX(Usage!$B$5:$T$18,MATCH($B112,Usage!$B$5:$B$18,0),MATCH($C112&amp;$D112&amp;$E112&amp;"Total",Usage!$B$5:$W$5&amp;Usage!$B$6:$W$6&amp;Usage!$B$7:$W$7&amp;Usage!$B$13:$W$13,0)),0)</f>
        <v>4600</v>
      </c>
      <c r="G112" s="3" t="s">
        <v>83</v>
      </c>
      <c r="H112" s="93"/>
      <c r="I112" s="93">
        <f t="array" ref="I112">IFERROR(INDEX('Detail inputs'!$B$3:$L$304,MATCH($B112&amp;$G112&amp;I$5,'Detail inputs'!$B$3:$B$304&amp;'Detail inputs'!$G$3:$G$304&amp;'Detail inputs'!$H$3:$H$304,0),MATCH(I$4,'Detail inputs'!$B$3:$L$3,0)),0)</f>
        <v>7.26</v>
      </c>
      <c r="J112" s="93">
        <f>IF(AND(H112="",I112=""),"",H112+I112*$F112/1000)</f>
        <v>33.396000000000001</v>
      </c>
      <c r="K112" s="44">
        <f>IFERROR(J112/J114,"")</f>
        <v>0.40970654627539504</v>
      </c>
      <c r="L112" s="44"/>
      <c r="M112" s="49">
        <f>IF(OR(J112=0,Q112=""),"",Q112/J112-1)</f>
        <v>0.33884297520661155</v>
      </c>
      <c r="N112" s="44"/>
      <c r="O112" s="93"/>
      <c r="P112" s="93">
        <f t="array" ref="P112">IFERROR(INDEX('Detail inputs'!$B$3:$L$304,MATCH($B112&amp;$G112&amp;P$5,'Detail inputs'!$B$3:$B$304&amp;'Detail inputs'!$G$3:$G$304&amp;'Detail inputs'!$H$3:$H$304,0),MATCH(P$4,'Detail inputs'!$B$3:$L$3,0)),0)</f>
        <v>9.7200000000000006</v>
      </c>
      <c r="Q112" s="93">
        <f>IF(AND(O112="",P112=""),"",O112+P112*$F112/1000)</f>
        <v>44.712000000000003</v>
      </c>
      <c r="R112" s="44">
        <f>IFERROR(Q112/Q114,"")</f>
        <v>0.63905325443786998</v>
      </c>
    </row>
    <row r="113" spans="1:22" s="21" customFormat="1" x14ac:dyDescent="0.3">
      <c r="A113" s="3"/>
      <c r="B113" s="3" t="str">
        <f t="shared" si="46"/>
        <v>Energex</v>
      </c>
      <c r="C113" s="3" t="str">
        <f t="shared" si="46"/>
        <v>Residential</v>
      </c>
      <c r="D113" s="3" t="str">
        <f t="shared" si="46"/>
        <v>without CL</v>
      </c>
      <c r="E113" s="3" t="s">
        <v>24</v>
      </c>
      <c r="F113" s="41">
        <f t="array" ref="F113">IFERROR(INDEX(Usage!$B$5:$T$18,MATCH($B113,Usage!$B$5:$B$18,0),MATCH($C113&amp;$D113&amp;$E113&amp;"Total",Usage!$B$5:$W$5&amp;Usage!$B$6:$W$6&amp;Usage!$B$7:$W$7&amp;Usage!$B$13:$W$13,0)),0)</f>
        <v>4600</v>
      </c>
      <c r="G113" s="3" t="s">
        <v>81</v>
      </c>
      <c r="H113" s="93"/>
      <c r="I113" s="93">
        <f t="array" ref="I113">ROUND(IFERROR(INDEX('Detail inputs'!$B$3:$L$304,MATCH($B113&amp;$C113&amp;$E113&amp;$G113&amp;I$5,'Detail inputs'!$B$3:$B$304&amp;'Detail inputs'!$D$3:$D$304&amp;'Detail inputs'!$F$3:$F$304&amp;'Detail inputs'!$G$3:$G$304&amp;'Detail inputs'!$H$3:$H$304,0),MATCH(I$4,'Detail inputs'!$B$3:$L$3,0)),0)*SUM(I111:I112),2)</f>
        <v>1.08</v>
      </c>
      <c r="J113" s="93">
        <f>IF(AND(H113="",I113=""),"",H113+I113*$F113/1000)</f>
        <v>4.968</v>
      </c>
      <c r="K113" s="44">
        <f>IFERROR(J113/J114,"")</f>
        <v>6.0948081264108354E-2</v>
      </c>
      <c r="L113" s="44"/>
      <c r="M113" s="49">
        <f>IF(OR(J113=0,Q113=""),"",Q113/J113-1)</f>
        <v>-0.13888888888888895</v>
      </c>
      <c r="N113" s="44"/>
      <c r="O113" s="93"/>
      <c r="P113" s="93">
        <f t="array" ref="P113">ROUND(IFERROR(INDEX('Detail inputs'!$B$3:$L$304,MATCH($B113&amp;$C113&amp;$E113&amp;$G113&amp;P$5,'Detail inputs'!$B$3:$B$304&amp;'Detail inputs'!$D$3:$D$304&amp;'Detail inputs'!$F$3:$F$304&amp;'Detail inputs'!$G$3:$G$304&amp;'Detail inputs'!$H$3:$H$304,0),MATCH(P$4,'Detail inputs'!$B$3:$L$3,0)),0)*SUM(P111:P112),2)</f>
        <v>0.93</v>
      </c>
      <c r="Q113" s="93">
        <f>IF(AND(O113="",P113=""),"",O113+P113*$F113/1000)</f>
        <v>4.2779999999999996</v>
      </c>
      <c r="R113" s="44">
        <f>IFERROR(Q113/Q114,"")</f>
        <v>6.1143984220907298E-2</v>
      </c>
    </row>
    <row r="114" spans="1:22" s="92" customFormat="1" x14ac:dyDescent="0.25">
      <c r="A114" s="81"/>
      <c r="B114" s="81" t="str">
        <f t="shared" si="46"/>
        <v>Energex</v>
      </c>
      <c r="C114" s="81" t="str">
        <f t="shared" si="46"/>
        <v>Residential</v>
      </c>
      <c r="D114" s="81" t="str">
        <f t="shared" si="46"/>
        <v>without CL</v>
      </c>
      <c r="E114" s="3" t="s">
        <v>24</v>
      </c>
      <c r="F114" s="41">
        <f t="array" ref="F114">IFERROR(INDEX(Usage!$B$5:$T$18,MATCH($B114,Usage!$B$5:$B$18,0),MATCH($C114&amp;$D114&amp;$E114&amp;"Total",Usage!$B$5:$W$5&amp;Usage!$B$6:$W$6&amp;Usage!$B$7:$W$7&amp;Usage!$B$13:$W$13,0)),0)</f>
        <v>4600</v>
      </c>
      <c r="G114" s="81" t="s">
        <v>58</v>
      </c>
      <c r="H114" s="99"/>
      <c r="I114" s="99">
        <f t="array" ref="I114">INDEX('Key inputs'!$B$15:$G$33,MATCH($B114&amp;$E114,'Key inputs'!$B$15:$B$33&amp;'Key inputs'!$C$15:$C$33,0),MATCH($A$2&amp;I$4,'Key inputs'!$B$16:$G$16&amp;'Key inputs'!$B$17:$G$17,0))</f>
        <v>17.72</v>
      </c>
      <c r="J114" s="93">
        <f t="shared" ref="J114" si="47">IF(AND(H114="",I114=""),"",H114+I114*$F114/1000)</f>
        <v>81.512</v>
      </c>
      <c r="K114" s="91"/>
      <c r="M114" s="83">
        <f>IF(OR(J114=0,Q114=""),"",Q114/J114-1)</f>
        <v>-0.1416478555304741</v>
      </c>
      <c r="O114" s="99"/>
      <c r="P114" s="99">
        <f t="array" ref="P114">INDEX('Key inputs'!$B$15:$G$33,MATCH($B114&amp;$E114,'Key inputs'!$B$15:$B$33&amp;'Key inputs'!$C$15:$C$33,0),MATCH($A$2&amp;P$4,'Key inputs'!$B$16:$G$16&amp;'Key inputs'!$B$17:$G$17,0))</f>
        <v>15.21</v>
      </c>
      <c r="Q114" s="93">
        <f t="shared" ref="Q114" si="48">IF(AND(O114="",P114=""),"",O114+P114*$F114/1000)</f>
        <v>69.965999999999994</v>
      </c>
      <c r="R114" s="91"/>
      <c r="S114" s="142" t="b">
        <f>ROUND(I114,$W$5)=ROUND(SUM(I111:I113),$W$5)</f>
        <v>1</v>
      </c>
      <c r="T114" s="142" t="b">
        <f>ROUND(P114,$W$5)=ROUND(SUM(P111:P113),$W$5)</f>
        <v>1</v>
      </c>
      <c r="U114" s="99"/>
      <c r="V114" s="99"/>
    </row>
    <row r="115" spans="1:22" s="21" customFormat="1" x14ac:dyDescent="0.3">
      <c r="A115" s="3"/>
      <c r="B115" s="3" t="str">
        <f t="shared" si="46"/>
        <v>Energex</v>
      </c>
      <c r="C115" s="3" t="str">
        <f t="shared" si="46"/>
        <v>Residential</v>
      </c>
      <c r="D115" s="3" t="str">
        <f t="shared" si="46"/>
        <v>without CL</v>
      </c>
      <c r="E115" s="3"/>
      <c r="F115" s="41"/>
      <c r="G115" s="81" t="s">
        <v>41</v>
      </c>
      <c r="H115" s="99"/>
      <c r="I115" s="99"/>
      <c r="J115" s="99">
        <f>J114*GST</f>
        <v>8.1512000000000011</v>
      </c>
      <c r="K115" s="91"/>
      <c r="L115" s="92"/>
      <c r="M115" s="83"/>
      <c r="N115" s="92"/>
      <c r="O115" s="99"/>
      <c r="P115" s="99"/>
      <c r="Q115" s="99">
        <f>Q114*GST</f>
        <v>6.9965999999999999</v>
      </c>
      <c r="R115" s="79"/>
    </row>
    <row r="116" spans="1:22" s="21" customFormat="1" x14ac:dyDescent="0.3">
      <c r="A116" s="3"/>
      <c r="B116" s="3" t="str">
        <f t="shared" si="46"/>
        <v>Energex</v>
      </c>
      <c r="C116" s="3" t="str">
        <f t="shared" si="46"/>
        <v>Residential</v>
      </c>
      <c r="D116" s="3" t="str">
        <f t="shared" si="46"/>
        <v>without CL</v>
      </c>
      <c r="E116" s="3"/>
      <c r="F116" s="41"/>
      <c r="G116" s="5" t="s">
        <v>91</v>
      </c>
      <c r="H116" s="98"/>
      <c r="I116" s="98"/>
      <c r="J116" s="98">
        <f>SUM(J114:J115)</f>
        <v>89.663200000000003</v>
      </c>
      <c r="K116" s="79"/>
      <c r="L116" s="27"/>
      <c r="M116" s="80">
        <f>IF(OR(J116=0,Q116=""),"",Q116/J116-1)</f>
        <v>-0.1416478555304741</v>
      </c>
      <c r="N116" s="27"/>
      <c r="O116" s="98"/>
      <c r="P116" s="98"/>
      <c r="Q116" s="98">
        <f>SUM(Q114:Q115)</f>
        <v>76.962599999999995</v>
      </c>
      <c r="R116" s="79"/>
    </row>
    <row r="117" spans="1:22" s="21" customFormat="1" x14ac:dyDescent="0.3">
      <c r="A117" s="3"/>
      <c r="B117" s="3"/>
      <c r="C117" s="3"/>
      <c r="D117" s="3"/>
      <c r="E117" s="3"/>
      <c r="F117" s="41"/>
      <c r="G117" s="3"/>
      <c r="H117" s="93"/>
      <c r="I117" s="93"/>
      <c r="J117" s="93"/>
      <c r="K117" s="44"/>
      <c r="M117" s="49"/>
      <c r="O117" s="93"/>
      <c r="P117" s="93"/>
      <c r="Q117" s="93"/>
      <c r="R117" s="44"/>
    </row>
    <row r="118" spans="1:22" s="21" customFormat="1" x14ac:dyDescent="0.3">
      <c r="A118" s="3"/>
      <c r="B118" s="5" t="s">
        <v>0</v>
      </c>
      <c r="C118" s="5" t="s">
        <v>6</v>
      </c>
      <c r="D118" s="5" t="s">
        <v>159</v>
      </c>
      <c r="E118" s="3"/>
      <c r="F118" s="41"/>
      <c r="G118" s="3"/>
      <c r="H118" s="93"/>
      <c r="I118" s="93"/>
      <c r="J118" s="93"/>
      <c r="K118" s="44"/>
      <c r="M118" s="49"/>
      <c r="O118" s="93"/>
      <c r="P118" s="93"/>
      <c r="Q118" s="93"/>
      <c r="R118" s="44"/>
    </row>
    <row r="119" spans="1:22" s="21" customFormat="1" x14ac:dyDescent="0.3">
      <c r="A119" s="3"/>
      <c r="B119" s="3" t="str">
        <f t="shared" ref="B119:B128" si="49">B118</f>
        <v>Energex</v>
      </c>
      <c r="C119" s="3" t="str">
        <f t="shared" ref="C119:C128" si="50">C118</f>
        <v>Residential</v>
      </c>
      <c r="D119" s="3" t="str">
        <f t="shared" ref="D119:D128" si="51">D118</f>
        <v>with CL</v>
      </c>
      <c r="E119" s="3" t="s">
        <v>24</v>
      </c>
      <c r="F119" s="41">
        <f t="array" ref="F119">IFERROR(INDEX(Usage!$B$5:$T$18,MATCH($B119,Usage!$B$5:$B$18,0),MATCH($C119&amp;$D119&amp;$E119&amp;"Total",Usage!$B$5:$W$5&amp;Usage!$B$6:$W$6&amp;Usage!$B$7:$W$7&amp;Usage!$B$13:$W$13,0)),0)</f>
        <v>4400</v>
      </c>
      <c r="G119" s="3" t="s">
        <v>58</v>
      </c>
      <c r="H119" s="93"/>
      <c r="I119" s="93">
        <f>I114</f>
        <v>17.72</v>
      </c>
      <c r="J119" s="93">
        <f>IF(AND(H119="",I119=""),"",H119+I119*$F119/1000)</f>
        <v>77.968000000000004</v>
      </c>
      <c r="K119" s="44"/>
      <c r="M119" s="49">
        <f t="shared" ref="M119:M128" si="52">IF(OR(J119=0,Q119=""),"",Q119/J119-1)</f>
        <v>-0.14164785553047399</v>
      </c>
      <c r="O119" s="93"/>
      <c r="P119" s="93">
        <f>P114</f>
        <v>15.21</v>
      </c>
      <c r="Q119" s="93">
        <f>IF(AND(O119="",P119=""),"",O119+P119*$F119/1000)</f>
        <v>66.924000000000007</v>
      </c>
      <c r="R119" s="44"/>
    </row>
    <row r="120" spans="1:22" s="21" customFormat="1" x14ac:dyDescent="0.3">
      <c r="A120" s="3"/>
      <c r="B120" s="3" t="str">
        <f t="shared" si="49"/>
        <v>Energex</v>
      </c>
      <c r="C120" s="3" t="str">
        <f t="shared" si="50"/>
        <v>Residential</v>
      </c>
      <c r="D120" s="3" t="str">
        <f t="shared" si="51"/>
        <v>with CL</v>
      </c>
      <c r="E120" s="3" t="s">
        <v>15</v>
      </c>
      <c r="F120" s="41">
        <f t="array" ref="F120">IFERROR(INDEX(Usage!$B$5:$T$18,MATCH($B120,Usage!$B$5:$B$18,0),MATCH($C120&amp;$D120&amp;$E120,Usage!$B$5:$W$5&amp;Usage!$B$6:$W$6&amp;Usage!$B$7:$W$7,0)),0)</f>
        <v>551</v>
      </c>
      <c r="G120" s="3" t="s">
        <v>82</v>
      </c>
      <c r="H120" s="93"/>
      <c r="I120" s="93">
        <f t="array" ref="I120">IFERROR(INDEX('Detail inputs'!$B$3:$L$304,MATCH($B120&amp;$G120&amp;I$5,'Detail inputs'!$B$3:$B$304&amp;'Detail inputs'!$G$3:$G$304&amp;'Detail inputs'!$H$3:$H$304,0),MATCH(I$4,'Detail inputs'!$B$3:$L$3,0)),0)</f>
        <v>9.3800000000000008</v>
      </c>
      <c r="J120" s="93">
        <f>IF(AND(H120="",I120=""),"",H120+I120*$F120/1000)</f>
        <v>5.16838</v>
      </c>
      <c r="K120" s="44">
        <f>IFERROR(J120/J123,"")</f>
        <v>0.52934537246049662</v>
      </c>
      <c r="L120" s="44"/>
      <c r="M120" s="49">
        <f t="shared" si="52"/>
        <v>-0.51385927505330486</v>
      </c>
      <c r="N120" s="44"/>
      <c r="O120" s="93"/>
      <c r="P120" s="93">
        <f t="array" ref="P120">IFERROR(INDEX('Detail inputs'!$B$3:$L$304,MATCH($B120&amp;$G120&amp;P$5,'Detail inputs'!$B$3:$B$304&amp;'Detail inputs'!$G$3:$G$304&amp;'Detail inputs'!$H$3:$H$304,0),MATCH(P$4,'Detail inputs'!$B$3:$L$3,0)),0)</f>
        <v>4.5599999999999996</v>
      </c>
      <c r="Q120" s="93">
        <f>IF(AND(O120="",P120=""),"",O120+P120*$F120/1000)</f>
        <v>2.5125600000000001</v>
      </c>
      <c r="R120" s="44">
        <f>IFERROR(Q120/Q124,"")</f>
        <v>0.40845070422535212</v>
      </c>
    </row>
    <row r="121" spans="1:22" s="21" customFormat="1" x14ac:dyDescent="0.3">
      <c r="A121" s="3"/>
      <c r="B121" s="3" t="str">
        <f t="shared" si="49"/>
        <v>Energex</v>
      </c>
      <c r="C121" s="3" t="str">
        <f t="shared" si="50"/>
        <v>Residential</v>
      </c>
      <c r="D121" s="3" t="str">
        <f t="shared" si="51"/>
        <v>with CL</v>
      </c>
      <c r="E121" s="3" t="s">
        <v>15</v>
      </c>
      <c r="F121" s="41">
        <f t="array" ref="F121">IFERROR(INDEX(Usage!$B$5:$T$18,MATCH($B121,Usage!$B$5:$B$18,0),MATCH($C121&amp;$D121&amp;$E121,Usage!$B$5:$W$5&amp;Usage!$B$6:$W$6&amp;Usage!$B$7:$W$7,0)),0)</f>
        <v>551</v>
      </c>
      <c r="G121" s="3" t="s">
        <v>83</v>
      </c>
      <c r="H121" s="93"/>
      <c r="I121" s="93">
        <f t="array" ref="I121">IFERROR(INDEX('Detail inputs'!$B$3:$L$304,MATCH($B121&amp;$G121&amp;I$5,'Detail inputs'!$B$3:$B$304&amp;'Detail inputs'!$G$3:$G$304&amp;'Detail inputs'!$H$3:$H$304,0),MATCH(I$4,'Detail inputs'!$B$3:$L$3,0)),0)</f>
        <v>7.26</v>
      </c>
      <c r="J121" s="93">
        <f>IF(AND(H121="",I121=""),"",H121+I121*$F121/1000)</f>
        <v>4.0002599999999999</v>
      </c>
      <c r="K121" s="44">
        <f>IFERROR(J121/J123,"")</f>
        <v>0.40970654627539504</v>
      </c>
      <c r="L121" s="44"/>
      <c r="M121" s="49">
        <f t="shared" si="52"/>
        <v>0.33884297520661155</v>
      </c>
      <c r="N121" s="44"/>
      <c r="O121" s="93"/>
      <c r="P121" s="93">
        <f t="array" ref="P121">IFERROR(INDEX('Detail inputs'!$B$3:$L$304,MATCH($B121&amp;$G121&amp;P$5,'Detail inputs'!$B$3:$B$304&amp;'Detail inputs'!$G$3:$G$304&amp;'Detail inputs'!$H$3:$H$304,0),MATCH(P$4,'Detail inputs'!$B$3:$L$3,0)),0)</f>
        <v>9.7200000000000006</v>
      </c>
      <c r="Q121" s="93">
        <f>IF(AND(O121="",P121=""),"",O121+P121*$F121/1000)</f>
        <v>5.3557199999999998</v>
      </c>
      <c r="R121" s="44">
        <f>IFERROR(Q121/Q123,"")</f>
        <v>0.63905325443786976</v>
      </c>
    </row>
    <row r="122" spans="1:22" s="21" customFormat="1" x14ac:dyDescent="0.3">
      <c r="A122" s="3"/>
      <c r="B122" s="3" t="str">
        <f t="shared" si="49"/>
        <v>Energex</v>
      </c>
      <c r="C122" s="3" t="str">
        <f t="shared" si="50"/>
        <v>Residential</v>
      </c>
      <c r="D122" s="3" t="str">
        <f t="shared" si="51"/>
        <v>with CL</v>
      </c>
      <c r="E122" s="3" t="s">
        <v>15</v>
      </c>
      <c r="F122" s="41">
        <f t="array" ref="F122">IFERROR(INDEX(Usage!$B$5:$T$18,MATCH($B122,Usage!$B$5:$B$18,0),MATCH($C122&amp;$D122&amp;$E122,Usage!$B$5:$W$5&amp;Usage!$B$6:$W$6&amp;Usage!$B$7:$W$7,0)),0)</f>
        <v>551</v>
      </c>
      <c r="G122" s="3" t="s">
        <v>81</v>
      </c>
      <c r="H122" s="93"/>
      <c r="I122" s="93">
        <f t="array" ref="I122">ROUND(IFERROR(INDEX('Detail inputs'!$B$3:$L$304,MATCH($B122&amp;$C122&amp;$E122&amp;$G122&amp;I$5,'Detail inputs'!$B$3:$B$304&amp;'Detail inputs'!$D$3:$D$304&amp;'Detail inputs'!$F$3:$F$304&amp;'Detail inputs'!$G$3:$G$304&amp;'Detail inputs'!$H$3:$H$304,0),MATCH(I$4,'Detail inputs'!$B$3:$L$3,0)),0)*SUM(I120:I121),2)</f>
        <v>1.08</v>
      </c>
      <c r="J122" s="93">
        <f>IF(AND(H122="",I122=""),"",H122+I122*$F122/1000)</f>
        <v>0.59508000000000005</v>
      </c>
      <c r="K122" s="44">
        <f>IFERROR(J122/J123,"")</f>
        <v>6.0948081264108361E-2</v>
      </c>
      <c r="L122" s="44"/>
      <c r="M122" s="49">
        <f t="shared" si="52"/>
        <v>-0.13888888888888884</v>
      </c>
      <c r="N122" s="44"/>
      <c r="O122" s="93"/>
      <c r="P122" s="93">
        <f t="array" ref="P122">ROUND(IFERROR(INDEX('Detail inputs'!$B$3:$L$304,MATCH($B122&amp;$C122&amp;$E122&amp;$G122&amp;P$5,'Detail inputs'!$B$3:$B$304&amp;'Detail inputs'!$D$3:$D$304&amp;'Detail inputs'!$F$3:$F$304&amp;'Detail inputs'!$G$3:$G$304&amp;'Detail inputs'!$H$3:$H$304,0),MATCH(P$4,'Detail inputs'!$B$3:$L$3,0)),0)*SUM(P120:P121),2)</f>
        <v>0.93</v>
      </c>
      <c r="Q122" s="93">
        <f>IF(AND(O122="",P122=""),"",O122+P122*$F122/1000)</f>
        <v>0.51243000000000005</v>
      </c>
      <c r="R122" s="44">
        <f>IFERROR(Q122/Q123,"")</f>
        <v>6.1143984220907298E-2</v>
      </c>
    </row>
    <row r="123" spans="1:22" s="21" customFormat="1" x14ac:dyDescent="0.25">
      <c r="A123" s="3"/>
      <c r="B123" s="3" t="str">
        <f t="shared" si="49"/>
        <v>Energex</v>
      </c>
      <c r="C123" s="3" t="str">
        <f t="shared" si="50"/>
        <v>Residential</v>
      </c>
      <c r="D123" s="3" t="str">
        <f t="shared" si="51"/>
        <v>with CL</v>
      </c>
      <c r="E123" s="3" t="s">
        <v>15</v>
      </c>
      <c r="F123" s="41">
        <f t="array" ref="F123">IFERROR(INDEX(Usage!$B$5:$T$18,MATCH($B123,Usage!$B$5:$B$18,0),MATCH($C123&amp;$D123&amp;$E123,Usage!$B$5:$W$5&amp;Usage!$B$6:$W$6&amp;Usage!$B$7:$W$7,0)),0)</f>
        <v>551</v>
      </c>
      <c r="G123" s="3" t="s">
        <v>58</v>
      </c>
      <c r="H123" s="99"/>
      <c r="I123" s="99">
        <f t="array" ref="I123">INDEX('Key inputs'!$B$15:$G$33,MATCH($B123&amp;$E123,'Key inputs'!$B$15:$B$33&amp;'Key inputs'!$C$15:$C$33,0),MATCH($A$2&amp;I$4,'Key inputs'!$B$16:$G$16&amp;'Key inputs'!$B$17:$G$17,0))</f>
        <v>17.72</v>
      </c>
      <c r="J123" s="93">
        <f t="shared" ref="J123" si="53">IF(AND(H123="",I123=""),"",H123+I123*$F123/1000)</f>
        <v>9.7637199999999993</v>
      </c>
      <c r="K123" s="91"/>
      <c r="L123" s="92"/>
      <c r="M123" s="49">
        <f t="shared" si="52"/>
        <v>-0.14164785553047388</v>
      </c>
      <c r="N123" s="92"/>
      <c r="O123" s="99"/>
      <c r="P123" s="99">
        <f t="array" ref="P123">INDEX('Key inputs'!$B$15:$G$33,MATCH($B123&amp;$E123,'Key inputs'!$B$15:$B$33&amp;'Key inputs'!$C$15:$C$33,0),MATCH($A$2&amp;P$4,'Key inputs'!$B$16:$G$16&amp;'Key inputs'!$B$17:$G$17,0))</f>
        <v>15.21</v>
      </c>
      <c r="Q123" s="93">
        <f t="shared" ref="Q123" si="54">IF(AND(O123="",P123=""),"",O123+P123*$F123/1000)</f>
        <v>8.3807100000000005</v>
      </c>
      <c r="R123" s="91"/>
      <c r="S123" s="142" t="b">
        <f>ROUND(I123,$W$5)=ROUND(SUM(I120:I122),$W$5)</f>
        <v>1</v>
      </c>
      <c r="T123" s="142" t="b">
        <f>ROUND(P123,$W$5)=ROUND(SUM(P120:P122),$W$5)</f>
        <v>1</v>
      </c>
      <c r="U123" s="99"/>
      <c r="V123" s="99"/>
    </row>
    <row r="124" spans="1:22" s="21" customFormat="1" x14ac:dyDescent="0.3">
      <c r="A124" s="3"/>
      <c r="B124" s="3" t="str">
        <f t="shared" si="49"/>
        <v>Energex</v>
      </c>
      <c r="C124" s="3" t="str">
        <f t="shared" si="50"/>
        <v>Residential</v>
      </c>
      <c r="D124" s="3" t="str">
        <f t="shared" si="51"/>
        <v>with CL</v>
      </c>
      <c r="E124" s="3" t="s">
        <v>16</v>
      </c>
      <c r="F124" s="41">
        <f t="array" ref="F124">IFERROR(INDEX(Usage!$B$5:$T$18,MATCH($B124,Usage!$B$5:$B$18,0),MATCH($C124&amp;$D124&amp;$E124,Usage!$B$5:$W$5&amp;Usage!$B$6:$W$6&amp;Usage!$B$7:$W$7,0)),0)</f>
        <v>1349</v>
      </c>
      <c r="G124" s="3" t="s">
        <v>82</v>
      </c>
      <c r="H124" s="93"/>
      <c r="I124" s="93">
        <f t="array" ref="I124">IFERROR(INDEX('Detail inputs'!$B$3:$L$304,MATCH($B124&amp;$G124&amp;I$5,'Detail inputs'!$B$3:$B$304&amp;'Detail inputs'!$G$3:$G$304&amp;'Detail inputs'!$H$3:$H$304,0),MATCH(I$4,'Detail inputs'!$B$3:$L$3,0)),0)</f>
        <v>9.3800000000000008</v>
      </c>
      <c r="J124" s="93">
        <f>IF(AND(H124="",I124=""),"",H124+I124*$F124/1000)</f>
        <v>12.65362</v>
      </c>
      <c r="K124" s="44">
        <f>IFERROR(J124/J127,"")</f>
        <v>0.52934537246049662</v>
      </c>
      <c r="L124" s="44"/>
      <c r="M124" s="49">
        <f t="shared" si="52"/>
        <v>-0.51385927505330486</v>
      </c>
      <c r="N124" s="44"/>
      <c r="O124" s="93"/>
      <c r="P124" s="93">
        <f t="array" ref="P124">IFERROR(INDEX('Detail inputs'!$B$3:$L$304,MATCH($B124&amp;$G124&amp;P$5,'Detail inputs'!$B$3:$B$304&amp;'Detail inputs'!$G$3:$G$304&amp;'Detail inputs'!$H$3:$H$304,0),MATCH(P$4,'Detail inputs'!$B$3:$L$3,0)),0)</f>
        <v>4.5599999999999996</v>
      </c>
      <c r="Q124" s="93">
        <f>IF(AND(O124="",P124=""),"",O124+P124*$F124/1000)</f>
        <v>6.15144</v>
      </c>
      <c r="R124" s="44">
        <f>IFERROR(Q124/Q128,"")</f>
        <v>6.4195861118938033E-2</v>
      </c>
    </row>
    <row r="125" spans="1:22" s="21" customFormat="1" x14ac:dyDescent="0.3">
      <c r="A125" s="3"/>
      <c r="B125" s="3" t="str">
        <f t="shared" si="49"/>
        <v>Energex</v>
      </c>
      <c r="C125" s="3" t="str">
        <f t="shared" si="50"/>
        <v>Residential</v>
      </c>
      <c r="D125" s="3" t="str">
        <f t="shared" si="51"/>
        <v>with CL</v>
      </c>
      <c r="E125" s="3" t="s">
        <v>16</v>
      </c>
      <c r="F125" s="41">
        <f t="array" ref="F125">IFERROR(INDEX(Usage!$B$5:$T$18,MATCH($B125,Usage!$B$5:$B$18,0),MATCH($C125&amp;$D125&amp;$E125,Usage!$B$5:$W$5&amp;Usage!$B$6:$W$6&amp;Usage!$B$7:$W$7,0)),0)</f>
        <v>1349</v>
      </c>
      <c r="G125" s="3" t="s">
        <v>83</v>
      </c>
      <c r="H125" s="99"/>
      <c r="I125" s="93">
        <f t="array" ref="I125">IFERROR(INDEX('Detail inputs'!$B$3:$L$304,MATCH($B125&amp;$G125&amp;I$5,'Detail inputs'!$B$3:$B$304&amp;'Detail inputs'!$G$3:$G$304&amp;'Detail inputs'!$H$3:$H$304,0),MATCH(I$4,'Detail inputs'!$B$3:$L$3,0)),0)</f>
        <v>7.26</v>
      </c>
      <c r="J125" s="99">
        <f>IF(AND(H125="",I125=""),"",H125+I125*$F125/1000)</f>
        <v>9.7937399999999997</v>
      </c>
      <c r="K125" s="91">
        <f>IFERROR(J125/J127,"")</f>
        <v>0.40970654627539504</v>
      </c>
      <c r="L125" s="91"/>
      <c r="M125" s="49">
        <f t="shared" si="52"/>
        <v>0.33884297520661155</v>
      </c>
      <c r="N125" s="91"/>
      <c r="O125" s="99"/>
      <c r="P125" s="93">
        <f t="array" ref="P125">IFERROR(INDEX('Detail inputs'!$B$3:$L$304,MATCH($B125&amp;$G125&amp;P$5,'Detail inputs'!$B$3:$B$304&amp;'Detail inputs'!$G$3:$G$304&amp;'Detail inputs'!$H$3:$H$304,0),MATCH(P$4,'Detail inputs'!$B$3:$L$3,0)),0)</f>
        <v>9.7200000000000006</v>
      </c>
      <c r="Q125" s="99">
        <f>IF(AND(O125="",P125=""),"",O125+P125*$F125/1000)</f>
        <v>13.11228</v>
      </c>
      <c r="R125" s="91">
        <f>IFERROR(Q125/Q127,"")</f>
        <v>0.63905325443786987</v>
      </c>
    </row>
    <row r="126" spans="1:22" s="21" customFormat="1" x14ac:dyDescent="0.3">
      <c r="A126" s="3"/>
      <c r="B126" s="3" t="str">
        <f t="shared" si="49"/>
        <v>Energex</v>
      </c>
      <c r="C126" s="3" t="str">
        <f t="shared" si="50"/>
        <v>Residential</v>
      </c>
      <c r="D126" s="3" t="str">
        <f t="shared" si="51"/>
        <v>with CL</v>
      </c>
      <c r="E126" s="3" t="s">
        <v>16</v>
      </c>
      <c r="F126" s="41">
        <f t="array" ref="F126">IFERROR(INDEX(Usage!$B$5:$T$18,MATCH($B126,Usage!$B$5:$B$18,0),MATCH($C126&amp;$D126&amp;$E126,Usage!$B$5:$W$5&amp;Usage!$B$6:$W$6&amp;Usage!$B$7:$W$7,0)),0)</f>
        <v>1349</v>
      </c>
      <c r="G126" s="3" t="s">
        <v>81</v>
      </c>
      <c r="H126" s="99"/>
      <c r="I126" s="93">
        <f t="array" ref="I126">ROUND(IFERROR(INDEX('Detail inputs'!$B$3:$L$304,MATCH($B126&amp;$C126&amp;$E126&amp;$G126&amp;I$5,'Detail inputs'!$B$3:$B$304&amp;'Detail inputs'!$D$3:$D$304&amp;'Detail inputs'!$F$3:$F$304&amp;'Detail inputs'!$G$3:$G$304&amp;'Detail inputs'!$H$3:$H$304,0),MATCH(I$4,'Detail inputs'!$B$3:$L$3,0)),0)*SUM(I124:I125),2)</f>
        <v>1.08</v>
      </c>
      <c r="J126" s="99">
        <f>IF(AND(H126="",I126=""),"",H126+I126*$F126/1000)</f>
        <v>1.45692</v>
      </c>
      <c r="K126" s="91">
        <f>IFERROR(J126/J127,"")</f>
        <v>6.0948081264108354E-2</v>
      </c>
      <c r="L126" s="91"/>
      <c r="M126" s="49">
        <f t="shared" si="52"/>
        <v>-0.13888888888888873</v>
      </c>
      <c r="N126" s="91"/>
      <c r="O126" s="99"/>
      <c r="P126" s="93">
        <f t="array" ref="P126">ROUND(IFERROR(INDEX('Detail inputs'!$B$3:$L$304,MATCH($B126&amp;$C126&amp;$E126&amp;$G126&amp;P$5,'Detail inputs'!$B$3:$B$304&amp;'Detail inputs'!$D$3:$D$304&amp;'Detail inputs'!$F$3:$F$304&amp;'Detail inputs'!$G$3:$G$304&amp;'Detail inputs'!$H$3:$H$304,0),MATCH(P$4,'Detail inputs'!$B$3:$L$3,0)),0)*SUM(P124:P125),2)</f>
        <v>0.93</v>
      </c>
      <c r="Q126" s="99">
        <f>IF(AND(O126="",P126=""),"",O126+P126*$F126/1000)</f>
        <v>1.2545700000000002</v>
      </c>
      <c r="R126" s="91">
        <f>IFERROR(Q126/Q127,"")</f>
        <v>6.1143984220907305E-2</v>
      </c>
    </row>
    <row r="127" spans="1:22" s="21" customFormat="1" x14ac:dyDescent="0.25">
      <c r="A127" s="3"/>
      <c r="B127" s="3" t="str">
        <f t="shared" si="49"/>
        <v>Energex</v>
      </c>
      <c r="C127" s="3" t="str">
        <f t="shared" si="50"/>
        <v>Residential</v>
      </c>
      <c r="D127" s="3" t="str">
        <f t="shared" si="51"/>
        <v>with CL</v>
      </c>
      <c r="E127" s="3" t="s">
        <v>16</v>
      </c>
      <c r="F127" s="41">
        <f t="array" ref="F127">IFERROR(INDEX(Usage!$B$5:$T$18,MATCH($B127,Usage!$B$5:$B$18,0),MATCH($C127&amp;$D127&amp;$E127,Usage!$B$5:$W$5&amp;Usage!$B$6:$W$6&amp;Usage!$B$7:$W$7,0)),0)</f>
        <v>1349</v>
      </c>
      <c r="G127" s="3" t="s">
        <v>58</v>
      </c>
      <c r="H127" s="99"/>
      <c r="I127" s="99">
        <f t="array" ref="I127">INDEX('Key inputs'!$B$15:$G$33,MATCH($B127&amp;$E127,'Key inputs'!$B$15:$B$33&amp;'Key inputs'!$C$15:$C$33,0),MATCH($A$2&amp;I$4,'Key inputs'!$B$16:$G$16&amp;'Key inputs'!$B$17:$G$17,0))</f>
        <v>17.72</v>
      </c>
      <c r="J127" s="93">
        <f t="shared" ref="J127" si="55">IF(AND(H127="",I127=""),"",H127+I127*$F127/1000)</f>
        <v>23.90428</v>
      </c>
      <c r="K127" s="91"/>
      <c r="L127" s="92"/>
      <c r="M127" s="49">
        <f t="shared" si="52"/>
        <v>-0.14164785553047399</v>
      </c>
      <c r="N127" s="92"/>
      <c r="O127" s="99"/>
      <c r="P127" s="99">
        <f t="array" ref="P127">INDEX('Key inputs'!$B$15:$G$33,MATCH($B127&amp;$E127,'Key inputs'!$B$15:$B$33&amp;'Key inputs'!$C$15:$C$33,0),MATCH($A$2&amp;P$4,'Key inputs'!$B$16:$G$16&amp;'Key inputs'!$B$17:$G$17,0))</f>
        <v>15.21</v>
      </c>
      <c r="Q127" s="93">
        <f t="shared" ref="Q127" si="56">IF(AND(O127="",P127=""),"",O127+P127*$F127/1000)</f>
        <v>20.51829</v>
      </c>
      <c r="R127" s="91"/>
      <c r="S127" s="142" t="b">
        <f>ROUND(I127,$W$5)=ROUND(SUM(I124:I126),$W$5)</f>
        <v>1</v>
      </c>
      <c r="T127" s="142" t="b">
        <f>ROUND(P127,$W$5)=ROUND(SUM(P124:P126),$W$5)</f>
        <v>1</v>
      </c>
      <c r="U127" s="99"/>
      <c r="V127" s="99"/>
    </row>
    <row r="128" spans="1:22" s="92" customFormat="1" x14ac:dyDescent="0.3">
      <c r="A128" s="81"/>
      <c r="B128" s="81" t="str">
        <f t="shared" si="49"/>
        <v>Energex</v>
      </c>
      <c r="C128" s="81" t="str">
        <f t="shared" si="50"/>
        <v>Residential</v>
      </c>
      <c r="D128" s="81" t="str">
        <f t="shared" si="51"/>
        <v>with CL</v>
      </c>
      <c r="E128" s="81" t="s">
        <v>58</v>
      </c>
      <c r="F128" s="41">
        <f t="array" ref="F128">IFERROR(INDEX(Usage!$B$5:$T$18,MATCH($B128,Usage!$B$5:$B$18,0),MATCH($C128&amp;$D128&amp;$E128,Usage!$B$5:$W$5&amp;Usage!$B$6:$W$6&amp;Usage!$B$7:$W$7,0)),0)</f>
        <v>6300</v>
      </c>
      <c r="G128" s="81" t="s">
        <v>58</v>
      </c>
      <c r="H128" s="99"/>
      <c r="I128" s="99">
        <f>I119+I123+I127</f>
        <v>53.16</v>
      </c>
      <c r="J128" s="99">
        <f>J119+J123+J127</f>
        <v>111.636</v>
      </c>
      <c r="K128" s="91"/>
      <c r="M128" s="49">
        <f t="shared" si="52"/>
        <v>-0.14164785553047399</v>
      </c>
      <c r="O128" s="99"/>
      <c r="P128" s="99">
        <f>P119+P123+P127</f>
        <v>45.63</v>
      </c>
      <c r="Q128" s="99">
        <f>Q119+Q123+Q127</f>
        <v>95.823000000000008</v>
      </c>
      <c r="R128" s="91"/>
    </row>
    <row r="129" spans="1:22" s="21" customFormat="1" x14ac:dyDescent="0.3">
      <c r="A129" s="3"/>
      <c r="B129" s="3" t="str">
        <f t="shared" ref="B129:D130" si="57">B128</f>
        <v>Energex</v>
      </c>
      <c r="C129" s="3" t="str">
        <f t="shared" si="57"/>
        <v>Residential</v>
      </c>
      <c r="D129" s="3" t="str">
        <f t="shared" si="57"/>
        <v>with CL</v>
      </c>
      <c r="E129" s="3"/>
      <c r="F129" s="41"/>
      <c r="G129" s="81" t="s">
        <v>41</v>
      </c>
      <c r="H129" s="99"/>
      <c r="I129" s="99"/>
      <c r="J129" s="99">
        <f>J128*GST</f>
        <v>11.163600000000001</v>
      </c>
      <c r="K129" s="91"/>
      <c r="L129" s="92"/>
      <c r="M129" s="83"/>
      <c r="N129" s="92"/>
      <c r="O129" s="99"/>
      <c r="P129" s="99"/>
      <c r="Q129" s="99">
        <f>Q128*GST</f>
        <v>9.5823000000000018</v>
      </c>
      <c r="R129" s="79"/>
    </row>
    <row r="130" spans="1:22" s="21" customFormat="1" x14ac:dyDescent="0.3">
      <c r="A130" s="3"/>
      <c r="B130" s="3" t="str">
        <f t="shared" si="57"/>
        <v>Energex</v>
      </c>
      <c r="C130" s="3" t="str">
        <f t="shared" si="57"/>
        <v>Residential</v>
      </c>
      <c r="D130" s="3" t="str">
        <f t="shared" si="57"/>
        <v>with CL</v>
      </c>
      <c r="E130" s="3"/>
      <c r="F130" s="41"/>
      <c r="G130" s="5" t="s">
        <v>91</v>
      </c>
      <c r="H130" s="98"/>
      <c r="I130" s="98"/>
      <c r="J130" s="98">
        <f>SUM(J128:J129)</f>
        <v>122.7996</v>
      </c>
      <c r="K130" s="79"/>
      <c r="L130" s="27"/>
      <c r="M130" s="80">
        <f>IF(OR(J130=0,Q130=""),"",Q130/J130-1)</f>
        <v>-0.14164785553047399</v>
      </c>
      <c r="N130" s="27"/>
      <c r="O130" s="98"/>
      <c r="P130" s="98"/>
      <c r="Q130" s="98">
        <f>SUM(Q128:Q129)</f>
        <v>105.40530000000001</v>
      </c>
      <c r="R130" s="79"/>
    </row>
    <row r="131" spans="1:22" s="21" customFormat="1" x14ac:dyDescent="0.3">
      <c r="A131" s="3"/>
      <c r="B131" s="3"/>
      <c r="C131" s="3"/>
      <c r="D131" s="3"/>
      <c r="E131" s="3"/>
      <c r="F131" s="41"/>
      <c r="G131" s="3"/>
      <c r="H131" s="93"/>
      <c r="I131" s="93"/>
      <c r="J131" s="93"/>
      <c r="K131" s="44"/>
      <c r="M131" s="49"/>
      <c r="O131" s="93"/>
      <c r="P131" s="93"/>
      <c r="Q131" s="93"/>
      <c r="R131" s="44"/>
    </row>
    <row r="132" spans="1:22" s="21" customFormat="1" x14ac:dyDescent="0.3">
      <c r="A132" s="3"/>
      <c r="B132" s="5" t="s">
        <v>0</v>
      </c>
      <c r="C132" s="5" t="s">
        <v>14</v>
      </c>
      <c r="D132" s="5" t="s">
        <v>158</v>
      </c>
      <c r="E132" s="3"/>
      <c r="F132" s="41"/>
      <c r="G132" s="3"/>
      <c r="H132" s="93"/>
      <c r="I132" s="93"/>
      <c r="J132" s="93"/>
      <c r="K132" s="44"/>
      <c r="M132" s="49"/>
      <c r="O132" s="93"/>
      <c r="P132" s="93"/>
      <c r="Q132" s="93"/>
      <c r="R132" s="44"/>
    </row>
    <row r="133" spans="1:22" s="21" customFormat="1" x14ac:dyDescent="0.3">
      <c r="A133" s="3"/>
      <c r="B133" s="3" t="str">
        <f t="shared" ref="B133:D138" si="58">B132</f>
        <v>Energex</v>
      </c>
      <c r="C133" s="3" t="str">
        <f t="shared" si="58"/>
        <v>Small business</v>
      </c>
      <c r="D133" s="3" t="str">
        <f t="shared" si="58"/>
        <v>without CL</v>
      </c>
      <c r="E133" s="3" t="s">
        <v>24</v>
      </c>
      <c r="F133" s="41">
        <f t="array" ref="F133">IFERROR(INDEX(Usage!$B$5:$T$18,MATCH($B133,Usage!$B$5:$B$18,0),MATCH($C133&amp;$D133&amp;$E133,Usage!$B$5:$W$5&amp;Usage!$B$6:$W$6&amp;Usage!$B$7:$W$7,0)),0)</f>
        <v>20000</v>
      </c>
      <c r="G133" s="3" t="s">
        <v>82</v>
      </c>
      <c r="H133" s="93"/>
      <c r="I133" s="93">
        <f t="array" ref="I133">IFERROR(INDEX('Detail inputs'!$B$3:$L$304,MATCH($B133&amp;$G133&amp;I$5,'Detail inputs'!$B$3:$B$304&amp;'Detail inputs'!$G$3:$G$304&amp;'Detail inputs'!$H$3:$H$304,0),MATCH(I$4,'Detail inputs'!$B$3:$L$3,0)),0)</f>
        <v>9.3800000000000008</v>
      </c>
      <c r="J133" s="93">
        <f>IF(AND(H133="",I133=""),"",H133+I133*$F133/1000)</f>
        <v>187.60000000000002</v>
      </c>
      <c r="K133" s="44">
        <f>IFERROR(J133/J136,"")</f>
        <v>0.52934537246049673</v>
      </c>
      <c r="L133" s="44"/>
      <c r="M133" s="49">
        <f>IF(OR(J133=0,Q133=""),"",Q133/J133-1)</f>
        <v>-0.51385927505330509</v>
      </c>
      <c r="N133" s="44"/>
      <c r="O133" s="93"/>
      <c r="P133" s="93">
        <f t="array" ref="P133">IFERROR(INDEX('Detail inputs'!$B$3:$L$304,MATCH($B133&amp;$G133&amp;P$5,'Detail inputs'!$B$3:$B$304&amp;'Detail inputs'!$G$3:$G$304&amp;'Detail inputs'!$H$3:$H$304,0),MATCH(P$4,'Detail inputs'!$B$3:$L$3,0)),0)</f>
        <v>4.5599999999999996</v>
      </c>
      <c r="Q133" s="93">
        <f>IF(AND(O133="",P133=""),"",O133+P133*$F133/1000)</f>
        <v>91.199999999999989</v>
      </c>
      <c r="R133" s="44">
        <f>IFERROR(Q133/Q136,"")</f>
        <v>0.29980276134122286</v>
      </c>
    </row>
    <row r="134" spans="1:22" s="21" customFormat="1" x14ac:dyDescent="0.3">
      <c r="A134" s="3"/>
      <c r="B134" s="3" t="str">
        <f t="shared" si="58"/>
        <v>Energex</v>
      </c>
      <c r="C134" s="3" t="str">
        <f t="shared" si="58"/>
        <v>Small business</v>
      </c>
      <c r="D134" s="3" t="str">
        <f t="shared" si="58"/>
        <v>without CL</v>
      </c>
      <c r="E134" s="3" t="s">
        <v>24</v>
      </c>
      <c r="F134" s="41">
        <f t="array" ref="F134">IFERROR(INDEX(Usage!$B$5:$T$18,MATCH($B134,Usage!$B$5:$B$18,0),MATCH($C134&amp;$D134&amp;$E134,Usage!$B$5:$W$5&amp;Usage!$B$6:$W$6&amp;Usage!$B$7:$W$7,0)),0)</f>
        <v>20000</v>
      </c>
      <c r="G134" s="3" t="s">
        <v>83</v>
      </c>
      <c r="H134" s="93"/>
      <c r="I134" s="93">
        <f t="array" ref="I134">IFERROR(INDEX('Detail inputs'!$B$3:$L$304,MATCH($B134&amp;$G134&amp;I$5,'Detail inputs'!$B$3:$B$304&amp;'Detail inputs'!$G$3:$G$304&amp;'Detail inputs'!$H$3:$H$304,0),MATCH(I$4,'Detail inputs'!$B$3:$L$3,0)),0)</f>
        <v>7.26</v>
      </c>
      <c r="J134" s="93">
        <f>IF(AND(H134="",I134=""),"",H134+I134*$F134/1000)</f>
        <v>145.19999999999999</v>
      </c>
      <c r="K134" s="44">
        <f>IFERROR(J134/J136,"")</f>
        <v>0.40970654627539504</v>
      </c>
      <c r="L134" s="44"/>
      <c r="M134" s="49">
        <f>IF(OR(J134=0,Q134=""),"",Q134/J134-1)</f>
        <v>0.33884297520661177</v>
      </c>
      <c r="N134" s="44"/>
      <c r="O134" s="93"/>
      <c r="P134" s="93">
        <f t="array" ref="P134">IFERROR(INDEX('Detail inputs'!$B$3:$L$304,MATCH($B134&amp;$G134&amp;P$5,'Detail inputs'!$B$3:$B$304&amp;'Detail inputs'!$G$3:$G$304&amp;'Detail inputs'!$H$3:$H$304,0),MATCH(P$4,'Detail inputs'!$B$3:$L$3,0)),0)</f>
        <v>9.7200000000000006</v>
      </c>
      <c r="Q134" s="93">
        <f>IF(AND(O134="",P134=""),"",O134+P134*$F134/1000)</f>
        <v>194.4</v>
      </c>
      <c r="R134" s="44">
        <f>IFERROR(Q134/Q136,"")</f>
        <v>0.63905325443786987</v>
      </c>
    </row>
    <row r="135" spans="1:22" s="21" customFormat="1" x14ac:dyDescent="0.3">
      <c r="A135" s="3"/>
      <c r="B135" s="3" t="str">
        <f t="shared" si="58"/>
        <v>Energex</v>
      </c>
      <c r="C135" s="3" t="str">
        <f t="shared" si="58"/>
        <v>Small business</v>
      </c>
      <c r="D135" s="3" t="str">
        <f t="shared" si="58"/>
        <v>without CL</v>
      </c>
      <c r="E135" s="3" t="s">
        <v>24</v>
      </c>
      <c r="F135" s="41">
        <f t="array" ref="F135">IFERROR(INDEX(Usage!$B$5:$T$18,MATCH($B135,Usage!$B$5:$B$18,0),MATCH($C135&amp;$D135&amp;$E135,Usage!$B$5:$W$5&amp;Usage!$B$6:$W$6&amp;Usage!$B$7:$W$7,0)),0)</f>
        <v>20000</v>
      </c>
      <c r="G135" s="3" t="s">
        <v>81</v>
      </c>
      <c r="H135" s="93"/>
      <c r="I135" s="93">
        <f t="array" ref="I135">ROUND(IFERROR(INDEX('Detail inputs'!$B$3:$L$304,MATCH($B135&amp;$C135&amp;$E135&amp;$G135&amp;I$5,'Detail inputs'!$B$3:$B$304&amp;'Detail inputs'!$D$3:$D$304&amp;'Detail inputs'!$F$3:$F$304&amp;'Detail inputs'!$G$3:$G$304&amp;'Detail inputs'!$H$3:$H$304,0),MATCH(I$4,'Detail inputs'!$B$3:$L$3,0)),0)*SUM(I133:I134),2)</f>
        <v>1.08</v>
      </c>
      <c r="J135" s="93">
        <f>IF(AND(H135="",I135=""),"",H135+I135*$F135/1000)</f>
        <v>21.6</v>
      </c>
      <c r="K135" s="44">
        <f>IFERROR(J135/J136,"")</f>
        <v>6.0948081264108361E-2</v>
      </c>
      <c r="L135" s="44"/>
      <c r="M135" s="49">
        <f>IF(OR(J135=0,Q135=""),"",Q135/J135-1)</f>
        <v>-0.13888888888888884</v>
      </c>
      <c r="N135" s="44"/>
      <c r="O135" s="93"/>
      <c r="P135" s="93">
        <f t="array" ref="P135">ROUND(IFERROR(INDEX('Detail inputs'!$B$3:$L$304,MATCH($B135&amp;$C135&amp;$E135&amp;$G135&amp;P$5,'Detail inputs'!$B$3:$B$304&amp;'Detail inputs'!$D$3:$D$304&amp;'Detail inputs'!$F$3:$F$304&amp;'Detail inputs'!$G$3:$G$304&amp;'Detail inputs'!$H$3:$H$304,0),MATCH(P$4,'Detail inputs'!$B$3:$L$3,0)),0)*SUM(P133:P134),2)</f>
        <v>0.93</v>
      </c>
      <c r="Q135" s="93">
        <f>IF(AND(O135="",P135=""),"",O135+P135*$F135/1000)</f>
        <v>18.600000000000001</v>
      </c>
      <c r="R135" s="44">
        <f>IFERROR(Q135/Q136,"")</f>
        <v>6.1143984220907305E-2</v>
      </c>
    </row>
    <row r="136" spans="1:22" s="92" customFormat="1" x14ac:dyDescent="0.25">
      <c r="A136" s="81"/>
      <c r="B136" s="81" t="str">
        <f t="shared" si="58"/>
        <v>Energex</v>
      </c>
      <c r="C136" s="81" t="str">
        <f t="shared" si="58"/>
        <v>Small business</v>
      </c>
      <c r="D136" s="81" t="str">
        <f t="shared" si="58"/>
        <v>without CL</v>
      </c>
      <c r="E136" s="3" t="s">
        <v>24</v>
      </c>
      <c r="F136" s="41">
        <f t="array" ref="F136">IFERROR(INDEX(Usage!$B$5:$T$18,MATCH($B136,Usage!$B$5:$B$18,0),MATCH($C136&amp;$D136&amp;$E136,Usage!$B$5:$W$5&amp;Usage!$B$6:$W$6&amp;Usage!$B$7:$W$7,0)),0)</f>
        <v>20000</v>
      </c>
      <c r="G136" s="81" t="s">
        <v>58</v>
      </c>
      <c r="H136" s="99"/>
      <c r="I136" s="99">
        <f t="array" ref="I136">INDEX('Key inputs'!$B$15:$G$33,MATCH($B136&amp;$E136,'Key inputs'!$B$15:$B$33&amp;'Key inputs'!$C$15:$C$33,0),MATCH($A$2&amp;I$4,'Key inputs'!$B$16:$G$16&amp;'Key inputs'!$B$17:$G$17,0))</f>
        <v>17.72</v>
      </c>
      <c r="J136" s="93">
        <f t="shared" ref="J136" si="59">IF(AND(H136="",I136=""),"",H136+I136*$F136/1000)</f>
        <v>354.4</v>
      </c>
      <c r="K136" s="91"/>
      <c r="M136" s="83">
        <f>IF(OR(J136=0,Q136=""),"",Q136/J136-1)</f>
        <v>-0.14164785553047399</v>
      </c>
      <c r="O136" s="99"/>
      <c r="P136" s="99">
        <f t="array" ref="P136">INDEX('Key inputs'!$B$15:$G$33,MATCH($B136&amp;$E136,'Key inputs'!$B$15:$B$33&amp;'Key inputs'!$C$15:$C$33,0),MATCH($A$2&amp;P$4,'Key inputs'!$B$16:$G$16&amp;'Key inputs'!$B$17:$G$17,0))</f>
        <v>15.21</v>
      </c>
      <c r="Q136" s="93">
        <f t="shared" ref="Q136" si="60">IF(AND(O136="",P136=""),"",O136+P136*$F136/1000)</f>
        <v>304.2</v>
      </c>
      <c r="R136" s="91"/>
      <c r="S136" s="142" t="b">
        <f>ROUND(I136,$W$5)=ROUND(SUM(I133:I135),$W$5)</f>
        <v>1</v>
      </c>
      <c r="T136" s="142" t="b">
        <f>ROUND(P136,$W$5)=ROUND(SUM(P133:P135),$W$5)</f>
        <v>1</v>
      </c>
      <c r="U136" s="99"/>
      <c r="V136" s="99"/>
    </row>
    <row r="137" spans="1:22" s="21" customFormat="1" x14ac:dyDescent="0.3">
      <c r="A137" s="3"/>
      <c r="B137" s="3" t="str">
        <f t="shared" si="58"/>
        <v>Energex</v>
      </c>
      <c r="C137" s="3" t="str">
        <f t="shared" si="58"/>
        <v>Small business</v>
      </c>
      <c r="D137" s="3" t="str">
        <f t="shared" si="58"/>
        <v>without CL</v>
      </c>
      <c r="E137" s="3"/>
      <c r="F137" s="41"/>
      <c r="G137" s="81" t="s">
        <v>41</v>
      </c>
      <c r="H137" s="99"/>
      <c r="I137" s="99"/>
      <c r="J137" s="99">
        <f>J136*GST</f>
        <v>35.44</v>
      </c>
      <c r="K137" s="91"/>
      <c r="L137" s="92"/>
      <c r="M137" s="83"/>
      <c r="N137" s="92"/>
      <c r="O137" s="99"/>
      <c r="P137" s="99"/>
      <c r="Q137" s="99">
        <f>Q136*GST</f>
        <v>30.42</v>
      </c>
      <c r="R137" s="79"/>
    </row>
    <row r="138" spans="1:22" s="21" customFormat="1" x14ac:dyDescent="0.3">
      <c r="A138" s="3"/>
      <c r="B138" s="3" t="str">
        <f t="shared" si="58"/>
        <v>Energex</v>
      </c>
      <c r="C138" s="3" t="str">
        <f t="shared" si="58"/>
        <v>Small business</v>
      </c>
      <c r="D138" s="3" t="str">
        <f t="shared" si="58"/>
        <v>without CL</v>
      </c>
      <c r="E138" s="3"/>
      <c r="F138" s="41"/>
      <c r="G138" s="5" t="s">
        <v>91</v>
      </c>
      <c r="H138" s="98"/>
      <c r="I138" s="98"/>
      <c r="J138" s="98">
        <f>SUM(J136:J137)</f>
        <v>389.84</v>
      </c>
      <c r="K138" s="79"/>
      <c r="L138" s="27"/>
      <c r="M138" s="80">
        <f>IF(OR(J138=0,Q138=""),"",Q138/J138-1)</f>
        <v>-0.14164785553047399</v>
      </c>
      <c r="N138" s="27"/>
      <c r="O138" s="98"/>
      <c r="P138" s="98"/>
      <c r="Q138" s="98">
        <f>SUM(Q136:Q137)</f>
        <v>334.62</v>
      </c>
      <c r="R138" s="79"/>
    </row>
    <row r="139" spans="1:22" s="21" customFormat="1" x14ac:dyDescent="0.3">
      <c r="A139" s="3"/>
      <c r="B139" s="3"/>
      <c r="C139" s="3"/>
      <c r="D139" s="3"/>
      <c r="E139" s="3"/>
      <c r="F139" s="41"/>
      <c r="G139" s="3"/>
      <c r="H139" s="93"/>
      <c r="I139" s="93"/>
      <c r="J139" s="93"/>
      <c r="K139" s="44"/>
      <c r="M139" s="49"/>
      <c r="O139" s="93"/>
      <c r="P139" s="93"/>
      <c r="Q139" s="93"/>
      <c r="R139" s="44"/>
    </row>
    <row r="140" spans="1:22" s="21" customFormat="1" x14ac:dyDescent="0.3">
      <c r="A140" s="3"/>
      <c r="B140" s="5" t="s">
        <v>5</v>
      </c>
      <c r="C140" s="5" t="s">
        <v>6</v>
      </c>
      <c r="D140" s="5" t="s">
        <v>158</v>
      </c>
      <c r="E140" s="3"/>
      <c r="F140" s="41"/>
      <c r="G140" s="3"/>
      <c r="H140" s="93"/>
      <c r="I140" s="93"/>
      <c r="J140" s="93"/>
      <c r="K140" s="44"/>
      <c r="M140" s="49"/>
      <c r="O140" s="93"/>
      <c r="P140" s="93"/>
      <c r="Q140" s="93"/>
      <c r="R140" s="44"/>
    </row>
    <row r="141" spans="1:22" s="21" customFormat="1" x14ac:dyDescent="0.3">
      <c r="A141" s="3"/>
      <c r="B141" s="3" t="str">
        <f t="shared" ref="B141:D147" si="61">B140</f>
        <v>SAPN</v>
      </c>
      <c r="C141" s="3" t="str">
        <f t="shared" si="61"/>
        <v>Residential</v>
      </c>
      <c r="D141" s="3" t="str">
        <f t="shared" si="61"/>
        <v>without CL</v>
      </c>
      <c r="E141" s="3" t="s">
        <v>24</v>
      </c>
      <c r="F141" s="41">
        <f t="array" ref="F141">IFERROR(INDEX(Usage!$B$5:$T$18,MATCH($B141,Usage!$B$5:$B$18,0),MATCH($C141&amp;$D141&amp;$E141&amp;"Total",Usage!$B$5:$W$5&amp;Usage!$B$6:$W$6&amp;Usage!$B$7:$W$7&amp;Usage!$B$13:$W$13,0)),0)</f>
        <v>4000</v>
      </c>
      <c r="G141" s="3" t="s">
        <v>82</v>
      </c>
      <c r="H141" s="93"/>
      <c r="I141" s="93">
        <f t="array" ref="I141">IFERROR(INDEX('Detail inputs'!$B$3:$L$304,MATCH($B141&amp;$G141&amp;I$5,'Detail inputs'!$B$3:$B$304&amp;'Detail inputs'!$G$3:$G$304&amp;'Detail inputs'!$H$3:$H$304,0),MATCH(I$4,'Detail inputs'!$B$3:$L$3,0)),0)</f>
        <v>9.3800000000000008</v>
      </c>
      <c r="J141" s="93">
        <f>IF(AND(H141="",I141=""),"",H141+I141*$F141/1000)</f>
        <v>37.520000000000003</v>
      </c>
      <c r="K141" s="44">
        <f>IFERROR(J141/J145,"")</f>
        <v>0.44141176470588239</v>
      </c>
      <c r="L141" s="44"/>
      <c r="M141" s="49">
        <f>IF(OR(J141=0,Q141=""),"",Q141/J141-1)</f>
        <v>-0.51385927505330498</v>
      </c>
      <c r="N141" s="44"/>
      <c r="O141" s="93"/>
      <c r="P141" s="93">
        <f t="array" ref="P141">IFERROR(INDEX('Detail inputs'!$B$3:$L$304,MATCH($B141&amp;$G141&amp;P$5,'Detail inputs'!$B$3:$B$304&amp;'Detail inputs'!$G$3:$G$304&amp;'Detail inputs'!$H$3:$H$304,0),MATCH(P$4,'Detail inputs'!$B$3:$L$3,0)),0)</f>
        <v>4.5599999999999996</v>
      </c>
      <c r="Q141" s="93">
        <f>IF(AND(O141="",P141=""),"",O141+P141*$F141/1000)</f>
        <v>18.239999999999998</v>
      </c>
      <c r="R141" s="44">
        <f>IFERROR(Q141/Q145,"")</f>
        <v>0.2447665056360708</v>
      </c>
    </row>
    <row r="142" spans="1:22" s="21" customFormat="1" x14ac:dyDescent="0.3">
      <c r="A142" s="3"/>
      <c r="B142" s="3" t="str">
        <f t="shared" si="61"/>
        <v>SAPN</v>
      </c>
      <c r="C142" s="3" t="str">
        <f t="shared" si="61"/>
        <v>Residential</v>
      </c>
      <c r="D142" s="3" t="str">
        <f t="shared" si="61"/>
        <v>without CL</v>
      </c>
      <c r="E142" s="3" t="s">
        <v>24</v>
      </c>
      <c r="F142" s="41">
        <f t="array" ref="F142">IFERROR(INDEX(Usage!$B$5:$T$18,MATCH($B142,Usage!$B$5:$B$18,0),MATCH($C142&amp;$D142&amp;$E142&amp;"Total",Usage!$B$5:$W$5&amp;Usage!$B$6:$W$6&amp;Usage!$B$7:$W$7&amp;Usage!$B$13:$W$13,0)),0)</f>
        <v>4000</v>
      </c>
      <c r="G142" s="3" t="s">
        <v>83</v>
      </c>
      <c r="H142" s="93"/>
      <c r="I142" s="93">
        <f t="array" ref="I142">IFERROR(INDEX('Detail inputs'!$B$3:$L$304,MATCH($B142&amp;$G142&amp;I$5,'Detail inputs'!$B$3:$B$304&amp;'Detail inputs'!$G$3:$G$304&amp;'Detail inputs'!$H$3:$H$304,0),MATCH(I$4,'Detail inputs'!$B$3:$L$3,0)),0)</f>
        <v>7.26</v>
      </c>
      <c r="J142" s="93">
        <f>IF(AND(H142="",I142=""),"",H142+I142*$F142/1000)</f>
        <v>29.04</v>
      </c>
      <c r="K142" s="44">
        <f>IFERROR(J142/J145,"")</f>
        <v>0.34164705882352941</v>
      </c>
      <c r="L142" s="44"/>
      <c r="M142" s="49">
        <f>IF(OR(J142=0,Q142=""),"",Q142/J142-1)</f>
        <v>0.33884297520661177</v>
      </c>
      <c r="N142" s="44"/>
      <c r="O142" s="93"/>
      <c r="P142" s="93">
        <f t="array" ref="P142">IFERROR(INDEX('Detail inputs'!$B$3:$L$304,MATCH($B142&amp;$G142&amp;P$5,'Detail inputs'!$B$3:$B$304&amp;'Detail inputs'!$G$3:$G$304&amp;'Detail inputs'!$H$3:$H$304,0),MATCH(P$4,'Detail inputs'!$B$3:$L$3,0)),0)</f>
        <v>9.7200000000000006</v>
      </c>
      <c r="Q142" s="93">
        <f>IF(AND(O142="",P142=""),"",O142+P142*$F142/1000)</f>
        <v>38.880000000000003</v>
      </c>
      <c r="R142" s="44">
        <f>IFERROR(Q142/Q145,"")</f>
        <v>0.52173913043478259</v>
      </c>
    </row>
    <row r="143" spans="1:22" s="21" customFormat="1" x14ac:dyDescent="0.3">
      <c r="A143" s="3"/>
      <c r="B143" s="3" t="str">
        <f t="shared" si="61"/>
        <v>SAPN</v>
      </c>
      <c r="C143" s="3" t="str">
        <f t="shared" si="61"/>
        <v>Residential</v>
      </c>
      <c r="D143" s="3" t="str">
        <f t="shared" si="61"/>
        <v>without CL</v>
      </c>
      <c r="E143" s="3" t="s">
        <v>24</v>
      </c>
      <c r="F143" s="41">
        <f t="array" ref="F143">IFERROR(INDEX(Usage!$B$5:$T$18,MATCH($B143,Usage!$B$5:$B$18,0),MATCH($C143&amp;$D143&amp;$E143&amp;"Total",Usage!$B$5:$W$5&amp;Usage!$B$6:$W$6&amp;Usage!$B$7:$W$7&amp;Usage!$B$13:$W$13,0)),0)</f>
        <v>4000</v>
      </c>
      <c r="G143" s="3" t="s">
        <v>90</v>
      </c>
      <c r="H143" s="93"/>
      <c r="I143" s="93">
        <f t="array" ref="I143">IFERROR(INDEX('Detail inputs'!$B$3:$L$304,MATCH($B143&amp;$G143&amp;I$5,'Detail inputs'!$B$3:$B$304&amp;'Detail inputs'!$G$3:$G$304&amp;'Detail inputs'!$H$3:$H$304,0),MATCH(I$4,'Detail inputs'!$B$3:$L$3,0)),0)</f>
        <v>2.5</v>
      </c>
      <c r="J143" s="93">
        <f>IF(AND(H143="",I143=""),"",H143+I143*$F143/1000)</f>
        <v>10</v>
      </c>
      <c r="K143" s="44">
        <f>IFERROR(J143/J145,"")</f>
        <v>0.11764705882352941</v>
      </c>
      <c r="L143" s="44"/>
      <c r="M143" s="49">
        <f>IF(OR(J143=0,Q143=""),"",Q143/J143-1)</f>
        <v>0</v>
      </c>
      <c r="N143" s="44"/>
      <c r="O143" s="93"/>
      <c r="P143" s="93">
        <f t="array" ref="P143">IFERROR(INDEX('Detail inputs'!$B$3:$L$304,MATCH($B143&amp;$G143&amp;P$5,'Detail inputs'!$B$3:$B$304&amp;'Detail inputs'!$G$3:$G$304&amp;'Detail inputs'!$H$3:$H$304,0),MATCH(P$4,'Detail inputs'!$B$3:$L$3,0)),0)</f>
        <v>2.5</v>
      </c>
      <c r="Q143" s="93">
        <f>IF(AND(O143="",P143=""),"",O143+P143*$F143/1000)</f>
        <v>10</v>
      </c>
      <c r="R143" s="44">
        <f>IFERROR(Q143/Q145,"")</f>
        <v>0.13419216317767041</v>
      </c>
    </row>
    <row r="144" spans="1:22" s="21" customFormat="1" x14ac:dyDescent="0.3">
      <c r="A144" s="3"/>
      <c r="B144" s="3" t="str">
        <f t="shared" si="61"/>
        <v>SAPN</v>
      </c>
      <c r="C144" s="3" t="str">
        <f t="shared" si="61"/>
        <v>Residential</v>
      </c>
      <c r="D144" s="3" t="str">
        <f t="shared" si="61"/>
        <v>without CL</v>
      </c>
      <c r="E144" s="3" t="s">
        <v>24</v>
      </c>
      <c r="F144" s="41">
        <f t="array" ref="F144">IFERROR(INDEX(Usage!$B$5:$T$18,MATCH($B144,Usage!$B$5:$B$18,0),MATCH($C144&amp;$D144&amp;$E144&amp;"Total",Usage!$B$5:$W$5&amp;Usage!$B$6:$W$6&amp;Usage!$B$7:$W$7&amp;Usage!$B$13:$W$13,0)),0)</f>
        <v>4000</v>
      </c>
      <c r="G144" s="3" t="s">
        <v>81</v>
      </c>
      <c r="H144" s="93"/>
      <c r="I144" s="93">
        <f t="array" ref="I144">ROUND(IFERROR(INDEX('Detail inputs'!$B$3:$L$304,MATCH($B144&amp;$C144&amp;$E144&amp;$G144&amp;I$5,'Detail inputs'!$B$3:$B$304&amp;'Detail inputs'!$D$3:$D$304&amp;'Detail inputs'!$F$3:$F$304&amp;'Detail inputs'!$G$3:$G$304&amp;'Detail inputs'!$H$3:$H$304,0),MATCH(I$4,'Detail inputs'!$B$3:$L$3,0)),0)*SUM(I141:I143),2)</f>
        <v>2.11</v>
      </c>
      <c r="J144" s="93">
        <f>IF(AND(H144="",I144=""),"",H144+I144*$F144/1000)</f>
        <v>8.44</v>
      </c>
      <c r="K144" s="44">
        <f>IFERROR(J144/J145,"")</f>
        <v>9.9294117647058824E-2</v>
      </c>
      <c r="L144" s="44"/>
      <c r="M144" s="49">
        <f>IF(OR(J144=0,Q144=""),"",Q144/J144-1)</f>
        <v>-0.12322274881516582</v>
      </c>
      <c r="N144" s="44"/>
      <c r="O144" s="93"/>
      <c r="P144" s="93">
        <f t="array" ref="P144">ROUND(IFERROR(INDEX('Detail inputs'!$B$3:$L$304,MATCH($B144&amp;$C144&amp;$E144&amp;$G144&amp;P$5,'Detail inputs'!$B$3:$B$304&amp;'Detail inputs'!$D$3:$D$304&amp;'Detail inputs'!$F$3:$F$304&amp;'Detail inputs'!$G$3:$G$304&amp;'Detail inputs'!$H$3:$H$304,0),MATCH(P$4,'Detail inputs'!$B$3:$L$3,0)),0)*SUM(P141:P143),2)</f>
        <v>1.85</v>
      </c>
      <c r="Q144" s="93">
        <f>IF(AND(O144="",P144=""),"",O144+P144*$F144/1000)</f>
        <v>7.4</v>
      </c>
      <c r="R144" s="44">
        <f>IFERROR(Q144/Q145,"")</f>
        <v>9.9302200751476111E-2</v>
      </c>
    </row>
    <row r="145" spans="1:22" s="92" customFormat="1" x14ac:dyDescent="0.25">
      <c r="A145" s="81"/>
      <c r="B145" s="81" t="str">
        <f t="shared" si="61"/>
        <v>SAPN</v>
      </c>
      <c r="C145" s="81" t="str">
        <f t="shared" si="61"/>
        <v>Residential</v>
      </c>
      <c r="D145" s="81" t="str">
        <f t="shared" si="61"/>
        <v>without CL</v>
      </c>
      <c r="E145" s="3" t="s">
        <v>24</v>
      </c>
      <c r="F145" s="41">
        <f t="array" ref="F145">IFERROR(INDEX(Usage!$B$5:$T$18,MATCH($B145,Usage!$B$5:$B$18,0),MATCH($C145&amp;$D145&amp;$E145&amp;"Total",Usage!$B$5:$W$5&amp;Usage!$B$6:$W$6&amp;Usage!$B$7:$W$7&amp;Usage!$B$13:$W$13,0)),0)</f>
        <v>4000</v>
      </c>
      <c r="G145" s="81" t="s">
        <v>58</v>
      </c>
      <c r="H145" s="99"/>
      <c r="I145" s="99">
        <f t="array" ref="I145">INDEX('Key inputs'!$B$15:$G$33,MATCH($B145&amp;$E145,'Key inputs'!$B$15:$B$33&amp;'Key inputs'!$C$15:$C$33,0),MATCH($A$2&amp;I$4,'Key inputs'!$B$16:$G$16&amp;'Key inputs'!$B$17:$G$17,0))</f>
        <v>21.25</v>
      </c>
      <c r="J145" s="93">
        <f t="shared" ref="J145" si="62">IF(AND(H145="",I145=""),"",H145+I145*$F145/1000)</f>
        <v>85</v>
      </c>
      <c r="K145" s="91"/>
      <c r="M145" s="83">
        <f>IF(OR(J145=0,Q145=""),"",Q145/J145-1)</f>
        <v>-0.12329411764705867</v>
      </c>
      <c r="O145" s="99"/>
      <c r="P145" s="99">
        <f t="array" ref="P145">INDEX('Key inputs'!$B$15:$G$33,MATCH($B145&amp;$E145,'Key inputs'!$B$15:$B$33&amp;'Key inputs'!$C$15:$C$33,0),MATCH($A$2&amp;P$4,'Key inputs'!$B$16:$G$16&amp;'Key inputs'!$B$17:$G$17,0))</f>
        <v>18.630000000000003</v>
      </c>
      <c r="Q145" s="93">
        <f t="shared" ref="Q145" si="63">IF(AND(O145="",P145=""),"",O145+P145*$F145/1000)</f>
        <v>74.52000000000001</v>
      </c>
      <c r="R145" s="91"/>
      <c r="S145" s="142" t="b">
        <f>ROUND(I145,$W$5)=ROUND(SUM(I141:I144),$W$5)</f>
        <v>1</v>
      </c>
      <c r="T145" s="142" t="b">
        <f>ROUND(P145,$W$5)=ROUND(SUM(P141:P144),$W$5)</f>
        <v>1</v>
      </c>
      <c r="U145" s="99"/>
      <c r="V145" s="99"/>
    </row>
    <row r="146" spans="1:22" s="21" customFormat="1" x14ac:dyDescent="0.3">
      <c r="A146" s="3"/>
      <c r="B146" s="3" t="str">
        <f t="shared" si="61"/>
        <v>SAPN</v>
      </c>
      <c r="C146" s="3" t="str">
        <f t="shared" si="61"/>
        <v>Residential</v>
      </c>
      <c r="D146" s="3" t="str">
        <f t="shared" si="61"/>
        <v>without CL</v>
      </c>
      <c r="E146" s="3"/>
      <c r="F146" s="41"/>
      <c r="G146" s="81" t="s">
        <v>41</v>
      </c>
      <c r="H146" s="99"/>
      <c r="I146" s="99"/>
      <c r="J146" s="99">
        <f>J145*GST</f>
        <v>8.5</v>
      </c>
      <c r="K146" s="91"/>
      <c r="L146" s="92"/>
      <c r="M146" s="83"/>
      <c r="N146" s="92"/>
      <c r="O146" s="99"/>
      <c r="P146" s="99"/>
      <c r="Q146" s="99">
        <f>Q145*GST</f>
        <v>7.4520000000000017</v>
      </c>
      <c r="R146" s="79"/>
    </row>
    <row r="147" spans="1:22" s="21" customFormat="1" x14ac:dyDescent="0.3">
      <c r="A147" s="3"/>
      <c r="B147" s="3" t="str">
        <f t="shared" si="61"/>
        <v>SAPN</v>
      </c>
      <c r="C147" s="3" t="str">
        <f t="shared" si="61"/>
        <v>Residential</v>
      </c>
      <c r="D147" s="3" t="str">
        <f t="shared" si="61"/>
        <v>without CL</v>
      </c>
      <c r="E147" s="3"/>
      <c r="F147" s="41"/>
      <c r="G147" s="5" t="s">
        <v>91</v>
      </c>
      <c r="H147" s="98"/>
      <c r="I147" s="98"/>
      <c r="J147" s="98">
        <f>SUM(J145:J146)</f>
        <v>93.5</v>
      </c>
      <c r="K147" s="79"/>
      <c r="L147" s="27"/>
      <c r="M147" s="80">
        <f>IF(OR(J147=0,Q147=""),"",Q147/J147-1)</f>
        <v>-0.12329411764705878</v>
      </c>
      <c r="N147" s="27"/>
      <c r="O147" s="98"/>
      <c r="P147" s="98"/>
      <c r="Q147" s="98">
        <f>SUM(Q145:Q146)</f>
        <v>81.972000000000008</v>
      </c>
      <c r="R147" s="79"/>
    </row>
    <row r="148" spans="1:22" s="21" customFormat="1" x14ac:dyDescent="0.3">
      <c r="A148" s="3"/>
      <c r="B148" s="3"/>
      <c r="C148" s="3"/>
      <c r="D148" s="3"/>
      <c r="E148" s="3"/>
      <c r="F148" s="41"/>
      <c r="G148" s="3"/>
      <c r="H148" s="93"/>
      <c r="I148" s="93"/>
      <c r="J148" s="93"/>
      <c r="K148" s="44"/>
      <c r="M148" s="49"/>
      <c r="O148" s="93"/>
      <c r="P148" s="93"/>
      <c r="Q148" s="93"/>
      <c r="R148" s="44"/>
    </row>
    <row r="149" spans="1:22" s="21" customFormat="1" x14ac:dyDescent="0.3">
      <c r="A149" s="3"/>
      <c r="B149" s="5" t="s">
        <v>5</v>
      </c>
      <c r="C149" s="5" t="s">
        <v>6</v>
      </c>
      <c r="D149" s="5" t="s">
        <v>159</v>
      </c>
      <c r="E149" s="3"/>
      <c r="F149" s="41"/>
      <c r="G149" s="3"/>
      <c r="H149" s="93"/>
      <c r="I149" s="93"/>
      <c r="J149" s="93"/>
      <c r="K149" s="44"/>
      <c r="M149" s="49"/>
      <c r="O149" s="93"/>
      <c r="P149" s="93"/>
      <c r="Q149" s="93"/>
      <c r="R149" s="44"/>
    </row>
    <row r="150" spans="1:22" s="21" customFormat="1" x14ac:dyDescent="0.3">
      <c r="A150" s="3"/>
      <c r="B150" s="3" t="str">
        <f t="shared" ref="B150:B156" si="64">B149</f>
        <v>SAPN</v>
      </c>
      <c r="C150" s="3" t="str">
        <f t="shared" ref="C150:C156" si="65">C149</f>
        <v>Residential</v>
      </c>
      <c r="D150" s="3" t="str">
        <f t="shared" ref="D150:D156" si="66">D149</f>
        <v>with CL</v>
      </c>
      <c r="E150" s="3" t="s">
        <v>24</v>
      </c>
      <c r="F150" s="41">
        <f t="array" ref="F150">IFERROR(INDEX(Usage!$B$5:$T$18,MATCH($B150,Usage!$B$5:$B$18,0),MATCH($C150&amp;$D150&amp;$E150&amp;"Total",Usage!$B$5:$W$5&amp;Usage!$B$6:$W$6&amp;Usage!$B$7:$W$7&amp;Usage!$B$13:$W$13,0)),0)</f>
        <v>4200</v>
      </c>
      <c r="G150" s="3" t="s">
        <v>58</v>
      </c>
      <c r="H150" s="93"/>
      <c r="I150" s="93">
        <f>I145</f>
        <v>21.25</v>
      </c>
      <c r="J150" s="93">
        <f>IF(AND(H150="",I150=""),"",H150+I150*$F150/1000)</f>
        <v>89.25</v>
      </c>
      <c r="K150" s="44"/>
      <c r="M150" s="49">
        <f>IF(OR(J150=0,Q150=""),"",Q150/J150-1)</f>
        <v>-0.12329411764705867</v>
      </c>
      <c r="O150" s="93"/>
      <c r="P150" s="93">
        <f>P145</f>
        <v>18.630000000000003</v>
      </c>
      <c r="Q150" s="93">
        <f>IF(AND(O150="",P150=""),"",O150+P150*$F150/1000)</f>
        <v>78.246000000000009</v>
      </c>
      <c r="R150" s="44"/>
    </row>
    <row r="151" spans="1:22" s="21" customFormat="1" x14ac:dyDescent="0.3">
      <c r="A151" s="3"/>
      <c r="B151" s="3" t="str">
        <f t="shared" si="64"/>
        <v>SAPN</v>
      </c>
      <c r="C151" s="3" t="str">
        <f t="shared" si="65"/>
        <v>Residential</v>
      </c>
      <c r="D151" s="3" t="str">
        <f t="shared" si="66"/>
        <v>with CL</v>
      </c>
      <c r="E151" s="3" t="s">
        <v>15</v>
      </c>
      <c r="F151" s="41">
        <f t="array" ref="F151">IFERROR(INDEX(Usage!$B$5:$T$18,MATCH($B151,Usage!$B$5:$B$18,0),MATCH($C151&amp;$D151&amp;$E151,Usage!$B$5:$W$5&amp;Usage!$B$6:$W$6&amp;Usage!$B$7:$W$7,0)),0)</f>
        <v>1800</v>
      </c>
      <c r="G151" s="3" t="s">
        <v>82</v>
      </c>
      <c r="H151" s="93"/>
      <c r="I151" s="93">
        <f t="array" ref="I151">IFERROR(INDEX('Detail inputs'!$B$3:$L$304,MATCH($B151&amp;$G151&amp;I$5,'Detail inputs'!$B$3:$B$304&amp;'Detail inputs'!$G$3:$G$304&amp;'Detail inputs'!$H$3:$H$304,0),MATCH(I$4,'Detail inputs'!$B$3:$L$3,0)),0)</f>
        <v>9.3800000000000008</v>
      </c>
      <c r="J151" s="93">
        <f>IF(AND(H151="",I151=""),"",H151+I151*$F151/1000)</f>
        <v>16.884</v>
      </c>
      <c r="K151" s="44">
        <f>IFERROR(J151/J155,"")</f>
        <v>0.44141176470588234</v>
      </c>
      <c r="L151" s="44"/>
      <c r="M151" s="49">
        <f t="shared" ref="M151:M156" si="67">IF(OR(J151=0,Q151=""),"",Q151/J151-1)</f>
        <v>-0.51385927505330486</v>
      </c>
      <c r="N151" s="44"/>
      <c r="O151" s="93"/>
      <c r="P151" s="93">
        <f t="array" ref="P151">IFERROR(INDEX('Detail inputs'!$B$3:$L$304,MATCH($B151&amp;$G151&amp;P$5,'Detail inputs'!$B$3:$B$304&amp;'Detail inputs'!$G$3:$G$304&amp;'Detail inputs'!$H$3:$H$304,0),MATCH(P$4,'Detail inputs'!$B$3:$L$3,0)),0)</f>
        <v>4.5599999999999996</v>
      </c>
      <c r="Q151" s="93">
        <f>IF(AND(O151="",P151=""),"",O151+P151*$F151/1000)</f>
        <v>8.2080000000000002</v>
      </c>
      <c r="R151" s="44">
        <f>IFERROR(Q151/Q155,"")</f>
        <v>0.2447665056360708</v>
      </c>
    </row>
    <row r="152" spans="1:22" s="21" customFormat="1" x14ac:dyDescent="0.3">
      <c r="A152" s="3"/>
      <c r="B152" s="3" t="str">
        <f t="shared" si="64"/>
        <v>SAPN</v>
      </c>
      <c r="C152" s="3" t="str">
        <f t="shared" si="65"/>
        <v>Residential</v>
      </c>
      <c r="D152" s="3" t="str">
        <f t="shared" si="66"/>
        <v>with CL</v>
      </c>
      <c r="E152" s="3" t="s">
        <v>15</v>
      </c>
      <c r="F152" s="41">
        <f t="array" ref="F152">IFERROR(INDEX(Usage!$B$5:$T$18,MATCH($B152,Usage!$B$5:$B$18,0),MATCH($C152&amp;$D152&amp;$E152,Usage!$B$5:$W$5&amp;Usage!$B$6:$W$6&amp;Usage!$B$7:$W$7,0)),0)</f>
        <v>1800</v>
      </c>
      <c r="G152" s="3" t="s">
        <v>83</v>
      </c>
      <c r="H152" s="93"/>
      <c r="I152" s="93">
        <f t="array" ref="I152">IFERROR(INDEX('Detail inputs'!$B$3:$L$304,MATCH($B152&amp;$G152&amp;I$5,'Detail inputs'!$B$3:$B$304&amp;'Detail inputs'!$G$3:$G$304&amp;'Detail inputs'!$H$3:$H$304,0),MATCH(I$4,'Detail inputs'!$B$3:$L$3,0)),0)</f>
        <v>7.26</v>
      </c>
      <c r="J152" s="93">
        <f>IF(AND(H152="",I152=""),"",H152+I152*$F152/1000)</f>
        <v>13.068</v>
      </c>
      <c r="K152" s="44">
        <f>IFERROR(J152/J155,"")</f>
        <v>0.34164705882352941</v>
      </c>
      <c r="L152" s="44"/>
      <c r="M152" s="49">
        <f t="shared" si="67"/>
        <v>0.33884297520661155</v>
      </c>
      <c r="N152" s="44"/>
      <c r="O152" s="93"/>
      <c r="P152" s="93">
        <f t="array" ref="P152">IFERROR(INDEX('Detail inputs'!$B$3:$L$304,MATCH($B152&amp;$G152&amp;P$5,'Detail inputs'!$B$3:$B$304&amp;'Detail inputs'!$G$3:$G$304&amp;'Detail inputs'!$H$3:$H$304,0),MATCH(P$4,'Detail inputs'!$B$3:$L$3,0)),0)</f>
        <v>9.7200000000000006</v>
      </c>
      <c r="Q152" s="93">
        <f>IF(AND(O152="",P152=""),"",O152+P152*$F152/1000)</f>
        <v>17.495999999999999</v>
      </c>
      <c r="R152" s="44">
        <f>IFERROR(Q152/Q155,"")</f>
        <v>0.52173913043478248</v>
      </c>
    </row>
    <row r="153" spans="1:22" s="21" customFormat="1" x14ac:dyDescent="0.3">
      <c r="A153" s="3"/>
      <c r="B153" s="3" t="str">
        <f t="shared" si="64"/>
        <v>SAPN</v>
      </c>
      <c r="C153" s="3" t="str">
        <f t="shared" si="65"/>
        <v>Residential</v>
      </c>
      <c r="D153" s="3" t="str">
        <f t="shared" si="66"/>
        <v>with CL</v>
      </c>
      <c r="E153" s="3" t="s">
        <v>15</v>
      </c>
      <c r="F153" s="41">
        <f t="array" ref="F153">IFERROR(INDEX(Usage!$B$5:$T$18,MATCH($B153,Usage!$B$5:$B$18,0),MATCH($C153&amp;$D153&amp;$E153,Usage!$B$5:$W$5&amp;Usage!$B$6:$W$6&amp;Usage!$B$7:$W$7,0)),0)</f>
        <v>1800</v>
      </c>
      <c r="G153" s="3" t="s">
        <v>90</v>
      </c>
      <c r="H153" s="93"/>
      <c r="I153" s="93">
        <f t="array" ref="I153">IFERROR(INDEX('Detail inputs'!$B$3:$L$304,MATCH($B153&amp;$G153&amp;I$5,'Detail inputs'!$B$3:$B$304&amp;'Detail inputs'!$G$3:$G$304&amp;'Detail inputs'!$H$3:$H$304,0),MATCH(I$4,'Detail inputs'!$B$3:$L$3,0)),0)</f>
        <v>2.5</v>
      </c>
      <c r="J153" s="93">
        <f>IF(AND(H153="",I153=""),"",H153+I153*$F153/1000)</f>
        <v>4.5</v>
      </c>
      <c r="K153" s="44">
        <f>IFERROR(J153/J155,"")</f>
        <v>0.11764705882352941</v>
      </c>
      <c r="L153" s="44"/>
      <c r="M153" s="49">
        <f t="shared" si="67"/>
        <v>0</v>
      </c>
      <c r="N153" s="44"/>
      <c r="O153" s="93"/>
      <c r="P153" s="93">
        <f t="array" ref="P153">IFERROR(INDEX('Detail inputs'!$B$3:$L$304,MATCH($B153&amp;$G153&amp;P$5,'Detail inputs'!$B$3:$B$304&amp;'Detail inputs'!$G$3:$G$304&amp;'Detail inputs'!$H$3:$H$304,0),MATCH(P$4,'Detail inputs'!$B$3:$L$3,0)),0)</f>
        <v>2.5</v>
      </c>
      <c r="Q153" s="93">
        <f>IF(AND(O153="",P153=""),"",O153+P153*$F153/1000)</f>
        <v>4.5</v>
      </c>
      <c r="R153" s="44">
        <f>IFERROR(Q153/Q155,"")</f>
        <v>0.13419216317767041</v>
      </c>
    </row>
    <row r="154" spans="1:22" s="21" customFormat="1" x14ac:dyDescent="0.3">
      <c r="A154" s="3"/>
      <c r="B154" s="3" t="str">
        <f t="shared" si="64"/>
        <v>SAPN</v>
      </c>
      <c r="C154" s="3" t="str">
        <f t="shared" si="65"/>
        <v>Residential</v>
      </c>
      <c r="D154" s="3" t="str">
        <f t="shared" si="66"/>
        <v>with CL</v>
      </c>
      <c r="E154" s="3" t="s">
        <v>15</v>
      </c>
      <c r="F154" s="41">
        <f t="array" ref="F154">IFERROR(INDEX(Usage!$B$5:$T$18,MATCH($B154,Usage!$B$5:$B$18,0),MATCH($C154&amp;$D154&amp;$E154,Usage!$B$5:$W$5&amp;Usage!$B$6:$W$6&amp;Usage!$B$7:$W$7,0)),0)</f>
        <v>1800</v>
      </c>
      <c r="G154" s="3" t="s">
        <v>81</v>
      </c>
      <c r="H154" s="93"/>
      <c r="I154" s="93">
        <f t="array" ref="I154">ROUND(IFERROR(INDEX('Detail inputs'!$B$3:$L$304,MATCH($B154&amp;$C154&amp;$E154&amp;$G154&amp;I$5,'Detail inputs'!$B$3:$B$304&amp;'Detail inputs'!$D$3:$D$304&amp;'Detail inputs'!$F$3:$F$304&amp;'Detail inputs'!$G$3:$G$304&amp;'Detail inputs'!$H$3:$H$304,0),MATCH(I$4,'Detail inputs'!$B$3:$L$3,0)),0)*SUM(I151:I153),2)</f>
        <v>2.11</v>
      </c>
      <c r="J154" s="93">
        <f>IF(AND(H154="",I154=""),"",H154+I154*$F154/1000)</f>
        <v>3.798</v>
      </c>
      <c r="K154" s="44">
        <f>IFERROR(J154/J155,"")</f>
        <v>9.9294117647058824E-2</v>
      </c>
      <c r="L154" s="44"/>
      <c r="M154" s="49">
        <f t="shared" si="67"/>
        <v>-0.12322274881516582</v>
      </c>
      <c r="N154" s="44"/>
      <c r="O154" s="93"/>
      <c r="P154" s="93">
        <f t="array" ref="P154">ROUND(IFERROR(INDEX('Detail inputs'!$B$3:$L$304,MATCH($B154&amp;$C154&amp;$E154&amp;$G154&amp;P$5,'Detail inputs'!$B$3:$B$304&amp;'Detail inputs'!$D$3:$D$304&amp;'Detail inputs'!$F$3:$F$304&amp;'Detail inputs'!$G$3:$G$304&amp;'Detail inputs'!$H$3:$H$304,0),MATCH(P$4,'Detail inputs'!$B$3:$L$3,0)),0)*SUM(P151:P153),2)</f>
        <v>1.85</v>
      </c>
      <c r="Q154" s="93">
        <f>IF(AND(O154="",P154=""),"",O154+P154*$F154/1000)</f>
        <v>3.33</v>
      </c>
      <c r="R154" s="44">
        <f>IFERROR(Q154/Q155,"")</f>
        <v>9.9302200751476097E-2</v>
      </c>
    </row>
    <row r="155" spans="1:22" s="21" customFormat="1" x14ac:dyDescent="0.25">
      <c r="A155" s="3"/>
      <c r="B155" s="3" t="str">
        <f t="shared" si="64"/>
        <v>SAPN</v>
      </c>
      <c r="C155" s="3" t="str">
        <f t="shared" si="65"/>
        <v>Residential</v>
      </c>
      <c r="D155" s="3" t="str">
        <f t="shared" si="66"/>
        <v>with CL</v>
      </c>
      <c r="E155" s="3" t="s">
        <v>15</v>
      </c>
      <c r="F155" s="41">
        <f t="array" ref="F155">IFERROR(INDEX(Usage!$B$5:$T$18,MATCH($B155,Usage!$B$5:$B$18,0),MATCH($C155&amp;$D155&amp;$E155,Usage!$B$5:$W$5&amp;Usage!$B$6:$W$6&amp;Usage!$B$7:$W$7,0)),0)</f>
        <v>1800</v>
      </c>
      <c r="G155" s="3" t="s">
        <v>58</v>
      </c>
      <c r="H155" s="99"/>
      <c r="I155" s="99">
        <f t="array" ref="I155">INDEX('Key inputs'!$B$15:$G$33,MATCH($B155&amp;$E155,'Key inputs'!$B$15:$B$33&amp;'Key inputs'!$C$15:$C$33,0),MATCH($A$2&amp;I$4,'Key inputs'!$B$16:$G$16&amp;'Key inputs'!$B$17:$G$17,0))</f>
        <v>21.25</v>
      </c>
      <c r="J155" s="93">
        <f t="shared" ref="J155" si="68">IF(AND(H155="",I155=""),"",H155+I155*$F155/1000)</f>
        <v>38.25</v>
      </c>
      <c r="K155" s="91"/>
      <c r="L155" s="92"/>
      <c r="M155" s="83">
        <f t="shared" si="67"/>
        <v>-0.12329411764705867</v>
      </c>
      <c r="N155" s="92"/>
      <c r="O155" s="99"/>
      <c r="P155" s="99">
        <f t="array" ref="P155">INDEX('Key inputs'!$B$15:$G$33,MATCH($B155&amp;$E155,'Key inputs'!$B$15:$B$33&amp;'Key inputs'!$C$15:$C$33,0),MATCH($A$2&amp;P$4,'Key inputs'!$B$16:$G$16&amp;'Key inputs'!$B$17:$G$17,0))</f>
        <v>18.630000000000003</v>
      </c>
      <c r="Q155" s="93">
        <f t="shared" ref="Q155" si="69">IF(AND(O155="",P155=""),"",O155+P155*$F155/1000)</f>
        <v>33.534000000000006</v>
      </c>
      <c r="R155" s="91"/>
      <c r="S155" s="142" t="b">
        <f>ROUND(I155,$W$5)=ROUND(SUM(I151:I154),$W$5)</f>
        <v>1</v>
      </c>
      <c r="T155" s="142" t="b">
        <f>ROUND(P155,$W$5)=ROUND(SUM(P151:P154),$W$5)</f>
        <v>1</v>
      </c>
      <c r="U155" s="99"/>
      <c r="V155" s="99"/>
    </row>
    <row r="156" spans="1:22" s="92" customFormat="1" x14ac:dyDescent="0.3">
      <c r="A156" s="81"/>
      <c r="B156" s="81" t="str">
        <f t="shared" si="64"/>
        <v>SAPN</v>
      </c>
      <c r="C156" s="81" t="str">
        <f t="shared" si="65"/>
        <v>Residential</v>
      </c>
      <c r="D156" s="81" t="str">
        <f t="shared" si="66"/>
        <v>with CL</v>
      </c>
      <c r="E156" s="81" t="s">
        <v>58</v>
      </c>
      <c r="F156" s="41">
        <f t="array" ref="F156">IFERROR(INDEX(Usage!$B$5:$T$18,MATCH($B156,Usage!$B$5:$B$18,0),MATCH($C156&amp;$D156&amp;$E156,Usage!$B$5:$W$5&amp;Usage!$B$6:$W$6&amp;Usage!$B$7:$W$7,0)),0)</f>
        <v>6000</v>
      </c>
      <c r="G156" s="81" t="s">
        <v>58</v>
      </c>
      <c r="H156" s="99"/>
      <c r="I156" s="99">
        <f>I150+I155</f>
        <v>42.5</v>
      </c>
      <c r="J156" s="99">
        <f>J150+J155</f>
        <v>127.5</v>
      </c>
      <c r="K156" s="91"/>
      <c r="M156" s="83">
        <f t="shared" si="67"/>
        <v>-0.12329411764705867</v>
      </c>
      <c r="O156" s="99"/>
      <c r="P156" s="99">
        <f>P150+P155</f>
        <v>37.260000000000005</v>
      </c>
      <c r="Q156" s="99">
        <f>Q150+Q155</f>
        <v>111.78000000000002</v>
      </c>
      <c r="R156" s="91"/>
    </row>
    <row r="157" spans="1:22" s="21" customFormat="1" x14ac:dyDescent="0.3">
      <c r="A157" s="3"/>
      <c r="B157" s="3" t="str">
        <f t="shared" ref="B157:D158" si="70">B156</f>
        <v>SAPN</v>
      </c>
      <c r="C157" s="3" t="str">
        <f t="shared" si="70"/>
        <v>Residential</v>
      </c>
      <c r="D157" s="3" t="str">
        <f t="shared" si="70"/>
        <v>with CL</v>
      </c>
      <c r="E157" s="3"/>
      <c r="F157" s="41"/>
      <c r="G157" s="81" t="s">
        <v>41</v>
      </c>
      <c r="H157" s="99"/>
      <c r="I157" s="99"/>
      <c r="J157" s="99">
        <f>J156*GST</f>
        <v>12.75</v>
      </c>
      <c r="K157" s="91"/>
      <c r="L157" s="92"/>
      <c r="M157" s="83"/>
      <c r="N157" s="92"/>
      <c r="O157" s="99"/>
      <c r="P157" s="99"/>
      <c r="Q157" s="99">
        <f>Q156*GST</f>
        <v>11.178000000000003</v>
      </c>
      <c r="R157" s="91"/>
    </row>
    <row r="158" spans="1:22" s="21" customFormat="1" x14ac:dyDescent="0.3">
      <c r="A158" s="3"/>
      <c r="B158" s="3" t="str">
        <f t="shared" si="70"/>
        <v>SAPN</v>
      </c>
      <c r="C158" s="3" t="str">
        <f t="shared" si="70"/>
        <v>Residential</v>
      </c>
      <c r="D158" s="3" t="str">
        <f t="shared" si="70"/>
        <v>with CL</v>
      </c>
      <c r="E158" s="3"/>
      <c r="F158" s="41"/>
      <c r="G158" s="5" t="s">
        <v>91</v>
      </c>
      <c r="H158" s="98"/>
      <c r="I158" s="98"/>
      <c r="J158" s="98">
        <f>SUM(J156:J157)</f>
        <v>140.25</v>
      </c>
      <c r="K158" s="79"/>
      <c r="L158" s="27"/>
      <c r="M158" s="80">
        <f>IF(OR(J158=0,Q158=""),"",Q158/J158-1)</f>
        <v>-0.12329411764705878</v>
      </c>
      <c r="N158" s="27"/>
      <c r="O158" s="98"/>
      <c r="P158" s="98"/>
      <c r="Q158" s="98">
        <f>SUM(Q156:Q157)</f>
        <v>122.95800000000001</v>
      </c>
      <c r="R158" s="91"/>
    </row>
    <row r="159" spans="1:22" s="21" customFormat="1" x14ac:dyDescent="0.3">
      <c r="A159" s="3"/>
      <c r="B159" s="3"/>
      <c r="C159" s="3"/>
      <c r="D159" s="3"/>
      <c r="E159" s="3"/>
      <c r="F159" s="41"/>
      <c r="G159" s="3"/>
      <c r="H159" s="93"/>
      <c r="I159" s="93"/>
      <c r="J159" s="93"/>
      <c r="K159" s="91"/>
      <c r="M159" s="49"/>
      <c r="O159" s="93"/>
      <c r="P159" s="93"/>
      <c r="Q159" s="93"/>
      <c r="R159" s="91"/>
    </row>
    <row r="160" spans="1:22" s="21" customFormat="1" x14ac:dyDescent="0.3">
      <c r="A160" s="3"/>
      <c r="B160" s="5" t="s">
        <v>5</v>
      </c>
      <c r="C160" s="5" t="s">
        <v>14</v>
      </c>
      <c r="D160" s="5" t="s">
        <v>158</v>
      </c>
      <c r="E160" s="3"/>
      <c r="F160" s="41"/>
      <c r="G160" s="3"/>
      <c r="H160" s="93"/>
      <c r="I160" s="93"/>
      <c r="J160" s="93"/>
      <c r="K160" s="91"/>
      <c r="M160" s="49"/>
      <c r="O160" s="93"/>
      <c r="P160" s="93"/>
      <c r="Q160" s="93"/>
      <c r="R160" s="91"/>
    </row>
    <row r="161" spans="1:22" s="21" customFormat="1" x14ac:dyDescent="0.3">
      <c r="A161" s="3"/>
      <c r="B161" s="3" t="str">
        <f t="shared" ref="B161:D167" si="71">B160</f>
        <v>SAPN</v>
      </c>
      <c r="C161" s="3" t="str">
        <f t="shared" si="71"/>
        <v>Small business</v>
      </c>
      <c r="D161" s="3" t="str">
        <f t="shared" si="71"/>
        <v>without CL</v>
      </c>
      <c r="E161" s="3" t="s">
        <v>24</v>
      </c>
      <c r="F161" s="41">
        <f t="array" ref="F161">IFERROR(INDEX(Usage!$B$5:$T$18,MATCH($B161,Usage!$B$5:$B$18,0),MATCH($C161&amp;$D161&amp;$E161,Usage!$B$5:$W$5&amp;Usage!$B$6:$W$6&amp;Usage!$B$7:$W$7,0)),0)</f>
        <v>20000</v>
      </c>
      <c r="G161" s="3" t="s">
        <v>82</v>
      </c>
      <c r="H161" s="93"/>
      <c r="I161" s="93">
        <f t="array" ref="I161">IFERROR(INDEX('Detail inputs'!$B$3:$L$304,MATCH($B161&amp;$G161&amp;I$5,'Detail inputs'!$B$3:$B$304&amp;'Detail inputs'!$G$3:$G$304&amp;'Detail inputs'!$H$3:$H$304,0),MATCH(I$4,'Detail inputs'!$B$3:$L$3,0)),0)</f>
        <v>9.3800000000000008</v>
      </c>
      <c r="J161" s="93">
        <f>IF(AND(H161="",I161=""),"",H161+I161*$F161/1000)</f>
        <v>187.60000000000002</v>
      </c>
      <c r="K161" s="44">
        <f>IFERROR(J161/J165,"")</f>
        <v>0.44141176470588239</v>
      </c>
      <c r="L161" s="44"/>
      <c r="M161" s="49">
        <f>IF(OR(J161=0,Q161=""),"",Q161/J161-1)</f>
        <v>-0.51385927505330509</v>
      </c>
      <c r="N161" s="44"/>
      <c r="O161" s="93"/>
      <c r="P161" s="93">
        <f t="array" ref="P161">IFERROR(INDEX('Detail inputs'!$B$3:$L$304,MATCH($B161&amp;$G161&amp;P$5,'Detail inputs'!$B$3:$B$304&amp;'Detail inputs'!$G$3:$G$304&amp;'Detail inputs'!$H$3:$H$304,0),MATCH(P$4,'Detail inputs'!$B$3:$L$3,0)),0)</f>
        <v>4.5599999999999996</v>
      </c>
      <c r="Q161" s="93">
        <f>IF(AND(O161="",P161=""),"",O161+P161*$F161/1000)</f>
        <v>91.199999999999989</v>
      </c>
      <c r="R161" s="44">
        <f>IFERROR(Q161/Q165,"")</f>
        <v>0.24476650563607077</v>
      </c>
    </row>
    <row r="162" spans="1:22" s="21" customFormat="1" x14ac:dyDescent="0.3">
      <c r="A162" s="3"/>
      <c r="B162" s="3" t="str">
        <f t="shared" si="71"/>
        <v>SAPN</v>
      </c>
      <c r="C162" s="3" t="str">
        <f t="shared" si="71"/>
        <v>Small business</v>
      </c>
      <c r="D162" s="3" t="str">
        <f t="shared" si="71"/>
        <v>without CL</v>
      </c>
      <c r="E162" s="3" t="s">
        <v>24</v>
      </c>
      <c r="F162" s="41">
        <f t="array" ref="F162">IFERROR(INDEX(Usage!$B$5:$T$18,MATCH($B162,Usage!$B$5:$B$18,0),MATCH($C162&amp;$D162&amp;$E162,Usage!$B$5:$W$5&amp;Usage!$B$6:$W$6&amp;Usage!$B$7:$W$7,0)),0)</f>
        <v>20000</v>
      </c>
      <c r="G162" s="3" t="s">
        <v>83</v>
      </c>
      <c r="H162" s="93"/>
      <c r="I162" s="93">
        <f t="array" ref="I162">IFERROR(INDEX('Detail inputs'!$B$3:$L$304,MATCH($B162&amp;$G162&amp;I$5,'Detail inputs'!$B$3:$B$304&amp;'Detail inputs'!$G$3:$G$304&amp;'Detail inputs'!$H$3:$H$304,0),MATCH(I$4,'Detail inputs'!$B$3:$L$3,0)),0)</f>
        <v>7.26</v>
      </c>
      <c r="J162" s="93">
        <f>IF(AND(H162="",I162=""),"",H162+I162*$F162/1000)</f>
        <v>145.19999999999999</v>
      </c>
      <c r="K162" s="44">
        <f>IFERROR(J162/J165,"")</f>
        <v>0.34164705882352936</v>
      </c>
      <c r="L162" s="44"/>
      <c r="M162" s="49">
        <f>IF(OR(J162=0,Q162=""),"",Q162/J162-1)</f>
        <v>0.33884297520661177</v>
      </c>
      <c r="N162" s="44"/>
      <c r="O162" s="93"/>
      <c r="P162" s="93">
        <f t="array" ref="P162">IFERROR(INDEX('Detail inputs'!$B$3:$L$304,MATCH($B162&amp;$G162&amp;P$5,'Detail inputs'!$B$3:$B$304&amp;'Detail inputs'!$G$3:$G$304&amp;'Detail inputs'!$H$3:$H$304,0),MATCH(P$4,'Detail inputs'!$B$3:$L$3,0)),0)</f>
        <v>9.7200000000000006</v>
      </c>
      <c r="Q162" s="93">
        <f>IF(AND(O162="",P162=""),"",O162+P162*$F162/1000)</f>
        <v>194.4</v>
      </c>
      <c r="R162" s="44">
        <f>IFERROR(Q162/Q165,"")</f>
        <v>0.52173913043478248</v>
      </c>
    </row>
    <row r="163" spans="1:22" s="21" customFormat="1" x14ac:dyDescent="0.3">
      <c r="A163" s="3"/>
      <c r="B163" s="3" t="str">
        <f t="shared" si="71"/>
        <v>SAPN</v>
      </c>
      <c r="C163" s="3" t="str">
        <f t="shared" si="71"/>
        <v>Small business</v>
      </c>
      <c r="D163" s="3" t="str">
        <f t="shared" si="71"/>
        <v>without CL</v>
      </c>
      <c r="E163" s="3" t="s">
        <v>24</v>
      </c>
      <c r="F163" s="41">
        <f t="array" ref="F163">IFERROR(INDEX(Usage!$B$5:$T$18,MATCH($B163,Usage!$B$5:$B$18,0),MATCH($C163&amp;$D163&amp;$E163,Usage!$B$5:$W$5&amp;Usage!$B$6:$W$6&amp;Usage!$B$7:$W$7,0)),0)</f>
        <v>20000</v>
      </c>
      <c r="G163" s="3" t="s">
        <v>90</v>
      </c>
      <c r="H163" s="93"/>
      <c r="I163" s="93">
        <f t="array" ref="I163">IFERROR(INDEX('Detail inputs'!$B$3:$L$304,MATCH($B163&amp;$G163&amp;I$5,'Detail inputs'!$B$3:$B$304&amp;'Detail inputs'!$G$3:$G$304&amp;'Detail inputs'!$H$3:$H$304,0),MATCH(I$4,'Detail inputs'!$B$3:$L$3,0)),0)</f>
        <v>2.5</v>
      </c>
      <c r="J163" s="93">
        <f>IF(AND(H163="",I163=""),"",H163+I163*$F163/1000)</f>
        <v>50</v>
      </c>
      <c r="K163" s="44">
        <f>IFERROR(J163/J165,"")</f>
        <v>0.11764705882352941</v>
      </c>
      <c r="L163" s="44"/>
      <c r="M163" s="49">
        <f>IF(OR(J163=0,Q163=""),"",Q163/J163-1)</f>
        <v>0</v>
      </c>
      <c r="N163" s="44"/>
      <c r="O163" s="93"/>
      <c r="P163" s="93">
        <f t="array" ref="P163">IFERROR(INDEX('Detail inputs'!$B$3:$L$304,MATCH($B163&amp;$G163&amp;P$5,'Detail inputs'!$B$3:$B$304&amp;'Detail inputs'!$G$3:$G$304&amp;'Detail inputs'!$H$3:$H$304,0),MATCH(P$4,'Detail inputs'!$B$3:$L$3,0)),0)</f>
        <v>2.5</v>
      </c>
      <c r="Q163" s="93">
        <f>IF(AND(O163="",P163=""),"",O163+P163*$F163/1000)</f>
        <v>50</v>
      </c>
      <c r="R163" s="44">
        <f>IFERROR(Q163/Q165,"")</f>
        <v>0.13419216317767038</v>
      </c>
    </row>
    <row r="164" spans="1:22" s="21" customFormat="1" x14ac:dyDescent="0.3">
      <c r="A164" s="3"/>
      <c r="B164" s="3" t="str">
        <f t="shared" si="71"/>
        <v>SAPN</v>
      </c>
      <c r="C164" s="3" t="str">
        <f t="shared" si="71"/>
        <v>Small business</v>
      </c>
      <c r="D164" s="3" t="str">
        <f t="shared" si="71"/>
        <v>without CL</v>
      </c>
      <c r="E164" s="3" t="s">
        <v>24</v>
      </c>
      <c r="F164" s="41">
        <f t="array" ref="F164">IFERROR(INDEX(Usage!$B$5:$T$18,MATCH($B164,Usage!$B$5:$B$18,0),MATCH($C164&amp;$D164&amp;$E164,Usage!$B$5:$W$5&amp;Usage!$B$6:$W$6&amp;Usage!$B$7:$W$7,0)),0)</f>
        <v>20000</v>
      </c>
      <c r="G164" s="3" t="s">
        <v>81</v>
      </c>
      <c r="H164" s="93"/>
      <c r="I164" s="93">
        <f t="array" ref="I164">ROUND(IFERROR(INDEX('Detail inputs'!$B$3:$L$304,MATCH($B164&amp;$C164&amp;$E164&amp;$G164&amp;I$5,'Detail inputs'!$B$3:$B$304&amp;'Detail inputs'!$D$3:$D$304&amp;'Detail inputs'!$F$3:$F$304&amp;'Detail inputs'!$G$3:$G$304&amp;'Detail inputs'!$H$3:$H$304,0),MATCH(I$4,'Detail inputs'!$B$3:$L$3,0)),0)*SUM(I161:I163),2)</f>
        <v>2.11</v>
      </c>
      <c r="J164" s="93">
        <f>IF(AND(H164="",I164=""),"",H164+I164*$F164/1000)</f>
        <v>42.2</v>
      </c>
      <c r="K164" s="44">
        <f>IFERROR(J164/J165,"")</f>
        <v>9.9294117647058824E-2</v>
      </c>
      <c r="L164" s="44"/>
      <c r="M164" s="49">
        <f>IF(OR(J164=0,Q164=""),"",Q164/J164-1)</f>
        <v>-0.12322274881516593</v>
      </c>
      <c r="N164" s="44"/>
      <c r="O164" s="93"/>
      <c r="P164" s="93">
        <f t="array" ref="P164">ROUND(IFERROR(INDEX('Detail inputs'!$B$3:$L$304,MATCH($B164&amp;$C164&amp;$E164&amp;$G164&amp;P$5,'Detail inputs'!$B$3:$B$304&amp;'Detail inputs'!$D$3:$D$304&amp;'Detail inputs'!$F$3:$F$304&amp;'Detail inputs'!$G$3:$G$304&amp;'Detail inputs'!$H$3:$H$304,0),MATCH(P$4,'Detail inputs'!$B$3:$L$3,0)),0)*SUM(P161:P163),2)</f>
        <v>1.85</v>
      </c>
      <c r="Q164" s="93">
        <f>IF(AND(O164="",P164=""),"",O164+P164*$F164/1000)</f>
        <v>37</v>
      </c>
      <c r="R164" s="44">
        <f>IFERROR(Q164/Q165,"")</f>
        <v>9.9302200751476097E-2</v>
      </c>
    </row>
    <row r="165" spans="1:22" s="21" customFormat="1" x14ac:dyDescent="0.25">
      <c r="A165" s="3"/>
      <c r="B165" s="3" t="str">
        <f t="shared" si="71"/>
        <v>SAPN</v>
      </c>
      <c r="C165" s="3" t="str">
        <f t="shared" si="71"/>
        <v>Small business</v>
      </c>
      <c r="D165" s="3" t="str">
        <f t="shared" si="71"/>
        <v>without CL</v>
      </c>
      <c r="E165" s="3" t="s">
        <v>24</v>
      </c>
      <c r="F165" s="41">
        <f t="array" ref="F165">IFERROR(INDEX(Usage!$B$5:$T$18,MATCH($B165,Usage!$B$5:$B$18,0),MATCH($C165&amp;$D165&amp;$E165,Usage!$B$5:$W$5&amp;Usage!$B$6:$W$6&amp;Usage!$B$7:$W$7,0)),0)</f>
        <v>20000</v>
      </c>
      <c r="G165" s="81" t="s">
        <v>58</v>
      </c>
      <c r="H165" s="99"/>
      <c r="I165" s="99">
        <f t="array" ref="I165">INDEX('Key inputs'!$B$15:$G$33,MATCH($B165&amp;$E165,'Key inputs'!$B$15:$B$33&amp;'Key inputs'!$C$15:$C$33,0),MATCH($A$2&amp;I$4,'Key inputs'!$B$16:$G$16&amp;'Key inputs'!$B$17:$G$17,0))</f>
        <v>21.25</v>
      </c>
      <c r="J165" s="93">
        <f t="shared" ref="J165" si="72">IF(AND(H165="",I165=""),"",H165+I165*$F165/1000)</f>
        <v>425</v>
      </c>
      <c r="K165" s="91"/>
      <c r="L165" s="92"/>
      <c r="M165" s="83">
        <f>IF(OR(J165=0,Q165=""),"",Q165/J165-1)</f>
        <v>-0.12329411764705867</v>
      </c>
      <c r="N165" s="92"/>
      <c r="O165" s="99"/>
      <c r="P165" s="99">
        <f t="array" ref="P165">INDEX('Key inputs'!$B$15:$G$33,MATCH($B165&amp;$E165,'Key inputs'!$B$15:$B$33&amp;'Key inputs'!$C$15:$C$33,0),MATCH($A$2&amp;P$4,'Key inputs'!$B$16:$G$16&amp;'Key inputs'!$B$17:$G$17,0))</f>
        <v>18.630000000000003</v>
      </c>
      <c r="Q165" s="93">
        <f t="shared" ref="Q165" si="73">IF(AND(O165="",P165=""),"",O165+P165*$F165/1000)</f>
        <v>372.60000000000008</v>
      </c>
      <c r="R165" s="44"/>
      <c r="S165" s="142" t="b">
        <f>ROUND(I165,$W$5)=ROUND(SUM(I161:I164),$W$5)</f>
        <v>1</v>
      </c>
      <c r="T165" s="142" t="b">
        <f>ROUND(P165,$W$5)=ROUND(SUM(P161:P164),$W$5)</f>
        <v>1</v>
      </c>
      <c r="U165" s="99"/>
      <c r="V165" s="99"/>
    </row>
    <row r="166" spans="1:22" s="21" customFormat="1" x14ac:dyDescent="0.3">
      <c r="A166" s="3"/>
      <c r="B166" s="3" t="str">
        <f t="shared" si="71"/>
        <v>SAPN</v>
      </c>
      <c r="C166" s="3" t="str">
        <f t="shared" si="71"/>
        <v>Small business</v>
      </c>
      <c r="D166" s="3" t="str">
        <f t="shared" si="71"/>
        <v>without CL</v>
      </c>
      <c r="E166" s="3"/>
      <c r="G166" s="81" t="s">
        <v>41</v>
      </c>
      <c r="H166" s="99"/>
      <c r="I166" s="99"/>
      <c r="J166" s="99">
        <f>J165*GST</f>
        <v>42.5</v>
      </c>
      <c r="K166" s="91"/>
      <c r="L166" s="92"/>
      <c r="M166" s="83"/>
      <c r="N166" s="92"/>
      <c r="O166" s="99"/>
      <c r="P166" s="99"/>
      <c r="Q166" s="99">
        <f>Q165*GST</f>
        <v>37.260000000000012</v>
      </c>
      <c r="R166" s="44" t="str">
        <f>IFERROR(Q166/Q176,"")</f>
        <v/>
      </c>
    </row>
    <row r="167" spans="1:22" s="21" customFormat="1" x14ac:dyDescent="0.3">
      <c r="A167" s="3"/>
      <c r="B167" s="3" t="str">
        <f t="shared" si="71"/>
        <v>SAPN</v>
      </c>
      <c r="C167" s="3" t="str">
        <f t="shared" si="71"/>
        <v>Small business</v>
      </c>
      <c r="D167" s="3" t="str">
        <f t="shared" si="71"/>
        <v>without CL</v>
      </c>
      <c r="E167" s="3"/>
      <c r="G167" s="5" t="s">
        <v>91</v>
      </c>
      <c r="H167" s="98"/>
      <c r="I167" s="98"/>
      <c r="J167" s="98">
        <f>SUM(J165:J166)</f>
        <v>467.5</v>
      </c>
      <c r="K167" s="79"/>
      <c r="L167" s="27"/>
      <c r="M167" s="80">
        <f>IF(OR(J167=0,Q167=""),"",Q167/J167-1)</f>
        <v>-0.12329411764705867</v>
      </c>
      <c r="N167" s="27"/>
      <c r="O167" s="98"/>
      <c r="P167" s="98"/>
      <c r="Q167" s="98">
        <f>SUM(Q165:Q166)</f>
        <v>409.86000000000007</v>
      </c>
      <c r="R167" s="44" t="str">
        <f>IFERROR(Q167/Q176,"")</f>
        <v/>
      </c>
    </row>
    <row r="168" spans="1:22" s="21" customFormat="1" hidden="1" x14ac:dyDescent="0.3">
      <c r="A168" s="3"/>
      <c r="B168" s="3"/>
      <c r="C168" s="3"/>
      <c r="D168" s="3"/>
      <c r="E168" s="3"/>
      <c r="G168" s="3"/>
      <c r="H168" s="93"/>
      <c r="I168" s="93"/>
      <c r="J168" s="93"/>
      <c r="K168" s="44" t="str">
        <f>IFERROR(J168/J176,"")</f>
        <v/>
      </c>
      <c r="O168" s="93"/>
      <c r="P168" s="93"/>
      <c r="Q168" s="93"/>
      <c r="R168" s="44" t="str">
        <f>IFERROR(Q168/Q176,"")</f>
        <v/>
      </c>
    </row>
    <row r="169" spans="1:22" s="21" customFormat="1" hidden="1" x14ac:dyDescent="0.3">
      <c r="A169" s="3"/>
      <c r="B169" s="3"/>
      <c r="C169" s="3"/>
      <c r="D169" s="3"/>
      <c r="E169" s="3"/>
      <c r="G169" s="3"/>
      <c r="H169" s="93"/>
      <c r="I169" s="93"/>
      <c r="J169" s="93"/>
      <c r="K169" s="44" t="str">
        <f>IFERROR(J169/J176,"")</f>
        <v/>
      </c>
      <c r="O169" s="93"/>
      <c r="P169" s="93"/>
      <c r="Q169" s="93"/>
      <c r="R169" s="44" t="str">
        <f>IFERROR(Q169/Q176,"")</f>
        <v/>
      </c>
    </row>
    <row r="170" spans="1:22" s="21" customFormat="1" hidden="1" x14ac:dyDescent="0.3">
      <c r="A170" s="3"/>
      <c r="B170" s="3"/>
      <c r="C170" s="3"/>
      <c r="D170" s="3"/>
      <c r="E170" s="3"/>
      <c r="G170" s="3"/>
      <c r="H170" s="93"/>
      <c r="I170" s="93"/>
      <c r="J170" s="93"/>
      <c r="K170" s="44" t="str">
        <f>IFERROR(J170/J176,"")</f>
        <v/>
      </c>
      <c r="O170" s="93"/>
      <c r="P170" s="93"/>
      <c r="Q170" s="93"/>
      <c r="R170" s="44" t="str">
        <f>IFERROR(Q170/Q176,"")</f>
        <v/>
      </c>
    </row>
    <row r="171" spans="1:22" s="21" customFormat="1" hidden="1" x14ac:dyDescent="0.3">
      <c r="A171" s="3"/>
      <c r="B171" s="3"/>
      <c r="C171" s="3"/>
      <c r="D171" s="3"/>
      <c r="E171" s="3"/>
      <c r="G171" s="3"/>
      <c r="H171" s="93"/>
      <c r="I171" s="93"/>
      <c r="J171" s="93"/>
      <c r="K171" s="44" t="str">
        <f>IFERROR(J171/J176,"")</f>
        <v/>
      </c>
      <c r="O171" s="93"/>
      <c r="P171" s="93"/>
      <c r="Q171" s="93"/>
      <c r="R171" s="44" t="str">
        <f>IFERROR(Q171/Q176,"")</f>
        <v/>
      </c>
    </row>
    <row r="172" spans="1:22" s="21" customFormat="1" hidden="1" x14ac:dyDescent="0.3">
      <c r="A172" s="3"/>
      <c r="B172" s="3"/>
      <c r="C172" s="3"/>
      <c r="D172" s="3"/>
      <c r="E172" s="3"/>
      <c r="G172" s="3"/>
      <c r="H172" s="93"/>
      <c r="I172" s="93"/>
      <c r="J172" s="93"/>
      <c r="K172" s="44" t="str">
        <f>IFERROR(J172/J176,"")</f>
        <v/>
      </c>
      <c r="O172" s="93"/>
      <c r="P172" s="93"/>
      <c r="Q172" s="93"/>
      <c r="R172" s="44" t="str">
        <f>IFERROR(Q172/Q176,"")</f>
        <v/>
      </c>
    </row>
    <row r="173" spans="1:22" s="21" customFormat="1" hidden="1" x14ac:dyDescent="0.3">
      <c r="A173" s="3"/>
      <c r="B173" s="3"/>
      <c r="C173" s="3"/>
      <c r="D173" s="3"/>
      <c r="E173" s="3"/>
      <c r="G173" s="3"/>
      <c r="H173" s="93"/>
      <c r="I173" s="93"/>
      <c r="J173" s="93"/>
      <c r="K173" s="44" t="str">
        <f>IFERROR(J173/J176,"")</f>
        <v/>
      </c>
      <c r="O173" s="93"/>
      <c r="P173" s="93"/>
      <c r="Q173" s="93"/>
      <c r="R173" s="44" t="str">
        <f>IFERROR(Q173/Q176,"")</f>
        <v/>
      </c>
    </row>
    <row r="174" spans="1:22" s="21" customFormat="1" hidden="1" x14ac:dyDescent="0.3">
      <c r="A174" s="3"/>
      <c r="B174" s="3"/>
      <c r="C174" s="3"/>
      <c r="D174" s="3"/>
      <c r="E174" s="3"/>
      <c r="G174" s="3"/>
      <c r="H174" s="93"/>
      <c r="I174" s="93"/>
      <c r="J174" s="93"/>
      <c r="K174" s="44" t="str">
        <f>IFERROR(J174/J176,"")</f>
        <v/>
      </c>
      <c r="O174" s="93"/>
      <c r="P174" s="93"/>
      <c r="Q174" s="93"/>
      <c r="R174" s="44" t="str">
        <f>IFERROR(Q174/Q176,"")</f>
        <v/>
      </c>
    </row>
    <row r="175" spans="1:22" s="21" customFormat="1" hidden="1" x14ac:dyDescent="0.3">
      <c r="A175" s="3"/>
      <c r="B175" s="3"/>
      <c r="C175" s="3"/>
      <c r="D175" s="3"/>
      <c r="E175" s="3"/>
      <c r="G175" s="3"/>
      <c r="H175" s="93"/>
      <c r="I175" s="93"/>
      <c r="J175" s="93"/>
      <c r="K175" s="44" t="str">
        <f>IFERROR(J175/J176,"")</f>
        <v/>
      </c>
      <c r="O175" s="93"/>
      <c r="P175" s="93"/>
      <c r="Q175" s="93"/>
      <c r="R175" s="44" t="str">
        <f>IFERROR(Q175/Q176,"")</f>
        <v/>
      </c>
    </row>
    <row r="176" spans="1:22" s="21" customFormat="1" hidden="1" x14ac:dyDescent="0.3">
      <c r="A176" s="3"/>
      <c r="B176" s="3"/>
      <c r="C176" s="3"/>
      <c r="D176" s="3"/>
      <c r="E176" s="3"/>
      <c r="G176" s="3"/>
      <c r="H176" s="93"/>
      <c r="I176" s="93"/>
      <c r="J176" s="93"/>
      <c r="K176" s="79"/>
      <c r="O176" s="93"/>
      <c r="P176" s="93"/>
      <c r="Q176" s="93"/>
      <c r="R176" s="79"/>
    </row>
    <row r="177" hidden="1" x14ac:dyDescent="0.3"/>
  </sheetData>
  <sheetProtection algorithmName="SHA-256" hashValue="UOaghvQiMLDkqog1tJJHVThjoXpUBiqUCHBzoWztTzw=" saltValue="0Qu8ytZ2xFmkPN3hMtR18g==" spinCount="100000" sheet="1" objects="1" scenarios="1"/>
  <mergeCells count="3">
    <mergeCell ref="H3:K3"/>
    <mergeCell ref="O3:R3"/>
    <mergeCell ref="A1:B1"/>
  </mergeCells>
  <conditionalFormatting sqref="B7:R200">
    <cfRule type="expression" dxfId="8" priority="76">
      <formula>MOD(ROW(),2)=0</formula>
    </cfRule>
  </conditionalFormatting>
  <conditionalFormatting sqref="S7:T200">
    <cfRule type="cellIs" dxfId="7" priority="77" operator="equal">
      <formula>FALSE</formula>
    </cfRule>
    <cfRule type="cellIs" dxfId="6" priority="142" operator="equal">
      <formula>TRUE</formula>
    </cfRule>
  </conditionalFormatting>
  <conditionalFormatting sqref="B7:D200">
    <cfRule type="expression" dxfId="5" priority="143">
      <formula>AND(B7=B6,MOD(ROW(),2)=1)</formula>
    </cfRule>
    <cfRule type="expression" dxfId="4" priority="144">
      <formula>AND(B7=B6,MOD(ROW(),2)=0)</formula>
    </cfRule>
  </conditionalFormatting>
  <hyperlinks>
    <hyperlink ref="A1" location="Index!A1" display="&lt;&lt;Back to Index"/>
  </hyperlinks>
  <pageMargins left="0.7" right="0.7" top="0.75" bottom="0.75" header="0.3" footer="0.3"/>
  <pageSetup paperSize="9" orientation="portrait" r:id="rId1"/>
  <ignoredErrors>
    <ignoredError sqref="K23:N23 K57:N57 K91:N9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F9:F14"/>
  <sheetViews>
    <sheetView workbookViewId="0">
      <selection activeCell="F10" sqref="F10"/>
    </sheetView>
  </sheetViews>
  <sheetFormatPr defaultColWidth="8.88671875" defaultRowHeight="14.4" x14ac:dyDescent="0.3"/>
  <cols>
    <col min="1" max="16384" width="8.88671875" style="3"/>
  </cols>
  <sheetData>
    <row r="9" spans="6:6" ht="36.6" x14ac:dyDescent="0.3">
      <c r="F9" s="2" t="s">
        <v>211</v>
      </c>
    </row>
    <row r="10" spans="6:6" ht="36.6" x14ac:dyDescent="0.3">
      <c r="F10" s="2" t="str">
        <f>"DMO "&amp;FY</f>
        <v>DMO 2020-21</v>
      </c>
    </row>
    <row r="11" spans="6:6" ht="23.4" x14ac:dyDescent="0.3">
      <c r="F11" s="4"/>
    </row>
    <row r="12" spans="6:6" ht="23.4" x14ac:dyDescent="0.3">
      <c r="F12" s="4"/>
    </row>
    <row r="13" spans="6:6" x14ac:dyDescent="0.3">
      <c r="F13" s="5"/>
    </row>
    <row r="14" spans="6:6" x14ac:dyDescent="0.3">
      <c r="F14" s="5"/>
    </row>
  </sheetData>
  <sheetProtection algorithmName="SHA-256" hashValue="EoNyRxuvt/zVpMc2WkpDIi0z+cPzGgTdskioYEv/rxE=" saltValue="fKcmzOJFG+4eXXh7XBlROw==" spinCount="100000" sheet="1" objects="1" scenarios="1"/>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2"/>
  <sheetViews>
    <sheetView zoomScaleNormal="100" workbookViewId="0">
      <pane ySplit="2" topLeftCell="A3" activePane="bottomLeft" state="frozen"/>
      <selection pane="bottomLeft" sqref="A1:B1"/>
    </sheetView>
  </sheetViews>
  <sheetFormatPr defaultColWidth="0" defaultRowHeight="14.4" zeroHeight="1" x14ac:dyDescent="0.3"/>
  <cols>
    <col min="1" max="1" width="1.6640625" style="3" customWidth="1"/>
    <col min="2" max="2" width="17.109375" style="3" customWidth="1"/>
    <col min="3" max="3" width="19.6640625" style="3" bestFit="1" customWidth="1"/>
    <col min="4" max="6" width="15.6640625" style="21" customWidth="1"/>
    <col min="7" max="7" width="16.5546875" style="21" customWidth="1"/>
    <col min="8" max="8" width="2.33203125" style="3" customWidth="1"/>
    <col min="9" max="10" width="15.6640625" style="3" hidden="1" customWidth="1"/>
    <col min="11" max="16384" width="8.88671875" style="3" hidden="1"/>
  </cols>
  <sheetData>
    <row r="1" spans="1:7" ht="10.199999999999999" customHeight="1" x14ac:dyDescent="0.3">
      <c r="A1" s="246" t="s">
        <v>22</v>
      </c>
      <c r="B1" s="272"/>
      <c r="C1" s="21"/>
    </row>
    <row r="2" spans="1:7" s="15" customFormat="1" ht="22.5" customHeight="1" x14ac:dyDescent="0.3">
      <c r="A2" s="16" t="s">
        <v>149</v>
      </c>
      <c r="B2" s="16"/>
      <c r="C2" s="22"/>
      <c r="D2" s="22"/>
      <c r="E2" s="22"/>
      <c r="F2" s="22"/>
      <c r="G2" s="22"/>
    </row>
    <row r="3" spans="1:7" x14ac:dyDescent="0.3">
      <c r="B3" s="191" t="s">
        <v>161</v>
      </c>
    </row>
    <row r="4" spans="1:7" ht="15.6" x14ac:dyDescent="0.3">
      <c r="B4" s="38" t="s">
        <v>150</v>
      </c>
    </row>
    <row r="5" spans="1:7" x14ac:dyDescent="0.3">
      <c r="B5" s="13" t="s">
        <v>35</v>
      </c>
      <c r="C5" s="13" t="s">
        <v>34</v>
      </c>
      <c r="D5" s="25" t="s">
        <v>185</v>
      </c>
    </row>
    <row r="6" spans="1:7" x14ac:dyDescent="0.3">
      <c r="B6" s="3" t="s">
        <v>44</v>
      </c>
      <c r="C6" s="173" t="s">
        <v>19</v>
      </c>
      <c r="D6" s="3"/>
    </row>
    <row r="7" spans="1:7" x14ac:dyDescent="0.3">
      <c r="B7" s="3" t="s">
        <v>43</v>
      </c>
      <c r="C7" s="173" t="s">
        <v>32</v>
      </c>
      <c r="D7" s="3"/>
    </row>
    <row r="8" spans="1:7" x14ac:dyDescent="0.3">
      <c r="B8" s="3" t="s">
        <v>152</v>
      </c>
      <c r="C8" s="173" t="s">
        <v>153</v>
      </c>
      <c r="D8" s="3"/>
    </row>
    <row r="9" spans="1:7" x14ac:dyDescent="0.3">
      <c r="B9" s="3" t="s">
        <v>36</v>
      </c>
      <c r="C9" s="186">
        <f>AVERAGE(1.8%,1.9%)</f>
        <v>1.8500000000000003E-2</v>
      </c>
      <c r="D9" s="189" t="s">
        <v>199</v>
      </c>
    </row>
    <row r="10" spans="1:7" x14ac:dyDescent="0.3">
      <c r="B10" s="3" t="s">
        <v>37</v>
      </c>
      <c r="C10" s="173">
        <v>365</v>
      </c>
      <c r="D10" s="3"/>
    </row>
    <row r="11" spans="1:7" x14ac:dyDescent="0.3">
      <c r="B11" s="3" t="s">
        <v>41</v>
      </c>
      <c r="C11" s="174">
        <v>0.1</v>
      </c>
      <c r="D11" s="3"/>
    </row>
    <row r="12" spans="1:7" x14ac:dyDescent="0.3">
      <c r="B12" s="81"/>
      <c r="C12" s="174"/>
      <c r="D12" s="3"/>
    </row>
    <row r="13" spans="1:7" ht="15.6" x14ac:dyDescent="0.3">
      <c r="B13" s="38" t="s">
        <v>151</v>
      </c>
      <c r="C13" s="28"/>
      <c r="D13" s="3"/>
    </row>
    <row r="14" spans="1:7" s="5" customFormat="1" x14ac:dyDescent="0.3">
      <c r="B14" s="145" t="s">
        <v>102</v>
      </c>
      <c r="D14" s="27"/>
      <c r="E14" s="27"/>
      <c r="F14" s="27"/>
      <c r="G14" s="27"/>
    </row>
    <row r="15" spans="1:7" s="5" customFormat="1" x14ac:dyDescent="0.3">
      <c r="B15" s="13"/>
      <c r="C15" s="13"/>
      <c r="D15" s="281" t="s">
        <v>69</v>
      </c>
      <c r="E15" s="281"/>
      <c r="F15" s="281" t="s">
        <v>70</v>
      </c>
      <c r="G15" s="281"/>
    </row>
    <row r="16" spans="1:7" s="5" customFormat="1" ht="4.95" customHeight="1" x14ac:dyDescent="0.3">
      <c r="B16" s="113"/>
      <c r="C16" s="113"/>
      <c r="D16" s="115" t="str">
        <f>D15</f>
        <v>Wholesale cost</v>
      </c>
      <c r="E16" s="115" t="str">
        <f>D15</f>
        <v>Wholesale cost</v>
      </c>
      <c r="F16" s="115" t="str">
        <f>F15</f>
        <v>Environmental cost</v>
      </c>
      <c r="G16" s="115" t="str">
        <f>F15</f>
        <v>Environmental cost</v>
      </c>
    </row>
    <row r="17" spans="2:9" s="5" customFormat="1" x14ac:dyDescent="0.3">
      <c r="B17" s="13" t="s">
        <v>1</v>
      </c>
      <c r="C17" s="13" t="s">
        <v>27</v>
      </c>
      <c r="D17" s="13" t="str">
        <f>PY</f>
        <v>2019-20</v>
      </c>
      <c r="E17" s="13" t="str">
        <f>FY</f>
        <v>2020-21</v>
      </c>
      <c r="F17" s="13" t="str">
        <f>PY</f>
        <v>2019-20</v>
      </c>
      <c r="G17" s="13" t="str">
        <f>FY</f>
        <v>2020-21</v>
      </c>
    </row>
    <row r="18" spans="2:9" s="5" customFormat="1" x14ac:dyDescent="0.3">
      <c r="B18" s="13"/>
      <c r="C18" s="13"/>
      <c r="D18" s="13" t="s">
        <v>46</v>
      </c>
      <c r="E18" s="13" t="s">
        <v>46</v>
      </c>
      <c r="F18" s="13" t="s">
        <v>46</v>
      </c>
      <c r="G18" s="13" t="s">
        <v>46</v>
      </c>
    </row>
    <row r="19" spans="2:9" x14ac:dyDescent="0.3">
      <c r="B19" s="3" t="s">
        <v>2</v>
      </c>
      <c r="C19" s="3" t="s">
        <v>24</v>
      </c>
      <c r="D19" s="241">
        <v>111.36</v>
      </c>
      <c r="E19" s="241">
        <v>113.48</v>
      </c>
      <c r="F19" s="173">
        <v>19.34</v>
      </c>
      <c r="G19" s="173">
        <v>17.170000000000002</v>
      </c>
      <c r="H19" s="114"/>
      <c r="I19" s="114"/>
    </row>
    <row r="20" spans="2:9" x14ac:dyDescent="0.3">
      <c r="B20" s="3" t="s">
        <v>2</v>
      </c>
      <c r="C20" s="3" t="s">
        <v>15</v>
      </c>
      <c r="D20" s="241">
        <v>84.15</v>
      </c>
      <c r="E20" s="241">
        <v>75.64</v>
      </c>
      <c r="F20" s="173">
        <v>19.420000000000002</v>
      </c>
      <c r="G20" s="173">
        <v>17.220000000000002</v>
      </c>
      <c r="H20" s="114"/>
      <c r="I20" s="114"/>
    </row>
    <row r="21" spans="2:9" x14ac:dyDescent="0.3">
      <c r="B21" s="3" t="s">
        <v>2</v>
      </c>
      <c r="C21" s="3" t="s">
        <v>16</v>
      </c>
      <c r="D21" s="241">
        <v>79.64</v>
      </c>
      <c r="E21" s="241">
        <v>73.88</v>
      </c>
      <c r="F21" s="173">
        <v>19.420000000000002</v>
      </c>
      <c r="G21" s="173">
        <v>17.220000000000002</v>
      </c>
      <c r="H21" s="114"/>
      <c r="I21" s="114"/>
    </row>
    <row r="22" spans="2:9" x14ac:dyDescent="0.3">
      <c r="B22" s="3" t="s">
        <v>4</v>
      </c>
      <c r="C22" s="3" t="s">
        <v>24</v>
      </c>
      <c r="D22" s="241">
        <v>108.61</v>
      </c>
      <c r="E22" s="241">
        <v>113.32</v>
      </c>
      <c r="F22" s="173">
        <v>19.45</v>
      </c>
      <c r="G22" s="173">
        <v>17.190000000000001</v>
      </c>
      <c r="H22" s="114"/>
      <c r="I22" s="114"/>
    </row>
    <row r="23" spans="2:9" x14ac:dyDescent="0.3">
      <c r="B23" s="3" t="s">
        <v>4</v>
      </c>
      <c r="C23" s="3" t="s">
        <v>15</v>
      </c>
      <c r="D23" s="241">
        <v>98.59</v>
      </c>
      <c r="E23" s="241">
        <v>105.37</v>
      </c>
      <c r="F23" s="173">
        <v>19.45</v>
      </c>
      <c r="G23" s="173">
        <v>17.190000000000001</v>
      </c>
      <c r="H23" s="114"/>
      <c r="I23" s="114"/>
    </row>
    <row r="24" spans="2:9" x14ac:dyDescent="0.3">
      <c r="B24" s="3" t="s">
        <v>4</v>
      </c>
      <c r="C24" s="3" t="s">
        <v>16</v>
      </c>
      <c r="D24" s="241">
        <v>98.59</v>
      </c>
      <c r="E24" s="241">
        <v>105.37</v>
      </c>
      <c r="F24" s="173">
        <v>19.45</v>
      </c>
      <c r="G24" s="173">
        <v>17.190000000000001</v>
      </c>
      <c r="H24" s="114"/>
      <c r="I24" s="114"/>
    </row>
    <row r="25" spans="2:9" x14ac:dyDescent="0.3">
      <c r="B25" s="3" t="s">
        <v>3</v>
      </c>
      <c r="C25" s="3" t="s">
        <v>24</v>
      </c>
      <c r="D25" s="241">
        <v>103.17</v>
      </c>
      <c r="E25" s="241">
        <v>105.27000000000001</v>
      </c>
      <c r="F25" s="173">
        <v>19.510000000000002</v>
      </c>
      <c r="G25" s="173">
        <v>17.170000000000002</v>
      </c>
      <c r="H25" s="114"/>
      <c r="I25" s="114"/>
    </row>
    <row r="26" spans="2:9" x14ac:dyDescent="0.3">
      <c r="B26" s="3" t="s">
        <v>3</v>
      </c>
      <c r="C26" s="3" t="s">
        <v>15</v>
      </c>
      <c r="D26" s="241">
        <v>95.11</v>
      </c>
      <c r="E26" s="241">
        <v>90.24</v>
      </c>
      <c r="F26" s="173">
        <v>19.510000000000002</v>
      </c>
      <c r="G26" s="173">
        <v>17.170000000000002</v>
      </c>
      <c r="H26" s="114"/>
      <c r="I26" s="114"/>
    </row>
    <row r="27" spans="2:9" x14ac:dyDescent="0.3">
      <c r="B27" s="3" t="s">
        <v>3</v>
      </c>
      <c r="C27" s="3" t="s">
        <v>16</v>
      </c>
      <c r="D27" s="241">
        <v>95.11</v>
      </c>
      <c r="E27" s="241">
        <v>90.24</v>
      </c>
      <c r="F27" s="173">
        <v>19.510000000000002</v>
      </c>
      <c r="G27" s="173">
        <v>17.170000000000002</v>
      </c>
      <c r="H27" s="114"/>
      <c r="I27" s="114"/>
    </row>
    <row r="28" spans="2:9" x14ac:dyDescent="0.3">
      <c r="B28" s="3" t="s">
        <v>0</v>
      </c>
      <c r="C28" s="3" t="s">
        <v>24</v>
      </c>
      <c r="D28" s="241">
        <v>98.34</v>
      </c>
      <c r="E28" s="241">
        <v>94.07</v>
      </c>
      <c r="F28" s="173">
        <v>17.72</v>
      </c>
      <c r="G28" s="173">
        <v>15.21</v>
      </c>
      <c r="H28" s="114"/>
      <c r="I28" s="114"/>
    </row>
    <row r="29" spans="2:9" x14ac:dyDescent="0.3">
      <c r="B29" s="3" t="s">
        <v>0</v>
      </c>
      <c r="C29" s="3" t="s">
        <v>15</v>
      </c>
      <c r="D29" s="241">
        <v>72.52000000000001</v>
      </c>
      <c r="E29" s="241">
        <v>73.540000000000006</v>
      </c>
      <c r="F29" s="173">
        <v>17.72</v>
      </c>
      <c r="G29" s="173">
        <v>15.21</v>
      </c>
      <c r="H29" s="114"/>
      <c r="I29" s="114"/>
    </row>
    <row r="30" spans="2:9" x14ac:dyDescent="0.3">
      <c r="B30" s="3" t="s">
        <v>0</v>
      </c>
      <c r="C30" s="3" t="s">
        <v>16</v>
      </c>
      <c r="D30" s="241">
        <v>80.97</v>
      </c>
      <c r="E30" s="241">
        <v>75.179999999999993</v>
      </c>
      <c r="F30" s="173">
        <v>17.72</v>
      </c>
      <c r="G30" s="173">
        <v>15.21</v>
      </c>
      <c r="H30" s="114"/>
      <c r="I30" s="114"/>
    </row>
    <row r="31" spans="2:9" x14ac:dyDescent="0.3">
      <c r="B31" s="3" t="s">
        <v>5</v>
      </c>
      <c r="C31" s="3" t="s">
        <v>24</v>
      </c>
      <c r="D31" s="241">
        <v>164.20999999999998</v>
      </c>
      <c r="E31" s="241">
        <v>157.13999999999999</v>
      </c>
      <c r="F31" s="173">
        <v>21.25</v>
      </c>
      <c r="G31" s="173">
        <v>18.630000000000003</v>
      </c>
      <c r="H31" s="114"/>
      <c r="I31" s="114"/>
    </row>
    <row r="32" spans="2:9" x14ac:dyDescent="0.3">
      <c r="B32" s="3" t="s">
        <v>5</v>
      </c>
      <c r="C32" s="3" t="s">
        <v>15</v>
      </c>
      <c r="D32" s="241">
        <v>109.65</v>
      </c>
      <c r="E32" s="241">
        <v>97.06</v>
      </c>
      <c r="F32" s="173">
        <v>21.25</v>
      </c>
      <c r="G32" s="173">
        <v>18.630000000000003</v>
      </c>
      <c r="H32" s="114"/>
      <c r="I32" s="114"/>
    </row>
    <row r="33" spans="2:10" x14ac:dyDescent="0.3"/>
    <row r="34" spans="2:10" ht="15.6" hidden="1" customHeight="1" x14ac:dyDescent="0.3">
      <c r="B34" s="38" t="str">
        <f>"Expected change in costs - network costs for "&amp;C8&amp;" Determination"</f>
        <v>Expected change in costs - network costs for Draft Determination</v>
      </c>
    </row>
    <row r="35" spans="2:10" ht="14.4" hidden="1" customHeight="1" x14ac:dyDescent="0.3">
      <c r="B35" s="147" t="s">
        <v>1</v>
      </c>
      <c r="C35" s="147" t="s">
        <v>155</v>
      </c>
      <c r="D35" s="147" t="s">
        <v>54</v>
      </c>
      <c r="E35" s="147" t="s">
        <v>55</v>
      </c>
      <c r="F35" s="148" t="s">
        <v>56</v>
      </c>
      <c r="G35" s="148" t="s">
        <v>86</v>
      </c>
      <c r="H35" s="147" t="s">
        <v>87</v>
      </c>
      <c r="I35" s="147" t="s">
        <v>65</v>
      </c>
      <c r="J35" s="147" t="s">
        <v>67</v>
      </c>
    </row>
    <row r="36" spans="2:10" ht="14.4" hidden="1" customHeight="1" x14ac:dyDescent="0.3">
      <c r="B36" s="147"/>
      <c r="C36" s="148" t="s">
        <v>190</v>
      </c>
      <c r="D36" s="148" t="s">
        <v>190</v>
      </c>
      <c r="E36" s="148" t="s">
        <v>190</v>
      </c>
      <c r="F36" s="148" t="s">
        <v>190</v>
      </c>
      <c r="G36" s="148" t="s">
        <v>190</v>
      </c>
      <c r="H36" s="148" t="s">
        <v>190</v>
      </c>
      <c r="I36" s="148" t="s">
        <v>190</v>
      </c>
      <c r="J36" s="148" t="s">
        <v>190</v>
      </c>
    </row>
    <row r="37" spans="2:10" ht="14.4" hidden="1" customHeight="1" x14ac:dyDescent="0.3">
      <c r="B37" s="3" t="s">
        <v>2</v>
      </c>
      <c r="C37" s="175" t="s">
        <v>162</v>
      </c>
      <c r="D37" s="21" t="str">
        <f t="shared" ref="D37:E39" si="0">IF($C37="Indicative tariff (NUOS)","NA",IF($C37="Indicative tariff (Detail)","Indicative tariff",IF($C37="Draft revenue change","indicative x-factor")))</f>
        <v>NA</v>
      </c>
      <c r="E37" s="21" t="str">
        <f t="shared" si="0"/>
        <v>NA</v>
      </c>
      <c r="F37" s="21" t="str">
        <f t="shared" ref="F37:H41" si="1">IF($C37="Indicative tariff (NUOS)","NA",IF($C37="Indicative tariff (Detail)","Indicative tariff",IF($C37="Draft revenue change","Zero")))</f>
        <v>NA</v>
      </c>
      <c r="G37" s="21" t="str">
        <f t="shared" si="1"/>
        <v>NA</v>
      </c>
      <c r="H37" s="21" t="str">
        <f t="shared" si="1"/>
        <v>NA</v>
      </c>
      <c r="I37" s="21" t="str">
        <f>IF($C37="Indicative tariff (NUOS)","Indicative tariff",IF($C37="Indicative tariff (Detail)","Sum",IF($C37="Draft revenue change","NA")))</f>
        <v>Indicative tariff</v>
      </c>
      <c r="J37" s="21" t="str">
        <f>IF($C37="Indicative tariff (NUOS)","Zero",IF($C37="Indicative tariff (Detail)","Indicative tariff",IF($C37="Draft revenue change","indicative x-factor")))</f>
        <v>Zero</v>
      </c>
    </row>
    <row r="38" spans="2:10" ht="14.4" hidden="1" customHeight="1" x14ac:dyDescent="0.3">
      <c r="B38" s="3" t="s">
        <v>4</v>
      </c>
      <c r="C38" s="175" t="s">
        <v>163</v>
      </c>
      <c r="D38" s="21" t="str">
        <f t="shared" si="0"/>
        <v>Indicative tariff</v>
      </c>
      <c r="E38" s="21" t="str">
        <f t="shared" si="0"/>
        <v>Indicative tariff</v>
      </c>
      <c r="F38" s="21" t="str">
        <f t="shared" si="1"/>
        <v>Indicative tariff</v>
      </c>
      <c r="G38" s="21" t="str">
        <f t="shared" si="1"/>
        <v>Indicative tariff</v>
      </c>
      <c r="H38" s="21" t="str">
        <f t="shared" si="1"/>
        <v>Indicative tariff</v>
      </c>
      <c r="I38" s="21" t="str">
        <f>IF($C38="Indicative tariff (NUOS)","Indicative tariff",IF($C38="Indicative tariff (Detail)","Sum",IF($C38="Draft revenue change","NA")))</f>
        <v>Sum</v>
      </c>
      <c r="J38" s="21" t="str">
        <f>IF($C38="Indicative tariff (NUOS)","Zero",IF($C38="Indicative tariff (Detail)","Indicative tariff",IF($C38="Draft revenue change","indicative x-factor")))</f>
        <v>Indicative tariff</v>
      </c>
    </row>
    <row r="39" spans="2:10" ht="14.4" hidden="1" customHeight="1" x14ac:dyDescent="0.3">
      <c r="B39" s="3" t="s">
        <v>3</v>
      </c>
      <c r="C39" s="175" t="s">
        <v>162</v>
      </c>
      <c r="D39" s="21" t="str">
        <f t="shared" si="0"/>
        <v>NA</v>
      </c>
      <c r="E39" s="21" t="str">
        <f t="shared" si="0"/>
        <v>NA</v>
      </c>
      <c r="F39" s="21" t="str">
        <f t="shared" si="1"/>
        <v>NA</v>
      </c>
      <c r="G39" s="21" t="str">
        <f t="shared" si="1"/>
        <v>NA</v>
      </c>
      <c r="H39" s="21" t="str">
        <f t="shared" si="1"/>
        <v>NA</v>
      </c>
      <c r="I39" s="21" t="str">
        <f>IF($C39="Indicative tariff (NUOS)","Indicative tariff",IF($C39="Indicative tariff (Detail)","Sum",IF($C39="Draft revenue change","NA")))</f>
        <v>Indicative tariff</v>
      </c>
      <c r="J39" s="21" t="str">
        <f>IF($C39="Indicative tariff (NUOS)","Zero",IF($C39="Indicative tariff (Detail)","Indicative tariff",IF($C39="Draft revenue change","indicative x-factor")))</f>
        <v>Zero</v>
      </c>
    </row>
    <row r="40" spans="2:10" ht="14.4" hidden="1" customHeight="1" x14ac:dyDescent="0.3">
      <c r="B40" s="3" t="s">
        <v>0</v>
      </c>
      <c r="C40" s="175" t="s">
        <v>163</v>
      </c>
      <c r="D40" s="21" t="str">
        <f>IF($C40="Indicative tariff (NUOS)","NA",IF($C40="Indicative tariff (Detail)","Indicative tariff",IF($C40="Draft revenue change","Draft x-factor")))</f>
        <v>Indicative tariff</v>
      </c>
      <c r="E40" s="21" t="str">
        <f>IF($C40="Indicative tariff (NUOS)","NA",IF($C40="Indicative tariff (Detail)","Indicative tariff",IF($C40="Draft revenue change","Draft x-factor")))</f>
        <v>Indicative tariff</v>
      </c>
      <c r="F40" s="21" t="str">
        <f t="shared" si="1"/>
        <v>Indicative tariff</v>
      </c>
      <c r="G40" s="21" t="str">
        <f t="shared" si="1"/>
        <v>Indicative tariff</v>
      </c>
      <c r="H40" s="21" t="str">
        <f t="shared" si="1"/>
        <v>Indicative tariff</v>
      </c>
      <c r="I40" s="21" t="str">
        <f>IF($C40="Indicative tariff (NUOS)","Indicative tariff",IF($C40="Indicative tariff (Detail)","Sum",IF($C40="Draft revenue change","NA")))</f>
        <v>Sum</v>
      </c>
      <c r="J40" s="21" t="str">
        <f>IF($C40="Indicative tariff (NUOS)","Zero",IF($C40="Indicative tariff (Detail)","Indicative tariff",IF($C40="Draft revenue change","Draft x-factor")))</f>
        <v>Indicative tariff</v>
      </c>
    </row>
    <row r="41" spans="2:10" ht="14.4" hidden="1" customHeight="1" x14ac:dyDescent="0.3">
      <c r="B41" s="3" t="s">
        <v>5</v>
      </c>
      <c r="C41" s="175" t="s">
        <v>163</v>
      </c>
      <c r="D41" s="21" t="str">
        <f>IF($C41="Indicative tariff (NUOS)","NA",IF($C41="Indicative tariff (Detail)","Indicative tariff",IF($C41="Draft revenue change","Draft x-factor")))</f>
        <v>Indicative tariff</v>
      </c>
      <c r="E41" s="21" t="str">
        <f>IF($C41="Indicative tariff (NUOS)","NA",IF($C41="Indicative tariff (Detail)","Indicative tariff",IF($C41="Draft revenue change","Draft x-factor")))</f>
        <v>Indicative tariff</v>
      </c>
      <c r="F41" s="21" t="str">
        <f t="shared" si="1"/>
        <v>Indicative tariff</v>
      </c>
      <c r="G41" s="21" t="str">
        <f t="shared" si="1"/>
        <v>Indicative tariff</v>
      </c>
      <c r="H41" s="21" t="str">
        <f t="shared" si="1"/>
        <v>Indicative tariff</v>
      </c>
      <c r="I41" s="21" t="str">
        <f>IF($C41="Indicative tariff (NUOS)","Indicative tariff",IF($C41="Indicative tariff (Detail)","Sum",IF($C41="Draft revenue change","NA")))</f>
        <v>Sum</v>
      </c>
      <c r="J41" s="21" t="str">
        <f>IF($C41="Indicative tariff (NUOS)","Zero",IF($C41="Indicative tariff (Detail)","Indicative tariff",IF($C41="Draft revenue change","Draft x-factor")))</f>
        <v>Indicative tariff</v>
      </c>
    </row>
    <row r="42" spans="2:10" hidden="1" x14ac:dyDescent="0.3"/>
  </sheetData>
  <sheetProtection algorithmName="SHA-256" hashValue="Eoebz5YLw0uG6AKBUm1REMZyN1oF1XlcmIHY7HKXiao=" saltValue="pPMHJQNhpUzNpH8q1zx9rQ==" spinCount="100000" sheet="1" objects="1" scenarios="1"/>
  <mergeCells count="3">
    <mergeCell ref="D15:E15"/>
    <mergeCell ref="F15:G15"/>
    <mergeCell ref="A1:B1"/>
  </mergeCells>
  <conditionalFormatting sqref="B19:G32">
    <cfRule type="expression" dxfId="3" priority="3">
      <formula>MOD(ROW(),2)=0</formula>
    </cfRule>
  </conditionalFormatting>
  <conditionalFormatting sqref="B37:J41">
    <cfRule type="expression" dxfId="2" priority="1">
      <formula>MOD(ROW(),2)=0</formula>
    </cfRule>
  </conditionalFormatting>
  <dataValidations count="1">
    <dataValidation type="list" allowBlank="1" showInputMessage="1" showErrorMessage="1" sqref="C37:C41">
      <formula1>"Indicative tariff (NUOS),Indicative tariff (Detail),Draft revenue change"</formula1>
    </dataValidation>
  </dataValidations>
  <hyperlinks>
    <hyperlink ref="A1" location="Index!A1" display="&lt;&lt;Back to Index"/>
    <hyperlink ref="D9" r:id="rId1" display="RBA forecast (Avg of YTQ Dec 2020 and Jun 2021)"/>
  </hyperlinks>
  <pageMargins left="0.7" right="0.7" top="0.75" bottom="0.75" header="0.3" footer="0.3"/>
  <pageSetup paperSize="9" orientation="portrait" r:id="rId2"/>
  <ignoredErrors>
    <ignoredError sqref="E16:E17 F17:H17 F16:G16"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381"/>
  <sheetViews>
    <sheetView zoomScaleNormal="100" workbookViewId="0">
      <pane ySplit="3" topLeftCell="A4" activePane="bottomLeft" state="frozen"/>
      <selection activeCell="N39" sqref="N39"/>
      <selection pane="bottomLeft" activeCell="C5" sqref="C5"/>
    </sheetView>
  </sheetViews>
  <sheetFormatPr defaultColWidth="0" defaultRowHeight="14.4" zeroHeight="1" x14ac:dyDescent="0.3"/>
  <cols>
    <col min="1" max="1" width="1.6640625" style="3" customWidth="1"/>
    <col min="2" max="2" width="15.6640625" style="23" customWidth="1"/>
    <col min="3" max="3" width="29.5546875" style="23" bestFit="1" customWidth="1"/>
    <col min="4" max="4" width="13.44140625" style="23" hidden="1" customWidth="1"/>
    <col min="5" max="5" width="17.33203125" style="23" hidden="1" customWidth="1"/>
    <col min="6" max="6" width="13.44140625" style="23" hidden="1" customWidth="1"/>
    <col min="7" max="7" width="10.6640625" style="23" customWidth="1"/>
    <col min="8" max="8" width="16" style="23" bestFit="1" customWidth="1"/>
    <col min="9" max="11" width="10.6640625" style="3" customWidth="1"/>
    <col min="12" max="12" width="7.6640625" style="23" hidden="1" customWidth="1"/>
    <col min="13" max="14" width="8.6640625" style="23" hidden="1" customWidth="1"/>
    <col min="15" max="16" width="25.6640625" style="23" customWidth="1"/>
    <col min="17" max="18" width="11.109375" style="3" hidden="1" customWidth="1"/>
    <col min="19" max="19" width="11.33203125" style="3" hidden="1" customWidth="1"/>
    <col min="20" max="16384" width="8.88671875" style="3" hidden="1"/>
  </cols>
  <sheetData>
    <row r="1" spans="1:16" ht="10.199999999999999" customHeight="1" x14ac:dyDescent="0.3">
      <c r="A1" s="246" t="s">
        <v>22</v>
      </c>
      <c r="B1" s="272"/>
    </row>
    <row r="2" spans="1:16" s="15" customFormat="1" ht="22.5" customHeight="1" x14ac:dyDescent="0.3">
      <c r="A2" s="16" t="s">
        <v>107</v>
      </c>
      <c r="B2" s="24"/>
      <c r="C2" s="24"/>
      <c r="D2" s="30"/>
      <c r="E2" s="24"/>
      <c r="F2" s="24"/>
      <c r="G2" s="24"/>
      <c r="H2" s="24"/>
      <c r="L2" s="24"/>
      <c r="M2" s="24"/>
      <c r="N2" s="24"/>
      <c r="O2" s="24"/>
      <c r="P2" s="24"/>
    </row>
    <row r="3" spans="1:16" s="5" customFormat="1" x14ac:dyDescent="0.3">
      <c r="B3" s="25" t="s">
        <v>1</v>
      </c>
      <c r="C3" s="25" t="s">
        <v>12</v>
      </c>
      <c r="D3" s="25" t="s">
        <v>97</v>
      </c>
      <c r="E3" s="25" t="s">
        <v>98</v>
      </c>
      <c r="F3" s="25" t="s">
        <v>99</v>
      </c>
      <c r="G3" s="25" t="s">
        <v>38</v>
      </c>
      <c r="H3" s="25" t="s">
        <v>73</v>
      </c>
      <c r="I3" s="13" t="str">
        <f>PY</f>
        <v>2019-20</v>
      </c>
      <c r="J3" s="13" t="str">
        <f>FY</f>
        <v>2020-21</v>
      </c>
      <c r="K3" s="13" t="s">
        <v>31</v>
      </c>
      <c r="L3" s="25" t="s">
        <v>59</v>
      </c>
      <c r="M3" s="25" t="s">
        <v>100</v>
      </c>
      <c r="N3" s="25" t="s">
        <v>101</v>
      </c>
      <c r="O3" s="25" t="str">
        <f>"Source for "&amp;PY</f>
        <v>Source for 2019-20</v>
      </c>
      <c r="P3" s="25" t="str">
        <f>"Source for "&amp;FY</f>
        <v>Source for 2020-21</v>
      </c>
    </row>
    <row r="4" spans="1:16" x14ac:dyDescent="0.3">
      <c r="B4" s="26" t="s">
        <v>2</v>
      </c>
      <c r="C4" s="26" t="str">
        <f>IF(D4="","All",D4&amp;" "&amp;E4)</f>
        <v>Residential without CL</v>
      </c>
      <c r="D4" s="26" t="s">
        <v>6</v>
      </c>
      <c r="E4" s="26" t="s">
        <v>158</v>
      </c>
      <c r="F4" s="26" t="s">
        <v>24</v>
      </c>
      <c r="G4" s="26" t="s">
        <v>54</v>
      </c>
      <c r="H4" s="26" t="s">
        <v>48</v>
      </c>
      <c r="I4" s="166">
        <f>37.1024*3.65</f>
        <v>135.42376000000002</v>
      </c>
      <c r="J4" s="166"/>
      <c r="K4" s="14" t="s">
        <v>76</v>
      </c>
      <c r="L4" s="29" t="s">
        <v>58</v>
      </c>
      <c r="M4" s="29" t="s">
        <v>39</v>
      </c>
      <c r="N4" s="29" t="s">
        <v>39</v>
      </c>
      <c r="O4" s="43" t="s">
        <v>63</v>
      </c>
      <c r="P4" s="29" t="s">
        <v>66</v>
      </c>
    </row>
    <row r="5" spans="1:16" x14ac:dyDescent="0.3">
      <c r="B5" s="26" t="s">
        <v>2</v>
      </c>
      <c r="C5" s="26" t="str">
        <f t="shared" ref="C5:C68" si="0">IF(D5="","All",D5&amp;" "&amp;E5)</f>
        <v>Residential without CL</v>
      </c>
      <c r="D5" s="26" t="s">
        <v>6</v>
      </c>
      <c r="E5" s="26" t="s">
        <v>158</v>
      </c>
      <c r="F5" s="26" t="s">
        <v>24</v>
      </c>
      <c r="G5" s="26" t="s">
        <v>54</v>
      </c>
      <c r="H5" s="26" t="s">
        <v>49</v>
      </c>
      <c r="I5" s="166">
        <f>5.0504*10</f>
        <v>50.503999999999998</v>
      </c>
      <c r="J5" s="166"/>
      <c r="K5" s="14" t="s">
        <v>46</v>
      </c>
      <c r="L5" s="29" t="s">
        <v>58</v>
      </c>
      <c r="M5" s="29" t="s">
        <v>39</v>
      </c>
      <c r="N5" s="29" t="s">
        <v>39</v>
      </c>
      <c r="O5" s="43" t="s">
        <v>63</v>
      </c>
      <c r="P5" s="29" t="s">
        <v>66</v>
      </c>
    </row>
    <row r="6" spans="1:16" x14ac:dyDescent="0.3">
      <c r="B6" s="26" t="s">
        <v>2</v>
      </c>
      <c r="C6" s="26" t="str">
        <f t="shared" si="0"/>
        <v>Residential without CL</v>
      </c>
      <c r="D6" s="26" t="s">
        <v>6</v>
      </c>
      <c r="E6" s="26" t="s">
        <v>158</v>
      </c>
      <c r="F6" s="26" t="s">
        <v>24</v>
      </c>
      <c r="G6" s="26" t="s">
        <v>55</v>
      </c>
      <c r="H6" s="26" t="s">
        <v>49</v>
      </c>
      <c r="I6" s="166">
        <f>2.782*10</f>
        <v>27.82</v>
      </c>
      <c r="J6" s="166"/>
      <c r="K6" s="14" t="s">
        <v>46</v>
      </c>
      <c r="L6" s="29" t="s">
        <v>58</v>
      </c>
      <c r="M6" s="29" t="s">
        <v>39</v>
      </c>
      <c r="N6" s="29" t="s">
        <v>39</v>
      </c>
      <c r="O6" s="43" t="s">
        <v>63</v>
      </c>
      <c r="P6" s="29" t="s">
        <v>66</v>
      </c>
    </row>
    <row r="7" spans="1:16" x14ac:dyDescent="0.3">
      <c r="B7" s="26" t="s">
        <v>2</v>
      </c>
      <c r="C7" s="26" t="str">
        <f t="shared" si="0"/>
        <v>Residential without CL</v>
      </c>
      <c r="D7" s="26" t="s">
        <v>6</v>
      </c>
      <c r="E7" s="26" t="s">
        <v>158</v>
      </c>
      <c r="F7" s="26" t="s">
        <v>24</v>
      </c>
      <c r="G7" s="26" t="s">
        <v>56</v>
      </c>
      <c r="H7" s="26" t="s">
        <v>49</v>
      </c>
      <c r="I7" s="166">
        <f>0.3853*10</f>
        <v>3.8529999999999998</v>
      </c>
      <c r="J7" s="166"/>
      <c r="K7" s="14" t="s">
        <v>46</v>
      </c>
      <c r="L7" s="29" t="s">
        <v>58</v>
      </c>
      <c r="M7" s="29" t="s">
        <v>39</v>
      </c>
      <c r="N7" s="29" t="s">
        <v>39</v>
      </c>
      <c r="O7" s="43" t="s">
        <v>63</v>
      </c>
      <c r="P7" s="29" t="s">
        <v>66</v>
      </c>
    </row>
    <row r="8" spans="1:16" x14ac:dyDescent="0.3">
      <c r="B8" s="26" t="s">
        <v>2</v>
      </c>
      <c r="C8" s="26" t="str">
        <f t="shared" si="0"/>
        <v>Residential without CL</v>
      </c>
      <c r="D8" s="26" t="s">
        <v>6</v>
      </c>
      <c r="E8" s="26" t="s">
        <v>158</v>
      </c>
      <c r="F8" s="26" t="s">
        <v>24</v>
      </c>
      <c r="G8" s="26" t="s">
        <v>65</v>
      </c>
      <c r="H8" s="26" t="s">
        <v>48</v>
      </c>
      <c r="I8" s="166"/>
      <c r="J8" s="166">
        <f>38.0021*3.65</f>
        <v>138.70766499999999</v>
      </c>
      <c r="K8" s="14" t="s">
        <v>76</v>
      </c>
      <c r="L8" s="29" t="s">
        <v>58</v>
      </c>
      <c r="M8" s="29" t="s">
        <v>39</v>
      </c>
      <c r="N8" s="29" t="s">
        <v>40</v>
      </c>
      <c r="O8" s="29" t="s">
        <v>66</v>
      </c>
      <c r="P8" s="43" t="s">
        <v>64</v>
      </c>
    </row>
    <row r="9" spans="1:16" x14ac:dyDescent="0.3">
      <c r="B9" s="26" t="s">
        <v>2</v>
      </c>
      <c r="C9" s="26" t="str">
        <f t="shared" si="0"/>
        <v>Residential without CL</v>
      </c>
      <c r="D9" s="26" t="s">
        <v>6</v>
      </c>
      <c r="E9" s="26" t="s">
        <v>158</v>
      </c>
      <c r="F9" s="26" t="s">
        <v>24</v>
      </c>
      <c r="G9" s="26" t="s">
        <v>65</v>
      </c>
      <c r="H9" s="26" t="s">
        <v>49</v>
      </c>
      <c r="I9" s="166"/>
      <c r="J9" s="166">
        <f>8.3538*10</f>
        <v>83.537999999999997</v>
      </c>
      <c r="K9" s="14" t="s">
        <v>46</v>
      </c>
      <c r="L9" s="29" t="s">
        <v>58</v>
      </c>
      <c r="M9" s="29" t="s">
        <v>39</v>
      </c>
      <c r="N9" s="29" t="s">
        <v>40</v>
      </c>
      <c r="O9" s="29" t="s">
        <v>66</v>
      </c>
      <c r="P9" s="43" t="s">
        <v>64</v>
      </c>
    </row>
    <row r="10" spans="1:16" x14ac:dyDescent="0.3">
      <c r="B10" s="26" t="s">
        <v>2</v>
      </c>
      <c r="C10" s="26" t="str">
        <f t="shared" si="0"/>
        <v>Residential with CL</v>
      </c>
      <c r="D10" s="26" t="s">
        <v>6</v>
      </c>
      <c r="E10" s="26" t="s">
        <v>159</v>
      </c>
      <c r="F10" s="26" t="s">
        <v>15</v>
      </c>
      <c r="G10" s="26" t="s">
        <v>54</v>
      </c>
      <c r="H10" s="26" t="s">
        <v>48</v>
      </c>
      <c r="I10" s="166">
        <f>0.1508*3.65</f>
        <v>0.55041999999999991</v>
      </c>
      <c r="J10" s="166"/>
      <c r="K10" s="14" t="s">
        <v>76</v>
      </c>
      <c r="L10" s="29"/>
      <c r="M10" s="29" t="s">
        <v>39</v>
      </c>
      <c r="N10" s="29" t="s">
        <v>39</v>
      </c>
      <c r="O10" s="43" t="s">
        <v>63</v>
      </c>
      <c r="P10" s="29" t="s">
        <v>66</v>
      </c>
    </row>
    <row r="11" spans="1:16" x14ac:dyDescent="0.3">
      <c r="B11" s="26" t="s">
        <v>2</v>
      </c>
      <c r="C11" s="26" t="str">
        <f t="shared" si="0"/>
        <v>Residential with CL</v>
      </c>
      <c r="D11" s="26" t="s">
        <v>6</v>
      </c>
      <c r="E11" s="26" t="s">
        <v>159</v>
      </c>
      <c r="F11" s="26" t="s">
        <v>15</v>
      </c>
      <c r="G11" s="26" t="s">
        <v>55</v>
      </c>
      <c r="H11" s="26" t="s">
        <v>49</v>
      </c>
      <c r="I11" s="166">
        <f>1.4622*10</f>
        <v>14.622</v>
      </c>
      <c r="J11" s="166"/>
      <c r="K11" s="14" t="s">
        <v>46</v>
      </c>
      <c r="L11" s="29"/>
      <c r="M11" s="29" t="s">
        <v>39</v>
      </c>
      <c r="N11" s="29" t="s">
        <v>39</v>
      </c>
      <c r="O11" s="43" t="s">
        <v>63</v>
      </c>
      <c r="P11" s="29" t="s">
        <v>66</v>
      </c>
    </row>
    <row r="12" spans="1:16" x14ac:dyDescent="0.3">
      <c r="B12" s="26" t="s">
        <v>2</v>
      </c>
      <c r="C12" s="26" t="str">
        <f t="shared" si="0"/>
        <v>Residential with CL</v>
      </c>
      <c r="D12" s="26" t="s">
        <v>6</v>
      </c>
      <c r="E12" s="26" t="s">
        <v>159</v>
      </c>
      <c r="F12" s="26" t="s">
        <v>15</v>
      </c>
      <c r="G12" s="26" t="s">
        <v>56</v>
      </c>
      <c r="H12" s="26" t="s">
        <v>49</v>
      </c>
      <c r="I12" s="166">
        <f>0.29*10</f>
        <v>2.9</v>
      </c>
      <c r="J12" s="166"/>
      <c r="K12" s="14" t="s">
        <v>46</v>
      </c>
      <c r="L12" s="29"/>
      <c r="M12" s="29" t="s">
        <v>39</v>
      </c>
      <c r="N12" s="29" t="s">
        <v>39</v>
      </c>
      <c r="O12" s="43" t="s">
        <v>63</v>
      </c>
      <c r="P12" s="29" t="s">
        <v>66</v>
      </c>
    </row>
    <row r="13" spans="1:16" x14ac:dyDescent="0.3">
      <c r="B13" s="26" t="s">
        <v>2</v>
      </c>
      <c r="C13" s="26" t="str">
        <f t="shared" si="0"/>
        <v>Residential with CL</v>
      </c>
      <c r="D13" s="26" t="s">
        <v>6</v>
      </c>
      <c r="E13" s="26" t="s">
        <v>159</v>
      </c>
      <c r="F13" s="26" t="s">
        <v>15</v>
      </c>
      <c r="G13" s="26" t="s">
        <v>65</v>
      </c>
      <c r="H13" s="26" t="s">
        <v>48</v>
      </c>
      <c r="I13" s="166"/>
      <c r="J13" s="166">
        <f>0.1545*3.65</f>
        <v>0.56392500000000001</v>
      </c>
      <c r="K13" s="14" t="s">
        <v>76</v>
      </c>
      <c r="L13" s="29"/>
      <c r="M13" s="29" t="s">
        <v>39</v>
      </c>
      <c r="N13" s="29" t="s">
        <v>40</v>
      </c>
      <c r="O13" s="29" t="s">
        <v>66</v>
      </c>
      <c r="P13" s="43" t="s">
        <v>64</v>
      </c>
    </row>
    <row r="14" spans="1:16" x14ac:dyDescent="0.3">
      <c r="B14" s="26" t="s">
        <v>2</v>
      </c>
      <c r="C14" s="26" t="str">
        <f t="shared" si="0"/>
        <v>Residential with CL</v>
      </c>
      <c r="D14" s="26" t="s">
        <v>6</v>
      </c>
      <c r="E14" s="26" t="s">
        <v>159</v>
      </c>
      <c r="F14" s="26" t="s">
        <v>15</v>
      </c>
      <c r="G14" s="26" t="s">
        <v>65</v>
      </c>
      <c r="H14" s="26" t="s">
        <v>49</v>
      </c>
      <c r="I14" s="166"/>
      <c r="J14" s="166">
        <f>1.8407*10</f>
        <v>18.407</v>
      </c>
      <c r="K14" s="14" t="s">
        <v>46</v>
      </c>
      <c r="L14" s="29"/>
      <c r="M14" s="29" t="s">
        <v>39</v>
      </c>
      <c r="N14" s="29" t="s">
        <v>40</v>
      </c>
      <c r="O14" s="29" t="s">
        <v>66</v>
      </c>
      <c r="P14" s="43" t="s">
        <v>64</v>
      </c>
    </row>
    <row r="15" spans="1:16" x14ac:dyDescent="0.3">
      <c r="B15" s="26" t="s">
        <v>2</v>
      </c>
      <c r="C15" s="26" t="str">
        <f t="shared" si="0"/>
        <v>Residential with CL</v>
      </c>
      <c r="D15" s="26" t="s">
        <v>6</v>
      </c>
      <c r="E15" s="26" t="s">
        <v>159</v>
      </c>
      <c r="F15" s="26" t="s">
        <v>16</v>
      </c>
      <c r="G15" s="26" t="s">
        <v>54</v>
      </c>
      <c r="H15" s="26" t="s">
        <v>48</v>
      </c>
      <c r="I15" s="166">
        <f>11.048*3.65</f>
        <v>40.325200000000002</v>
      </c>
      <c r="J15" s="166"/>
      <c r="K15" s="14" t="s">
        <v>76</v>
      </c>
      <c r="L15" s="29"/>
      <c r="M15" s="29" t="s">
        <v>39</v>
      </c>
      <c r="N15" s="29" t="s">
        <v>39</v>
      </c>
      <c r="O15" s="43" t="s">
        <v>63</v>
      </c>
      <c r="P15" s="29" t="s">
        <v>66</v>
      </c>
    </row>
    <row r="16" spans="1:16" x14ac:dyDescent="0.3">
      <c r="B16" s="26" t="s">
        <v>2</v>
      </c>
      <c r="C16" s="26" t="str">
        <f t="shared" si="0"/>
        <v>Residential with CL</v>
      </c>
      <c r="D16" s="26" t="s">
        <v>6</v>
      </c>
      <c r="E16" s="26" t="s">
        <v>159</v>
      </c>
      <c r="F16" s="26" t="s">
        <v>16</v>
      </c>
      <c r="G16" s="26" t="s">
        <v>55</v>
      </c>
      <c r="H16" s="26" t="s">
        <v>49</v>
      </c>
      <c r="I16" s="166">
        <f>4.3867*10</f>
        <v>43.867000000000004</v>
      </c>
      <c r="J16" s="166"/>
      <c r="K16" s="14" t="s">
        <v>46</v>
      </c>
      <c r="L16" s="29"/>
      <c r="M16" s="29" t="s">
        <v>39</v>
      </c>
      <c r="N16" s="29" t="s">
        <v>39</v>
      </c>
      <c r="O16" s="43" t="s">
        <v>63</v>
      </c>
      <c r="P16" s="29" t="s">
        <v>66</v>
      </c>
    </row>
    <row r="17" spans="2:16" x14ac:dyDescent="0.3">
      <c r="B17" s="26" t="s">
        <v>2</v>
      </c>
      <c r="C17" s="26" t="str">
        <f t="shared" si="0"/>
        <v>Residential with CL</v>
      </c>
      <c r="D17" s="26" t="s">
        <v>6</v>
      </c>
      <c r="E17" s="26" t="s">
        <v>159</v>
      </c>
      <c r="F17" s="26" t="s">
        <v>16</v>
      </c>
      <c r="G17" s="26" t="s">
        <v>56</v>
      </c>
      <c r="H17" s="26" t="s">
        <v>49</v>
      </c>
      <c r="I17" s="166">
        <f>0.24*10</f>
        <v>2.4</v>
      </c>
      <c r="J17" s="166"/>
      <c r="K17" s="14" t="s">
        <v>46</v>
      </c>
      <c r="L17" s="29"/>
      <c r="M17" s="29" t="s">
        <v>39</v>
      </c>
      <c r="N17" s="29" t="s">
        <v>39</v>
      </c>
      <c r="O17" s="43" t="s">
        <v>63</v>
      </c>
      <c r="P17" s="29" t="s">
        <v>66</v>
      </c>
    </row>
    <row r="18" spans="2:16" x14ac:dyDescent="0.3">
      <c r="B18" s="26" t="s">
        <v>2</v>
      </c>
      <c r="C18" s="26" t="str">
        <f t="shared" si="0"/>
        <v>Residential with CL</v>
      </c>
      <c r="D18" s="26" t="s">
        <v>6</v>
      </c>
      <c r="E18" s="26" t="s">
        <v>159</v>
      </c>
      <c r="F18" s="26" t="s">
        <v>16</v>
      </c>
      <c r="G18" s="26" t="s">
        <v>65</v>
      </c>
      <c r="H18" s="26" t="s">
        <v>48</v>
      </c>
      <c r="I18" s="166"/>
      <c r="J18" s="166">
        <f>11.3159*3.65</f>
        <v>41.303034999999994</v>
      </c>
      <c r="K18" s="14" t="s">
        <v>46</v>
      </c>
      <c r="L18" s="29"/>
      <c r="M18" s="29" t="s">
        <v>39</v>
      </c>
      <c r="N18" s="29" t="s">
        <v>40</v>
      </c>
      <c r="O18" s="29" t="s">
        <v>66</v>
      </c>
      <c r="P18" s="43" t="s">
        <v>64</v>
      </c>
    </row>
    <row r="19" spans="2:16" x14ac:dyDescent="0.3">
      <c r="B19" s="26" t="s">
        <v>2</v>
      </c>
      <c r="C19" s="26" t="str">
        <f t="shared" si="0"/>
        <v>Residential with CL</v>
      </c>
      <c r="D19" s="26" t="s">
        <v>6</v>
      </c>
      <c r="E19" s="26" t="s">
        <v>159</v>
      </c>
      <c r="F19" s="26" t="s">
        <v>16</v>
      </c>
      <c r="G19" s="26" t="s">
        <v>65</v>
      </c>
      <c r="H19" s="26" t="s">
        <v>49</v>
      </c>
      <c r="I19" s="166"/>
      <c r="J19" s="166">
        <f>4.7652*10</f>
        <v>47.652000000000001</v>
      </c>
      <c r="K19" s="14" t="s">
        <v>46</v>
      </c>
      <c r="L19" s="29"/>
      <c r="M19" s="29" t="s">
        <v>39</v>
      </c>
      <c r="N19" s="29" t="s">
        <v>40</v>
      </c>
      <c r="O19" s="29" t="s">
        <v>66</v>
      </c>
      <c r="P19" s="43" t="s">
        <v>64</v>
      </c>
    </row>
    <row r="20" spans="2:16" x14ac:dyDescent="0.3">
      <c r="B20" s="26" t="s">
        <v>2</v>
      </c>
      <c r="C20" s="26" t="str">
        <f t="shared" si="0"/>
        <v>Residential without CL</v>
      </c>
      <c r="D20" s="26" t="s">
        <v>6</v>
      </c>
      <c r="E20" s="26" t="s">
        <v>158</v>
      </c>
      <c r="F20" s="26" t="s">
        <v>24</v>
      </c>
      <c r="G20" s="26" t="s">
        <v>67</v>
      </c>
      <c r="H20" s="26" t="s">
        <v>48</v>
      </c>
      <c r="I20" s="166">
        <f>15.62+10.89</f>
        <v>26.509999999999998</v>
      </c>
      <c r="J20" s="166">
        <f>15.62+10.89</f>
        <v>26.509999999999998</v>
      </c>
      <c r="K20" s="14" t="s">
        <v>76</v>
      </c>
      <c r="L20" s="29" t="s">
        <v>58</v>
      </c>
      <c r="M20" s="29" t="s">
        <v>39</v>
      </c>
      <c r="N20" s="29" t="s">
        <v>39</v>
      </c>
      <c r="O20" s="43" t="s">
        <v>63</v>
      </c>
      <c r="P20" s="29" t="s">
        <v>35</v>
      </c>
    </row>
    <row r="21" spans="2:16" x14ac:dyDescent="0.3">
      <c r="B21" s="26" t="s">
        <v>2</v>
      </c>
      <c r="C21" s="26" t="str">
        <f t="shared" si="0"/>
        <v>Residential with CL</v>
      </c>
      <c r="D21" s="26" t="s">
        <v>6</v>
      </c>
      <c r="E21" s="26" t="s">
        <v>159</v>
      </c>
      <c r="F21" s="26" t="s">
        <v>15</v>
      </c>
      <c r="G21" s="26" t="s">
        <v>67</v>
      </c>
      <c r="H21" s="26" t="s">
        <v>48</v>
      </c>
      <c r="I21" s="166">
        <f>8.67+0.92</f>
        <v>9.59</v>
      </c>
      <c r="J21" s="166">
        <f>8.67+0.92</f>
        <v>9.59</v>
      </c>
      <c r="K21" s="14" t="s">
        <v>76</v>
      </c>
      <c r="L21" s="29"/>
      <c r="M21" s="29" t="s">
        <v>39</v>
      </c>
      <c r="N21" s="29" t="s">
        <v>39</v>
      </c>
      <c r="O21" s="43" t="s">
        <v>63</v>
      </c>
      <c r="P21" s="29" t="s">
        <v>35</v>
      </c>
    </row>
    <row r="22" spans="2:16" x14ac:dyDescent="0.3">
      <c r="B22" s="26" t="s">
        <v>2</v>
      </c>
      <c r="C22" s="26" t="str">
        <f t="shared" si="0"/>
        <v>Residential with CL</v>
      </c>
      <c r="D22" s="26" t="s">
        <v>6</v>
      </c>
      <c r="E22" s="26" t="s">
        <v>159</v>
      </c>
      <c r="F22" s="26" t="s">
        <v>16</v>
      </c>
      <c r="G22" s="26" t="s">
        <v>67</v>
      </c>
      <c r="H22" s="26" t="s">
        <v>48</v>
      </c>
      <c r="I22" s="166">
        <f>8.67+0.92</f>
        <v>9.59</v>
      </c>
      <c r="J22" s="166">
        <f>8.67+0.92</f>
        <v>9.59</v>
      </c>
      <c r="K22" s="14" t="s">
        <v>76</v>
      </c>
      <c r="L22" s="29"/>
      <c r="M22" s="29" t="s">
        <v>39</v>
      </c>
      <c r="N22" s="29" t="s">
        <v>39</v>
      </c>
      <c r="O22" s="43" t="s">
        <v>63</v>
      </c>
      <c r="P22" s="29" t="s">
        <v>35</v>
      </c>
    </row>
    <row r="23" spans="2:16" x14ac:dyDescent="0.3">
      <c r="B23" s="26" t="s">
        <v>2</v>
      </c>
      <c r="C23" s="26" t="str">
        <f t="shared" si="0"/>
        <v>Small business without CL</v>
      </c>
      <c r="D23" s="26" t="s">
        <v>14</v>
      </c>
      <c r="E23" s="26" t="s">
        <v>158</v>
      </c>
      <c r="F23" s="26" t="s">
        <v>24</v>
      </c>
      <c r="G23" s="26" t="s">
        <v>54</v>
      </c>
      <c r="H23" s="26" t="s">
        <v>48</v>
      </c>
      <c r="I23" s="166">
        <f>123.611*3.65</f>
        <v>451.18015000000003</v>
      </c>
      <c r="J23" s="166"/>
      <c r="K23" s="14" t="s">
        <v>76</v>
      </c>
      <c r="L23" s="29"/>
      <c r="M23" s="29" t="s">
        <v>39</v>
      </c>
      <c r="N23" s="29" t="s">
        <v>39</v>
      </c>
      <c r="O23" s="43" t="s">
        <v>63</v>
      </c>
      <c r="P23" s="29" t="s">
        <v>66</v>
      </c>
    </row>
    <row r="24" spans="2:16" x14ac:dyDescent="0.3">
      <c r="B24" s="26" t="s">
        <v>2</v>
      </c>
      <c r="C24" s="26" t="str">
        <f t="shared" si="0"/>
        <v>Small business without CL</v>
      </c>
      <c r="D24" s="26" t="s">
        <v>14</v>
      </c>
      <c r="E24" s="26" t="s">
        <v>158</v>
      </c>
      <c r="F24" s="26" t="s">
        <v>24</v>
      </c>
      <c r="G24" s="26" t="s">
        <v>54</v>
      </c>
      <c r="H24" s="26" t="s">
        <v>49</v>
      </c>
      <c r="I24" s="166">
        <f>4.4909*10</f>
        <v>44.908999999999999</v>
      </c>
      <c r="J24" s="166"/>
      <c r="K24" s="14" t="s">
        <v>46</v>
      </c>
      <c r="L24" s="29"/>
      <c r="M24" s="29" t="s">
        <v>39</v>
      </c>
      <c r="N24" s="29" t="s">
        <v>39</v>
      </c>
      <c r="O24" s="43" t="s">
        <v>63</v>
      </c>
      <c r="P24" s="29" t="s">
        <v>66</v>
      </c>
    </row>
    <row r="25" spans="2:16" x14ac:dyDescent="0.3">
      <c r="B25" s="26" t="s">
        <v>2</v>
      </c>
      <c r="C25" s="26" t="str">
        <f t="shared" si="0"/>
        <v>Small business without CL</v>
      </c>
      <c r="D25" s="26" t="s">
        <v>14</v>
      </c>
      <c r="E25" s="26" t="s">
        <v>158</v>
      </c>
      <c r="F25" s="26" t="s">
        <v>24</v>
      </c>
      <c r="G25" s="26" t="s">
        <v>55</v>
      </c>
      <c r="H25" s="26" t="s">
        <v>49</v>
      </c>
      <c r="I25" s="166">
        <f>2.8876*10</f>
        <v>28.875999999999998</v>
      </c>
      <c r="J25" s="166"/>
      <c r="K25" s="14" t="s">
        <v>46</v>
      </c>
      <c r="L25" s="29"/>
      <c r="M25" s="29" t="s">
        <v>39</v>
      </c>
      <c r="N25" s="29" t="s">
        <v>39</v>
      </c>
      <c r="O25" s="43" t="s">
        <v>63</v>
      </c>
      <c r="P25" s="29" t="s">
        <v>66</v>
      </c>
    </row>
    <row r="26" spans="2:16" x14ac:dyDescent="0.3">
      <c r="B26" s="26" t="s">
        <v>2</v>
      </c>
      <c r="C26" s="26" t="str">
        <f t="shared" si="0"/>
        <v>Small business without CL</v>
      </c>
      <c r="D26" s="26" t="s">
        <v>14</v>
      </c>
      <c r="E26" s="26" t="s">
        <v>158</v>
      </c>
      <c r="F26" s="26" t="s">
        <v>24</v>
      </c>
      <c r="G26" s="26" t="s">
        <v>56</v>
      </c>
      <c r="H26" s="26" t="s">
        <v>49</v>
      </c>
      <c r="I26" s="166">
        <f>0.5297*10</f>
        <v>5.2969999999999997</v>
      </c>
      <c r="J26" s="166"/>
      <c r="K26" s="14" t="s">
        <v>46</v>
      </c>
      <c r="L26" s="29"/>
      <c r="M26" s="29" t="s">
        <v>39</v>
      </c>
      <c r="N26" s="29" t="s">
        <v>39</v>
      </c>
      <c r="O26" s="43" t="s">
        <v>63</v>
      </c>
      <c r="P26" s="29" t="s">
        <v>66</v>
      </c>
    </row>
    <row r="27" spans="2:16" x14ac:dyDescent="0.3">
      <c r="B27" s="26" t="s">
        <v>2</v>
      </c>
      <c r="C27" s="26" t="str">
        <f t="shared" si="0"/>
        <v>Small business without CL</v>
      </c>
      <c r="D27" s="26" t="s">
        <v>14</v>
      </c>
      <c r="E27" s="26" t="s">
        <v>158</v>
      </c>
      <c r="F27" s="26" t="s">
        <v>24</v>
      </c>
      <c r="G27" s="26" t="s">
        <v>65</v>
      </c>
      <c r="H27" s="26" t="s">
        <v>48</v>
      </c>
      <c r="I27" s="166"/>
      <c r="J27" s="166">
        <f>124.8471*3.65</f>
        <v>455.69191499999999</v>
      </c>
      <c r="K27" s="14" t="s">
        <v>76</v>
      </c>
      <c r="L27" s="29"/>
      <c r="M27" s="29" t="s">
        <v>39</v>
      </c>
      <c r="N27" s="29" t="s">
        <v>40</v>
      </c>
      <c r="O27" s="29" t="s">
        <v>66</v>
      </c>
      <c r="P27" s="43" t="s">
        <v>64</v>
      </c>
    </row>
    <row r="28" spans="2:16" x14ac:dyDescent="0.3">
      <c r="B28" s="26" t="s">
        <v>2</v>
      </c>
      <c r="C28" s="26" t="str">
        <f t="shared" si="0"/>
        <v>Small business without CL</v>
      </c>
      <c r="D28" s="26" t="s">
        <v>14</v>
      </c>
      <c r="E28" s="26" t="s">
        <v>158</v>
      </c>
      <c r="F28" s="26" t="s">
        <v>24</v>
      </c>
      <c r="G28" s="26" t="s">
        <v>65</v>
      </c>
      <c r="H28" s="26" t="s">
        <v>49</v>
      </c>
      <c r="I28" s="166"/>
      <c r="J28" s="166">
        <f>7.5991*10</f>
        <v>75.991</v>
      </c>
      <c r="K28" s="14" t="s">
        <v>46</v>
      </c>
      <c r="L28" s="29"/>
      <c r="M28" s="29" t="s">
        <v>39</v>
      </c>
      <c r="N28" s="29" t="s">
        <v>40</v>
      </c>
      <c r="O28" s="29" t="s">
        <v>66</v>
      </c>
      <c r="P28" s="43" t="s">
        <v>64</v>
      </c>
    </row>
    <row r="29" spans="2:16" x14ac:dyDescent="0.3">
      <c r="B29" s="26" t="s">
        <v>2</v>
      </c>
      <c r="C29" s="26" t="str">
        <f t="shared" si="0"/>
        <v>Small business without CL</v>
      </c>
      <c r="D29" s="26" t="s">
        <v>14</v>
      </c>
      <c r="E29" s="26" t="s">
        <v>158</v>
      </c>
      <c r="F29" s="26" t="s">
        <v>24</v>
      </c>
      <c r="G29" s="26" t="s">
        <v>67</v>
      </c>
      <c r="H29" s="26" t="s">
        <v>48</v>
      </c>
      <c r="I29" s="166">
        <f>23.88+11.24</f>
        <v>35.119999999999997</v>
      </c>
      <c r="J29" s="166">
        <f>23.88+11.24</f>
        <v>35.119999999999997</v>
      </c>
      <c r="K29" s="14" t="s">
        <v>76</v>
      </c>
      <c r="L29" s="29"/>
      <c r="M29" s="29" t="s">
        <v>39</v>
      </c>
      <c r="N29" s="29" t="s">
        <v>39</v>
      </c>
      <c r="O29" s="43" t="s">
        <v>63</v>
      </c>
      <c r="P29" s="29" t="s">
        <v>35</v>
      </c>
    </row>
    <row r="30" spans="2:16" hidden="1" x14ac:dyDescent="0.3">
      <c r="B30" s="26" t="s">
        <v>2</v>
      </c>
      <c r="C30" s="26" t="str">
        <f t="shared" si="0"/>
        <v>All</v>
      </c>
      <c r="D30" s="26"/>
      <c r="E30" s="26"/>
      <c r="F30" s="26"/>
      <c r="G30" s="26" t="s">
        <v>54</v>
      </c>
      <c r="H30" s="26" t="s">
        <v>157</v>
      </c>
      <c r="I30" s="166"/>
      <c r="J30" s="167">
        <v>0</v>
      </c>
      <c r="K30" s="14" t="s">
        <v>33</v>
      </c>
      <c r="L30" s="29"/>
      <c r="M30" s="29" t="s">
        <v>40</v>
      </c>
      <c r="N30" s="29" t="s">
        <v>40</v>
      </c>
      <c r="O30" s="29" t="s">
        <v>66</v>
      </c>
      <c r="P30" s="29" t="s">
        <v>66</v>
      </c>
    </row>
    <row r="31" spans="2:16" hidden="1" x14ac:dyDescent="0.3">
      <c r="B31" s="26" t="s">
        <v>2</v>
      </c>
      <c r="C31" s="26" t="str">
        <f t="shared" si="0"/>
        <v>All</v>
      </c>
      <c r="D31" s="26"/>
      <c r="E31" s="26"/>
      <c r="F31" s="26"/>
      <c r="G31" s="26" t="s">
        <v>55</v>
      </c>
      <c r="H31" s="26" t="s">
        <v>157</v>
      </c>
      <c r="I31" s="166"/>
      <c r="J31" s="167">
        <v>0</v>
      </c>
      <c r="K31" s="14" t="s">
        <v>33</v>
      </c>
      <c r="L31" s="29"/>
      <c r="M31" s="29" t="s">
        <v>40</v>
      </c>
      <c r="N31" s="29" t="s">
        <v>40</v>
      </c>
      <c r="O31" s="29" t="s">
        <v>66</v>
      </c>
      <c r="P31" s="29" t="s">
        <v>66</v>
      </c>
    </row>
    <row r="32" spans="2:16" hidden="1" x14ac:dyDescent="0.3">
      <c r="B32" s="26" t="s">
        <v>2</v>
      </c>
      <c r="C32" s="26" t="str">
        <f t="shared" si="0"/>
        <v>All</v>
      </c>
      <c r="D32" s="26"/>
      <c r="E32" s="26"/>
      <c r="F32" s="26"/>
      <c r="G32" s="26" t="s">
        <v>67</v>
      </c>
      <c r="H32" s="26" t="s">
        <v>157</v>
      </c>
      <c r="I32" s="166"/>
      <c r="J32" s="167">
        <v>0</v>
      </c>
      <c r="K32" s="14" t="s">
        <v>33</v>
      </c>
      <c r="L32" s="29"/>
      <c r="M32" s="29" t="s">
        <v>40</v>
      </c>
      <c r="N32" s="29" t="s">
        <v>40</v>
      </c>
      <c r="O32" s="29" t="s">
        <v>66</v>
      </c>
      <c r="P32" s="29" t="s">
        <v>66</v>
      </c>
    </row>
    <row r="33" spans="2:16" x14ac:dyDescent="0.3">
      <c r="B33" s="26" t="s">
        <v>4</v>
      </c>
      <c r="C33" s="26" t="str">
        <f t="shared" si="0"/>
        <v>Residential without CL</v>
      </c>
      <c r="D33" s="26" t="s">
        <v>6</v>
      </c>
      <c r="E33" s="26" t="s">
        <v>158</v>
      </c>
      <c r="F33" s="26" t="s">
        <v>24</v>
      </c>
      <c r="G33" s="26" t="s">
        <v>54</v>
      </c>
      <c r="H33" s="26" t="s">
        <v>48</v>
      </c>
      <c r="I33" s="166">
        <f>36.81*3.65</f>
        <v>134.35650000000001</v>
      </c>
      <c r="J33" s="166">
        <f>38.75*3.65</f>
        <v>141.4375</v>
      </c>
      <c r="K33" s="14" t="s">
        <v>76</v>
      </c>
      <c r="L33" s="29" t="s">
        <v>60</v>
      </c>
      <c r="M33" s="29" t="s">
        <v>39</v>
      </c>
      <c r="N33" s="29" t="s">
        <v>39</v>
      </c>
      <c r="O33" s="43" t="s">
        <v>63</v>
      </c>
      <c r="P33" s="43" t="s">
        <v>64</v>
      </c>
    </row>
    <row r="34" spans="2:16" x14ac:dyDescent="0.3">
      <c r="B34" s="26" t="s">
        <v>4</v>
      </c>
      <c r="C34" s="26" t="str">
        <f t="shared" si="0"/>
        <v>Residential without CL</v>
      </c>
      <c r="D34" s="26" t="s">
        <v>6</v>
      </c>
      <c r="E34" s="26" t="s">
        <v>158</v>
      </c>
      <c r="F34" s="26" t="s">
        <v>24</v>
      </c>
      <c r="G34" s="26" t="s">
        <v>54</v>
      </c>
      <c r="H34" s="26" t="s">
        <v>49</v>
      </c>
      <c r="I34" s="166">
        <f>6.9135*10</f>
        <v>69.135000000000005</v>
      </c>
      <c r="J34" s="166">
        <f>6.4766*10</f>
        <v>64.766000000000005</v>
      </c>
      <c r="K34" s="14" t="s">
        <v>46</v>
      </c>
      <c r="L34" s="29" t="s">
        <v>60</v>
      </c>
      <c r="M34" s="29" t="s">
        <v>39</v>
      </c>
      <c r="N34" s="29" t="s">
        <v>39</v>
      </c>
      <c r="O34" s="43" t="s">
        <v>63</v>
      </c>
      <c r="P34" s="43" t="s">
        <v>64</v>
      </c>
    </row>
    <row r="35" spans="2:16" x14ac:dyDescent="0.3">
      <c r="B35" s="26" t="s">
        <v>4</v>
      </c>
      <c r="C35" s="26" t="str">
        <f t="shared" si="0"/>
        <v>Residential without CL</v>
      </c>
      <c r="D35" s="26" t="s">
        <v>6</v>
      </c>
      <c r="E35" s="26" t="s">
        <v>158</v>
      </c>
      <c r="F35" s="26" t="s">
        <v>24</v>
      </c>
      <c r="G35" s="26" t="s">
        <v>54</v>
      </c>
      <c r="H35" s="26" t="s">
        <v>49</v>
      </c>
      <c r="I35" s="166">
        <f>6.9135*10</f>
        <v>69.135000000000005</v>
      </c>
      <c r="J35" s="166">
        <f>6.4766*10</f>
        <v>64.766000000000005</v>
      </c>
      <c r="K35" s="14" t="s">
        <v>46</v>
      </c>
      <c r="L35" s="29" t="s">
        <v>61</v>
      </c>
      <c r="M35" s="29" t="s">
        <v>39</v>
      </c>
      <c r="N35" s="29" t="s">
        <v>39</v>
      </c>
      <c r="O35" s="43" t="s">
        <v>63</v>
      </c>
      <c r="P35" s="43" t="s">
        <v>64</v>
      </c>
    </row>
    <row r="36" spans="2:16" x14ac:dyDescent="0.3">
      <c r="B36" s="26" t="s">
        <v>4</v>
      </c>
      <c r="C36" s="26" t="str">
        <f t="shared" si="0"/>
        <v>Residential without CL</v>
      </c>
      <c r="D36" s="26" t="s">
        <v>6</v>
      </c>
      <c r="E36" s="26" t="s">
        <v>158</v>
      </c>
      <c r="F36" s="26" t="s">
        <v>24</v>
      </c>
      <c r="G36" s="26" t="s">
        <v>55</v>
      </c>
      <c r="H36" s="26" t="s">
        <v>49</v>
      </c>
      <c r="I36" s="166">
        <f>1.098*10</f>
        <v>10.98</v>
      </c>
      <c r="J36" s="166">
        <f>1.1509*10</f>
        <v>11.509</v>
      </c>
      <c r="K36" s="14" t="s">
        <v>46</v>
      </c>
      <c r="L36" s="29" t="s">
        <v>58</v>
      </c>
      <c r="M36" s="29" t="s">
        <v>39</v>
      </c>
      <c r="N36" s="29" t="s">
        <v>39</v>
      </c>
      <c r="O36" s="43" t="s">
        <v>63</v>
      </c>
      <c r="P36" s="43" t="s">
        <v>64</v>
      </c>
    </row>
    <row r="37" spans="2:16" x14ac:dyDescent="0.3">
      <c r="B37" s="26" t="s">
        <v>4</v>
      </c>
      <c r="C37" s="26" t="str">
        <f t="shared" si="0"/>
        <v>Residential without CL</v>
      </c>
      <c r="D37" s="26" t="s">
        <v>6</v>
      </c>
      <c r="E37" s="26" t="s">
        <v>158</v>
      </c>
      <c r="F37" s="26" t="s">
        <v>24</v>
      </c>
      <c r="G37" s="26" t="s">
        <v>56</v>
      </c>
      <c r="H37" s="26" t="s">
        <v>49</v>
      </c>
      <c r="I37" s="166">
        <f>0.4129*10</f>
        <v>4.1289999999999996</v>
      </c>
      <c r="J37" s="166">
        <f>0.4291*10</f>
        <v>4.2909999999999995</v>
      </c>
      <c r="K37" s="14" t="s">
        <v>46</v>
      </c>
      <c r="L37" s="29" t="s">
        <v>58</v>
      </c>
      <c r="M37" s="29" t="s">
        <v>39</v>
      </c>
      <c r="N37" s="29" t="s">
        <v>39</v>
      </c>
      <c r="O37" s="43" t="s">
        <v>63</v>
      </c>
      <c r="P37" s="43" t="s">
        <v>64</v>
      </c>
    </row>
    <row r="38" spans="2:16" x14ac:dyDescent="0.3">
      <c r="B38" s="26" t="s">
        <v>4</v>
      </c>
      <c r="C38" s="26" t="str">
        <f t="shared" si="0"/>
        <v>Residential with CL</v>
      </c>
      <c r="D38" s="26" t="s">
        <v>6</v>
      </c>
      <c r="E38" s="26" t="s">
        <v>159</v>
      </c>
      <c r="F38" s="26" t="s">
        <v>15</v>
      </c>
      <c r="G38" s="26" t="s">
        <v>54</v>
      </c>
      <c r="H38" s="26" t="s">
        <v>48</v>
      </c>
      <c r="I38" s="166">
        <f>3.24*3.65</f>
        <v>11.826000000000001</v>
      </c>
      <c r="J38" s="166">
        <f>3.73*3.65</f>
        <v>13.6145</v>
      </c>
      <c r="K38" s="14" t="s">
        <v>76</v>
      </c>
      <c r="L38" s="29"/>
      <c r="M38" s="29" t="s">
        <v>39</v>
      </c>
      <c r="N38" s="29" t="s">
        <v>39</v>
      </c>
      <c r="O38" s="43" t="s">
        <v>63</v>
      </c>
      <c r="P38" s="43" t="s">
        <v>64</v>
      </c>
    </row>
    <row r="39" spans="2:16" x14ac:dyDescent="0.3">
      <c r="B39" s="26" t="s">
        <v>4</v>
      </c>
      <c r="C39" s="26" t="str">
        <f t="shared" si="0"/>
        <v>Residential with CL</v>
      </c>
      <c r="D39" s="26" t="s">
        <v>6</v>
      </c>
      <c r="E39" s="26" t="s">
        <v>159</v>
      </c>
      <c r="F39" s="26" t="s">
        <v>15</v>
      </c>
      <c r="G39" s="26" t="s">
        <v>54</v>
      </c>
      <c r="H39" s="26" t="s">
        <v>49</v>
      </c>
      <c r="I39" s="166">
        <f>0.8472*10</f>
        <v>8.4719999999999995</v>
      </c>
      <c r="J39" s="166">
        <f>1.0166*10</f>
        <v>10.166</v>
      </c>
      <c r="K39" s="14" t="s">
        <v>46</v>
      </c>
      <c r="L39" s="29"/>
      <c r="M39" s="29" t="s">
        <v>39</v>
      </c>
      <c r="N39" s="29" t="s">
        <v>39</v>
      </c>
      <c r="O39" s="43" t="s">
        <v>63</v>
      </c>
      <c r="P39" s="43" t="s">
        <v>64</v>
      </c>
    </row>
    <row r="40" spans="2:16" x14ac:dyDescent="0.3">
      <c r="B40" s="26" t="s">
        <v>4</v>
      </c>
      <c r="C40" s="26" t="str">
        <f t="shared" si="0"/>
        <v>Residential with CL</v>
      </c>
      <c r="D40" s="26" t="s">
        <v>6</v>
      </c>
      <c r="E40" s="26" t="s">
        <v>159</v>
      </c>
      <c r="F40" s="26" t="s">
        <v>15</v>
      </c>
      <c r="G40" s="26" t="s">
        <v>55</v>
      </c>
      <c r="H40" s="26" t="s">
        <v>49</v>
      </c>
      <c r="I40" s="166">
        <f>0.4771*10</f>
        <v>4.7709999999999999</v>
      </c>
      <c r="J40" s="166">
        <f>0.5002*10</f>
        <v>5.0019999999999998</v>
      </c>
      <c r="K40" s="14" t="s">
        <v>46</v>
      </c>
      <c r="L40" s="29"/>
      <c r="M40" s="29" t="s">
        <v>39</v>
      </c>
      <c r="N40" s="29" t="s">
        <v>39</v>
      </c>
      <c r="O40" s="43" t="s">
        <v>63</v>
      </c>
      <c r="P40" s="43" t="s">
        <v>64</v>
      </c>
    </row>
    <row r="41" spans="2:16" x14ac:dyDescent="0.3">
      <c r="B41" s="26" t="s">
        <v>4</v>
      </c>
      <c r="C41" s="26" t="str">
        <f t="shared" si="0"/>
        <v>Residential with CL</v>
      </c>
      <c r="D41" s="26" t="s">
        <v>6</v>
      </c>
      <c r="E41" s="26" t="s">
        <v>159</v>
      </c>
      <c r="F41" s="26" t="s">
        <v>15</v>
      </c>
      <c r="G41" s="26" t="s">
        <v>56</v>
      </c>
      <c r="H41" s="26" t="s">
        <v>49</v>
      </c>
      <c r="I41" s="166">
        <f>0*10</f>
        <v>0</v>
      </c>
      <c r="J41" s="166">
        <f>0*10</f>
        <v>0</v>
      </c>
      <c r="K41" s="14" t="s">
        <v>46</v>
      </c>
      <c r="L41" s="29"/>
      <c r="M41" s="29" t="s">
        <v>39</v>
      </c>
      <c r="N41" s="29" t="s">
        <v>39</v>
      </c>
      <c r="O41" s="43" t="s">
        <v>63</v>
      </c>
      <c r="P41" s="43" t="s">
        <v>64</v>
      </c>
    </row>
    <row r="42" spans="2:16" x14ac:dyDescent="0.3">
      <c r="B42" s="26" t="s">
        <v>4</v>
      </c>
      <c r="C42" s="26" t="str">
        <f t="shared" si="0"/>
        <v>Residential with CL</v>
      </c>
      <c r="D42" s="26" t="s">
        <v>6</v>
      </c>
      <c r="E42" s="26" t="s">
        <v>159</v>
      </c>
      <c r="F42" s="26" t="s">
        <v>16</v>
      </c>
      <c r="G42" s="26" t="s">
        <v>54</v>
      </c>
      <c r="H42" s="26" t="s">
        <v>48</v>
      </c>
      <c r="I42" s="166">
        <f>3.24*3.65</f>
        <v>11.826000000000001</v>
      </c>
      <c r="J42" s="166">
        <f>3.73*3.65</f>
        <v>13.6145</v>
      </c>
      <c r="K42" s="14" t="s">
        <v>76</v>
      </c>
      <c r="L42" s="29"/>
      <c r="M42" s="29" t="s">
        <v>39</v>
      </c>
      <c r="N42" s="29" t="s">
        <v>39</v>
      </c>
      <c r="O42" s="43" t="s">
        <v>63</v>
      </c>
      <c r="P42" s="43" t="s">
        <v>64</v>
      </c>
    </row>
    <row r="43" spans="2:16" x14ac:dyDescent="0.3">
      <c r="B43" s="26" t="s">
        <v>4</v>
      </c>
      <c r="C43" s="26" t="str">
        <f t="shared" si="0"/>
        <v>Residential with CL</v>
      </c>
      <c r="D43" s="26" t="s">
        <v>6</v>
      </c>
      <c r="E43" s="26" t="s">
        <v>159</v>
      </c>
      <c r="F43" s="26" t="s">
        <v>16</v>
      </c>
      <c r="G43" s="26" t="s">
        <v>54</v>
      </c>
      <c r="H43" s="26" t="s">
        <v>49</v>
      </c>
      <c r="I43" s="166">
        <f>2.5223*10</f>
        <v>25.222999999999999</v>
      </c>
      <c r="J43" s="166">
        <f>2.7745*10</f>
        <v>27.745000000000001</v>
      </c>
      <c r="K43" s="14" t="s">
        <v>46</v>
      </c>
      <c r="L43" s="29"/>
      <c r="M43" s="29" t="s">
        <v>39</v>
      </c>
      <c r="N43" s="29" t="s">
        <v>39</v>
      </c>
      <c r="O43" s="43" t="s">
        <v>63</v>
      </c>
      <c r="P43" s="43" t="s">
        <v>64</v>
      </c>
    </row>
    <row r="44" spans="2:16" x14ac:dyDescent="0.3">
      <c r="B44" s="26" t="s">
        <v>4</v>
      </c>
      <c r="C44" s="26" t="str">
        <f t="shared" si="0"/>
        <v>Residential with CL</v>
      </c>
      <c r="D44" s="26" t="s">
        <v>6</v>
      </c>
      <c r="E44" s="26" t="s">
        <v>159</v>
      </c>
      <c r="F44" s="26" t="s">
        <v>16</v>
      </c>
      <c r="G44" s="26" t="s">
        <v>55</v>
      </c>
      <c r="H44" s="26" t="s">
        <v>49</v>
      </c>
      <c r="I44" s="166">
        <f>0.8348*10</f>
        <v>8.347999999999999</v>
      </c>
      <c r="J44" s="166">
        <f>0.8752*10</f>
        <v>8.7519999999999989</v>
      </c>
      <c r="K44" s="14" t="s">
        <v>46</v>
      </c>
      <c r="L44" s="29"/>
      <c r="M44" s="29" t="s">
        <v>39</v>
      </c>
      <c r="N44" s="29" t="s">
        <v>39</v>
      </c>
      <c r="O44" s="43" t="s">
        <v>63</v>
      </c>
      <c r="P44" s="43" t="s">
        <v>64</v>
      </c>
    </row>
    <row r="45" spans="2:16" x14ac:dyDescent="0.3">
      <c r="B45" s="26" t="s">
        <v>4</v>
      </c>
      <c r="C45" s="26" t="str">
        <f t="shared" si="0"/>
        <v>Residential with CL</v>
      </c>
      <c r="D45" s="26" t="s">
        <v>6</v>
      </c>
      <c r="E45" s="26" t="s">
        <v>159</v>
      </c>
      <c r="F45" s="26" t="s">
        <v>16</v>
      </c>
      <c r="G45" s="26" t="s">
        <v>56</v>
      </c>
      <c r="H45" s="26" t="s">
        <v>49</v>
      </c>
      <c r="I45" s="166">
        <f>0*10</f>
        <v>0</v>
      </c>
      <c r="J45" s="166">
        <f>0*10</f>
        <v>0</v>
      </c>
      <c r="K45" s="14" t="s">
        <v>46</v>
      </c>
      <c r="L45" s="29"/>
      <c r="M45" s="29" t="s">
        <v>39</v>
      </c>
      <c r="N45" s="29" t="s">
        <v>39</v>
      </c>
      <c r="O45" s="43" t="s">
        <v>63</v>
      </c>
      <c r="P45" s="43" t="s">
        <v>64</v>
      </c>
    </row>
    <row r="46" spans="2:16" x14ac:dyDescent="0.3">
      <c r="B46" s="26" t="s">
        <v>4</v>
      </c>
      <c r="C46" s="26" t="str">
        <f t="shared" si="0"/>
        <v>Residential without CL</v>
      </c>
      <c r="D46" s="26" t="s">
        <v>6</v>
      </c>
      <c r="E46" s="26" t="s">
        <v>158</v>
      </c>
      <c r="F46" s="26" t="s">
        <v>24</v>
      </c>
      <c r="G46" s="26" t="s">
        <v>67</v>
      </c>
      <c r="H46" s="26" t="s">
        <v>48</v>
      </c>
      <c r="I46" s="166">
        <f>1.93+17.77</f>
        <v>19.7</v>
      </c>
      <c r="J46" s="166">
        <f>1.93+17.77</f>
        <v>19.7</v>
      </c>
      <c r="K46" s="14" t="s">
        <v>76</v>
      </c>
      <c r="L46" s="29" t="s">
        <v>58</v>
      </c>
      <c r="M46" s="29" t="s">
        <v>39</v>
      </c>
      <c r="N46" s="29" t="s">
        <v>39</v>
      </c>
      <c r="O46" s="43" t="s">
        <v>63</v>
      </c>
      <c r="P46" s="29" t="s">
        <v>35</v>
      </c>
    </row>
    <row r="47" spans="2:16" x14ac:dyDescent="0.3">
      <c r="B47" s="26" t="s">
        <v>4</v>
      </c>
      <c r="C47" s="26" t="str">
        <f t="shared" si="0"/>
        <v>Residential with CL</v>
      </c>
      <c r="D47" s="26" t="s">
        <v>6</v>
      </c>
      <c r="E47" s="26" t="s">
        <v>159</v>
      </c>
      <c r="F47" s="26" t="s">
        <v>15</v>
      </c>
      <c r="G47" s="26" t="s">
        <v>67</v>
      </c>
      <c r="H47" s="26" t="s">
        <v>48</v>
      </c>
      <c r="I47" s="166">
        <f>1.93+4.52</f>
        <v>6.4499999999999993</v>
      </c>
      <c r="J47" s="166">
        <f>1.93+4.52</f>
        <v>6.4499999999999993</v>
      </c>
      <c r="K47" s="14" t="s">
        <v>76</v>
      </c>
      <c r="L47" s="29"/>
      <c r="M47" s="29" t="s">
        <v>39</v>
      </c>
      <c r="N47" s="29" t="s">
        <v>39</v>
      </c>
      <c r="O47" s="43" t="s">
        <v>63</v>
      </c>
      <c r="P47" s="29" t="s">
        <v>35</v>
      </c>
    </row>
    <row r="48" spans="2:16" x14ac:dyDescent="0.3">
      <c r="B48" s="26" t="s">
        <v>4</v>
      </c>
      <c r="C48" s="26" t="str">
        <f t="shared" si="0"/>
        <v>Residential with CL</v>
      </c>
      <c r="D48" s="26" t="s">
        <v>6</v>
      </c>
      <c r="E48" s="26" t="s">
        <v>159</v>
      </c>
      <c r="F48" s="26" t="s">
        <v>16</v>
      </c>
      <c r="G48" s="26" t="s">
        <v>67</v>
      </c>
      <c r="H48" s="26" t="s">
        <v>48</v>
      </c>
      <c r="I48" s="166">
        <f>1.93+4.52</f>
        <v>6.4499999999999993</v>
      </c>
      <c r="J48" s="166">
        <f>1.93+4.52</f>
        <v>6.4499999999999993</v>
      </c>
      <c r="K48" s="14" t="s">
        <v>76</v>
      </c>
      <c r="L48" s="29"/>
      <c r="M48" s="29" t="s">
        <v>39</v>
      </c>
      <c r="N48" s="29" t="s">
        <v>39</v>
      </c>
      <c r="O48" s="43" t="s">
        <v>63</v>
      </c>
      <c r="P48" s="29" t="s">
        <v>35</v>
      </c>
    </row>
    <row r="49" spans="2:16" x14ac:dyDescent="0.3">
      <c r="B49" s="26" t="s">
        <v>4</v>
      </c>
      <c r="C49" s="26" t="str">
        <f t="shared" si="0"/>
        <v>Small business without CL</v>
      </c>
      <c r="D49" s="26" t="s">
        <v>14</v>
      </c>
      <c r="E49" s="26" t="s">
        <v>158</v>
      </c>
      <c r="F49" s="26" t="s">
        <v>24</v>
      </c>
      <c r="G49" s="26" t="s">
        <v>54</v>
      </c>
      <c r="H49" s="26" t="s">
        <v>48</v>
      </c>
      <c r="I49" s="166">
        <f>52.68*3.65</f>
        <v>192.28199999999998</v>
      </c>
      <c r="J49" s="166">
        <f>55.46*3.65</f>
        <v>202.429</v>
      </c>
      <c r="K49" s="14" t="s">
        <v>76</v>
      </c>
      <c r="L49" s="29"/>
      <c r="M49" s="29" t="s">
        <v>39</v>
      </c>
      <c r="N49" s="29" t="s">
        <v>39</v>
      </c>
      <c r="O49" s="43" t="s">
        <v>63</v>
      </c>
      <c r="P49" s="43" t="s">
        <v>64</v>
      </c>
    </row>
    <row r="50" spans="2:16" x14ac:dyDescent="0.3">
      <c r="B50" s="26" t="s">
        <v>4</v>
      </c>
      <c r="C50" s="26" t="str">
        <f t="shared" si="0"/>
        <v>Small business without CL</v>
      </c>
      <c r="D50" s="26" t="s">
        <v>14</v>
      </c>
      <c r="E50" s="26" t="s">
        <v>158</v>
      </c>
      <c r="F50" s="26" t="s">
        <v>24</v>
      </c>
      <c r="G50" s="26" t="s">
        <v>54</v>
      </c>
      <c r="H50" s="26" t="s">
        <v>49</v>
      </c>
      <c r="I50" s="166">
        <f>6.4521*10</f>
        <v>64.521000000000001</v>
      </c>
      <c r="J50" s="166">
        <f>6.168*10</f>
        <v>61.68</v>
      </c>
      <c r="K50" s="14" t="s">
        <v>46</v>
      </c>
      <c r="L50" s="29"/>
      <c r="M50" s="29" t="s">
        <v>39</v>
      </c>
      <c r="N50" s="29" t="s">
        <v>39</v>
      </c>
      <c r="O50" s="43" t="s">
        <v>63</v>
      </c>
      <c r="P50" s="43" t="s">
        <v>64</v>
      </c>
    </row>
    <row r="51" spans="2:16" x14ac:dyDescent="0.3">
      <c r="B51" s="26" t="s">
        <v>4</v>
      </c>
      <c r="C51" s="26" t="str">
        <f t="shared" si="0"/>
        <v>Small business without CL</v>
      </c>
      <c r="D51" s="26" t="s">
        <v>14</v>
      </c>
      <c r="E51" s="26" t="s">
        <v>158</v>
      </c>
      <c r="F51" s="26" t="s">
        <v>24</v>
      </c>
      <c r="G51" s="26" t="s">
        <v>55</v>
      </c>
      <c r="H51" s="26" t="s">
        <v>49</v>
      </c>
      <c r="I51" s="166">
        <f>1.098*10</f>
        <v>10.98</v>
      </c>
      <c r="J51" s="166">
        <f>1.1509*10</f>
        <v>11.509</v>
      </c>
      <c r="K51" s="14" t="s">
        <v>46</v>
      </c>
      <c r="L51" s="29"/>
      <c r="M51" s="29" t="s">
        <v>39</v>
      </c>
      <c r="N51" s="29" t="s">
        <v>39</v>
      </c>
      <c r="O51" s="43" t="s">
        <v>63</v>
      </c>
      <c r="P51" s="43" t="s">
        <v>64</v>
      </c>
    </row>
    <row r="52" spans="2:16" x14ac:dyDescent="0.3">
      <c r="B52" s="26" t="s">
        <v>4</v>
      </c>
      <c r="C52" s="26" t="str">
        <f t="shared" si="0"/>
        <v>Small business without CL</v>
      </c>
      <c r="D52" s="26" t="s">
        <v>14</v>
      </c>
      <c r="E52" s="26" t="s">
        <v>158</v>
      </c>
      <c r="F52" s="26" t="s">
        <v>24</v>
      </c>
      <c r="G52" s="26" t="s">
        <v>56</v>
      </c>
      <c r="H52" s="26" t="s">
        <v>49</v>
      </c>
      <c r="I52" s="166">
        <f>1.0573*10</f>
        <v>10.572999999999999</v>
      </c>
      <c r="J52" s="166">
        <f>1.0988*10</f>
        <v>10.988</v>
      </c>
      <c r="K52" s="14" t="s">
        <v>46</v>
      </c>
      <c r="L52" s="29"/>
      <c r="M52" s="29" t="s">
        <v>39</v>
      </c>
      <c r="N52" s="29" t="s">
        <v>39</v>
      </c>
      <c r="O52" s="43" t="s">
        <v>63</v>
      </c>
      <c r="P52" s="43" t="s">
        <v>64</v>
      </c>
    </row>
    <row r="53" spans="2:16" x14ac:dyDescent="0.3">
      <c r="B53" s="26" t="s">
        <v>4</v>
      </c>
      <c r="C53" s="26" t="str">
        <f t="shared" si="0"/>
        <v>Small business without CL</v>
      </c>
      <c r="D53" s="26" t="s">
        <v>14</v>
      </c>
      <c r="E53" s="26" t="s">
        <v>158</v>
      </c>
      <c r="F53" s="26" t="s">
        <v>24</v>
      </c>
      <c r="G53" s="26" t="s">
        <v>67</v>
      </c>
      <c r="H53" s="26" t="s">
        <v>48</v>
      </c>
      <c r="I53" s="166">
        <f>1.93+26.93</f>
        <v>28.86</v>
      </c>
      <c r="J53" s="166">
        <f>1.93+26.93</f>
        <v>28.86</v>
      </c>
      <c r="K53" s="14" t="s">
        <v>76</v>
      </c>
      <c r="L53" s="29"/>
      <c r="M53" s="29" t="s">
        <v>39</v>
      </c>
      <c r="N53" s="29" t="s">
        <v>39</v>
      </c>
      <c r="O53" s="43" t="s">
        <v>63</v>
      </c>
      <c r="P53" s="29" t="s">
        <v>35</v>
      </c>
    </row>
    <row r="54" spans="2:16" hidden="1" x14ac:dyDescent="0.3">
      <c r="B54" s="26" t="s">
        <v>4</v>
      </c>
      <c r="C54" s="26" t="str">
        <f t="shared" si="0"/>
        <v>All</v>
      </c>
      <c r="D54" s="26"/>
      <c r="E54" s="26"/>
      <c r="F54" s="26"/>
      <c r="G54" s="26" t="s">
        <v>54</v>
      </c>
      <c r="H54" s="26" t="s">
        <v>157</v>
      </c>
      <c r="I54" s="166"/>
      <c r="J54" s="167">
        <v>0</v>
      </c>
      <c r="K54" s="14" t="s">
        <v>33</v>
      </c>
      <c r="L54" s="29"/>
      <c r="M54" s="29" t="s">
        <v>40</v>
      </c>
      <c r="N54" s="29" t="s">
        <v>40</v>
      </c>
      <c r="O54" s="29" t="s">
        <v>66</v>
      </c>
      <c r="P54" s="29" t="s">
        <v>66</v>
      </c>
    </row>
    <row r="55" spans="2:16" hidden="1" x14ac:dyDescent="0.3">
      <c r="B55" s="26" t="s">
        <v>4</v>
      </c>
      <c r="C55" s="26" t="str">
        <f t="shared" si="0"/>
        <v>All</v>
      </c>
      <c r="D55" s="26"/>
      <c r="E55" s="26"/>
      <c r="F55" s="26"/>
      <c r="G55" s="26" t="s">
        <v>55</v>
      </c>
      <c r="H55" s="26" t="s">
        <v>157</v>
      </c>
      <c r="I55" s="166"/>
      <c r="J55" s="167">
        <v>0</v>
      </c>
      <c r="K55" s="14" t="s">
        <v>33</v>
      </c>
      <c r="L55" s="29"/>
      <c r="M55" s="29" t="s">
        <v>40</v>
      </c>
      <c r="N55" s="29" t="s">
        <v>40</v>
      </c>
      <c r="O55" s="29" t="s">
        <v>66</v>
      </c>
      <c r="P55" s="29" t="s">
        <v>66</v>
      </c>
    </row>
    <row r="56" spans="2:16" hidden="1" x14ac:dyDescent="0.3">
      <c r="B56" s="26" t="s">
        <v>4</v>
      </c>
      <c r="C56" s="26" t="str">
        <f t="shared" si="0"/>
        <v>All</v>
      </c>
      <c r="D56" s="26"/>
      <c r="E56" s="26"/>
      <c r="F56" s="26"/>
      <c r="G56" s="26" t="s">
        <v>67</v>
      </c>
      <c r="H56" s="26" t="s">
        <v>157</v>
      </c>
      <c r="I56" s="166"/>
      <c r="J56" s="167">
        <v>0</v>
      </c>
      <c r="K56" s="14" t="s">
        <v>33</v>
      </c>
      <c r="L56" s="29"/>
      <c r="M56" s="29" t="s">
        <v>40</v>
      </c>
      <c r="N56" s="29" t="s">
        <v>40</v>
      </c>
      <c r="O56" s="29" t="s">
        <v>66</v>
      </c>
      <c r="P56" s="29" t="s">
        <v>66</v>
      </c>
    </row>
    <row r="57" spans="2:16" x14ac:dyDescent="0.3">
      <c r="B57" s="26" t="s">
        <v>3</v>
      </c>
      <c r="C57" s="26" t="str">
        <f t="shared" si="0"/>
        <v>Residential without CL</v>
      </c>
      <c r="D57" s="26" t="s">
        <v>6</v>
      </c>
      <c r="E57" s="26" t="s">
        <v>158</v>
      </c>
      <c r="F57" s="26" t="s">
        <v>24</v>
      </c>
      <c r="G57" s="26" t="s">
        <v>54</v>
      </c>
      <c r="H57" s="26" t="s">
        <v>48</v>
      </c>
      <c r="I57" s="166">
        <f>81.48*3.65</f>
        <v>297.40199999999999</v>
      </c>
      <c r="J57" s="166"/>
      <c r="K57" s="14" t="s">
        <v>76</v>
      </c>
      <c r="L57" s="29" t="s">
        <v>58</v>
      </c>
      <c r="M57" s="29" t="s">
        <v>39</v>
      </c>
      <c r="N57" s="29" t="s">
        <v>39</v>
      </c>
      <c r="O57" s="43" t="s">
        <v>63</v>
      </c>
      <c r="P57" s="29" t="s">
        <v>66</v>
      </c>
    </row>
    <row r="58" spans="2:16" x14ac:dyDescent="0.3">
      <c r="B58" s="26" t="s">
        <v>3</v>
      </c>
      <c r="C58" s="26" t="str">
        <f t="shared" si="0"/>
        <v>Residential without CL</v>
      </c>
      <c r="D58" s="26" t="s">
        <v>6</v>
      </c>
      <c r="E58" s="26" t="s">
        <v>158</v>
      </c>
      <c r="F58" s="26" t="s">
        <v>24</v>
      </c>
      <c r="G58" s="26" t="s">
        <v>54</v>
      </c>
      <c r="H58" s="26" t="s">
        <v>49</v>
      </c>
      <c r="I58" s="166">
        <f>8.0428*10</f>
        <v>80.427999999999997</v>
      </c>
      <c r="J58" s="166"/>
      <c r="K58" s="14" t="s">
        <v>46</v>
      </c>
      <c r="L58" s="29" t="s">
        <v>58</v>
      </c>
      <c r="M58" s="29" t="s">
        <v>39</v>
      </c>
      <c r="N58" s="29" t="s">
        <v>39</v>
      </c>
      <c r="O58" s="43" t="s">
        <v>63</v>
      </c>
      <c r="P58" s="29" t="s">
        <v>66</v>
      </c>
    </row>
    <row r="59" spans="2:16" x14ac:dyDescent="0.3">
      <c r="B59" s="26" t="s">
        <v>3</v>
      </c>
      <c r="C59" s="26" t="str">
        <f t="shared" si="0"/>
        <v>Residential without CL</v>
      </c>
      <c r="D59" s="26" t="s">
        <v>6</v>
      </c>
      <c r="E59" s="26" t="s">
        <v>158</v>
      </c>
      <c r="F59" s="26" t="s">
        <v>24</v>
      </c>
      <c r="G59" s="26" t="s">
        <v>55</v>
      </c>
      <c r="H59" s="26" t="s">
        <v>49</v>
      </c>
      <c r="I59" s="166">
        <f>2.007*10</f>
        <v>20.07</v>
      </c>
      <c r="J59" s="166"/>
      <c r="K59" s="14" t="s">
        <v>46</v>
      </c>
      <c r="L59" s="29" t="s">
        <v>58</v>
      </c>
      <c r="M59" s="29" t="s">
        <v>39</v>
      </c>
      <c r="N59" s="29" t="s">
        <v>39</v>
      </c>
      <c r="O59" s="43" t="s">
        <v>63</v>
      </c>
      <c r="P59" s="29" t="s">
        <v>66</v>
      </c>
    </row>
    <row r="60" spans="2:16" x14ac:dyDescent="0.3">
      <c r="B60" s="26" t="s">
        <v>3</v>
      </c>
      <c r="C60" s="26" t="str">
        <f t="shared" si="0"/>
        <v>Residential without CL</v>
      </c>
      <c r="D60" s="26" t="s">
        <v>6</v>
      </c>
      <c r="E60" s="26" t="s">
        <v>158</v>
      </c>
      <c r="F60" s="26" t="s">
        <v>24</v>
      </c>
      <c r="G60" s="26" t="s">
        <v>56</v>
      </c>
      <c r="H60" s="26" t="s">
        <v>49</v>
      </c>
      <c r="I60" s="166">
        <f>0.288*10</f>
        <v>2.88</v>
      </c>
      <c r="J60" s="166"/>
      <c r="K60" s="14" t="s">
        <v>46</v>
      </c>
      <c r="L60" s="29" t="s">
        <v>58</v>
      </c>
      <c r="M60" s="29" t="s">
        <v>39</v>
      </c>
      <c r="N60" s="29" t="s">
        <v>39</v>
      </c>
      <c r="O60" s="43" t="s">
        <v>63</v>
      </c>
      <c r="P60" s="29" t="s">
        <v>66</v>
      </c>
    </row>
    <row r="61" spans="2:16" x14ac:dyDescent="0.3">
      <c r="B61" s="26" t="s">
        <v>3</v>
      </c>
      <c r="C61" s="26" t="str">
        <f t="shared" si="0"/>
        <v>Residential without CL</v>
      </c>
      <c r="D61" s="26" t="s">
        <v>6</v>
      </c>
      <c r="E61" s="26" t="s">
        <v>158</v>
      </c>
      <c r="F61" s="26" t="s">
        <v>24</v>
      </c>
      <c r="G61" s="26" t="s">
        <v>86</v>
      </c>
      <c r="H61" s="26" t="s">
        <v>49</v>
      </c>
      <c r="I61" s="166">
        <f>0.0117*10</f>
        <v>0.11700000000000001</v>
      </c>
      <c r="J61" s="166"/>
      <c r="K61" s="14" t="s">
        <v>46</v>
      </c>
      <c r="L61" s="29" t="s">
        <v>58</v>
      </c>
      <c r="M61" s="29" t="s">
        <v>39</v>
      </c>
      <c r="N61" s="29" t="s">
        <v>39</v>
      </c>
      <c r="O61" s="43" t="s">
        <v>63</v>
      </c>
      <c r="P61" s="29" t="s">
        <v>66</v>
      </c>
    </row>
    <row r="62" spans="2:16" x14ac:dyDescent="0.3">
      <c r="B62" s="26" t="s">
        <v>3</v>
      </c>
      <c r="C62" s="26" t="str">
        <f t="shared" si="0"/>
        <v>Residential without CL</v>
      </c>
      <c r="D62" s="26" t="s">
        <v>6</v>
      </c>
      <c r="E62" s="26" t="s">
        <v>158</v>
      </c>
      <c r="F62" s="26" t="s">
        <v>24</v>
      </c>
      <c r="G62" s="26" t="s">
        <v>65</v>
      </c>
      <c r="H62" s="26" t="s">
        <v>48</v>
      </c>
      <c r="I62" s="166"/>
      <c r="J62" s="166">
        <f>298.79</f>
        <v>298.79000000000002</v>
      </c>
      <c r="K62" s="14" t="s">
        <v>76</v>
      </c>
      <c r="L62" s="29" t="s">
        <v>58</v>
      </c>
      <c r="M62" s="29" t="s">
        <v>39</v>
      </c>
      <c r="N62" s="29" t="s">
        <v>40</v>
      </c>
      <c r="O62" s="29" t="s">
        <v>66</v>
      </c>
      <c r="P62" s="43" t="s">
        <v>64</v>
      </c>
    </row>
    <row r="63" spans="2:16" x14ac:dyDescent="0.3">
      <c r="B63" s="26" t="s">
        <v>3</v>
      </c>
      <c r="C63" s="26" t="str">
        <f t="shared" si="0"/>
        <v>Residential without CL</v>
      </c>
      <c r="D63" s="26" t="s">
        <v>6</v>
      </c>
      <c r="E63" s="26" t="s">
        <v>158</v>
      </c>
      <c r="F63" s="26" t="s">
        <v>24</v>
      </c>
      <c r="G63" s="26" t="s">
        <v>65</v>
      </c>
      <c r="H63" s="26" t="s">
        <v>49</v>
      </c>
      <c r="I63" s="166"/>
      <c r="J63" s="166">
        <f>10.3669*10</f>
        <v>103.669</v>
      </c>
      <c r="K63" s="14" t="s">
        <v>46</v>
      </c>
      <c r="L63" s="29" t="s">
        <v>58</v>
      </c>
      <c r="M63" s="29" t="s">
        <v>39</v>
      </c>
      <c r="N63" s="29" t="s">
        <v>40</v>
      </c>
      <c r="O63" s="29" t="s">
        <v>66</v>
      </c>
      <c r="P63" s="43" t="s">
        <v>64</v>
      </c>
    </row>
    <row r="64" spans="2:16" x14ac:dyDescent="0.3">
      <c r="B64" s="26" t="s">
        <v>3</v>
      </c>
      <c r="C64" s="26" t="str">
        <f t="shared" si="0"/>
        <v>Residential with CL</v>
      </c>
      <c r="D64" s="26" t="s">
        <v>6</v>
      </c>
      <c r="E64" s="26" t="s">
        <v>159</v>
      </c>
      <c r="F64" s="26" t="s">
        <v>15</v>
      </c>
      <c r="G64" s="26" t="s">
        <v>54</v>
      </c>
      <c r="H64" s="26" t="s">
        <v>48</v>
      </c>
      <c r="I64" s="166">
        <f>8.96*3.65</f>
        <v>32.704000000000001</v>
      </c>
      <c r="J64" s="166"/>
      <c r="K64" s="14" t="s">
        <v>76</v>
      </c>
      <c r="L64" s="29"/>
      <c r="M64" s="29" t="s">
        <v>39</v>
      </c>
      <c r="N64" s="29" t="s">
        <v>39</v>
      </c>
      <c r="O64" s="43" t="s">
        <v>63</v>
      </c>
      <c r="P64" s="29" t="s">
        <v>66</v>
      </c>
    </row>
    <row r="65" spans="2:16" x14ac:dyDescent="0.3">
      <c r="B65" s="26" t="s">
        <v>3</v>
      </c>
      <c r="C65" s="26" t="str">
        <f t="shared" si="0"/>
        <v>Residential with CL</v>
      </c>
      <c r="D65" s="26" t="s">
        <v>6</v>
      </c>
      <c r="E65" s="26" t="s">
        <v>159</v>
      </c>
      <c r="F65" s="26" t="s">
        <v>15</v>
      </c>
      <c r="G65" s="26" t="s">
        <v>54</v>
      </c>
      <c r="H65" s="26" t="s">
        <v>49</v>
      </c>
      <c r="I65" s="166">
        <f>0.3648*10</f>
        <v>3.6480000000000001</v>
      </c>
      <c r="J65" s="166"/>
      <c r="K65" s="14" t="s">
        <v>46</v>
      </c>
      <c r="L65" s="29"/>
      <c r="M65" s="29" t="s">
        <v>39</v>
      </c>
      <c r="N65" s="29" t="s">
        <v>39</v>
      </c>
      <c r="O65" s="43" t="s">
        <v>63</v>
      </c>
      <c r="P65" s="29" t="s">
        <v>66</v>
      </c>
    </row>
    <row r="66" spans="2:16" x14ac:dyDescent="0.3">
      <c r="B66" s="26" t="s">
        <v>3</v>
      </c>
      <c r="C66" s="26" t="str">
        <f t="shared" si="0"/>
        <v>Residential with CL</v>
      </c>
      <c r="D66" s="26" t="s">
        <v>6</v>
      </c>
      <c r="E66" s="26" t="s">
        <v>159</v>
      </c>
      <c r="F66" s="26" t="s">
        <v>15</v>
      </c>
      <c r="G66" s="26" t="s">
        <v>55</v>
      </c>
      <c r="H66" s="26" t="s">
        <v>49</v>
      </c>
      <c r="I66" s="166">
        <f>1.4827*10</f>
        <v>14.826999999999998</v>
      </c>
      <c r="J66" s="166"/>
      <c r="K66" s="14" t="s">
        <v>46</v>
      </c>
      <c r="L66" s="29"/>
      <c r="M66" s="29" t="s">
        <v>39</v>
      </c>
      <c r="N66" s="29" t="s">
        <v>39</v>
      </c>
      <c r="O66" s="43" t="s">
        <v>63</v>
      </c>
      <c r="P66" s="29" t="s">
        <v>66</v>
      </c>
    </row>
    <row r="67" spans="2:16" x14ac:dyDescent="0.3">
      <c r="B67" s="26" t="s">
        <v>3</v>
      </c>
      <c r="C67" s="26" t="str">
        <f t="shared" si="0"/>
        <v>Residential with CL</v>
      </c>
      <c r="D67" s="26" t="s">
        <v>6</v>
      </c>
      <c r="E67" s="26" t="s">
        <v>159</v>
      </c>
      <c r="F67" s="26" t="s">
        <v>15</v>
      </c>
      <c r="G67" s="26" t="s">
        <v>56</v>
      </c>
      <c r="H67" s="26" t="s">
        <v>49</v>
      </c>
      <c r="I67" s="166">
        <f>0.288*10</f>
        <v>2.88</v>
      </c>
      <c r="J67" s="166"/>
      <c r="K67" s="14" t="s">
        <v>46</v>
      </c>
      <c r="L67" s="29"/>
      <c r="M67" s="29" t="s">
        <v>39</v>
      </c>
      <c r="N67" s="29" t="s">
        <v>39</v>
      </c>
      <c r="O67" s="43" t="s">
        <v>63</v>
      </c>
      <c r="P67" s="29" t="s">
        <v>66</v>
      </c>
    </row>
    <row r="68" spans="2:16" x14ac:dyDescent="0.3">
      <c r="B68" s="26" t="s">
        <v>3</v>
      </c>
      <c r="C68" s="26" t="str">
        <f t="shared" si="0"/>
        <v>Residential with CL</v>
      </c>
      <c r="D68" s="26" t="s">
        <v>6</v>
      </c>
      <c r="E68" s="26" t="s">
        <v>159</v>
      </c>
      <c r="F68" s="26" t="s">
        <v>15</v>
      </c>
      <c r="G68" s="26" t="s">
        <v>86</v>
      </c>
      <c r="H68" s="26" t="s">
        <v>49</v>
      </c>
      <c r="I68" s="166">
        <f>0.0117*10</f>
        <v>0.11700000000000001</v>
      </c>
      <c r="J68" s="166"/>
      <c r="K68" s="14" t="s">
        <v>46</v>
      </c>
      <c r="L68" s="29"/>
      <c r="M68" s="29" t="s">
        <v>39</v>
      </c>
      <c r="N68" s="29" t="s">
        <v>39</v>
      </c>
      <c r="O68" s="43" t="s">
        <v>63</v>
      </c>
      <c r="P68" s="29" t="s">
        <v>66</v>
      </c>
    </row>
    <row r="69" spans="2:16" x14ac:dyDescent="0.3">
      <c r="B69" s="26" t="s">
        <v>3</v>
      </c>
      <c r="C69" s="26" t="str">
        <f t="shared" ref="C69:C136" si="1">IF(D69="","All",D69&amp;" "&amp;E69)</f>
        <v>Residential with CL</v>
      </c>
      <c r="D69" s="26" t="s">
        <v>6</v>
      </c>
      <c r="E69" s="26" t="s">
        <v>159</v>
      </c>
      <c r="F69" s="26" t="s">
        <v>15</v>
      </c>
      <c r="G69" s="26" t="s">
        <v>65</v>
      </c>
      <c r="H69" s="26" t="s">
        <v>48</v>
      </c>
      <c r="I69" s="166"/>
      <c r="J69" s="166">
        <f>32.3</f>
        <v>32.299999999999997</v>
      </c>
      <c r="K69" s="14" t="s">
        <v>76</v>
      </c>
      <c r="L69" s="29"/>
      <c r="M69" s="29" t="s">
        <v>39</v>
      </c>
      <c r="N69" s="29" t="s">
        <v>40</v>
      </c>
      <c r="O69" s="29" t="s">
        <v>66</v>
      </c>
      <c r="P69" s="43" t="s">
        <v>64</v>
      </c>
    </row>
    <row r="70" spans="2:16" x14ac:dyDescent="0.3">
      <c r="B70" s="26" t="s">
        <v>3</v>
      </c>
      <c r="C70" s="26" t="str">
        <f t="shared" si="1"/>
        <v>Residential with CL</v>
      </c>
      <c r="D70" s="26" t="s">
        <v>6</v>
      </c>
      <c r="E70" s="26" t="s">
        <v>159</v>
      </c>
      <c r="F70" s="26" t="s">
        <v>15</v>
      </c>
      <c r="G70" s="26" t="s">
        <v>65</v>
      </c>
      <c r="H70" s="26" t="s">
        <v>49</v>
      </c>
      <c r="I70" s="166"/>
      <c r="J70" s="166">
        <f>2.2638*10</f>
        <v>22.637999999999998</v>
      </c>
      <c r="K70" s="14" t="s">
        <v>46</v>
      </c>
      <c r="L70" s="29"/>
      <c r="M70" s="29" t="s">
        <v>39</v>
      </c>
      <c r="N70" s="29" t="s">
        <v>40</v>
      </c>
      <c r="O70" s="29" t="s">
        <v>66</v>
      </c>
      <c r="P70" s="43" t="s">
        <v>64</v>
      </c>
    </row>
    <row r="71" spans="2:16" x14ac:dyDescent="0.3">
      <c r="B71" s="26" t="s">
        <v>3</v>
      </c>
      <c r="C71" s="26" t="str">
        <f t="shared" si="1"/>
        <v>Residential with CL</v>
      </c>
      <c r="D71" s="26" t="s">
        <v>6</v>
      </c>
      <c r="E71" s="26" t="s">
        <v>159</v>
      </c>
      <c r="F71" s="26" t="s">
        <v>16</v>
      </c>
      <c r="G71" s="26" t="s">
        <v>54</v>
      </c>
      <c r="H71" s="26" t="s">
        <v>48</v>
      </c>
      <c r="I71" s="166">
        <f>8.96*3.65</f>
        <v>32.704000000000001</v>
      </c>
      <c r="J71" s="166"/>
      <c r="K71" s="14" t="s">
        <v>76</v>
      </c>
      <c r="L71" s="29"/>
      <c r="M71" s="29" t="s">
        <v>39</v>
      </c>
      <c r="N71" s="29" t="s">
        <v>39</v>
      </c>
      <c r="O71" s="43" t="s">
        <v>63</v>
      </c>
      <c r="P71" s="29" t="s">
        <v>66</v>
      </c>
    </row>
    <row r="72" spans="2:16" x14ac:dyDescent="0.3">
      <c r="B72" s="26" t="s">
        <v>3</v>
      </c>
      <c r="C72" s="26" t="str">
        <f t="shared" si="1"/>
        <v>Residential with CL</v>
      </c>
      <c r="D72" s="26" t="s">
        <v>6</v>
      </c>
      <c r="E72" s="26" t="s">
        <v>159</v>
      </c>
      <c r="F72" s="26" t="s">
        <v>16</v>
      </c>
      <c r="G72" s="26" t="s">
        <v>54</v>
      </c>
      <c r="H72" s="26" t="s">
        <v>49</v>
      </c>
      <c r="I72" s="166">
        <f>2.4339*10</f>
        <v>24.338999999999999</v>
      </c>
      <c r="J72" s="166"/>
      <c r="K72" s="14" t="s">
        <v>46</v>
      </c>
      <c r="L72" s="29"/>
      <c r="M72" s="29" t="s">
        <v>39</v>
      </c>
      <c r="N72" s="29" t="s">
        <v>39</v>
      </c>
      <c r="O72" s="43" t="s">
        <v>63</v>
      </c>
      <c r="P72" s="29" t="s">
        <v>66</v>
      </c>
    </row>
    <row r="73" spans="2:16" x14ac:dyDescent="0.3">
      <c r="B73" s="26" t="s">
        <v>3</v>
      </c>
      <c r="C73" s="26" t="str">
        <f t="shared" si="1"/>
        <v>Residential with CL</v>
      </c>
      <c r="D73" s="26" t="s">
        <v>6</v>
      </c>
      <c r="E73" s="26" t="s">
        <v>159</v>
      </c>
      <c r="F73" s="26" t="s">
        <v>16</v>
      </c>
      <c r="G73" s="26" t="s">
        <v>55</v>
      </c>
      <c r="H73" s="26" t="s">
        <v>49</v>
      </c>
      <c r="I73" s="166">
        <f>1.9125*10</f>
        <v>19.125</v>
      </c>
      <c r="J73" s="166"/>
      <c r="K73" s="14" t="s">
        <v>46</v>
      </c>
      <c r="L73" s="29"/>
      <c r="M73" s="29" t="s">
        <v>39</v>
      </c>
      <c r="N73" s="29" t="s">
        <v>39</v>
      </c>
      <c r="O73" s="43" t="s">
        <v>63</v>
      </c>
      <c r="P73" s="29" t="s">
        <v>66</v>
      </c>
    </row>
    <row r="74" spans="2:16" x14ac:dyDescent="0.3">
      <c r="B74" s="26" t="s">
        <v>3</v>
      </c>
      <c r="C74" s="26" t="str">
        <f t="shared" si="1"/>
        <v>Residential with CL</v>
      </c>
      <c r="D74" s="26" t="s">
        <v>6</v>
      </c>
      <c r="E74" s="26" t="s">
        <v>159</v>
      </c>
      <c r="F74" s="26" t="s">
        <v>16</v>
      </c>
      <c r="G74" s="26" t="s">
        <v>56</v>
      </c>
      <c r="H74" s="26" t="s">
        <v>49</v>
      </c>
      <c r="I74" s="166">
        <f>0.288*10</f>
        <v>2.88</v>
      </c>
      <c r="J74" s="166"/>
      <c r="K74" s="14" t="s">
        <v>46</v>
      </c>
      <c r="L74" s="29"/>
      <c r="M74" s="29" t="s">
        <v>39</v>
      </c>
      <c r="N74" s="29" t="s">
        <v>39</v>
      </c>
      <c r="O74" s="43" t="s">
        <v>63</v>
      </c>
      <c r="P74" s="29" t="s">
        <v>66</v>
      </c>
    </row>
    <row r="75" spans="2:16" x14ac:dyDescent="0.3">
      <c r="B75" s="26" t="s">
        <v>3</v>
      </c>
      <c r="C75" s="26" t="str">
        <f t="shared" si="1"/>
        <v>Residential with CL</v>
      </c>
      <c r="D75" s="26" t="s">
        <v>6</v>
      </c>
      <c r="E75" s="26" t="s">
        <v>159</v>
      </c>
      <c r="F75" s="26" t="s">
        <v>16</v>
      </c>
      <c r="G75" s="26" t="s">
        <v>86</v>
      </c>
      <c r="H75" s="26" t="s">
        <v>49</v>
      </c>
      <c r="I75" s="166">
        <f>0.0117*10</f>
        <v>0.11700000000000001</v>
      </c>
      <c r="J75" s="166"/>
      <c r="K75" s="14" t="s">
        <v>46</v>
      </c>
      <c r="L75" s="29"/>
      <c r="M75" s="29" t="s">
        <v>39</v>
      </c>
      <c r="N75" s="29" t="s">
        <v>39</v>
      </c>
      <c r="O75" s="43" t="s">
        <v>63</v>
      </c>
      <c r="P75" s="29" t="s">
        <v>66</v>
      </c>
    </row>
    <row r="76" spans="2:16" x14ac:dyDescent="0.3">
      <c r="B76" s="26" t="s">
        <v>3</v>
      </c>
      <c r="C76" s="26" t="str">
        <f t="shared" si="1"/>
        <v>Residential with CL</v>
      </c>
      <c r="D76" s="26" t="s">
        <v>6</v>
      </c>
      <c r="E76" s="26" t="s">
        <v>159</v>
      </c>
      <c r="F76" s="26" t="s">
        <v>16</v>
      </c>
      <c r="G76" s="26" t="s">
        <v>65</v>
      </c>
      <c r="H76" s="26" t="s">
        <v>48</v>
      </c>
      <c r="I76" s="166"/>
      <c r="J76" s="166">
        <f>32.3</f>
        <v>32.299999999999997</v>
      </c>
      <c r="K76" s="14" t="s">
        <v>46</v>
      </c>
      <c r="L76" s="29"/>
      <c r="M76" s="29" t="s">
        <v>39</v>
      </c>
      <c r="N76" s="29" t="s">
        <v>40</v>
      </c>
      <c r="O76" s="29" t="s">
        <v>66</v>
      </c>
      <c r="P76" s="43" t="s">
        <v>64</v>
      </c>
    </row>
    <row r="77" spans="2:16" x14ac:dyDescent="0.3">
      <c r="B77" s="26" t="s">
        <v>3</v>
      </c>
      <c r="C77" s="26" t="str">
        <f t="shared" si="1"/>
        <v>Residential with CL</v>
      </c>
      <c r="D77" s="26" t="s">
        <v>6</v>
      </c>
      <c r="E77" s="26" t="s">
        <v>159</v>
      </c>
      <c r="F77" s="26" t="s">
        <v>16</v>
      </c>
      <c r="G77" s="26" t="s">
        <v>65</v>
      </c>
      <c r="H77" s="26" t="s">
        <v>49</v>
      </c>
      <c r="I77" s="166"/>
      <c r="J77" s="166">
        <f>4.7603*10</f>
        <v>47.603000000000002</v>
      </c>
      <c r="K77" s="14" t="s">
        <v>46</v>
      </c>
      <c r="L77" s="29"/>
      <c r="M77" s="29" t="s">
        <v>39</v>
      </c>
      <c r="N77" s="29" t="s">
        <v>40</v>
      </c>
      <c r="O77" s="29" t="s">
        <v>66</v>
      </c>
      <c r="P77" s="43" t="s">
        <v>64</v>
      </c>
    </row>
    <row r="78" spans="2:16" x14ac:dyDescent="0.3">
      <c r="B78" s="26" t="s">
        <v>3</v>
      </c>
      <c r="C78" s="26" t="str">
        <f t="shared" si="1"/>
        <v>Residential without CL</v>
      </c>
      <c r="D78" s="26" t="s">
        <v>6</v>
      </c>
      <c r="E78" s="26" t="s">
        <v>158</v>
      </c>
      <c r="F78" s="26" t="s">
        <v>24</v>
      </c>
      <c r="G78" s="26" t="s">
        <v>67</v>
      </c>
      <c r="H78" s="26" t="s">
        <v>48</v>
      </c>
      <c r="I78" s="166">
        <f>6.066*3.65+2.689*3.65</f>
        <v>31.955749999999998</v>
      </c>
      <c r="J78" s="166">
        <f>6.066*3.65+2.689*3.65</f>
        <v>31.955749999999998</v>
      </c>
      <c r="K78" s="14" t="s">
        <v>76</v>
      </c>
      <c r="L78" s="29" t="s">
        <v>58</v>
      </c>
      <c r="M78" s="29" t="s">
        <v>39</v>
      </c>
      <c r="N78" s="29" t="s">
        <v>39</v>
      </c>
      <c r="O78" s="43" t="s">
        <v>63</v>
      </c>
      <c r="P78" s="29" t="s">
        <v>35</v>
      </c>
    </row>
    <row r="79" spans="2:16" x14ac:dyDescent="0.3">
      <c r="B79" s="26" t="s">
        <v>3</v>
      </c>
      <c r="C79" s="26" t="str">
        <f t="shared" si="1"/>
        <v>Residential with CL</v>
      </c>
      <c r="D79" s="26" t="s">
        <v>6</v>
      </c>
      <c r="E79" s="26" t="s">
        <v>159</v>
      </c>
      <c r="F79" s="26" t="s">
        <v>15</v>
      </c>
      <c r="G79" s="26" t="s">
        <v>67</v>
      </c>
      <c r="H79" s="26" t="s">
        <v>48</v>
      </c>
      <c r="I79" s="166">
        <f>1.517*3.65+1.224*3.65</f>
        <v>10.00465</v>
      </c>
      <c r="J79" s="166">
        <f>1.517*3.65+1.224*3.65</f>
        <v>10.00465</v>
      </c>
      <c r="K79" s="14" t="s">
        <v>76</v>
      </c>
      <c r="L79" s="29"/>
      <c r="M79" s="29" t="s">
        <v>39</v>
      </c>
      <c r="N79" s="29" t="s">
        <v>39</v>
      </c>
      <c r="O79" s="43" t="s">
        <v>63</v>
      </c>
      <c r="P79" s="29" t="s">
        <v>35</v>
      </c>
    </row>
    <row r="80" spans="2:16" x14ac:dyDescent="0.3">
      <c r="B80" s="26" t="s">
        <v>3</v>
      </c>
      <c r="C80" s="26" t="str">
        <f t="shared" si="1"/>
        <v>Residential with CL</v>
      </c>
      <c r="D80" s="26" t="s">
        <v>6</v>
      </c>
      <c r="E80" s="26" t="s">
        <v>159</v>
      </c>
      <c r="F80" s="26" t="s">
        <v>16</v>
      </c>
      <c r="G80" s="26" t="s">
        <v>67</v>
      </c>
      <c r="H80" s="26" t="s">
        <v>48</v>
      </c>
      <c r="I80" s="166">
        <f>1.517*3.65+1.224*3.65</f>
        <v>10.00465</v>
      </c>
      <c r="J80" s="166">
        <f>1.517*3.65+1.224*3.65</f>
        <v>10.00465</v>
      </c>
      <c r="K80" s="14" t="s">
        <v>76</v>
      </c>
      <c r="L80" s="29"/>
      <c r="M80" s="29" t="s">
        <v>39</v>
      </c>
      <c r="N80" s="29" t="s">
        <v>39</v>
      </c>
      <c r="O80" s="43" t="s">
        <v>63</v>
      </c>
      <c r="P80" s="29" t="s">
        <v>35</v>
      </c>
    </row>
    <row r="81" spans="2:16" x14ac:dyDescent="0.3">
      <c r="B81" s="26" t="s">
        <v>3</v>
      </c>
      <c r="C81" s="26" t="str">
        <f t="shared" si="1"/>
        <v>Small business without CL</v>
      </c>
      <c r="D81" s="26" t="s">
        <v>14</v>
      </c>
      <c r="E81" s="26" t="s">
        <v>158</v>
      </c>
      <c r="F81" s="26" t="s">
        <v>24</v>
      </c>
      <c r="G81" s="26" t="s">
        <v>54</v>
      </c>
      <c r="H81" s="26" t="s">
        <v>48</v>
      </c>
      <c r="I81" s="166">
        <f>81.48*3.65</f>
        <v>297.40199999999999</v>
      </c>
      <c r="J81" s="166"/>
      <c r="K81" s="14" t="s">
        <v>76</v>
      </c>
      <c r="L81" s="29"/>
      <c r="M81" s="29" t="s">
        <v>39</v>
      </c>
      <c r="N81" s="29" t="s">
        <v>39</v>
      </c>
      <c r="O81" s="43" t="s">
        <v>63</v>
      </c>
      <c r="P81" s="29" t="s">
        <v>66</v>
      </c>
    </row>
    <row r="82" spans="2:16" x14ac:dyDescent="0.3">
      <c r="B82" s="26" t="s">
        <v>3</v>
      </c>
      <c r="C82" s="26" t="str">
        <f t="shared" si="1"/>
        <v>Small business without CL</v>
      </c>
      <c r="D82" s="26" t="s">
        <v>14</v>
      </c>
      <c r="E82" s="26" t="s">
        <v>158</v>
      </c>
      <c r="F82" s="26" t="s">
        <v>24</v>
      </c>
      <c r="G82" s="26" t="s">
        <v>54</v>
      </c>
      <c r="H82" s="26" t="s">
        <v>49</v>
      </c>
      <c r="I82" s="166">
        <f>11.5885*10</f>
        <v>115.88499999999999</v>
      </c>
      <c r="J82" s="166"/>
      <c r="K82" s="14" t="s">
        <v>46</v>
      </c>
      <c r="L82" s="29"/>
      <c r="M82" s="29" t="s">
        <v>39</v>
      </c>
      <c r="N82" s="29" t="s">
        <v>39</v>
      </c>
      <c r="O82" s="43" t="s">
        <v>63</v>
      </c>
      <c r="P82" s="29" t="s">
        <v>66</v>
      </c>
    </row>
    <row r="83" spans="2:16" x14ac:dyDescent="0.3">
      <c r="B83" s="26" t="s">
        <v>3</v>
      </c>
      <c r="C83" s="26" t="str">
        <f t="shared" si="1"/>
        <v>Small business without CL</v>
      </c>
      <c r="D83" s="26" t="s">
        <v>14</v>
      </c>
      <c r="E83" s="26" t="s">
        <v>158</v>
      </c>
      <c r="F83" s="26" t="s">
        <v>24</v>
      </c>
      <c r="G83" s="26" t="s">
        <v>55</v>
      </c>
      <c r="H83" s="26" t="s">
        <v>49</v>
      </c>
      <c r="I83" s="166">
        <f>2.007*10</f>
        <v>20.07</v>
      </c>
      <c r="J83" s="166"/>
      <c r="K83" s="14" t="s">
        <v>46</v>
      </c>
      <c r="L83" s="29"/>
      <c r="M83" s="29" t="s">
        <v>39</v>
      </c>
      <c r="N83" s="29" t="s">
        <v>39</v>
      </c>
      <c r="O83" s="43" t="s">
        <v>63</v>
      </c>
      <c r="P83" s="29" t="s">
        <v>66</v>
      </c>
    </row>
    <row r="84" spans="2:16" x14ac:dyDescent="0.3">
      <c r="B84" s="26" t="s">
        <v>3</v>
      </c>
      <c r="C84" s="26" t="str">
        <f t="shared" si="1"/>
        <v>Small business without CL</v>
      </c>
      <c r="D84" s="26" t="s">
        <v>14</v>
      </c>
      <c r="E84" s="26" t="s">
        <v>158</v>
      </c>
      <c r="F84" s="26" t="s">
        <v>24</v>
      </c>
      <c r="G84" s="26" t="s">
        <v>56</v>
      </c>
      <c r="H84" s="26" t="s">
        <v>49</v>
      </c>
      <c r="I84" s="166">
        <f>0.6743*10</f>
        <v>6.7430000000000003</v>
      </c>
      <c r="J84" s="166"/>
      <c r="K84" s="14" t="s">
        <v>46</v>
      </c>
      <c r="L84" s="29"/>
      <c r="M84" s="29" t="s">
        <v>39</v>
      </c>
      <c r="N84" s="29" t="s">
        <v>39</v>
      </c>
      <c r="O84" s="43" t="s">
        <v>63</v>
      </c>
      <c r="P84" s="29" t="s">
        <v>66</v>
      </c>
    </row>
    <row r="85" spans="2:16" x14ac:dyDescent="0.3">
      <c r="B85" s="26" t="s">
        <v>3</v>
      </c>
      <c r="C85" s="26" t="str">
        <f t="shared" si="1"/>
        <v>Small business without CL</v>
      </c>
      <c r="D85" s="26" t="s">
        <v>14</v>
      </c>
      <c r="E85" s="26" t="s">
        <v>158</v>
      </c>
      <c r="F85" s="26" t="s">
        <v>24</v>
      </c>
      <c r="G85" s="26" t="s">
        <v>86</v>
      </c>
      <c r="H85" s="26" t="s">
        <v>49</v>
      </c>
      <c r="I85" s="166">
        <f>0.0117*10</f>
        <v>0.11700000000000001</v>
      </c>
      <c r="J85" s="166"/>
      <c r="K85" s="14" t="s">
        <v>46</v>
      </c>
      <c r="L85" s="29"/>
      <c r="M85" s="29" t="s">
        <v>39</v>
      </c>
      <c r="N85" s="29" t="s">
        <v>39</v>
      </c>
      <c r="O85" s="43" t="s">
        <v>63</v>
      </c>
      <c r="P85" s="29" t="s">
        <v>66</v>
      </c>
    </row>
    <row r="86" spans="2:16" x14ac:dyDescent="0.3">
      <c r="B86" s="26" t="s">
        <v>3</v>
      </c>
      <c r="C86" s="26" t="str">
        <f t="shared" si="1"/>
        <v>Small business without CL</v>
      </c>
      <c r="D86" s="26" t="s">
        <v>14</v>
      </c>
      <c r="E86" s="26" t="s">
        <v>158</v>
      </c>
      <c r="F86" s="26" t="s">
        <v>24</v>
      </c>
      <c r="G86" s="26" t="s">
        <v>65</v>
      </c>
      <c r="H86" s="26" t="s">
        <v>48</v>
      </c>
      <c r="I86" s="166"/>
      <c r="J86" s="166">
        <f>303.21</f>
        <v>303.20999999999998</v>
      </c>
      <c r="K86" s="14" t="s">
        <v>76</v>
      </c>
      <c r="L86" s="29"/>
      <c r="M86" s="29" t="s">
        <v>39</v>
      </c>
      <c r="N86" s="29" t="s">
        <v>40</v>
      </c>
      <c r="O86" s="29" t="s">
        <v>66</v>
      </c>
      <c r="P86" s="43" t="s">
        <v>64</v>
      </c>
    </row>
    <row r="87" spans="2:16" x14ac:dyDescent="0.3">
      <c r="B87" s="26" t="s">
        <v>3</v>
      </c>
      <c r="C87" s="26" t="str">
        <f t="shared" si="1"/>
        <v>Small business without CL</v>
      </c>
      <c r="D87" s="26" t="s">
        <v>14</v>
      </c>
      <c r="E87" s="26" t="s">
        <v>158</v>
      </c>
      <c r="F87" s="26" t="s">
        <v>24</v>
      </c>
      <c r="G87" s="26" t="s">
        <v>65</v>
      </c>
      <c r="H87" s="26" t="s">
        <v>49</v>
      </c>
      <c r="I87" s="166"/>
      <c r="J87" s="166">
        <f>14.2852*10</f>
        <v>142.852</v>
      </c>
      <c r="K87" s="14" t="s">
        <v>46</v>
      </c>
      <c r="L87" s="29"/>
      <c r="M87" s="29" t="s">
        <v>39</v>
      </c>
      <c r="N87" s="29" t="s">
        <v>40</v>
      </c>
      <c r="O87" s="29" t="s">
        <v>66</v>
      </c>
      <c r="P87" s="43" t="s">
        <v>64</v>
      </c>
    </row>
    <row r="88" spans="2:16" x14ac:dyDescent="0.3">
      <c r="B88" s="26" t="s">
        <v>3</v>
      </c>
      <c r="C88" s="26" t="str">
        <f t="shared" si="1"/>
        <v>Small business without CL</v>
      </c>
      <c r="D88" s="26" t="s">
        <v>14</v>
      </c>
      <c r="E88" s="26" t="s">
        <v>158</v>
      </c>
      <c r="F88" s="26" t="s">
        <v>24</v>
      </c>
      <c r="G88" s="26" t="s">
        <v>67</v>
      </c>
      <c r="H88" s="26" t="s">
        <v>48</v>
      </c>
      <c r="I88" s="166">
        <f>6.066*3.65+2.689*3.65</f>
        <v>31.955749999999998</v>
      </c>
      <c r="J88" s="166">
        <f>6.066*3.65+2.689*3.65</f>
        <v>31.955749999999998</v>
      </c>
      <c r="K88" s="14" t="s">
        <v>76</v>
      </c>
      <c r="L88" s="29"/>
      <c r="M88" s="29" t="s">
        <v>39</v>
      </c>
      <c r="N88" s="29" t="s">
        <v>39</v>
      </c>
      <c r="O88" s="43" t="s">
        <v>63</v>
      </c>
      <c r="P88" s="29" t="s">
        <v>35</v>
      </c>
    </row>
    <row r="89" spans="2:16" hidden="1" x14ac:dyDescent="0.3">
      <c r="B89" s="26" t="s">
        <v>3</v>
      </c>
      <c r="C89" s="26" t="str">
        <f t="shared" si="1"/>
        <v>All</v>
      </c>
      <c r="D89" s="26"/>
      <c r="E89" s="26"/>
      <c r="F89" s="26"/>
      <c r="G89" s="26" t="s">
        <v>54</v>
      </c>
      <c r="H89" s="26" t="s">
        <v>157</v>
      </c>
      <c r="I89" s="166"/>
      <c r="J89" s="167">
        <v>0</v>
      </c>
      <c r="K89" s="14" t="s">
        <v>33</v>
      </c>
      <c r="L89" s="29"/>
      <c r="M89" s="29" t="s">
        <v>40</v>
      </c>
      <c r="N89" s="29" t="s">
        <v>40</v>
      </c>
      <c r="O89" s="29" t="s">
        <v>66</v>
      </c>
      <c r="P89" s="29" t="s">
        <v>66</v>
      </c>
    </row>
    <row r="90" spans="2:16" hidden="1" x14ac:dyDescent="0.3">
      <c r="B90" s="26" t="s">
        <v>3</v>
      </c>
      <c r="C90" s="26" t="str">
        <f t="shared" si="1"/>
        <v>All</v>
      </c>
      <c r="D90" s="26"/>
      <c r="E90" s="26"/>
      <c r="F90" s="26"/>
      <c r="G90" s="26" t="s">
        <v>55</v>
      </c>
      <c r="H90" s="26" t="s">
        <v>157</v>
      </c>
      <c r="I90" s="166"/>
      <c r="J90" s="167">
        <v>0</v>
      </c>
      <c r="K90" s="14" t="s">
        <v>33</v>
      </c>
      <c r="L90" s="29"/>
      <c r="M90" s="29" t="s">
        <v>40</v>
      </c>
      <c r="N90" s="29" t="s">
        <v>40</v>
      </c>
      <c r="O90" s="29" t="s">
        <v>66</v>
      </c>
      <c r="P90" s="29" t="s">
        <v>66</v>
      </c>
    </row>
    <row r="91" spans="2:16" hidden="1" x14ac:dyDescent="0.3">
      <c r="B91" s="26" t="s">
        <v>3</v>
      </c>
      <c r="C91" s="26" t="str">
        <f t="shared" si="1"/>
        <v>All</v>
      </c>
      <c r="D91" s="26"/>
      <c r="E91" s="26"/>
      <c r="F91" s="26"/>
      <c r="G91" s="26" t="s">
        <v>67</v>
      </c>
      <c r="H91" s="26" t="s">
        <v>157</v>
      </c>
      <c r="I91" s="166"/>
      <c r="J91" s="167">
        <v>0</v>
      </c>
      <c r="K91" s="14" t="s">
        <v>33</v>
      </c>
      <c r="L91" s="29"/>
      <c r="M91" s="29" t="s">
        <v>40</v>
      </c>
      <c r="N91" s="29" t="s">
        <v>40</v>
      </c>
      <c r="O91" s="29" t="s">
        <v>66</v>
      </c>
      <c r="P91" s="29" t="s">
        <v>66</v>
      </c>
    </row>
    <row r="92" spans="2:16" x14ac:dyDescent="0.3">
      <c r="B92" s="26" t="s">
        <v>0</v>
      </c>
      <c r="C92" s="26" t="str">
        <f t="shared" si="1"/>
        <v>Residential without CL</v>
      </c>
      <c r="D92" s="26" t="s">
        <v>6</v>
      </c>
      <c r="E92" s="26" t="s">
        <v>158</v>
      </c>
      <c r="F92" s="26" t="s">
        <v>24</v>
      </c>
      <c r="G92" s="26" t="s">
        <v>54</v>
      </c>
      <c r="H92" s="26" t="s">
        <v>48</v>
      </c>
      <c r="I92" s="166">
        <f>42.1*3.65</f>
        <v>153.66499999999999</v>
      </c>
      <c r="J92" s="166">
        <f>43.1*3.65</f>
        <v>157.315</v>
      </c>
      <c r="K92" s="14" t="s">
        <v>76</v>
      </c>
      <c r="L92" s="29" t="s">
        <v>58</v>
      </c>
      <c r="M92" s="29" t="s">
        <v>39</v>
      </c>
      <c r="N92" s="29" t="s">
        <v>39</v>
      </c>
      <c r="O92" s="184" t="s">
        <v>63</v>
      </c>
      <c r="P92" s="43" t="s">
        <v>213</v>
      </c>
    </row>
    <row r="93" spans="2:16" x14ac:dyDescent="0.3">
      <c r="B93" s="26" t="s">
        <v>0</v>
      </c>
      <c r="C93" s="26" t="str">
        <f t="shared" si="1"/>
        <v>Residential without CL</v>
      </c>
      <c r="D93" s="26" t="s">
        <v>6</v>
      </c>
      <c r="E93" s="26" t="s">
        <v>158</v>
      </c>
      <c r="F93" s="26" t="s">
        <v>24</v>
      </c>
      <c r="G93" s="26" t="s">
        <v>54</v>
      </c>
      <c r="H93" s="26" t="s">
        <v>49</v>
      </c>
      <c r="I93" s="166">
        <f>6.999*10</f>
        <v>69.989999999999995</v>
      </c>
      <c r="J93" s="166">
        <f>5.672*10</f>
        <v>56.72</v>
      </c>
      <c r="K93" s="14" t="s">
        <v>46</v>
      </c>
      <c r="L93" s="29" t="s">
        <v>58</v>
      </c>
      <c r="M93" s="29" t="s">
        <v>39</v>
      </c>
      <c r="N93" s="29" t="s">
        <v>39</v>
      </c>
      <c r="O93" s="184" t="s">
        <v>63</v>
      </c>
      <c r="P93" s="43" t="s">
        <v>213</v>
      </c>
    </row>
    <row r="94" spans="2:16" x14ac:dyDescent="0.3">
      <c r="B94" s="26" t="s">
        <v>0</v>
      </c>
      <c r="C94" s="26" t="str">
        <f t="shared" si="1"/>
        <v>Residential without CL</v>
      </c>
      <c r="D94" s="26" t="s">
        <v>6</v>
      </c>
      <c r="E94" s="26" t="s">
        <v>158</v>
      </c>
      <c r="F94" s="26" t="s">
        <v>24</v>
      </c>
      <c r="G94" s="26" t="s">
        <v>55</v>
      </c>
      <c r="H94" s="26" t="s">
        <v>48</v>
      </c>
      <c r="I94" s="166">
        <f>6.7*3.65</f>
        <v>24.454999999999998</v>
      </c>
      <c r="J94" s="166">
        <f>6.9*3.65</f>
        <v>25.185000000000002</v>
      </c>
      <c r="K94" s="14" t="s">
        <v>76</v>
      </c>
      <c r="L94" s="29" t="s">
        <v>58</v>
      </c>
      <c r="M94" s="29" t="s">
        <v>39</v>
      </c>
      <c r="N94" s="29" t="s">
        <v>39</v>
      </c>
      <c r="O94" s="184" t="s">
        <v>63</v>
      </c>
      <c r="P94" s="43" t="s">
        <v>213</v>
      </c>
    </row>
    <row r="95" spans="2:16" x14ac:dyDescent="0.3">
      <c r="B95" s="26" t="s">
        <v>0</v>
      </c>
      <c r="C95" s="26" t="str">
        <f t="shared" si="1"/>
        <v>Residential without CL</v>
      </c>
      <c r="D95" s="26" t="s">
        <v>6</v>
      </c>
      <c r="E95" s="26" t="s">
        <v>158</v>
      </c>
      <c r="F95" s="26" t="s">
        <v>24</v>
      </c>
      <c r="G95" s="26" t="s">
        <v>55</v>
      </c>
      <c r="H95" s="26" t="s">
        <v>49</v>
      </c>
      <c r="I95" s="166">
        <f>1.425*10</f>
        <v>14.25</v>
      </c>
      <c r="J95" s="166">
        <f>1.44*10</f>
        <v>14.399999999999999</v>
      </c>
      <c r="K95" s="14" t="s">
        <v>46</v>
      </c>
      <c r="L95" s="29" t="s">
        <v>58</v>
      </c>
      <c r="M95" s="29" t="s">
        <v>39</v>
      </c>
      <c r="N95" s="29" t="s">
        <v>39</v>
      </c>
      <c r="O95" s="184" t="s">
        <v>63</v>
      </c>
      <c r="P95" s="43" t="s">
        <v>213</v>
      </c>
    </row>
    <row r="96" spans="2:16" x14ac:dyDescent="0.3">
      <c r="B96" s="26" t="s">
        <v>0</v>
      </c>
      <c r="C96" s="26" t="str">
        <f t="shared" ref="C96" si="2">IF(D96="","All",D96&amp;" "&amp;E96)</f>
        <v>Residential without CL</v>
      </c>
      <c r="D96" s="26" t="s">
        <v>6</v>
      </c>
      <c r="E96" s="26" t="s">
        <v>158</v>
      </c>
      <c r="F96" s="26" t="s">
        <v>24</v>
      </c>
      <c r="G96" s="26" t="s">
        <v>86</v>
      </c>
      <c r="H96" s="26" t="s">
        <v>48</v>
      </c>
      <c r="I96" s="166">
        <v>0</v>
      </c>
      <c r="J96" s="166">
        <v>0</v>
      </c>
      <c r="K96" s="14" t="s">
        <v>76</v>
      </c>
      <c r="L96" s="29" t="s">
        <v>58</v>
      </c>
      <c r="M96" s="29" t="s">
        <v>39</v>
      </c>
      <c r="N96" s="29" t="s">
        <v>39</v>
      </c>
      <c r="O96" s="29" t="s">
        <v>66</v>
      </c>
      <c r="P96" s="29" t="s">
        <v>66</v>
      </c>
    </row>
    <row r="97" spans="2:16" x14ac:dyDescent="0.3">
      <c r="B97" s="26" t="s">
        <v>0</v>
      </c>
      <c r="C97" s="26" t="str">
        <f t="shared" si="1"/>
        <v>Residential with CL</v>
      </c>
      <c r="D97" s="26" t="s">
        <v>6</v>
      </c>
      <c r="E97" s="26" t="s">
        <v>159</v>
      </c>
      <c r="F97" s="26" t="s">
        <v>15</v>
      </c>
      <c r="G97" s="26" t="s">
        <v>54</v>
      </c>
      <c r="H97" s="26" t="s">
        <v>49</v>
      </c>
      <c r="I97" s="166">
        <f>4.942*10</f>
        <v>49.42</v>
      </c>
      <c r="J97" s="166">
        <f>1.838*10</f>
        <v>18.380000000000003</v>
      </c>
      <c r="K97" s="14" t="s">
        <v>46</v>
      </c>
      <c r="L97" s="29"/>
      <c r="M97" s="29" t="s">
        <v>39</v>
      </c>
      <c r="N97" s="29" t="s">
        <v>39</v>
      </c>
      <c r="O97" s="184" t="s">
        <v>63</v>
      </c>
      <c r="P97" s="43" t="s">
        <v>213</v>
      </c>
    </row>
    <row r="98" spans="2:16" x14ac:dyDescent="0.3">
      <c r="B98" s="26" t="s">
        <v>0</v>
      </c>
      <c r="C98" s="26" t="str">
        <f t="shared" si="1"/>
        <v>Residential with CL</v>
      </c>
      <c r="D98" s="26" t="s">
        <v>6</v>
      </c>
      <c r="E98" s="26" t="s">
        <v>159</v>
      </c>
      <c r="F98" s="26" t="s">
        <v>15</v>
      </c>
      <c r="G98" s="26" t="s">
        <v>55</v>
      </c>
      <c r="H98" s="26" t="s">
        <v>49</v>
      </c>
      <c r="I98" s="166">
        <f>1.145*10</f>
        <v>11.45</v>
      </c>
      <c r="J98" s="166">
        <f>1.161*10</f>
        <v>11.61</v>
      </c>
      <c r="K98" s="14" t="s">
        <v>46</v>
      </c>
      <c r="L98" s="29"/>
      <c r="M98" s="29" t="s">
        <v>39</v>
      </c>
      <c r="N98" s="29" t="s">
        <v>39</v>
      </c>
      <c r="O98" s="184" t="s">
        <v>63</v>
      </c>
      <c r="P98" s="43" t="s">
        <v>213</v>
      </c>
    </row>
    <row r="99" spans="2:16" x14ac:dyDescent="0.3">
      <c r="B99" s="26" t="s">
        <v>0</v>
      </c>
      <c r="C99" s="26" t="str">
        <f t="shared" ref="C99" si="3">IF(D99="","All",D99&amp;" "&amp;E99)</f>
        <v>Residential with CL</v>
      </c>
      <c r="D99" s="26" t="s">
        <v>6</v>
      </c>
      <c r="E99" s="26" t="s">
        <v>159</v>
      </c>
      <c r="F99" s="26" t="s">
        <v>15</v>
      </c>
      <c r="G99" s="26" t="s">
        <v>86</v>
      </c>
      <c r="H99" s="26" t="s">
        <v>48</v>
      </c>
      <c r="I99" s="166">
        <v>0</v>
      </c>
      <c r="J99" s="166">
        <v>0</v>
      </c>
      <c r="K99" s="14" t="s">
        <v>76</v>
      </c>
      <c r="L99" s="29"/>
      <c r="M99" s="29" t="s">
        <v>39</v>
      </c>
      <c r="N99" s="29" t="s">
        <v>39</v>
      </c>
      <c r="O99" s="29" t="s">
        <v>66</v>
      </c>
      <c r="P99" s="29" t="s">
        <v>66</v>
      </c>
    </row>
    <row r="100" spans="2:16" x14ac:dyDescent="0.3">
      <c r="B100" s="26" t="s">
        <v>0</v>
      </c>
      <c r="C100" s="26" t="str">
        <f t="shared" si="1"/>
        <v>Residential with CL</v>
      </c>
      <c r="D100" s="26" t="s">
        <v>6</v>
      </c>
      <c r="E100" s="26" t="s">
        <v>159</v>
      </c>
      <c r="F100" s="26" t="s">
        <v>16</v>
      </c>
      <c r="G100" s="26" t="s">
        <v>54</v>
      </c>
      <c r="H100" s="26" t="s">
        <v>49</v>
      </c>
      <c r="I100" s="166">
        <f>5.256*10</f>
        <v>52.56</v>
      </c>
      <c r="J100" s="166">
        <f>2.838*10</f>
        <v>28.380000000000003</v>
      </c>
      <c r="K100" s="14" t="s">
        <v>46</v>
      </c>
      <c r="L100" s="29"/>
      <c r="M100" s="29" t="s">
        <v>39</v>
      </c>
      <c r="N100" s="29" t="s">
        <v>39</v>
      </c>
      <c r="O100" s="184" t="s">
        <v>63</v>
      </c>
      <c r="P100" s="43" t="s">
        <v>213</v>
      </c>
    </row>
    <row r="101" spans="2:16" x14ac:dyDescent="0.3">
      <c r="B101" s="26" t="s">
        <v>0</v>
      </c>
      <c r="C101" s="26" t="str">
        <f t="shared" si="1"/>
        <v>Residential with CL</v>
      </c>
      <c r="D101" s="26" t="s">
        <v>6</v>
      </c>
      <c r="E101" s="26" t="s">
        <v>159</v>
      </c>
      <c r="F101" s="26" t="s">
        <v>16</v>
      </c>
      <c r="G101" s="26" t="s">
        <v>55</v>
      </c>
      <c r="H101" s="26" t="s">
        <v>49</v>
      </c>
      <c r="I101" s="166">
        <f>1.145*10</f>
        <v>11.45</v>
      </c>
      <c r="J101" s="166">
        <f>1.161*10</f>
        <v>11.61</v>
      </c>
      <c r="K101" s="14" t="s">
        <v>46</v>
      </c>
      <c r="L101" s="29"/>
      <c r="M101" s="29" t="s">
        <v>39</v>
      </c>
      <c r="N101" s="29" t="s">
        <v>39</v>
      </c>
      <c r="O101" s="184" t="s">
        <v>63</v>
      </c>
      <c r="P101" s="43" t="s">
        <v>213</v>
      </c>
    </row>
    <row r="102" spans="2:16" x14ac:dyDescent="0.3">
      <c r="B102" s="26" t="s">
        <v>0</v>
      </c>
      <c r="C102" s="26" t="str">
        <f t="shared" ref="C102" si="4">IF(D102="","All",D102&amp;" "&amp;E102)</f>
        <v>Residential with CL</v>
      </c>
      <c r="D102" s="26" t="s">
        <v>6</v>
      </c>
      <c r="E102" s="26" t="s">
        <v>159</v>
      </c>
      <c r="F102" s="26" t="s">
        <v>16</v>
      </c>
      <c r="G102" s="26" t="s">
        <v>86</v>
      </c>
      <c r="H102" s="26" t="s">
        <v>48</v>
      </c>
      <c r="I102" s="166">
        <v>0</v>
      </c>
      <c r="J102" s="166">
        <v>0</v>
      </c>
      <c r="K102" s="14" t="s">
        <v>76</v>
      </c>
      <c r="L102" s="29"/>
      <c r="M102" s="29" t="s">
        <v>39</v>
      </c>
      <c r="N102" s="29" t="s">
        <v>39</v>
      </c>
      <c r="O102" s="29" t="s">
        <v>66</v>
      </c>
      <c r="P102" s="29" t="s">
        <v>66</v>
      </c>
    </row>
    <row r="103" spans="2:16" x14ac:dyDescent="0.3">
      <c r="B103" s="26" t="s">
        <v>0</v>
      </c>
      <c r="C103" s="26" t="str">
        <f t="shared" si="1"/>
        <v>Residential without CL</v>
      </c>
      <c r="D103" s="26" t="s">
        <v>6</v>
      </c>
      <c r="E103" s="26" t="s">
        <v>158</v>
      </c>
      <c r="F103" s="26" t="s">
        <v>24</v>
      </c>
      <c r="G103" s="26" t="s">
        <v>67</v>
      </c>
      <c r="H103" s="26" t="s">
        <v>48</v>
      </c>
      <c r="I103" s="166">
        <f>9.762*3.65</f>
        <v>35.631300000000003</v>
      </c>
      <c r="J103" s="166">
        <f>10.667*3.65</f>
        <v>38.934550000000002</v>
      </c>
      <c r="K103" s="14" t="s">
        <v>76</v>
      </c>
      <c r="L103" s="29" t="s">
        <v>58</v>
      </c>
      <c r="M103" s="29" t="s">
        <v>39</v>
      </c>
      <c r="N103" s="29" t="s">
        <v>39</v>
      </c>
      <c r="O103" s="184" t="s">
        <v>63</v>
      </c>
      <c r="P103" s="43" t="s">
        <v>213</v>
      </c>
    </row>
    <row r="104" spans="2:16" x14ac:dyDescent="0.3">
      <c r="B104" s="26" t="s">
        <v>0</v>
      </c>
      <c r="C104" s="26" t="str">
        <f t="shared" si="1"/>
        <v>Residential with CL</v>
      </c>
      <c r="D104" s="26" t="s">
        <v>6</v>
      </c>
      <c r="E104" s="26" t="s">
        <v>159</v>
      </c>
      <c r="F104" s="26" t="s">
        <v>15</v>
      </c>
      <c r="G104" s="26" t="s">
        <v>67</v>
      </c>
      <c r="H104" s="26" t="s">
        <v>48</v>
      </c>
      <c r="I104" s="166">
        <f>2.929*3.65</f>
        <v>10.690849999999999</v>
      </c>
      <c r="J104" s="166">
        <f>3.2*3.65</f>
        <v>11.68</v>
      </c>
      <c r="K104" s="14" t="s">
        <v>76</v>
      </c>
      <c r="L104" s="29"/>
      <c r="M104" s="29" t="s">
        <v>39</v>
      </c>
      <c r="N104" s="29" t="s">
        <v>39</v>
      </c>
      <c r="O104" s="184" t="s">
        <v>63</v>
      </c>
      <c r="P104" s="43" t="s">
        <v>213</v>
      </c>
    </row>
    <row r="105" spans="2:16" x14ac:dyDescent="0.3">
      <c r="B105" s="26" t="s">
        <v>0</v>
      </c>
      <c r="C105" s="26" t="str">
        <f t="shared" si="1"/>
        <v>Residential with CL</v>
      </c>
      <c r="D105" s="26" t="s">
        <v>6</v>
      </c>
      <c r="E105" s="26" t="s">
        <v>159</v>
      </c>
      <c r="F105" s="26" t="s">
        <v>16</v>
      </c>
      <c r="G105" s="26" t="s">
        <v>67</v>
      </c>
      <c r="H105" s="26" t="s">
        <v>48</v>
      </c>
      <c r="I105" s="166">
        <f>2.929*3.65</f>
        <v>10.690849999999999</v>
      </c>
      <c r="J105" s="166">
        <f>3.2*3.65</f>
        <v>11.68</v>
      </c>
      <c r="K105" s="14" t="s">
        <v>76</v>
      </c>
      <c r="L105" s="29"/>
      <c r="M105" s="29" t="s">
        <v>39</v>
      </c>
      <c r="N105" s="29" t="s">
        <v>39</v>
      </c>
      <c r="O105" s="184" t="s">
        <v>63</v>
      </c>
      <c r="P105" s="43" t="s">
        <v>213</v>
      </c>
    </row>
    <row r="106" spans="2:16" x14ac:dyDescent="0.3">
      <c r="B106" s="26" t="s">
        <v>0</v>
      </c>
      <c r="C106" s="26" t="str">
        <f t="shared" si="1"/>
        <v>Small business without CL</v>
      </c>
      <c r="D106" s="26" t="s">
        <v>14</v>
      </c>
      <c r="E106" s="26" t="s">
        <v>158</v>
      </c>
      <c r="F106" s="26" t="s">
        <v>24</v>
      </c>
      <c r="G106" s="26" t="s">
        <v>54</v>
      </c>
      <c r="H106" s="26" t="s">
        <v>48</v>
      </c>
      <c r="I106" s="166">
        <f>47.4*3.65</f>
        <v>173.01</v>
      </c>
      <c r="J106" s="166">
        <f>48.5*3.65</f>
        <v>177.02500000000001</v>
      </c>
      <c r="K106" s="14" t="s">
        <v>76</v>
      </c>
      <c r="L106" s="29"/>
      <c r="M106" s="29" t="s">
        <v>39</v>
      </c>
      <c r="N106" s="29" t="s">
        <v>39</v>
      </c>
      <c r="O106" s="184" t="s">
        <v>63</v>
      </c>
      <c r="P106" s="43" t="s">
        <v>213</v>
      </c>
    </row>
    <row r="107" spans="2:16" x14ac:dyDescent="0.3">
      <c r="B107" s="26" t="s">
        <v>0</v>
      </c>
      <c r="C107" s="26" t="str">
        <f t="shared" si="1"/>
        <v>Small business without CL</v>
      </c>
      <c r="D107" s="26" t="s">
        <v>14</v>
      </c>
      <c r="E107" s="26" t="s">
        <v>158</v>
      </c>
      <c r="F107" s="26" t="s">
        <v>24</v>
      </c>
      <c r="G107" s="26" t="s">
        <v>54</v>
      </c>
      <c r="H107" s="26" t="s">
        <v>49</v>
      </c>
      <c r="I107" s="166">
        <f>7.695*10</f>
        <v>76.95</v>
      </c>
      <c r="J107" s="166">
        <f>6.548*10</f>
        <v>65.48</v>
      </c>
      <c r="K107" s="14" t="s">
        <v>46</v>
      </c>
      <c r="L107" s="29"/>
      <c r="M107" s="29" t="s">
        <v>39</v>
      </c>
      <c r="N107" s="29" t="s">
        <v>39</v>
      </c>
      <c r="O107" s="184" t="s">
        <v>63</v>
      </c>
      <c r="P107" s="43" t="s">
        <v>213</v>
      </c>
    </row>
    <row r="108" spans="2:16" x14ac:dyDescent="0.3">
      <c r="B108" s="26" t="s">
        <v>0</v>
      </c>
      <c r="C108" s="26" t="str">
        <f t="shared" si="1"/>
        <v>Small business without CL</v>
      </c>
      <c r="D108" s="26" t="s">
        <v>14</v>
      </c>
      <c r="E108" s="26" t="s">
        <v>158</v>
      </c>
      <c r="F108" s="26" t="s">
        <v>24</v>
      </c>
      <c r="G108" s="26" t="s">
        <v>55</v>
      </c>
      <c r="H108" s="26" t="s">
        <v>48</v>
      </c>
      <c r="I108" s="166">
        <f>18.8*3.65</f>
        <v>68.62</v>
      </c>
      <c r="J108" s="166">
        <f>19.3*3.65</f>
        <v>70.445000000000007</v>
      </c>
      <c r="K108" s="14" t="s">
        <v>76</v>
      </c>
      <c r="L108" s="29"/>
      <c r="M108" s="29" t="s">
        <v>39</v>
      </c>
      <c r="N108" s="29" t="s">
        <v>39</v>
      </c>
      <c r="O108" s="184" t="s">
        <v>63</v>
      </c>
      <c r="P108" s="43" t="s">
        <v>213</v>
      </c>
    </row>
    <row r="109" spans="2:16" x14ac:dyDescent="0.3">
      <c r="B109" s="26" t="s">
        <v>0</v>
      </c>
      <c r="C109" s="26" t="str">
        <f t="shared" si="1"/>
        <v>Small business without CL</v>
      </c>
      <c r="D109" s="26" t="s">
        <v>14</v>
      </c>
      <c r="E109" s="26" t="s">
        <v>158</v>
      </c>
      <c r="F109" s="26" t="s">
        <v>24</v>
      </c>
      <c r="G109" s="26" t="s">
        <v>55</v>
      </c>
      <c r="H109" s="26" t="s">
        <v>49</v>
      </c>
      <c r="I109" s="166">
        <f>1.106*10</f>
        <v>11.06</v>
      </c>
      <c r="J109" s="166">
        <f>1.062*10</f>
        <v>10.620000000000001</v>
      </c>
      <c r="K109" s="14" t="s">
        <v>46</v>
      </c>
      <c r="L109" s="29"/>
      <c r="M109" s="29" t="s">
        <v>39</v>
      </c>
      <c r="N109" s="29" t="s">
        <v>39</v>
      </c>
      <c r="O109" s="184" t="s">
        <v>63</v>
      </c>
      <c r="P109" s="43" t="s">
        <v>213</v>
      </c>
    </row>
    <row r="110" spans="2:16" x14ac:dyDescent="0.3">
      <c r="B110" s="26" t="s">
        <v>0</v>
      </c>
      <c r="C110" s="26" t="str">
        <f t="shared" ref="C110" si="5">IF(D110="","All",D110&amp;" "&amp;E110)</f>
        <v>Small business without CL</v>
      </c>
      <c r="D110" s="26" t="s">
        <v>14</v>
      </c>
      <c r="E110" s="26" t="s">
        <v>158</v>
      </c>
      <c r="F110" s="26" t="s">
        <v>24</v>
      </c>
      <c r="G110" s="26" t="s">
        <v>86</v>
      </c>
      <c r="H110" s="26" t="s">
        <v>48</v>
      </c>
      <c r="I110" s="166">
        <v>0</v>
      </c>
      <c r="J110" s="166">
        <v>0</v>
      </c>
      <c r="K110" s="14" t="s">
        <v>76</v>
      </c>
      <c r="L110" s="29"/>
      <c r="M110" s="29" t="s">
        <v>39</v>
      </c>
      <c r="N110" s="29" t="s">
        <v>39</v>
      </c>
      <c r="O110" s="29" t="s">
        <v>66</v>
      </c>
      <c r="P110" s="29" t="s">
        <v>66</v>
      </c>
    </row>
    <row r="111" spans="2:16" x14ac:dyDescent="0.3">
      <c r="B111" s="26" t="s">
        <v>0</v>
      </c>
      <c r="C111" s="26" t="str">
        <f t="shared" si="1"/>
        <v>Small business without CL</v>
      </c>
      <c r="D111" s="26" t="s">
        <v>14</v>
      </c>
      <c r="E111" s="26" t="s">
        <v>158</v>
      </c>
      <c r="F111" s="26" t="s">
        <v>24</v>
      </c>
      <c r="G111" s="26" t="s">
        <v>67</v>
      </c>
      <c r="H111" s="26" t="s">
        <v>48</v>
      </c>
      <c r="I111" s="166">
        <f>9.762*3.65</f>
        <v>35.631300000000003</v>
      </c>
      <c r="J111" s="166">
        <f>10.667*3.65</f>
        <v>38.934550000000002</v>
      </c>
      <c r="K111" s="14" t="s">
        <v>76</v>
      </c>
      <c r="L111" s="29"/>
      <c r="M111" s="29" t="s">
        <v>39</v>
      </c>
      <c r="N111" s="29" t="s">
        <v>39</v>
      </c>
      <c r="O111" s="184" t="s">
        <v>63</v>
      </c>
      <c r="P111" s="43" t="s">
        <v>213</v>
      </c>
    </row>
    <row r="112" spans="2:16" hidden="1" x14ac:dyDescent="0.3">
      <c r="B112" s="26" t="s">
        <v>0</v>
      </c>
      <c r="C112" s="26" t="str">
        <f t="shared" si="1"/>
        <v>All</v>
      </c>
      <c r="D112" s="26"/>
      <c r="E112" s="26"/>
      <c r="F112" s="26"/>
      <c r="G112" s="26" t="s">
        <v>54</v>
      </c>
      <c r="H112" s="26" t="s">
        <v>157</v>
      </c>
      <c r="I112" s="166"/>
      <c r="J112" s="167">
        <v>-0.184</v>
      </c>
      <c r="K112" s="14" t="s">
        <v>33</v>
      </c>
      <c r="L112" s="29"/>
      <c r="M112" s="29" t="s">
        <v>40</v>
      </c>
      <c r="N112" s="29" t="s">
        <v>39</v>
      </c>
      <c r="O112" s="29" t="s">
        <v>66</v>
      </c>
      <c r="P112" s="43" t="s">
        <v>172</v>
      </c>
    </row>
    <row r="113" spans="2:16" hidden="1" x14ac:dyDescent="0.3">
      <c r="B113" s="26" t="s">
        <v>0</v>
      </c>
      <c r="C113" s="26" t="str">
        <f t="shared" si="1"/>
        <v>All</v>
      </c>
      <c r="D113" s="26"/>
      <c r="E113" s="26"/>
      <c r="F113" s="26"/>
      <c r="G113" s="26" t="s">
        <v>55</v>
      </c>
      <c r="H113" s="26" t="s">
        <v>157</v>
      </c>
      <c r="I113" s="166"/>
      <c r="J113" s="167">
        <v>2.2962E-2</v>
      </c>
      <c r="K113" s="14" t="s">
        <v>33</v>
      </c>
      <c r="L113" s="29"/>
      <c r="M113" s="29" t="s">
        <v>40</v>
      </c>
      <c r="N113" s="29" t="s">
        <v>39</v>
      </c>
      <c r="O113" s="29" t="s">
        <v>66</v>
      </c>
      <c r="P113" s="43" t="s">
        <v>173</v>
      </c>
    </row>
    <row r="114" spans="2:16" hidden="1" x14ac:dyDescent="0.3">
      <c r="B114" s="26" t="s">
        <v>0</v>
      </c>
      <c r="C114" s="26" t="str">
        <f t="shared" si="1"/>
        <v>All</v>
      </c>
      <c r="D114" s="26"/>
      <c r="E114" s="26"/>
      <c r="F114" s="26"/>
      <c r="G114" s="26" t="s">
        <v>67</v>
      </c>
      <c r="H114" s="26" t="s">
        <v>157</v>
      </c>
      <c r="I114" s="166"/>
      <c r="J114" s="167">
        <v>0</v>
      </c>
      <c r="K114" s="14" t="s">
        <v>33</v>
      </c>
      <c r="L114" s="29"/>
      <c r="M114" s="29" t="s">
        <v>40</v>
      </c>
      <c r="N114" s="29" t="s">
        <v>39</v>
      </c>
      <c r="O114" s="29" t="s">
        <v>66</v>
      </c>
      <c r="P114" s="29" t="s">
        <v>35</v>
      </c>
    </row>
    <row r="115" spans="2:16" x14ac:dyDescent="0.3">
      <c r="B115" s="26" t="s">
        <v>5</v>
      </c>
      <c r="C115" s="26" t="str">
        <f t="shared" si="1"/>
        <v>Residential without CL</v>
      </c>
      <c r="D115" s="26" t="s">
        <v>6</v>
      </c>
      <c r="E115" s="26" t="s">
        <v>158</v>
      </c>
      <c r="F115" s="26" t="s">
        <v>24</v>
      </c>
      <c r="G115" s="26" t="s">
        <v>54</v>
      </c>
      <c r="H115" s="26" t="s">
        <v>48</v>
      </c>
      <c r="I115" s="166">
        <f>40.17*3.65</f>
        <v>146.62049999999999</v>
      </c>
      <c r="J115" s="166">
        <v>155</v>
      </c>
      <c r="K115" s="14" t="s">
        <v>76</v>
      </c>
      <c r="L115" s="29" t="s">
        <v>60</v>
      </c>
      <c r="M115" s="29" t="s">
        <v>39</v>
      </c>
      <c r="N115" s="29" t="s">
        <v>39</v>
      </c>
      <c r="O115" s="43" t="s">
        <v>63</v>
      </c>
      <c r="P115" s="43" t="s">
        <v>213</v>
      </c>
    </row>
    <row r="116" spans="2:16" x14ac:dyDescent="0.3">
      <c r="B116" s="26" t="s">
        <v>5</v>
      </c>
      <c r="C116" s="26" t="str">
        <f t="shared" si="1"/>
        <v>Residential without CL</v>
      </c>
      <c r="D116" s="26" t="s">
        <v>6</v>
      </c>
      <c r="E116" s="26" t="s">
        <v>158</v>
      </c>
      <c r="F116" s="26" t="s">
        <v>24</v>
      </c>
      <c r="G116" s="26" t="s">
        <v>54</v>
      </c>
      <c r="H116" s="26" t="s">
        <v>49</v>
      </c>
      <c r="I116" s="166">
        <f>9.83*10</f>
        <v>98.3</v>
      </c>
      <c r="J116" s="166">
        <f>8.71*10</f>
        <v>87.100000000000009</v>
      </c>
      <c r="K116" s="14" t="s">
        <v>46</v>
      </c>
      <c r="L116" s="29" t="s">
        <v>60</v>
      </c>
      <c r="M116" s="29" t="s">
        <v>39</v>
      </c>
      <c r="N116" s="29" t="s">
        <v>39</v>
      </c>
      <c r="O116" s="43" t="s">
        <v>63</v>
      </c>
      <c r="P116" s="43" t="s">
        <v>213</v>
      </c>
    </row>
    <row r="117" spans="2:16" x14ac:dyDescent="0.3">
      <c r="B117" s="26" t="s">
        <v>5</v>
      </c>
      <c r="C117" s="26" t="str">
        <f t="shared" si="1"/>
        <v>Residential without CL</v>
      </c>
      <c r="D117" s="26" t="s">
        <v>6</v>
      </c>
      <c r="E117" s="26" t="s">
        <v>158</v>
      </c>
      <c r="F117" s="26" t="s">
        <v>24</v>
      </c>
      <c r="G117" s="26" t="s">
        <v>54</v>
      </c>
      <c r="H117" s="26" t="s">
        <v>49</v>
      </c>
      <c r="I117" s="166">
        <f>10.49*10</f>
        <v>104.9</v>
      </c>
      <c r="J117" s="166">
        <f>8.71*10</f>
        <v>87.100000000000009</v>
      </c>
      <c r="K117" s="14" t="s">
        <v>46</v>
      </c>
      <c r="L117" s="29" t="s">
        <v>61</v>
      </c>
      <c r="M117" s="29" t="s">
        <v>39</v>
      </c>
      <c r="N117" s="29" t="s">
        <v>39</v>
      </c>
      <c r="O117" s="43" t="s">
        <v>63</v>
      </c>
      <c r="P117" s="43" t="s">
        <v>213</v>
      </c>
    </row>
    <row r="118" spans="2:16" x14ac:dyDescent="0.3">
      <c r="B118" s="26" t="s">
        <v>5</v>
      </c>
      <c r="C118" s="26" t="str">
        <f t="shared" si="1"/>
        <v>Residential without CL</v>
      </c>
      <c r="D118" s="26" t="s">
        <v>6</v>
      </c>
      <c r="E118" s="26" t="s">
        <v>158</v>
      </c>
      <c r="F118" s="26" t="s">
        <v>24</v>
      </c>
      <c r="G118" s="26" t="s">
        <v>55</v>
      </c>
      <c r="H118" s="26" t="s">
        <v>49</v>
      </c>
      <c r="I118" s="166">
        <f>3.25*10</f>
        <v>32.5</v>
      </c>
      <c r="J118" s="166">
        <f>3.41*10</f>
        <v>34.1</v>
      </c>
      <c r="K118" s="14" t="s">
        <v>46</v>
      </c>
      <c r="L118" s="29" t="s">
        <v>58</v>
      </c>
      <c r="M118" s="29" t="s">
        <v>39</v>
      </c>
      <c r="N118" s="29" t="s">
        <v>39</v>
      </c>
      <c r="O118" s="43" t="s">
        <v>63</v>
      </c>
      <c r="P118" s="43" t="s">
        <v>213</v>
      </c>
    </row>
    <row r="119" spans="2:16" x14ac:dyDescent="0.3">
      <c r="B119" s="26" t="s">
        <v>5</v>
      </c>
      <c r="C119" s="26" t="str">
        <f t="shared" si="1"/>
        <v>Residential without CL</v>
      </c>
      <c r="D119" s="26" t="s">
        <v>6</v>
      </c>
      <c r="E119" s="26" t="s">
        <v>158</v>
      </c>
      <c r="F119" s="26" t="s">
        <v>24</v>
      </c>
      <c r="G119" s="26" t="s">
        <v>87</v>
      </c>
      <c r="H119" s="26" t="s">
        <v>48</v>
      </c>
      <c r="I119" s="166">
        <f>4.03*3.65</f>
        <v>14.7095</v>
      </c>
      <c r="J119" s="166">
        <f>15</f>
        <v>15</v>
      </c>
      <c r="K119" s="14" t="s">
        <v>76</v>
      </c>
      <c r="L119" s="29" t="s">
        <v>58</v>
      </c>
      <c r="M119" s="29" t="s">
        <v>39</v>
      </c>
      <c r="N119" s="29" t="s">
        <v>39</v>
      </c>
      <c r="O119" s="43" t="s">
        <v>63</v>
      </c>
      <c r="P119" s="43" t="s">
        <v>213</v>
      </c>
    </row>
    <row r="120" spans="2:16" x14ac:dyDescent="0.3">
      <c r="B120" s="26" t="s">
        <v>5</v>
      </c>
      <c r="C120" s="26" t="str">
        <f t="shared" si="1"/>
        <v>Residential without CL</v>
      </c>
      <c r="D120" s="26" t="s">
        <v>6</v>
      </c>
      <c r="E120" s="26" t="s">
        <v>158</v>
      </c>
      <c r="F120" s="26" t="s">
        <v>24</v>
      </c>
      <c r="G120" s="26" t="s">
        <v>87</v>
      </c>
      <c r="H120" s="26" t="s">
        <v>49</v>
      </c>
      <c r="I120" s="166">
        <f>1.16*10</f>
        <v>11.6</v>
      </c>
      <c r="J120" s="166">
        <f>1.11*10</f>
        <v>11.100000000000001</v>
      </c>
      <c r="K120" s="14" t="s">
        <v>46</v>
      </c>
      <c r="L120" s="29" t="s">
        <v>58</v>
      </c>
      <c r="M120" s="29" t="s">
        <v>39</v>
      </c>
      <c r="N120" s="29" t="s">
        <v>39</v>
      </c>
      <c r="O120" s="43" t="s">
        <v>63</v>
      </c>
      <c r="P120" s="43" t="s">
        <v>213</v>
      </c>
    </row>
    <row r="121" spans="2:16" x14ac:dyDescent="0.3">
      <c r="B121" s="26" t="s">
        <v>5</v>
      </c>
      <c r="C121" s="26" t="str">
        <f t="shared" si="1"/>
        <v>Residential with CL</v>
      </c>
      <c r="D121" s="26" t="s">
        <v>6</v>
      </c>
      <c r="E121" s="26" t="s">
        <v>159</v>
      </c>
      <c r="F121" s="26" t="s">
        <v>15</v>
      </c>
      <c r="G121" s="26" t="s">
        <v>54</v>
      </c>
      <c r="H121" s="26" t="s">
        <v>49</v>
      </c>
      <c r="I121" s="166">
        <f>4.52*10</f>
        <v>45.199999999999996</v>
      </c>
      <c r="J121" s="166">
        <f>4.35*10</f>
        <v>43.5</v>
      </c>
      <c r="K121" s="14" t="s">
        <v>46</v>
      </c>
      <c r="L121" s="29"/>
      <c r="M121" s="29" t="s">
        <v>39</v>
      </c>
      <c r="N121" s="29" t="s">
        <v>39</v>
      </c>
      <c r="O121" s="43" t="s">
        <v>63</v>
      </c>
      <c r="P121" s="43" t="s">
        <v>213</v>
      </c>
    </row>
    <row r="122" spans="2:16" x14ac:dyDescent="0.3">
      <c r="B122" s="26" t="s">
        <v>5</v>
      </c>
      <c r="C122" s="26" t="str">
        <f t="shared" si="1"/>
        <v>Residential with CL</v>
      </c>
      <c r="D122" s="26" t="s">
        <v>6</v>
      </c>
      <c r="E122" s="26" t="s">
        <v>159</v>
      </c>
      <c r="F122" s="26" t="s">
        <v>15</v>
      </c>
      <c r="G122" s="26" t="s">
        <v>55</v>
      </c>
      <c r="H122" s="26" t="s">
        <v>49</v>
      </c>
      <c r="I122" s="166">
        <f>1.66*10</f>
        <v>16.599999999999998</v>
      </c>
      <c r="J122" s="166">
        <f>1.7*10</f>
        <v>17</v>
      </c>
      <c r="K122" s="14" t="s">
        <v>46</v>
      </c>
      <c r="L122" s="29"/>
      <c r="M122" s="29" t="s">
        <v>39</v>
      </c>
      <c r="N122" s="29" t="s">
        <v>39</v>
      </c>
      <c r="O122" s="43" t="s">
        <v>63</v>
      </c>
      <c r="P122" s="43" t="s">
        <v>213</v>
      </c>
    </row>
    <row r="123" spans="2:16" x14ac:dyDescent="0.3">
      <c r="B123" s="26" t="s">
        <v>5</v>
      </c>
      <c r="C123" s="26" t="str">
        <f t="shared" si="1"/>
        <v>Residential with CL</v>
      </c>
      <c r="D123" s="26" t="s">
        <v>6</v>
      </c>
      <c r="E123" s="26" t="s">
        <v>159</v>
      </c>
      <c r="F123" s="26" t="s">
        <v>15</v>
      </c>
      <c r="G123" s="26" t="s">
        <v>87</v>
      </c>
      <c r="H123" s="26" t="s">
        <v>49</v>
      </c>
      <c r="I123" s="166">
        <f>1.16*10</f>
        <v>11.6</v>
      </c>
      <c r="J123" s="166">
        <f>1.11*10</f>
        <v>11.100000000000001</v>
      </c>
      <c r="K123" s="14" t="s">
        <v>46</v>
      </c>
      <c r="L123" s="29"/>
      <c r="M123" s="29" t="s">
        <v>39</v>
      </c>
      <c r="N123" s="29" t="s">
        <v>39</v>
      </c>
      <c r="O123" s="43" t="s">
        <v>63</v>
      </c>
      <c r="P123" s="43" t="s">
        <v>213</v>
      </c>
    </row>
    <row r="124" spans="2:16" x14ac:dyDescent="0.3">
      <c r="B124" s="26" t="s">
        <v>5</v>
      </c>
      <c r="C124" s="26" t="str">
        <f t="shared" si="1"/>
        <v>Residential without CL</v>
      </c>
      <c r="D124" s="26" t="s">
        <v>6</v>
      </c>
      <c r="E124" s="26" t="s">
        <v>158</v>
      </c>
      <c r="F124" s="26" t="s">
        <v>24</v>
      </c>
      <c r="G124" s="26" t="s">
        <v>67</v>
      </c>
      <c r="H124" s="26" t="s">
        <v>48</v>
      </c>
      <c r="I124" s="166">
        <f>22.96+11.11</f>
        <v>34.07</v>
      </c>
      <c r="J124" s="166">
        <f>13+9.65</f>
        <v>22.65</v>
      </c>
      <c r="K124" s="14" t="s">
        <v>76</v>
      </c>
      <c r="L124" s="29" t="s">
        <v>58</v>
      </c>
      <c r="M124" s="29" t="s">
        <v>39</v>
      </c>
      <c r="N124" s="29" t="s">
        <v>39</v>
      </c>
      <c r="O124" s="43" t="s">
        <v>63</v>
      </c>
      <c r="P124" s="43" t="s">
        <v>213</v>
      </c>
    </row>
    <row r="125" spans="2:16" x14ac:dyDescent="0.3">
      <c r="B125" s="26" t="s">
        <v>5</v>
      </c>
      <c r="C125" s="26" t="str">
        <f t="shared" si="1"/>
        <v>Residential with CL</v>
      </c>
      <c r="D125" s="26" t="s">
        <v>6</v>
      </c>
      <c r="E125" s="26" t="s">
        <v>159</v>
      </c>
      <c r="F125" s="26" t="s">
        <v>15</v>
      </c>
      <c r="G125" s="26" t="s">
        <v>67</v>
      </c>
      <c r="H125" s="26" t="s">
        <v>48</v>
      </c>
      <c r="I125" s="166">
        <f>22.96+11.11</f>
        <v>34.07</v>
      </c>
      <c r="J125" s="166">
        <f>13+9.65</f>
        <v>22.65</v>
      </c>
      <c r="K125" s="14" t="s">
        <v>76</v>
      </c>
      <c r="L125" s="29"/>
      <c r="M125" s="29" t="s">
        <v>39</v>
      </c>
      <c r="N125" s="29" t="s">
        <v>39</v>
      </c>
      <c r="O125" s="43" t="s">
        <v>63</v>
      </c>
      <c r="P125" s="43" t="s">
        <v>213</v>
      </c>
    </row>
    <row r="126" spans="2:16" x14ac:dyDescent="0.3">
      <c r="B126" s="26" t="s">
        <v>5</v>
      </c>
      <c r="C126" s="26" t="str">
        <f t="shared" si="1"/>
        <v>Small business without CL</v>
      </c>
      <c r="D126" s="26" t="s">
        <v>14</v>
      </c>
      <c r="E126" s="26" t="s">
        <v>158</v>
      </c>
      <c r="F126" s="26" t="s">
        <v>24</v>
      </c>
      <c r="G126" s="26" t="s">
        <v>54</v>
      </c>
      <c r="H126" s="26" t="s">
        <v>48</v>
      </c>
      <c r="I126" s="166">
        <f>41.98*3.65</f>
        <v>153.22699999999998</v>
      </c>
      <c r="J126" s="166">
        <v>170</v>
      </c>
      <c r="K126" s="14" t="s">
        <v>76</v>
      </c>
      <c r="L126" s="29"/>
      <c r="M126" s="29" t="s">
        <v>39</v>
      </c>
      <c r="N126" s="29" t="s">
        <v>39</v>
      </c>
      <c r="O126" s="43" t="s">
        <v>63</v>
      </c>
      <c r="P126" s="43" t="s">
        <v>213</v>
      </c>
    </row>
    <row r="127" spans="2:16" x14ac:dyDescent="0.3">
      <c r="B127" s="26" t="s">
        <v>5</v>
      </c>
      <c r="C127" s="26" t="str">
        <f t="shared" si="1"/>
        <v>Small business without CL</v>
      </c>
      <c r="D127" s="26" t="s">
        <v>14</v>
      </c>
      <c r="E127" s="26" t="s">
        <v>158</v>
      </c>
      <c r="F127" s="26" t="s">
        <v>24</v>
      </c>
      <c r="G127" s="26" t="s">
        <v>54</v>
      </c>
      <c r="H127" s="26" t="s">
        <v>49</v>
      </c>
      <c r="I127" s="166">
        <f>11.27*10</f>
        <v>112.69999999999999</v>
      </c>
      <c r="J127" s="166">
        <f>9.2*10</f>
        <v>92</v>
      </c>
      <c r="K127" s="14" t="s">
        <v>46</v>
      </c>
      <c r="L127" s="29"/>
      <c r="M127" s="29" t="s">
        <v>39</v>
      </c>
      <c r="N127" s="29" t="s">
        <v>39</v>
      </c>
      <c r="O127" s="43" t="s">
        <v>63</v>
      </c>
      <c r="P127" s="43" t="s">
        <v>213</v>
      </c>
    </row>
    <row r="128" spans="2:16" x14ac:dyDescent="0.3">
      <c r="B128" s="26" t="s">
        <v>5</v>
      </c>
      <c r="C128" s="26" t="str">
        <f t="shared" si="1"/>
        <v>Small business without CL</v>
      </c>
      <c r="D128" s="26" t="s">
        <v>14</v>
      </c>
      <c r="E128" s="26" t="s">
        <v>158</v>
      </c>
      <c r="F128" s="26" t="s">
        <v>24</v>
      </c>
      <c r="G128" s="26" t="s">
        <v>55</v>
      </c>
      <c r="H128" s="26" t="s">
        <v>49</v>
      </c>
      <c r="I128" s="166">
        <f>3.48*10</f>
        <v>34.799999999999997</v>
      </c>
      <c r="J128" s="166">
        <f>3.26*10</f>
        <v>32.599999999999994</v>
      </c>
      <c r="K128" s="14" t="s">
        <v>46</v>
      </c>
      <c r="L128" s="29"/>
      <c r="M128" s="29" t="s">
        <v>39</v>
      </c>
      <c r="N128" s="29" t="s">
        <v>39</v>
      </c>
      <c r="O128" s="43" t="s">
        <v>63</v>
      </c>
      <c r="P128" s="43" t="s">
        <v>213</v>
      </c>
    </row>
    <row r="129" spans="2:16" x14ac:dyDescent="0.3">
      <c r="B129" s="26" t="s">
        <v>5</v>
      </c>
      <c r="C129" s="26" t="str">
        <f t="shared" si="1"/>
        <v>Small business without CL</v>
      </c>
      <c r="D129" s="26" t="s">
        <v>14</v>
      </c>
      <c r="E129" s="26" t="s">
        <v>158</v>
      </c>
      <c r="F129" s="26" t="s">
        <v>24</v>
      </c>
      <c r="G129" s="26" t="s">
        <v>87</v>
      </c>
      <c r="H129" s="26" t="s">
        <v>48</v>
      </c>
      <c r="I129" s="166">
        <f>4.03*3.65</f>
        <v>14.7095</v>
      </c>
      <c r="J129" s="166">
        <f>15</f>
        <v>15</v>
      </c>
      <c r="K129" s="14" t="s">
        <v>76</v>
      </c>
      <c r="L129" s="29"/>
      <c r="M129" s="29" t="s">
        <v>39</v>
      </c>
      <c r="N129" s="29" t="s">
        <v>39</v>
      </c>
      <c r="O129" s="43" t="s">
        <v>63</v>
      </c>
      <c r="P129" s="43" t="s">
        <v>213</v>
      </c>
    </row>
    <row r="130" spans="2:16" x14ac:dyDescent="0.3">
      <c r="B130" s="26" t="s">
        <v>5</v>
      </c>
      <c r="C130" s="26" t="str">
        <f t="shared" si="1"/>
        <v>Small business without CL</v>
      </c>
      <c r="D130" s="26" t="s">
        <v>14</v>
      </c>
      <c r="E130" s="26" t="s">
        <v>158</v>
      </c>
      <c r="F130" s="26" t="s">
        <v>24</v>
      </c>
      <c r="G130" s="26" t="s">
        <v>87</v>
      </c>
      <c r="H130" s="26" t="s">
        <v>49</v>
      </c>
      <c r="I130" s="166">
        <f>0.71*10</f>
        <v>7.1</v>
      </c>
      <c r="J130" s="166">
        <f>0.68*10</f>
        <v>6.8000000000000007</v>
      </c>
      <c r="K130" s="14" t="s">
        <v>46</v>
      </c>
      <c r="L130" s="29"/>
      <c r="M130" s="29" t="s">
        <v>39</v>
      </c>
      <c r="N130" s="29" t="s">
        <v>39</v>
      </c>
      <c r="O130" s="43" t="s">
        <v>63</v>
      </c>
      <c r="P130" s="43" t="s">
        <v>213</v>
      </c>
    </row>
    <row r="131" spans="2:16" x14ac:dyDescent="0.3">
      <c r="B131" s="26" t="s">
        <v>5</v>
      </c>
      <c r="C131" s="26" t="str">
        <f t="shared" si="1"/>
        <v>Small business without CL</v>
      </c>
      <c r="D131" s="26" t="s">
        <v>14</v>
      </c>
      <c r="E131" s="26" t="s">
        <v>158</v>
      </c>
      <c r="F131" s="26" t="s">
        <v>24</v>
      </c>
      <c r="G131" s="26" t="s">
        <v>67</v>
      </c>
      <c r="H131" s="26" t="s">
        <v>48</v>
      </c>
      <c r="I131" s="166">
        <f t="shared" ref="I131" si="6">22.96+11.11</f>
        <v>34.07</v>
      </c>
      <c r="J131" s="166">
        <f>13+9.65</f>
        <v>22.65</v>
      </c>
      <c r="K131" s="14" t="s">
        <v>76</v>
      </c>
      <c r="L131" s="29"/>
      <c r="M131" s="29" t="s">
        <v>39</v>
      </c>
      <c r="N131" s="29" t="s">
        <v>39</v>
      </c>
      <c r="O131" s="43" t="s">
        <v>63</v>
      </c>
      <c r="P131" s="43" t="s">
        <v>213</v>
      </c>
    </row>
    <row r="132" spans="2:16" hidden="1" x14ac:dyDescent="0.3">
      <c r="B132" s="26" t="s">
        <v>5</v>
      </c>
      <c r="C132" s="26" t="str">
        <f t="shared" si="1"/>
        <v>All</v>
      </c>
      <c r="D132" s="26"/>
      <c r="E132" s="26"/>
      <c r="F132" s="26"/>
      <c r="G132" s="26" t="s">
        <v>54</v>
      </c>
      <c r="H132" s="26" t="s">
        <v>157</v>
      </c>
      <c r="I132" s="166"/>
      <c r="J132" s="167">
        <v>-0.112</v>
      </c>
      <c r="K132" s="14" t="s">
        <v>33</v>
      </c>
      <c r="L132" s="29"/>
      <c r="M132" s="29" t="s">
        <v>40</v>
      </c>
      <c r="N132" s="29" t="s">
        <v>39</v>
      </c>
      <c r="O132" s="29" t="s">
        <v>66</v>
      </c>
      <c r="P132" s="43" t="s">
        <v>171</v>
      </c>
    </row>
    <row r="133" spans="2:16" hidden="1" x14ac:dyDescent="0.3">
      <c r="B133" s="26" t="s">
        <v>5</v>
      </c>
      <c r="C133" s="26" t="str">
        <f t="shared" si="1"/>
        <v>All</v>
      </c>
      <c r="D133" s="26"/>
      <c r="E133" s="26"/>
      <c r="F133" s="26"/>
      <c r="G133" s="26" t="s">
        <v>55</v>
      </c>
      <c r="H133" s="26" t="s">
        <v>157</v>
      </c>
      <c r="I133" s="166"/>
      <c r="J133" s="167">
        <v>4.0841000000000002E-2</v>
      </c>
      <c r="K133" s="14" t="s">
        <v>33</v>
      </c>
      <c r="L133" s="29"/>
      <c r="M133" s="29" t="s">
        <v>40</v>
      </c>
      <c r="N133" s="29" t="s">
        <v>39</v>
      </c>
      <c r="O133" s="29" t="s">
        <v>66</v>
      </c>
      <c r="P133" s="43" t="s">
        <v>174</v>
      </c>
    </row>
    <row r="134" spans="2:16" hidden="1" x14ac:dyDescent="0.3">
      <c r="B134" s="26" t="s">
        <v>5</v>
      </c>
      <c r="C134" s="26" t="str">
        <f t="shared" si="1"/>
        <v>All</v>
      </c>
      <c r="D134" s="26"/>
      <c r="E134" s="26"/>
      <c r="F134" s="26"/>
      <c r="G134" s="26" t="s">
        <v>67</v>
      </c>
      <c r="H134" s="26" t="s">
        <v>157</v>
      </c>
      <c r="I134" s="166"/>
      <c r="J134" s="167">
        <v>0</v>
      </c>
      <c r="K134" s="14" t="s">
        <v>33</v>
      </c>
      <c r="L134" s="29"/>
      <c r="M134" s="29" t="s">
        <v>40</v>
      </c>
      <c r="N134" s="29" t="s">
        <v>39</v>
      </c>
      <c r="O134" s="29" t="s">
        <v>66</v>
      </c>
      <c r="P134" s="29" t="s">
        <v>35</v>
      </c>
    </row>
    <row r="135" spans="2:16" x14ac:dyDescent="0.3">
      <c r="B135" s="26" t="s">
        <v>2</v>
      </c>
      <c r="C135" s="26" t="str">
        <f t="shared" si="1"/>
        <v>Residential without CL</v>
      </c>
      <c r="D135" s="26" t="s">
        <v>6</v>
      </c>
      <c r="E135" s="26" t="s">
        <v>158</v>
      </c>
      <c r="F135" s="26" t="s">
        <v>24</v>
      </c>
      <c r="G135" s="26" t="s">
        <v>78</v>
      </c>
      <c r="H135" s="26" t="s">
        <v>49</v>
      </c>
      <c r="I135" s="168">
        <v>102.99</v>
      </c>
      <c r="J135" s="168">
        <v>104.12</v>
      </c>
      <c r="K135" s="14" t="s">
        <v>46</v>
      </c>
      <c r="L135" s="29"/>
      <c r="M135" s="29" t="s">
        <v>39</v>
      </c>
      <c r="N135" s="29" t="s">
        <v>39</v>
      </c>
      <c r="O135" s="29" t="s">
        <v>167</v>
      </c>
      <c r="P135" s="29" t="s">
        <v>167</v>
      </c>
    </row>
    <row r="136" spans="2:16" x14ac:dyDescent="0.3">
      <c r="B136" s="26" t="s">
        <v>2</v>
      </c>
      <c r="C136" s="26" t="str">
        <f t="shared" si="1"/>
        <v>Residential with CL</v>
      </c>
      <c r="D136" s="26" t="s">
        <v>6</v>
      </c>
      <c r="E136" s="26" t="s">
        <v>159</v>
      </c>
      <c r="F136" s="26" t="s">
        <v>15</v>
      </c>
      <c r="G136" s="26" t="s">
        <v>78</v>
      </c>
      <c r="H136" s="26" t="s">
        <v>49</v>
      </c>
      <c r="I136" s="168">
        <v>76.739999999999995</v>
      </c>
      <c r="J136" s="168">
        <v>67.98</v>
      </c>
      <c r="K136" s="14" t="s">
        <v>46</v>
      </c>
      <c r="L136" s="29"/>
      <c r="M136" s="29" t="s">
        <v>39</v>
      </c>
      <c r="N136" s="29" t="s">
        <v>39</v>
      </c>
      <c r="O136" s="29" t="s">
        <v>167</v>
      </c>
      <c r="P136" s="29" t="s">
        <v>167</v>
      </c>
    </row>
    <row r="137" spans="2:16" x14ac:dyDescent="0.3">
      <c r="B137" s="26" t="s">
        <v>2</v>
      </c>
      <c r="C137" s="26" t="str">
        <f t="shared" ref="C137:C196" si="7">IF(D137="","All",D137&amp;" "&amp;E137)</f>
        <v>Residential with CL</v>
      </c>
      <c r="D137" s="26" t="s">
        <v>6</v>
      </c>
      <c r="E137" s="26" t="s">
        <v>159</v>
      </c>
      <c r="F137" s="26" t="s">
        <v>16</v>
      </c>
      <c r="G137" s="26" t="s">
        <v>78</v>
      </c>
      <c r="H137" s="26" t="s">
        <v>49</v>
      </c>
      <c r="I137" s="168">
        <v>72.459999999999994</v>
      </c>
      <c r="J137" s="168">
        <v>66.31</v>
      </c>
      <c r="K137" s="14" t="s">
        <v>46</v>
      </c>
      <c r="L137" s="29"/>
      <c r="M137" s="29" t="s">
        <v>39</v>
      </c>
      <c r="N137" s="29" t="s">
        <v>39</v>
      </c>
      <c r="O137" s="29" t="s">
        <v>167</v>
      </c>
      <c r="P137" s="29" t="s">
        <v>167</v>
      </c>
    </row>
    <row r="138" spans="2:16" x14ac:dyDescent="0.3">
      <c r="B138" s="26" t="s">
        <v>2</v>
      </c>
      <c r="C138" s="26" t="str">
        <f t="shared" si="7"/>
        <v>Small business without CL</v>
      </c>
      <c r="D138" s="26" t="s">
        <v>14</v>
      </c>
      <c r="E138" s="26" t="s">
        <v>158</v>
      </c>
      <c r="F138" s="26" t="s">
        <v>24</v>
      </c>
      <c r="G138" s="26" t="s">
        <v>78</v>
      </c>
      <c r="H138" s="26" t="s">
        <v>49</v>
      </c>
      <c r="I138" s="168">
        <v>102.99</v>
      </c>
      <c r="J138" s="168">
        <v>104.12</v>
      </c>
      <c r="K138" s="14" t="s">
        <v>46</v>
      </c>
      <c r="L138" s="29"/>
      <c r="M138" s="29" t="s">
        <v>39</v>
      </c>
      <c r="N138" s="29" t="s">
        <v>39</v>
      </c>
      <c r="O138" s="29" t="s">
        <v>167</v>
      </c>
      <c r="P138" s="29" t="s">
        <v>167</v>
      </c>
    </row>
    <row r="139" spans="2:16" x14ac:dyDescent="0.3">
      <c r="B139" s="26" t="s">
        <v>2</v>
      </c>
      <c r="C139" s="26" t="str">
        <f t="shared" si="7"/>
        <v>All</v>
      </c>
      <c r="D139" s="26"/>
      <c r="E139" s="26"/>
      <c r="F139" s="26"/>
      <c r="G139" s="26" t="s">
        <v>79</v>
      </c>
      <c r="H139" s="26" t="s">
        <v>49</v>
      </c>
      <c r="I139" s="168">
        <v>0.37</v>
      </c>
      <c r="J139" s="168">
        <v>0.74</v>
      </c>
      <c r="K139" s="14" t="s">
        <v>46</v>
      </c>
      <c r="L139" s="29"/>
      <c r="M139" s="29" t="s">
        <v>39</v>
      </c>
      <c r="N139" s="29" t="s">
        <v>39</v>
      </c>
      <c r="O139" s="29" t="s">
        <v>167</v>
      </c>
      <c r="P139" s="29" t="s">
        <v>167</v>
      </c>
    </row>
    <row r="140" spans="2:16" x14ac:dyDescent="0.3">
      <c r="B140" s="26" t="s">
        <v>2</v>
      </c>
      <c r="C140" s="26" t="str">
        <f t="shared" si="7"/>
        <v>All</v>
      </c>
      <c r="D140" s="26"/>
      <c r="E140" s="26"/>
      <c r="F140" s="26"/>
      <c r="G140" s="26" t="s">
        <v>89</v>
      </c>
      <c r="H140" s="26" t="s">
        <v>49</v>
      </c>
      <c r="I140" s="168">
        <v>0.63</v>
      </c>
      <c r="J140" s="168">
        <v>0.7</v>
      </c>
      <c r="K140" s="14" t="s">
        <v>46</v>
      </c>
      <c r="L140" s="29"/>
      <c r="M140" s="29" t="s">
        <v>39</v>
      </c>
      <c r="N140" s="29" t="s">
        <v>39</v>
      </c>
      <c r="O140" s="29" t="s">
        <v>167</v>
      </c>
      <c r="P140" s="29" t="s">
        <v>167</v>
      </c>
    </row>
    <row r="141" spans="2:16" x14ac:dyDescent="0.3">
      <c r="B141" s="26" t="s">
        <v>2</v>
      </c>
      <c r="C141" s="26" t="str">
        <f t="shared" si="7"/>
        <v>All</v>
      </c>
      <c r="D141" s="26"/>
      <c r="E141" s="26"/>
      <c r="F141" s="26"/>
      <c r="G141" s="26" t="s">
        <v>80</v>
      </c>
      <c r="H141" s="26" t="s">
        <v>49</v>
      </c>
      <c r="I141" s="168">
        <v>0</v>
      </c>
      <c r="J141" s="168">
        <v>0</v>
      </c>
      <c r="K141" s="14" t="s">
        <v>46</v>
      </c>
      <c r="L141" s="29"/>
      <c r="M141" s="29" t="s">
        <v>39</v>
      </c>
      <c r="N141" s="29" t="s">
        <v>39</v>
      </c>
      <c r="O141" s="29" t="s">
        <v>167</v>
      </c>
      <c r="P141" s="29" t="s">
        <v>167</v>
      </c>
    </row>
    <row r="142" spans="2:16" x14ac:dyDescent="0.3">
      <c r="B142" s="26" t="s">
        <v>2</v>
      </c>
      <c r="C142" s="26" t="str">
        <f t="shared" si="7"/>
        <v>All</v>
      </c>
      <c r="D142" s="26"/>
      <c r="E142" s="26"/>
      <c r="F142" s="26"/>
      <c r="G142" s="26" t="s">
        <v>177</v>
      </c>
      <c r="H142" s="26" t="s">
        <v>49</v>
      </c>
      <c r="I142" s="168">
        <v>2.17</v>
      </c>
      <c r="J142" s="168">
        <v>2.21</v>
      </c>
      <c r="K142" s="14" t="s">
        <v>46</v>
      </c>
      <c r="L142" s="29"/>
      <c r="M142" s="29" t="s">
        <v>39</v>
      </c>
      <c r="N142" s="29" t="s">
        <v>39</v>
      </c>
      <c r="O142" s="29" t="s">
        <v>167</v>
      </c>
      <c r="P142" s="29" t="s">
        <v>167</v>
      </c>
    </row>
    <row r="143" spans="2:16" x14ac:dyDescent="0.3">
      <c r="B143" s="26" t="s">
        <v>2</v>
      </c>
      <c r="C143" s="26" t="str">
        <f t="shared" si="7"/>
        <v>All</v>
      </c>
      <c r="D143" s="26"/>
      <c r="E143" s="26"/>
      <c r="F143" s="26"/>
      <c r="G143" s="26" t="s">
        <v>82</v>
      </c>
      <c r="H143" s="26" t="s">
        <v>49</v>
      </c>
      <c r="I143" s="168">
        <v>9.3800000000000008</v>
      </c>
      <c r="J143" s="168">
        <v>4.5599999999999996</v>
      </c>
      <c r="K143" s="14" t="s">
        <v>46</v>
      </c>
      <c r="L143" s="29"/>
      <c r="M143" s="29" t="s">
        <v>39</v>
      </c>
      <c r="N143" s="29" t="s">
        <v>39</v>
      </c>
      <c r="O143" s="29" t="s">
        <v>167</v>
      </c>
      <c r="P143" s="29" t="s">
        <v>167</v>
      </c>
    </row>
    <row r="144" spans="2:16" x14ac:dyDescent="0.3">
      <c r="B144" s="26" t="s">
        <v>2</v>
      </c>
      <c r="C144" s="26" t="str">
        <f t="shared" si="7"/>
        <v>All</v>
      </c>
      <c r="D144" s="26"/>
      <c r="E144" s="26"/>
      <c r="F144" s="26"/>
      <c r="G144" s="26" t="s">
        <v>83</v>
      </c>
      <c r="H144" s="26" t="s">
        <v>49</v>
      </c>
      <c r="I144" s="168">
        <v>7.26</v>
      </c>
      <c r="J144" s="168">
        <v>9.7200000000000006</v>
      </c>
      <c r="K144" s="14" t="s">
        <v>46</v>
      </c>
      <c r="L144" s="29"/>
      <c r="M144" s="29" t="s">
        <v>39</v>
      </c>
      <c r="N144" s="29" t="s">
        <v>39</v>
      </c>
      <c r="O144" s="29" t="s">
        <v>167</v>
      </c>
      <c r="P144" s="29" t="s">
        <v>167</v>
      </c>
    </row>
    <row r="145" spans="2:16" x14ac:dyDescent="0.3">
      <c r="B145" s="26" t="s">
        <v>2</v>
      </c>
      <c r="C145" s="26" t="str">
        <f t="shared" si="7"/>
        <v>All</v>
      </c>
      <c r="D145" s="26"/>
      <c r="E145" s="26"/>
      <c r="F145" s="26"/>
      <c r="G145" s="26" t="s">
        <v>84</v>
      </c>
      <c r="H145" s="26" t="s">
        <v>49</v>
      </c>
      <c r="I145" s="168">
        <v>1.8</v>
      </c>
      <c r="J145" s="168">
        <v>2.0299999999999998</v>
      </c>
      <c r="K145" s="14" t="s">
        <v>46</v>
      </c>
      <c r="L145" s="29"/>
      <c r="M145" s="29" t="s">
        <v>39</v>
      </c>
      <c r="N145" s="29" t="s">
        <v>39</v>
      </c>
      <c r="O145" s="29" t="s">
        <v>167</v>
      </c>
      <c r="P145" s="29" t="s">
        <v>167</v>
      </c>
    </row>
    <row r="146" spans="2:16" x14ac:dyDescent="0.3">
      <c r="B146" s="26" t="s">
        <v>2</v>
      </c>
      <c r="C146" s="26" t="str">
        <f t="shared" si="7"/>
        <v>Residential without CL</v>
      </c>
      <c r="D146" s="26" t="s">
        <v>6</v>
      </c>
      <c r="E146" s="26" t="s">
        <v>158</v>
      </c>
      <c r="F146" s="26" t="s">
        <v>24</v>
      </c>
      <c r="G146" s="26" t="s">
        <v>81</v>
      </c>
      <c r="H146" s="26" t="s">
        <v>49</v>
      </c>
      <c r="I146" s="169">
        <v>4.9000000000000002E-2</v>
      </c>
      <c r="J146" s="169">
        <v>5.2999999999999999E-2</v>
      </c>
      <c r="K146" s="14" t="s">
        <v>33</v>
      </c>
      <c r="L146" s="29"/>
      <c r="M146" s="29" t="s">
        <v>39</v>
      </c>
      <c r="N146" s="29" t="s">
        <v>39</v>
      </c>
      <c r="O146" s="29" t="s">
        <v>167</v>
      </c>
      <c r="P146" s="29" t="s">
        <v>167</v>
      </c>
    </row>
    <row r="147" spans="2:16" x14ac:dyDescent="0.3">
      <c r="B147" s="26" t="s">
        <v>2</v>
      </c>
      <c r="C147" s="26" t="str">
        <f t="shared" si="7"/>
        <v>Residential with CL</v>
      </c>
      <c r="D147" s="26" t="s">
        <v>6</v>
      </c>
      <c r="E147" s="26" t="s">
        <v>159</v>
      </c>
      <c r="F147" s="26" t="s">
        <v>15</v>
      </c>
      <c r="G147" s="26" t="s">
        <v>81</v>
      </c>
      <c r="H147" s="26" t="s">
        <v>49</v>
      </c>
      <c r="I147" s="169">
        <v>5.2999999999999999E-2</v>
      </c>
      <c r="J147" s="169">
        <v>5.6000000000000001E-2</v>
      </c>
      <c r="K147" s="14" t="s">
        <v>33</v>
      </c>
      <c r="L147" s="29"/>
      <c r="M147" s="29" t="s">
        <v>39</v>
      </c>
      <c r="N147" s="29" t="s">
        <v>39</v>
      </c>
      <c r="O147" s="29" t="s">
        <v>167</v>
      </c>
      <c r="P147" s="29" t="s">
        <v>167</v>
      </c>
    </row>
    <row r="148" spans="2:16" x14ac:dyDescent="0.3">
      <c r="B148" s="26" t="s">
        <v>2</v>
      </c>
      <c r="C148" s="26" t="str">
        <f t="shared" ref="C148:C149" si="8">IF(D148="","All",D148&amp;" "&amp;E148)</f>
        <v>Residential with CL</v>
      </c>
      <c r="D148" s="26" t="s">
        <v>6</v>
      </c>
      <c r="E148" s="26" t="s">
        <v>159</v>
      </c>
      <c r="F148" s="26" t="s">
        <v>16</v>
      </c>
      <c r="G148" s="26" t="s">
        <v>81</v>
      </c>
      <c r="H148" s="26" t="s">
        <v>49</v>
      </c>
      <c r="I148" s="169">
        <v>5.2999999999999999E-2</v>
      </c>
      <c r="J148" s="169">
        <v>5.6000000000000001E-2</v>
      </c>
      <c r="K148" s="14" t="s">
        <v>33</v>
      </c>
      <c r="L148" s="29"/>
      <c r="M148" s="29" t="s">
        <v>39</v>
      </c>
      <c r="N148" s="29" t="s">
        <v>39</v>
      </c>
      <c r="O148" s="29" t="s">
        <v>167</v>
      </c>
      <c r="P148" s="29" t="s">
        <v>167</v>
      </c>
    </row>
    <row r="149" spans="2:16" x14ac:dyDescent="0.3">
      <c r="B149" s="26" t="s">
        <v>2</v>
      </c>
      <c r="C149" s="26" t="str">
        <f t="shared" si="8"/>
        <v>Small business without CL</v>
      </c>
      <c r="D149" s="26" t="s">
        <v>14</v>
      </c>
      <c r="E149" s="26" t="s">
        <v>158</v>
      </c>
      <c r="F149" s="26" t="s">
        <v>24</v>
      </c>
      <c r="G149" s="26" t="s">
        <v>81</v>
      </c>
      <c r="H149" s="26" t="s">
        <v>49</v>
      </c>
      <c r="I149" s="169">
        <v>4.9000000000000002E-2</v>
      </c>
      <c r="J149" s="169">
        <v>5.2999999999999999E-2</v>
      </c>
      <c r="K149" s="14" t="s">
        <v>33</v>
      </c>
      <c r="L149" s="29"/>
      <c r="M149" s="29" t="s">
        <v>39</v>
      </c>
      <c r="N149" s="29" t="s">
        <v>39</v>
      </c>
      <c r="O149" s="29" t="s">
        <v>167</v>
      </c>
      <c r="P149" s="29" t="s">
        <v>167</v>
      </c>
    </row>
    <row r="150" spans="2:16" x14ac:dyDescent="0.3">
      <c r="B150" s="26" t="s">
        <v>4</v>
      </c>
      <c r="C150" s="26" t="str">
        <f t="shared" si="7"/>
        <v>Residential without CL</v>
      </c>
      <c r="D150" s="26" t="s">
        <v>6</v>
      </c>
      <c r="E150" s="26" t="s">
        <v>158</v>
      </c>
      <c r="F150" s="26" t="s">
        <v>24</v>
      </c>
      <c r="G150" s="26" t="s">
        <v>78</v>
      </c>
      <c r="H150" s="26" t="s">
        <v>49</v>
      </c>
      <c r="I150" s="168">
        <v>99.94</v>
      </c>
      <c r="J150" s="168">
        <v>104.05</v>
      </c>
      <c r="K150" s="14" t="s">
        <v>46</v>
      </c>
      <c r="L150" s="29"/>
      <c r="M150" s="29" t="s">
        <v>39</v>
      </c>
      <c r="N150" s="29" t="s">
        <v>39</v>
      </c>
      <c r="O150" s="29" t="s">
        <v>167</v>
      </c>
      <c r="P150" s="29" t="s">
        <v>167</v>
      </c>
    </row>
    <row r="151" spans="2:16" x14ac:dyDescent="0.3">
      <c r="B151" s="26" t="s">
        <v>4</v>
      </c>
      <c r="C151" s="26" t="str">
        <f t="shared" si="7"/>
        <v>Residential with CL</v>
      </c>
      <c r="D151" s="26" t="s">
        <v>6</v>
      </c>
      <c r="E151" s="26" t="s">
        <v>159</v>
      </c>
      <c r="F151" s="26" t="s">
        <v>15</v>
      </c>
      <c r="G151" s="26" t="s">
        <v>78</v>
      </c>
      <c r="H151" s="26" t="s">
        <v>49</v>
      </c>
      <c r="I151" s="168">
        <v>90.44</v>
      </c>
      <c r="J151" s="168">
        <v>96.51</v>
      </c>
      <c r="K151" s="14" t="s">
        <v>46</v>
      </c>
      <c r="L151" s="29"/>
      <c r="M151" s="29" t="s">
        <v>39</v>
      </c>
      <c r="N151" s="29" t="s">
        <v>39</v>
      </c>
      <c r="O151" s="29" t="s">
        <v>167</v>
      </c>
      <c r="P151" s="29" t="s">
        <v>167</v>
      </c>
    </row>
    <row r="152" spans="2:16" x14ac:dyDescent="0.3">
      <c r="B152" s="26" t="s">
        <v>4</v>
      </c>
      <c r="C152" s="26" t="str">
        <f t="shared" si="7"/>
        <v>Residential with CL</v>
      </c>
      <c r="D152" s="26" t="s">
        <v>6</v>
      </c>
      <c r="E152" s="26" t="s">
        <v>159</v>
      </c>
      <c r="F152" s="26" t="s">
        <v>16</v>
      </c>
      <c r="G152" s="26" t="s">
        <v>78</v>
      </c>
      <c r="H152" s="26" t="s">
        <v>49</v>
      </c>
      <c r="I152" s="168">
        <v>90.44</v>
      </c>
      <c r="J152" s="168">
        <v>96.51</v>
      </c>
      <c r="K152" s="14" t="s">
        <v>46</v>
      </c>
      <c r="L152" s="29"/>
      <c r="M152" s="29" t="s">
        <v>39</v>
      </c>
      <c r="N152" s="29" t="s">
        <v>39</v>
      </c>
      <c r="O152" s="29" t="s">
        <v>167</v>
      </c>
      <c r="P152" s="29" t="s">
        <v>167</v>
      </c>
    </row>
    <row r="153" spans="2:16" x14ac:dyDescent="0.3">
      <c r="B153" s="26" t="s">
        <v>4</v>
      </c>
      <c r="C153" s="26" t="str">
        <f t="shared" si="7"/>
        <v>Small business without CL</v>
      </c>
      <c r="D153" s="26" t="s">
        <v>14</v>
      </c>
      <c r="E153" s="26" t="s">
        <v>158</v>
      </c>
      <c r="F153" s="26" t="s">
        <v>24</v>
      </c>
      <c r="G153" s="26" t="s">
        <v>78</v>
      </c>
      <c r="H153" s="26" t="s">
        <v>49</v>
      </c>
      <c r="I153" s="168">
        <v>99.94</v>
      </c>
      <c r="J153" s="168">
        <v>104.05</v>
      </c>
      <c r="K153" s="14" t="s">
        <v>46</v>
      </c>
      <c r="L153" s="29"/>
      <c r="M153" s="29" t="s">
        <v>39</v>
      </c>
      <c r="N153" s="29" t="s">
        <v>39</v>
      </c>
      <c r="O153" s="29" t="s">
        <v>167</v>
      </c>
      <c r="P153" s="29" t="s">
        <v>167</v>
      </c>
    </row>
    <row r="154" spans="2:16" x14ac:dyDescent="0.3">
      <c r="B154" s="26" t="s">
        <v>4</v>
      </c>
      <c r="C154" s="26" t="str">
        <f t="shared" si="7"/>
        <v>All</v>
      </c>
      <c r="D154" s="26"/>
      <c r="E154" s="26"/>
      <c r="F154" s="26"/>
      <c r="G154" s="26" t="s">
        <v>79</v>
      </c>
      <c r="H154" s="26" t="s">
        <v>49</v>
      </c>
      <c r="I154" s="168">
        <v>0.37</v>
      </c>
      <c r="J154" s="168">
        <v>0.74</v>
      </c>
      <c r="K154" s="14" t="s">
        <v>46</v>
      </c>
      <c r="L154" s="29"/>
      <c r="M154" s="29" t="s">
        <v>39</v>
      </c>
      <c r="N154" s="29" t="s">
        <v>39</v>
      </c>
      <c r="O154" s="29" t="s">
        <v>167</v>
      </c>
      <c r="P154" s="29" t="s">
        <v>167</v>
      </c>
    </row>
    <row r="155" spans="2:16" x14ac:dyDescent="0.3">
      <c r="B155" s="26" t="s">
        <v>4</v>
      </c>
      <c r="C155" s="26" t="str">
        <f t="shared" si="7"/>
        <v>All</v>
      </c>
      <c r="D155" s="26"/>
      <c r="E155" s="26"/>
      <c r="F155" s="26"/>
      <c r="G155" s="26" t="s">
        <v>89</v>
      </c>
      <c r="H155" s="26" t="s">
        <v>49</v>
      </c>
      <c r="I155" s="168">
        <v>0.63</v>
      </c>
      <c r="J155" s="168">
        <v>0.7</v>
      </c>
      <c r="K155" s="14" t="s">
        <v>46</v>
      </c>
      <c r="L155" s="29"/>
      <c r="M155" s="29" t="s">
        <v>39</v>
      </c>
      <c r="N155" s="29" t="s">
        <v>39</v>
      </c>
      <c r="O155" s="29" t="s">
        <v>167</v>
      </c>
      <c r="P155" s="29" t="s">
        <v>167</v>
      </c>
    </row>
    <row r="156" spans="2:16" x14ac:dyDescent="0.3">
      <c r="B156" s="26" t="s">
        <v>4</v>
      </c>
      <c r="C156" s="26" t="str">
        <f t="shared" si="7"/>
        <v>All</v>
      </c>
      <c r="D156" s="26"/>
      <c r="E156" s="26"/>
      <c r="F156" s="26"/>
      <c r="G156" s="26" t="s">
        <v>80</v>
      </c>
      <c r="H156" s="26" t="s">
        <v>49</v>
      </c>
      <c r="I156" s="168">
        <v>0</v>
      </c>
      <c r="J156" s="168">
        <v>0</v>
      </c>
      <c r="K156" s="14" t="s">
        <v>46</v>
      </c>
      <c r="L156" s="29"/>
      <c r="M156" s="29" t="s">
        <v>39</v>
      </c>
      <c r="N156" s="29" t="s">
        <v>39</v>
      </c>
      <c r="O156" s="29" t="s">
        <v>167</v>
      </c>
      <c r="P156" s="29" t="s">
        <v>167</v>
      </c>
    </row>
    <row r="157" spans="2:16" x14ac:dyDescent="0.3">
      <c r="B157" s="26" t="s">
        <v>4</v>
      </c>
      <c r="C157" s="26" t="str">
        <f t="shared" si="7"/>
        <v>All</v>
      </c>
      <c r="D157" s="26"/>
      <c r="E157" s="26"/>
      <c r="F157" s="26"/>
      <c r="G157" s="26" t="s">
        <v>177</v>
      </c>
      <c r="H157" s="26" t="s">
        <v>49</v>
      </c>
      <c r="I157" s="168">
        <v>2.0099999999999998</v>
      </c>
      <c r="J157" s="168">
        <v>2.02</v>
      </c>
      <c r="K157" s="14" t="s">
        <v>46</v>
      </c>
      <c r="L157" s="29"/>
      <c r="M157" s="29" t="s">
        <v>39</v>
      </c>
      <c r="N157" s="29" t="s">
        <v>39</v>
      </c>
      <c r="O157" s="29" t="s">
        <v>167</v>
      </c>
      <c r="P157" s="29" t="s">
        <v>167</v>
      </c>
    </row>
    <row r="158" spans="2:16" x14ac:dyDescent="0.3">
      <c r="B158" s="26" t="s">
        <v>4</v>
      </c>
      <c r="C158" s="26" t="str">
        <f t="shared" si="7"/>
        <v>All</v>
      </c>
      <c r="D158" s="26"/>
      <c r="E158" s="26"/>
      <c r="F158" s="26"/>
      <c r="G158" s="26" t="s">
        <v>82</v>
      </c>
      <c r="H158" s="26" t="s">
        <v>49</v>
      </c>
      <c r="I158" s="168">
        <v>9.3800000000000008</v>
      </c>
      <c r="J158" s="168">
        <v>4.5599999999999996</v>
      </c>
      <c r="K158" s="14" t="s">
        <v>46</v>
      </c>
      <c r="L158" s="29"/>
      <c r="M158" s="29" t="s">
        <v>39</v>
      </c>
      <c r="N158" s="29" t="s">
        <v>39</v>
      </c>
      <c r="O158" s="29" t="s">
        <v>167</v>
      </c>
      <c r="P158" s="29" t="s">
        <v>167</v>
      </c>
    </row>
    <row r="159" spans="2:16" x14ac:dyDescent="0.3">
      <c r="B159" s="26" t="s">
        <v>4</v>
      </c>
      <c r="C159" s="26" t="str">
        <f t="shared" si="7"/>
        <v>All</v>
      </c>
      <c r="D159" s="26"/>
      <c r="E159" s="26"/>
      <c r="F159" s="26"/>
      <c r="G159" s="26" t="s">
        <v>83</v>
      </c>
      <c r="H159" s="26" t="s">
        <v>49</v>
      </c>
      <c r="I159" s="168">
        <v>7.26</v>
      </c>
      <c r="J159" s="168">
        <v>9.7200000000000006</v>
      </c>
      <c r="K159" s="14" t="s">
        <v>46</v>
      </c>
      <c r="L159" s="29"/>
      <c r="M159" s="29" t="s">
        <v>39</v>
      </c>
      <c r="N159" s="29" t="s">
        <v>39</v>
      </c>
      <c r="O159" s="29" t="s">
        <v>167</v>
      </c>
      <c r="P159" s="29" t="s">
        <v>167</v>
      </c>
    </row>
    <row r="160" spans="2:16" x14ac:dyDescent="0.3">
      <c r="B160" s="26" t="s">
        <v>4</v>
      </c>
      <c r="C160" s="26" t="str">
        <f t="shared" si="7"/>
        <v>All</v>
      </c>
      <c r="D160" s="26"/>
      <c r="E160" s="26"/>
      <c r="F160" s="26"/>
      <c r="G160" s="26" t="s">
        <v>84</v>
      </c>
      <c r="H160" s="26" t="s">
        <v>49</v>
      </c>
      <c r="I160" s="168">
        <v>1.8</v>
      </c>
      <c r="J160" s="168">
        <v>2.0299999999999998</v>
      </c>
      <c r="K160" s="14" t="s">
        <v>46</v>
      </c>
      <c r="L160" s="29"/>
      <c r="M160" s="29" t="s">
        <v>39</v>
      </c>
      <c r="N160" s="29" t="s">
        <v>39</v>
      </c>
      <c r="O160" s="29" t="s">
        <v>167</v>
      </c>
      <c r="P160" s="29" t="s">
        <v>167</v>
      </c>
    </row>
    <row r="161" spans="2:16" x14ac:dyDescent="0.3">
      <c r="B161" s="26" t="s">
        <v>4</v>
      </c>
      <c r="C161" s="26" t="str">
        <f t="shared" si="7"/>
        <v>Residential without CL</v>
      </c>
      <c r="D161" s="26" t="s">
        <v>6</v>
      </c>
      <c r="E161" s="26" t="s">
        <v>158</v>
      </c>
      <c r="F161" s="26" t="s">
        <v>24</v>
      </c>
      <c r="G161" s="26" t="s">
        <v>81</v>
      </c>
      <c r="H161" s="26" t="s">
        <v>49</v>
      </c>
      <c r="I161" s="169">
        <v>5.5E-2</v>
      </c>
      <c r="J161" s="169">
        <v>5.3999999999999999E-2</v>
      </c>
      <c r="K161" s="14" t="s">
        <v>33</v>
      </c>
      <c r="L161" s="29"/>
      <c r="M161" s="29" t="s">
        <v>39</v>
      </c>
      <c r="N161" s="29" t="s">
        <v>39</v>
      </c>
      <c r="O161" s="29" t="s">
        <v>167</v>
      </c>
      <c r="P161" s="29" t="s">
        <v>167</v>
      </c>
    </row>
    <row r="162" spans="2:16" x14ac:dyDescent="0.3">
      <c r="B162" s="26" t="s">
        <v>4</v>
      </c>
      <c r="C162" s="26" t="str">
        <f t="shared" ref="C162:C164" si="9">IF(D162="","All",D162&amp;" "&amp;E162)</f>
        <v>Residential with CL</v>
      </c>
      <c r="D162" s="26" t="s">
        <v>6</v>
      </c>
      <c r="E162" s="26" t="s">
        <v>159</v>
      </c>
      <c r="F162" s="26" t="s">
        <v>15</v>
      </c>
      <c r="G162" s="26" t="s">
        <v>81</v>
      </c>
      <c r="H162" s="26" t="s">
        <v>49</v>
      </c>
      <c r="I162" s="169">
        <v>5.5E-2</v>
      </c>
      <c r="J162" s="169">
        <v>5.3999999999999999E-2</v>
      </c>
      <c r="K162" s="14" t="s">
        <v>33</v>
      </c>
      <c r="L162" s="29"/>
      <c r="M162" s="29" t="s">
        <v>39</v>
      </c>
      <c r="N162" s="29" t="s">
        <v>39</v>
      </c>
      <c r="O162" s="29" t="s">
        <v>167</v>
      </c>
      <c r="P162" s="29" t="s">
        <v>167</v>
      </c>
    </row>
    <row r="163" spans="2:16" x14ac:dyDescent="0.3">
      <c r="B163" s="26" t="s">
        <v>4</v>
      </c>
      <c r="C163" s="26" t="str">
        <f t="shared" si="9"/>
        <v>Residential with CL</v>
      </c>
      <c r="D163" s="26" t="s">
        <v>6</v>
      </c>
      <c r="E163" s="26" t="s">
        <v>159</v>
      </c>
      <c r="F163" s="26" t="s">
        <v>16</v>
      </c>
      <c r="G163" s="26" t="s">
        <v>81</v>
      </c>
      <c r="H163" s="26" t="s">
        <v>49</v>
      </c>
      <c r="I163" s="169">
        <v>5.5E-2</v>
      </c>
      <c r="J163" s="169">
        <v>5.3999999999999999E-2</v>
      </c>
      <c r="K163" s="14" t="s">
        <v>33</v>
      </c>
      <c r="L163" s="29"/>
      <c r="M163" s="29" t="s">
        <v>39</v>
      </c>
      <c r="N163" s="29" t="s">
        <v>39</v>
      </c>
      <c r="O163" s="29" t="s">
        <v>167</v>
      </c>
      <c r="P163" s="29" t="s">
        <v>167</v>
      </c>
    </row>
    <row r="164" spans="2:16" x14ac:dyDescent="0.3">
      <c r="B164" s="26" t="s">
        <v>4</v>
      </c>
      <c r="C164" s="26" t="str">
        <f t="shared" si="9"/>
        <v>Small business without CL</v>
      </c>
      <c r="D164" s="26" t="s">
        <v>14</v>
      </c>
      <c r="E164" s="26" t="s">
        <v>158</v>
      </c>
      <c r="F164" s="26" t="s">
        <v>24</v>
      </c>
      <c r="G164" s="26" t="s">
        <v>81</v>
      </c>
      <c r="H164" s="26" t="s">
        <v>49</v>
      </c>
      <c r="I164" s="169">
        <v>5.5E-2</v>
      </c>
      <c r="J164" s="169">
        <v>5.3999999999999999E-2</v>
      </c>
      <c r="K164" s="14" t="s">
        <v>33</v>
      </c>
      <c r="L164" s="29"/>
      <c r="M164" s="29" t="s">
        <v>39</v>
      </c>
      <c r="N164" s="29" t="s">
        <v>39</v>
      </c>
      <c r="O164" s="29" t="s">
        <v>167</v>
      </c>
      <c r="P164" s="29" t="s">
        <v>167</v>
      </c>
    </row>
    <row r="165" spans="2:16" x14ac:dyDescent="0.3">
      <c r="B165" s="26" t="s">
        <v>3</v>
      </c>
      <c r="C165" s="26" t="str">
        <f t="shared" si="7"/>
        <v>Residential without CL</v>
      </c>
      <c r="D165" s="26" t="s">
        <v>6</v>
      </c>
      <c r="E165" s="26" t="s">
        <v>158</v>
      </c>
      <c r="F165" s="26" t="s">
        <v>24</v>
      </c>
      <c r="G165" s="26" t="s">
        <v>78</v>
      </c>
      <c r="H165" s="26" t="s">
        <v>49</v>
      </c>
      <c r="I165" s="168">
        <v>94.69</v>
      </c>
      <c r="J165" s="168">
        <v>96.9</v>
      </c>
      <c r="K165" s="14" t="s">
        <v>46</v>
      </c>
      <c r="L165" s="29"/>
      <c r="M165" s="29" t="s">
        <v>39</v>
      </c>
      <c r="N165" s="29" t="s">
        <v>39</v>
      </c>
      <c r="O165" s="29" t="s">
        <v>167</v>
      </c>
      <c r="P165" s="29" t="s">
        <v>167</v>
      </c>
    </row>
    <row r="166" spans="2:16" x14ac:dyDescent="0.3">
      <c r="B166" s="26" t="s">
        <v>3</v>
      </c>
      <c r="C166" s="26" t="str">
        <f t="shared" si="7"/>
        <v>Residential with CL</v>
      </c>
      <c r="D166" s="26" t="s">
        <v>6</v>
      </c>
      <c r="E166" s="26" t="s">
        <v>159</v>
      </c>
      <c r="F166" s="26" t="s">
        <v>15</v>
      </c>
      <c r="G166" s="26" t="s">
        <v>78</v>
      </c>
      <c r="H166" s="26" t="s">
        <v>49</v>
      </c>
      <c r="I166" s="168">
        <v>87.08</v>
      </c>
      <c r="J166" s="168">
        <v>82.63</v>
      </c>
      <c r="K166" s="14" t="s">
        <v>46</v>
      </c>
      <c r="L166" s="29"/>
      <c r="M166" s="29" t="s">
        <v>39</v>
      </c>
      <c r="N166" s="29" t="s">
        <v>39</v>
      </c>
      <c r="O166" s="29" t="s">
        <v>167</v>
      </c>
      <c r="P166" s="29" t="s">
        <v>167</v>
      </c>
    </row>
    <row r="167" spans="2:16" x14ac:dyDescent="0.3">
      <c r="B167" s="26" t="s">
        <v>3</v>
      </c>
      <c r="C167" s="26" t="str">
        <f t="shared" si="7"/>
        <v>Residential with CL</v>
      </c>
      <c r="D167" s="26" t="s">
        <v>6</v>
      </c>
      <c r="E167" s="26" t="s">
        <v>159</v>
      </c>
      <c r="F167" s="26" t="s">
        <v>16</v>
      </c>
      <c r="G167" s="26" t="s">
        <v>78</v>
      </c>
      <c r="H167" s="26" t="s">
        <v>49</v>
      </c>
      <c r="I167" s="168">
        <v>87.08</v>
      </c>
      <c r="J167" s="168">
        <v>82.63</v>
      </c>
      <c r="K167" s="14" t="s">
        <v>46</v>
      </c>
      <c r="L167" s="29"/>
      <c r="M167" s="29" t="s">
        <v>39</v>
      </c>
      <c r="N167" s="29" t="s">
        <v>39</v>
      </c>
      <c r="O167" s="29" t="s">
        <v>167</v>
      </c>
      <c r="P167" s="29" t="s">
        <v>167</v>
      </c>
    </row>
    <row r="168" spans="2:16" x14ac:dyDescent="0.3">
      <c r="B168" s="26" t="s">
        <v>3</v>
      </c>
      <c r="C168" s="26" t="str">
        <f t="shared" si="7"/>
        <v>Small business without CL</v>
      </c>
      <c r="D168" s="26" t="s">
        <v>14</v>
      </c>
      <c r="E168" s="26" t="s">
        <v>158</v>
      </c>
      <c r="F168" s="26" t="s">
        <v>24</v>
      </c>
      <c r="G168" s="26" t="s">
        <v>78</v>
      </c>
      <c r="H168" s="26" t="s">
        <v>49</v>
      </c>
      <c r="I168" s="168">
        <v>94.69</v>
      </c>
      <c r="J168" s="168">
        <v>96.9</v>
      </c>
      <c r="K168" s="14" t="s">
        <v>46</v>
      </c>
      <c r="L168" s="29"/>
      <c r="M168" s="29" t="s">
        <v>39</v>
      </c>
      <c r="N168" s="29" t="s">
        <v>39</v>
      </c>
      <c r="O168" s="29" t="s">
        <v>167</v>
      </c>
      <c r="P168" s="29" t="s">
        <v>167</v>
      </c>
    </row>
    <row r="169" spans="2:16" x14ac:dyDescent="0.3">
      <c r="B169" s="26" t="s">
        <v>3</v>
      </c>
      <c r="C169" s="26" t="str">
        <f t="shared" si="7"/>
        <v>All</v>
      </c>
      <c r="D169" s="26"/>
      <c r="E169" s="26"/>
      <c r="F169" s="26"/>
      <c r="G169" s="26" t="s">
        <v>79</v>
      </c>
      <c r="H169" s="26" t="s">
        <v>49</v>
      </c>
      <c r="I169" s="168">
        <v>0.37</v>
      </c>
      <c r="J169" s="168">
        <v>0.74</v>
      </c>
      <c r="K169" s="14" t="s">
        <v>46</v>
      </c>
      <c r="L169" s="29"/>
      <c r="M169" s="29" t="s">
        <v>39</v>
      </c>
      <c r="N169" s="29" t="s">
        <v>39</v>
      </c>
      <c r="O169" s="29" t="s">
        <v>167</v>
      </c>
      <c r="P169" s="29" t="s">
        <v>167</v>
      </c>
    </row>
    <row r="170" spans="2:16" x14ac:dyDescent="0.3">
      <c r="B170" s="26" t="s">
        <v>3</v>
      </c>
      <c r="C170" s="26" t="str">
        <f t="shared" si="7"/>
        <v>All</v>
      </c>
      <c r="D170" s="26"/>
      <c r="E170" s="26"/>
      <c r="F170" s="26"/>
      <c r="G170" s="26" t="s">
        <v>89</v>
      </c>
      <c r="H170" s="26" t="s">
        <v>49</v>
      </c>
      <c r="I170" s="168">
        <v>0.63</v>
      </c>
      <c r="J170" s="168">
        <v>0.7</v>
      </c>
      <c r="K170" s="14" t="s">
        <v>46</v>
      </c>
      <c r="L170" s="29"/>
      <c r="M170" s="29" t="s">
        <v>39</v>
      </c>
      <c r="N170" s="29" t="s">
        <v>39</v>
      </c>
      <c r="O170" s="29" t="s">
        <v>167</v>
      </c>
      <c r="P170" s="29" t="s">
        <v>167</v>
      </c>
    </row>
    <row r="171" spans="2:16" x14ac:dyDescent="0.3">
      <c r="B171" s="26" t="s">
        <v>3</v>
      </c>
      <c r="C171" s="26" t="str">
        <f t="shared" si="7"/>
        <v>All</v>
      </c>
      <c r="D171" s="26"/>
      <c r="E171" s="26"/>
      <c r="F171" s="26"/>
      <c r="G171" s="26" t="s">
        <v>80</v>
      </c>
      <c r="H171" s="26" t="s">
        <v>49</v>
      </c>
      <c r="I171" s="168">
        <v>0</v>
      </c>
      <c r="J171" s="168">
        <v>0</v>
      </c>
      <c r="K171" s="14" t="s">
        <v>46</v>
      </c>
      <c r="L171" s="29"/>
      <c r="M171" s="29" t="s">
        <v>39</v>
      </c>
      <c r="N171" s="29" t="s">
        <v>39</v>
      </c>
      <c r="O171" s="29" t="s">
        <v>167</v>
      </c>
      <c r="P171" s="29" t="s">
        <v>167</v>
      </c>
    </row>
    <row r="172" spans="2:16" x14ac:dyDescent="0.3">
      <c r="B172" s="26" t="s">
        <v>3</v>
      </c>
      <c r="C172" s="26" t="str">
        <f t="shared" si="7"/>
        <v>All</v>
      </c>
      <c r="D172" s="26"/>
      <c r="E172" s="26"/>
      <c r="F172" s="26"/>
      <c r="G172" s="26" t="s">
        <v>177</v>
      </c>
      <c r="H172" s="26" t="s">
        <v>49</v>
      </c>
      <c r="I172" s="168">
        <v>1.82</v>
      </c>
      <c r="J172" s="168">
        <v>1.63</v>
      </c>
      <c r="K172" s="14" t="s">
        <v>46</v>
      </c>
      <c r="L172" s="29"/>
      <c r="M172" s="29" t="s">
        <v>39</v>
      </c>
      <c r="N172" s="29" t="s">
        <v>39</v>
      </c>
      <c r="O172" s="29" t="s">
        <v>167</v>
      </c>
      <c r="P172" s="29" t="s">
        <v>167</v>
      </c>
    </row>
    <row r="173" spans="2:16" x14ac:dyDescent="0.3">
      <c r="B173" s="26" t="s">
        <v>3</v>
      </c>
      <c r="C173" s="26" t="str">
        <f t="shared" si="7"/>
        <v>All</v>
      </c>
      <c r="D173" s="26"/>
      <c r="E173" s="26"/>
      <c r="F173" s="26"/>
      <c r="G173" s="26" t="s">
        <v>82</v>
      </c>
      <c r="H173" s="26" t="s">
        <v>49</v>
      </c>
      <c r="I173" s="168">
        <v>9.3800000000000008</v>
      </c>
      <c r="J173" s="168">
        <v>4.5599999999999996</v>
      </c>
      <c r="K173" s="14" t="s">
        <v>46</v>
      </c>
      <c r="L173" s="29"/>
      <c r="M173" s="29" t="s">
        <v>39</v>
      </c>
      <c r="N173" s="29" t="s">
        <v>39</v>
      </c>
      <c r="O173" s="29" t="s">
        <v>167</v>
      </c>
      <c r="P173" s="29" t="s">
        <v>167</v>
      </c>
    </row>
    <row r="174" spans="2:16" x14ac:dyDescent="0.3">
      <c r="B174" s="26" t="s">
        <v>3</v>
      </c>
      <c r="C174" s="26" t="str">
        <f t="shared" si="7"/>
        <v>All</v>
      </c>
      <c r="D174" s="26"/>
      <c r="E174" s="26"/>
      <c r="F174" s="26"/>
      <c r="G174" s="26" t="s">
        <v>83</v>
      </c>
      <c r="H174" s="26" t="s">
        <v>49</v>
      </c>
      <c r="I174" s="168">
        <v>7.26</v>
      </c>
      <c r="J174" s="168">
        <v>9.7200000000000006</v>
      </c>
      <c r="K174" s="14" t="s">
        <v>46</v>
      </c>
      <c r="L174" s="29"/>
      <c r="M174" s="29" t="s">
        <v>39</v>
      </c>
      <c r="N174" s="29" t="s">
        <v>39</v>
      </c>
      <c r="O174" s="29" t="s">
        <v>167</v>
      </c>
      <c r="P174" s="29" t="s">
        <v>167</v>
      </c>
    </row>
    <row r="175" spans="2:16" x14ac:dyDescent="0.3">
      <c r="B175" s="26" t="s">
        <v>3</v>
      </c>
      <c r="C175" s="26" t="str">
        <f t="shared" si="7"/>
        <v>All</v>
      </c>
      <c r="D175" s="26"/>
      <c r="E175" s="26"/>
      <c r="F175" s="26"/>
      <c r="G175" s="26" t="s">
        <v>84</v>
      </c>
      <c r="H175" s="26" t="s">
        <v>49</v>
      </c>
      <c r="I175" s="168">
        <v>1.8</v>
      </c>
      <c r="J175" s="168">
        <v>2.0299999999999998</v>
      </c>
      <c r="K175" s="14" t="s">
        <v>46</v>
      </c>
      <c r="L175" s="29"/>
      <c r="M175" s="29" t="s">
        <v>39</v>
      </c>
      <c r="N175" s="29" t="s">
        <v>39</v>
      </c>
      <c r="O175" s="29" t="s">
        <v>167</v>
      </c>
      <c r="P175" s="29" t="s">
        <v>167</v>
      </c>
    </row>
    <row r="176" spans="2:16" x14ac:dyDescent="0.3">
      <c r="B176" s="26" t="s">
        <v>3</v>
      </c>
      <c r="C176" s="26" t="str">
        <f t="shared" si="7"/>
        <v>Residential without CL</v>
      </c>
      <c r="D176" s="26" t="s">
        <v>6</v>
      </c>
      <c r="E176" s="26" t="s">
        <v>158</v>
      </c>
      <c r="F176" s="26" t="s">
        <v>24</v>
      </c>
      <c r="G176" s="26" t="s">
        <v>81</v>
      </c>
      <c r="H176" s="26" t="s">
        <v>49</v>
      </c>
      <c r="I176" s="169">
        <v>5.8000000000000003E-2</v>
      </c>
      <c r="J176" s="169">
        <v>5.2999999999999999E-2</v>
      </c>
      <c r="K176" s="14" t="s">
        <v>33</v>
      </c>
      <c r="L176" s="29"/>
      <c r="M176" s="29" t="s">
        <v>39</v>
      </c>
      <c r="N176" s="29" t="s">
        <v>39</v>
      </c>
      <c r="O176" s="29" t="s">
        <v>167</v>
      </c>
      <c r="P176" s="29" t="s">
        <v>167</v>
      </c>
    </row>
    <row r="177" spans="2:16" x14ac:dyDescent="0.3">
      <c r="B177" s="26" t="s">
        <v>3</v>
      </c>
      <c r="C177" s="26" t="str">
        <f t="shared" ref="C177:C179" si="10">IF(D177="","All",D177&amp;" "&amp;E177)</f>
        <v>Residential with CL</v>
      </c>
      <c r="D177" s="26" t="s">
        <v>6</v>
      </c>
      <c r="E177" s="26" t="s">
        <v>159</v>
      </c>
      <c r="F177" s="26" t="s">
        <v>15</v>
      </c>
      <c r="G177" s="26" t="s">
        <v>81</v>
      </c>
      <c r="H177" s="26" t="s">
        <v>49</v>
      </c>
      <c r="I177" s="169">
        <v>5.8000000000000003E-2</v>
      </c>
      <c r="J177" s="169">
        <v>5.2999999999999999E-2</v>
      </c>
      <c r="K177" s="14" t="s">
        <v>33</v>
      </c>
      <c r="L177" s="29"/>
      <c r="M177" s="29" t="s">
        <v>39</v>
      </c>
      <c r="N177" s="29" t="s">
        <v>39</v>
      </c>
      <c r="O177" s="29" t="s">
        <v>167</v>
      </c>
      <c r="P177" s="29" t="s">
        <v>167</v>
      </c>
    </row>
    <row r="178" spans="2:16" x14ac:dyDescent="0.3">
      <c r="B178" s="26" t="s">
        <v>3</v>
      </c>
      <c r="C178" s="26" t="str">
        <f t="shared" si="10"/>
        <v>Residential with CL</v>
      </c>
      <c r="D178" s="26" t="s">
        <v>6</v>
      </c>
      <c r="E178" s="26" t="s">
        <v>159</v>
      </c>
      <c r="F178" s="26" t="s">
        <v>16</v>
      </c>
      <c r="G178" s="26" t="s">
        <v>81</v>
      </c>
      <c r="H178" s="26" t="s">
        <v>49</v>
      </c>
      <c r="I178" s="169">
        <v>5.8000000000000003E-2</v>
      </c>
      <c r="J178" s="169">
        <v>5.2999999999999999E-2</v>
      </c>
      <c r="K178" s="14" t="s">
        <v>33</v>
      </c>
      <c r="L178" s="29"/>
      <c r="M178" s="29" t="s">
        <v>39</v>
      </c>
      <c r="N178" s="29" t="s">
        <v>39</v>
      </c>
      <c r="O178" s="29" t="s">
        <v>167</v>
      </c>
      <c r="P178" s="29" t="s">
        <v>167</v>
      </c>
    </row>
    <row r="179" spans="2:16" x14ac:dyDescent="0.3">
      <c r="B179" s="26" t="s">
        <v>3</v>
      </c>
      <c r="C179" s="26" t="str">
        <f t="shared" si="10"/>
        <v>Small business without CL</v>
      </c>
      <c r="D179" s="26" t="s">
        <v>14</v>
      </c>
      <c r="E179" s="26" t="s">
        <v>158</v>
      </c>
      <c r="F179" s="26" t="s">
        <v>24</v>
      </c>
      <c r="G179" s="26" t="s">
        <v>81</v>
      </c>
      <c r="H179" s="26" t="s">
        <v>49</v>
      </c>
      <c r="I179" s="169">
        <v>5.8000000000000003E-2</v>
      </c>
      <c r="J179" s="169">
        <v>5.2999999999999999E-2</v>
      </c>
      <c r="K179" s="14" t="s">
        <v>33</v>
      </c>
      <c r="L179" s="29"/>
      <c r="M179" s="29" t="s">
        <v>39</v>
      </c>
      <c r="N179" s="29" t="s">
        <v>39</v>
      </c>
      <c r="O179" s="29" t="s">
        <v>167</v>
      </c>
      <c r="P179" s="29" t="s">
        <v>167</v>
      </c>
    </row>
    <row r="180" spans="2:16" x14ac:dyDescent="0.3">
      <c r="B180" s="26" t="s">
        <v>0</v>
      </c>
      <c r="C180" s="26" t="str">
        <f t="shared" si="7"/>
        <v>Residential without CL</v>
      </c>
      <c r="D180" s="26" t="s">
        <v>6</v>
      </c>
      <c r="E180" s="26" t="s">
        <v>158</v>
      </c>
      <c r="F180" s="26" t="s">
        <v>24</v>
      </c>
      <c r="G180" s="26" t="s">
        <v>78</v>
      </c>
      <c r="H180" s="26" t="s">
        <v>49</v>
      </c>
      <c r="I180" s="168">
        <v>89.16</v>
      </c>
      <c r="J180" s="168">
        <v>85.21</v>
      </c>
      <c r="K180" s="14" t="s">
        <v>46</v>
      </c>
      <c r="L180" s="29"/>
      <c r="M180" s="29" t="s">
        <v>39</v>
      </c>
      <c r="N180" s="29" t="s">
        <v>39</v>
      </c>
      <c r="O180" s="29" t="s">
        <v>167</v>
      </c>
      <c r="P180" s="29" t="s">
        <v>167</v>
      </c>
    </row>
    <row r="181" spans="2:16" x14ac:dyDescent="0.3">
      <c r="B181" s="26" t="s">
        <v>0</v>
      </c>
      <c r="C181" s="26" t="str">
        <f t="shared" si="7"/>
        <v>Residential with CL</v>
      </c>
      <c r="D181" s="26" t="s">
        <v>6</v>
      </c>
      <c r="E181" s="26" t="s">
        <v>159</v>
      </c>
      <c r="F181" s="26" t="s">
        <v>15</v>
      </c>
      <c r="G181" s="26" t="s">
        <v>78</v>
      </c>
      <c r="H181" s="26" t="s">
        <v>49</v>
      </c>
      <c r="I181" s="168">
        <v>64.91</v>
      </c>
      <c r="J181" s="168">
        <v>65.930000000000007</v>
      </c>
      <c r="K181" s="14" t="s">
        <v>46</v>
      </c>
      <c r="L181" s="29"/>
      <c r="M181" s="29" t="s">
        <v>39</v>
      </c>
      <c r="N181" s="29" t="s">
        <v>39</v>
      </c>
      <c r="O181" s="29" t="s">
        <v>167</v>
      </c>
      <c r="P181" s="29" t="s">
        <v>167</v>
      </c>
    </row>
    <row r="182" spans="2:16" x14ac:dyDescent="0.3">
      <c r="B182" s="26" t="s">
        <v>0</v>
      </c>
      <c r="C182" s="26" t="str">
        <f t="shared" si="7"/>
        <v>Residential with CL</v>
      </c>
      <c r="D182" s="26" t="s">
        <v>6</v>
      </c>
      <c r="E182" s="26" t="s">
        <v>159</v>
      </c>
      <c r="F182" s="26" t="s">
        <v>16</v>
      </c>
      <c r="G182" s="26" t="s">
        <v>78</v>
      </c>
      <c r="H182" s="26" t="s">
        <v>49</v>
      </c>
      <c r="I182" s="168">
        <v>72.849999999999994</v>
      </c>
      <c r="J182" s="168">
        <v>67.47</v>
      </c>
      <c r="K182" s="14" t="s">
        <v>46</v>
      </c>
      <c r="L182" s="29"/>
      <c r="M182" s="29" t="s">
        <v>39</v>
      </c>
      <c r="N182" s="29" t="s">
        <v>39</v>
      </c>
      <c r="O182" s="29" t="s">
        <v>167</v>
      </c>
      <c r="P182" s="29" t="s">
        <v>167</v>
      </c>
    </row>
    <row r="183" spans="2:16" x14ac:dyDescent="0.3">
      <c r="B183" s="26" t="s">
        <v>0</v>
      </c>
      <c r="C183" s="26" t="str">
        <f t="shared" si="7"/>
        <v>Small business without CL</v>
      </c>
      <c r="D183" s="26" t="s">
        <v>14</v>
      </c>
      <c r="E183" s="26" t="s">
        <v>158</v>
      </c>
      <c r="F183" s="26" t="s">
        <v>24</v>
      </c>
      <c r="G183" s="26" t="s">
        <v>78</v>
      </c>
      <c r="H183" s="26" t="s">
        <v>49</v>
      </c>
      <c r="I183" s="168">
        <v>89.16</v>
      </c>
      <c r="J183" s="168">
        <v>85.21</v>
      </c>
      <c r="K183" s="14" t="s">
        <v>46</v>
      </c>
      <c r="L183" s="29"/>
      <c r="M183" s="29" t="s">
        <v>39</v>
      </c>
      <c r="N183" s="29" t="s">
        <v>39</v>
      </c>
      <c r="O183" s="29" t="s">
        <v>167</v>
      </c>
      <c r="P183" s="29" t="s">
        <v>167</v>
      </c>
    </row>
    <row r="184" spans="2:16" x14ac:dyDescent="0.3">
      <c r="B184" s="26" t="s">
        <v>0</v>
      </c>
      <c r="C184" s="26" t="str">
        <f t="shared" si="7"/>
        <v>All</v>
      </c>
      <c r="D184" s="26"/>
      <c r="E184" s="26"/>
      <c r="F184" s="26"/>
      <c r="G184" s="26" t="s">
        <v>79</v>
      </c>
      <c r="H184" s="26" t="s">
        <v>49</v>
      </c>
      <c r="I184" s="168">
        <v>0.37</v>
      </c>
      <c r="J184" s="168">
        <v>0.74</v>
      </c>
      <c r="K184" s="14" t="s">
        <v>46</v>
      </c>
      <c r="L184" s="29"/>
      <c r="M184" s="29" t="s">
        <v>39</v>
      </c>
      <c r="N184" s="29" t="s">
        <v>39</v>
      </c>
      <c r="O184" s="29" t="s">
        <v>167</v>
      </c>
      <c r="P184" s="29" t="s">
        <v>167</v>
      </c>
    </row>
    <row r="185" spans="2:16" x14ac:dyDescent="0.3">
      <c r="B185" s="26" t="s">
        <v>0</v>
      </c>
      <c r="C185" s="26" t="str">
        <f t="shared" si="7"/>
        <v>All</v>
      </c>
      <c r="D185" s="26"/>
      <c r="E185" s="26"/>
      <c r="F185" s="26"/>
      <c r="G185" s="26" t="s">
        <v>89</v>
      </c>
      <c r="H185" s="26" t="s">
        <v>49</v>
      </c>
      <c r="I185" s="168">
        <v>0.63</v>
      </c>
      <c r="J185" s="168">
        <v>0.7</v>
      </c>
      <c r="K185" s="14" t="s">
        <v>46</v>
      </c>
      <c r="L185" s="29"/>
      <c r="M185" s="29" t="s">
        <v>39</v>
      </c>
      <c r="N185" s="29" t="s">
        <v>39</v>
      </c>
      <c r="O185" s="29" t="s">
        <v>167</v>
      </c>
      <c r="P185" s="29" t="s">
        <v>167</v>
      </c>
    </row>
    <row r="186" spans="2:16" x14ac:dyDescent="0.3">
      <c r="B186" s="26" t="s">
        <v>0</v>
      </c>
      <c r="C186" s="26" t="str">
        <f t="shared" si="7"/>
        <v>All</v>
      </c>
      <c r="D186" s="26"/>
      <c r="E186" s="26"/>
      <c r="F186" s="26"/>
      <c r="G186" s="26" t="s">
        <v>80</v>
      </c>
      <c r="H186" s="26" t="s">
        <v>49</v>
      </c>
      <c r="I186" s="168">
        <v>0</v>
      </c>
      <c r="J186" s="168">
        <v>0</v>
      </c>
      <c r="K186" s="14" t="s">
        <v>46</v>
      </c>
      <c r="L186" s="29"/>
      <c r="M186" s="29" t="s">
        <v>39</v>
      </c>
      <c r="N186" s="29" t="s">
        <v>39</v>
      </c>
      <c r="O186" s="29" t="s">
        <v>167</v>
      </c>
      <c r="P186" s="29" t="s">
        <v>167</v>
      </c>
    </row>
    <row r="187" spans="2:16" x14ac:dyDescent="0.3">
      <c r="B187" s="26" t="s">
        <v>0</v>
      </c>
      <c r="C187" s="26" t="str">
        <f t="shared" si="7"/>
        <v>All</v>
      </c>
      <c r="D187" s="26"/>
      <c r="E187" s="26"/>
      <c r="F187" s="26"/>
      <c r="G187" s="26" t="s">
        <v>177</v>
      </c>
      <c r="H187" s="26" t="s">
        <v>49</v>
      </c>
      <c r="I187" s="168">
        <v>2.1800000000000002</v>
      </c>
      <c r="J187" s="168">
        <v>1.68</v>
      </c>
      <c r="K187" s="14" t="s">
        <v>46</v>
      </c>
      <c r="L187" s="29"/>
      <c r="M187" s="29" t="s">
        <v>39</v>
      </c>
      <c r="N187" s="29" t="s">
        <v>39</v>
      </c>
      <c r="O187" s="29" t="s">
        <v>167</v>
      </c>
      <c r="P187" s="29" t="s">
        <v>167</v>
      </c>
    </row>
    <row r="188" spans="2:16" x14ac:dyDescent="0.3">
      <c r="B188" s="26" t="s">
        <v>0</v>
      </c>
      <c r="C188" s="26" t="str">
        <f t="shared" si="7"/>
        <v>All</v>
      </c>
      <c r="D188" s="26"/>
      <c r="E188" s="26"/>
      <c r="F188" s="26"/>
      <c r="G188" s="26" t="s">
        <v>82</v>
      </c>
      <c r="H188" s="26" t="s">
        <v>49</v>
      </c>
      <c r="I188" s="168">
        <v>9.3800000000000008</v>
      </c>
      <c r="J188" s="168">
        <v>4.5599999999999996</v>
      </c>
      <c r="K188" s="14" t="s">
        <v>46</v>
      </c>
      <c r="L188" s="29"/>
      <c r="M188" s="29" t="s">
        <v>39</v>
      </c>
      <c r="N188" s="29" t="s">
        <v>39</v>
      </c>
      <c r="O188" s="29" t="s">
        <v>167</v>
      </c>
      <c r="P188" s="29" t="s">
        <v>167</v>
      </c>
    </row>
    <row r="189" spans="2:16" x14ac:dyDescent="0.3">
      <c r="B189" s="26" t="s">
        <v>0</v>
      </c>
      <c r="C189" s="26" t="str">
        <f t="shared" si="7"/>
        <v>All</v>
      </c>
      <c r="D189" s="26"/>
      <c r="E189" s="26"/>
      <c r="F189" s="26"/>
      <c r="G189" s="26" t="s">
        <v>83</v>
      </c>
      <c r="H189" s="26" t="s">
        <v>49</v>
      </c>
      <c r="I189" s="168">
        <v>7.26</v>
      </c>
      <c r="J189" s="168">
        <v>9.7200000000000006</v>
      </c>
      <c r="K189" s="14" t="s">
        <v>46</v>
      </c>
      <c r="L189" s="29"/>
      <c r="M189" s="29" t="s">
        <v>39</v>
      </c>
      <c r="N189" s="29" t="s">
        <v>39</v>
      </c>
      <c r="O189" s="29" t="s">
        <v>167</v>
      </c>
      <c r="P189" s="29" t="s">
        <v>167</v>
      </c>
    </row>
    <row r="190" spans="2:16" x14ac:dyDescent="0.3">
      <c r="B190" s="26" t="s">
        <v>0</v>
      </c>
      <c r="C190" s="26" t="str">
        <f t="shared" si="7"/>
        <v>Residential without CL</v>
      </c>
      <c r="D190" s="26" t="s">
        <v>6</v>
      </c>
      <c r="E190" s="26" t="s">
        <v>158</v>
      </c>
      <c r="F190" s="26" t="s">
        <v>24</v>
      </c>
      <c r="G190" s="26" t="s">
        <v>81</v>
      </c>
      <c r="H190" s="26" t="s">
        <v>49</v>
      </c>
      <c r="I190" s="169">
        <v>6.5000000000000002E-2</v>
      </c>
      <c r="J190" s="169">
        <v>6.5000000000000002E-2</v>
      </c>
      <c r="K190" s="14" t="s">
        <v>33</v>
      </c>
      <c r="L190" s="29"/>
      <c r="M190" s="29" t="s">
        <v>39</v>
      </c>
      <c r="N190" s="29" t="s">
        <v>39</v>
      </c>
      <c r="O190" s="29" t="s">
        <v>167</v>
      </c>
      <c r="P190" s="29" t="s">
        <v>167</v>
      </c>
    </row>
    <row r="191" spans="2:16" x14ac:dyDescent="0.3">
      <c r="B191" s="26" t="s">
        <v>0</v>
      </c>
      <c r="C191" s="26" t="str">
        <f t="shared" ref="C191:C193" si="11">IF(D191="","All",D191&amp;" "&amp;E191)</f>
        <v>Residential with CL</v>
      </c>
      <c r="D191" s="26" t="s">
        <v>6</v>
      </c>
      <c r="E191" s="26" t="s">
        <v>159</v>
      </c>
      <c r="F191" s="26" t="s">
        <v>15</v>
      </c>
      <c r="G191" s="26" t="s">
        <v>81</v>
      </c>
      <c r="H191" s="26" t="s">
        <v>49</v>
      </c>
      <c r="I191" s="169">
        <v>6.5000000000000002E-2</v>
      </c>
      <c r="J191" s="169">
        <v>6.5000000000000002E-2</v>
      </c>
      <c r="K191" s="14" t="s">
        <v>33</v>
      </c>
      <c r="L191" s="29"/>
      <c r="M191" s="29" t="s">
        <v>39</v>
      </c>
      <c r="N191" s="29" t="s">
        <v>39</v>
      </c>
      <c r="O191" s="29" t="s">
        <v>167</v>
      </c>
      <c r="P191" s="29" t="s">
        <v>167</v>
      </c>
    </row>
    <row r="192" spans="2:16" x14ac:dyDescent="0.3">
      <c r="B192" s="26" t="s">
        <v>0</v>
      </c>
      <c r="C192" s="26" t="str">
        <f t="shared" si="11"/>
        <v>Residential with CL</v>
      </c>
      <c r="D192" s="26" t="s">
        <v>6</v>
      </c>
      <c r="E192" s="26" t="s">
        <v>159</v>
      </c>
      <c r="F192" s="26" t="s">
        <v>16</v>
      </c>
      <c r="G192" s="26" t="s">
        <v>81</v>
      </c>
      <c r="H192" s="26" t="s">
        <v>49</v>
      </c>
      <c r="I192" s="169">
        <v>6.5000000000000002E-2</v>
      </c>
      <c r="J192" s="169">
        <v>6.5000000000000002E-2</v>
      </c>
      <c r="K192" s="14" t="s">
        <v>33</v>
      </c>
      <c r="L192" s="29"/>
      <c r="M192" s="29" t="s">
        <v>39</v>
      </c>
      <c r="N192" s="29" t="s">
        <v>39</v>
      </c>
      <c r="O192" s="29" t="s">
        <v>167</v>
      </c>
      <c r="P192" s="29" t="s">
        <v>167</v>
      </c>
    </row>
    <row r="193" spans="2:16" x14ac:dyDescent="0.3">
      <c r="B193" s="26" t="s">
        <v>0</v>
      </c>
      <c r="C193" s="26" t="str">
        <f t="shared" si="11"/>
        <v>Small business without CL</v>
      </c>
      <c r="D193" s="26" t="s">
        <v>14</v>
      </c>
      <c r="E193" s="26" t="s">
        <v>158</v>
      </c>
      <c r="F193" s="26" t="s">
        <v>24</v>
      </c>
      <c r="G193" s="26" t="s">
        <v>81</v>
      </c>
      <c r="H193" s="26" t="s">
        <v>49</v>
      </c>
      <c r="I193" s="169">
        <v>6.5000000000000002E-2</v>
      </c>
      <c r="J193" s="169">
        <v>6.5000000000000002E-2</v>
      </c>
      <c r="K193" s="14" t="s">
        <v>33</v>
      </c>
      <c r="L193" s="29"/>
      <c r="M193" s="29" t="s">
        <v>39</v>
      </c>
      <c r="N193" s="29" t="s">
        <v>39</v>
      </c>
      <c r="O193" s="29" t="s">
        <v>167</v>
      </c>
      <c r="P193" s="29" t="s">
        <v>167</v>
      </c>
    </row>
    <row r="194" spans="2:16" x14ac:dyDescent="0.3">
      <c r="B194" s="26" t="s">
        <v>5</v>
      </c>
      <c r="C194" s="26" t="str">
        <f t="shared" si="7"/>
        <v>Residential without CL</v>
      </c>
      <c r="D194" s="26" t="s">
        <v>6</v>
      </c>
      <c r="E194" s="26" t="s">
        <v>158</v>
      </c>
      <c r="F194" s="26" t="s">
        <v>24</v>
      </c>
      <c r="G194" s="26" t="s">
        <v>78</v>
      </c>
      <c r="H194" s="26" t="s">
        <v>49</v>
      </c>
      <c r="I194" s="168">
        <v>141.38999999999999</v>
      </c>
      <c r="J194" s="168">
        <v>135.53</v>
      </c>
      <c r="K194" s="14" t="s">
        <v>46</v>
      </c>
      <c r="L194" s="29"/>
      <c r="M194" s="29" t="s">
        <v>39</v>
      </c>
      <c r="N194" s="29" t="s">
        <v>39</v>
      </c>
      <c r="O194" s="29" t="s">
        <v>167</v>
      </c>
      <c r="P194" s="29" t="s">
        <v>167</v>
      </c>
    </row>
    <row r="195" spans="2:16" x14ac:dyDescent="0.3">
      <c r="B195" s="26" t="s">
        <v>5</v>
      </c>
      <c r="C195" s="26" t="str">
        <f t="shared" si="7"/>
        <v>Residential with CL</v>
      </c>
      <c r="D195" s="26" t="s">
        <v>6</v>
      </c>
      <c r="E195" s="26" t="s">
        <v>159</v>
      </c>
      <c r="F195" s="26" t="s">
        <v>15</v>
      </c>
      <c r="G195" s="26" t="s">
        <v>78</v>
      </c>
      <c r="H195" s="26" t="s">
        <v>49</v>
      </c>
      <c r="I195" s="168">
        <v>92.23</v>
      </c>
      <c r="J195" s="168">
        <v>81.400000000000006</v>
      </c>
      <c r="K195" s="14" t="s">
        <v>46</v>
      </c>
      <c r="L195" s="29"/>
      <c r="M195" s="29" t="s">
        <v>39</v>
      </c>
      <c r="N195" s="29" t="s">
        <v>39</v>
      </c>
      <c r="O195" s="29" t="s">
        <v>167</v>
      </c>
      <c r="P195" s="29" t="s">
        <v>167</v>
      </c>
    </row>
    <row r="196" spans="2:16" x14ac:dyDescent="0.3">
      <c r="B196" s="26" t="s">
        <v>5</v>
      </c>
      <c r="C196" s="26" t="str">
        <f t="shared" si="7"/>
        <v>Small business without CL</v>
      </c>
      <c r="D196" s="26" t="s">
        <v>14</v>
      </c>
      <c r="E196" s="26" t="s">
        <v>158</v>
      </c>
      <c r="F196" s="26" t="s">
        <v>24</v>
      </c>
      <c r="G196" s="26" t="s">
        <v>78</v>
      </c>
      <c r="H196" s="26" t="s">
        <v>49</v>
      </c>
      <c r="I196" s="168">
        <v>141.38999999999999</v>
      </c>
      <c r="J196" s="168">
        <v>135.53</v>
      </c>
      <c r="K196" s="14" t="s">
        <v>46</v>
      </c>
      <c r="L196" s="29"/>
      <c r="M196" s="29" t="s">
        <v>39</v>
      </c>
      <c r="N196" s="29" t="s">
        <v>39</v>
      </c>
      <c r="O196" s="29" t="s">
        <v>167</v>
      </c>
      <c r="P196" s="29" t="s">
        <v>167</v>
      </c>
    </row>
    <row r="197" spans="2:16" x14ac:dyDescent="0.3">
      <c r="B197" s="26" t="s">
        <v>5</v>
      </c>
      <c r="C197" s="26" t="str">
        <f t="shared" ref="C197:C255" si="12">IF(D197="","All",D197&amp;" "&amp;E197)</f>
        <v>All</v>
      </c>
      <c r="D197" s="26"/>
      <c r="E197" s="26"/>
      <c r="F197" s="26"/>
      <c r="G197" s="26" t="s">
        <v>79</v>
      </c>
      <c r="H197" s="26" t="s">
        <v>49</v>
      </c>
      <c r="I197" s="168">
        <v>0.37</v>
      </c>
      <c r="J197" s="168">
        <v>0.74</v>
      </c>
      <c r="K197" s="14" t="s">
        <v>46</v>
      </c>
      <c r="L197" s="29"/>
      <c r="M197" s="29" t="s">
        <v>39</v>
      </c>
      <c r="N197" s="29" t="s">
        <v>39</v>
      </c>
      <c r="O197" s="29" t="s">
        <v>167</v>
      </c>
      <c r="P197" s="29" t="s">
        <v>167</v>
      </c>
    </row>
    <row r="198" spans="2:16" x14ac:dyDescent="0.3">
      <c r="B198" s="26" t="s">
        <v>5</v>
      </c>
      <c r="C198" s="26" t="str">
        <f t="shared" si="12"/>
        <v>All</v>
      </c>
      <c r="D198" s="26"/>
      <c r="E198" s="26"/>
      <c r="F198" s="26"/>
      <c r="G198" s="26" t="s">
        <v>89</v>
      </c>
      <c r="H198" s="26" t="s">
        <v>49</v>
      </c>
      <c r="I198" s="168">
        <v>0.63</v>
      </c>
      <c r="J198" s="168">
        <v>0.7</v>
      </c>
      <c r="K198" s="14" t="s">
        <v>46</v>
      </c>
      <c r="L198" s="29"/>
      <c r="M198" s="29" t="s">
        <v>39</v>
      </c>
      <c r="N198" s="29" t="s">
        <v>39</v>
      </c>
      <c r="O198" s="29" t="s">
        <v>167</v>
      </c>
      <c r="P198" s="29" t="s">
        <v>167</v>
      </c>
    </row>
    <row r="199" spans="2:16" x14ac:dyDescent="0.3">
      <c r="B199" s="26" t="s">
        <v>5</v>
      </c>
      <c r="C199" s="26" t="str">
        <f t="shared" si="12"/>
        <v>All</v>
      </c>
      <c r="D199" s="26"/>
      <c r="E199" s="26"/>
      <c r="F199" s="26"/>
      <c r="G199" s="26" t="s">
        <v>80</v>
      </c>
      <c r="H199" s="26" t="s">
        <v>49</v>
      </c>
      <c r="I199" s="168">
        <v>0.63</v>
      </c>
      <c r="J199" s="168">
        <v>0.63</v>
      </c>
      <c r="K199" s="14" t="s">
        <v>46</v>
      </c>
      <c r="L199" s="29"/>
      <c r="M199" s="29" t="s">
        <v>39</v>
      </c>
      <c r="N199" s="29" t="s">
        <v>39</v>
      </c>
      <c r="O199" s="29" t="s">
        <v>167</v>
      </c>
      <c r="P199" s="29" t="s">
        <v>167</v>
      </c>
    </row>
    <row r="200" spans="2:16" x14ac:dyDescent="0.3">
      <c r="B200" s="26" t="s">
        <v>5</v>
      </c>
      <c r="C200" s="26" t="str">
        <f t="shared" si="12"/>
        <v>All</v>
      </c>
      <c r="D200" s="26"/>
      <c r="E200" s="26"/>
      <c r="F200" s="26"/>
      <c r="G200" s="26" t="s">
        <v>177</v>
      </c>
      <c r="H200" s="26" t="s">
        <v>49</v>
      </c>
      <c r="I200" s="168">
        <v>4.92</v>
      </c>
      <c r="J200" s="168">
        <v>3.97</v>
      </c>
      <c r="K200" s="14" t="s">
        <v>46</v>
      </c>
      <c r="L200" s="29"/>
      <c r="M200" s="29" t="s">
        <v>39</v>
      </c>
      <c r="N200" s="29" t="s">
        <v>39</v>
      </c>
      <c r="O200" s="29" t="s">
        <v>167</v>
      </c>
      <c r="P200" s="29" t="s">
        <v>167</v>
      </c>
    </row>
    <row r="201" spans="2:16" x14ac:dyDescent="0.3">
      <c r="B201" s="26" t="s">
        <v>5</v>
      </c>
      <c r="C201" s="26" t="str">
        <f t="shared" si="12"/>
        <v>All</v>
      </c>
      <c r="D201" s="26"/>
      <c r="E201" s="26"/>
      <c r="F201" s="26"/>
      <c r="G201" s="26" t="s">
        <v>82</v>
      </c>
      <c r="H201" s="26" t="s">
        <v>49</v>
      </c>
      <c r="I201" s="168">
        <v>9.3800000000000008</v>
      </c>
      <c r="J201" s="168">
        <v>4.5599999999999996</v>
      </c>
      <c r="K201" s="14" t="s">
        <v>46</v>
      </c>
      <c r="L201" s="29"/>
      <c r="M201" s="29" t="s">
        <v>39</v>
      </c>
      <c r="N201" s="29" t="s">
        <v>39</v>
      </c>
      <c r="O201" s="29" t="s">
        <v>167</v>
      </c>
      <c r="P201" s="29" t="s">
        <v>167</v>
      </c>
    </row>
    <row r="202" spans="2:16" x14ac:dyDescent="0.3">
      <c r="B202" s="26" t="s">
        <v>5</v>
      </c>
      <c r="C202" s="26" t="str">
        <f t="shared" si="12"/>
        <v>All</v>
      </c>
      <c r="D202" s="26"/>
      <c r="E202" s="26"/>
      <c r="F202" s="26"/>
      <c r="G202" s="26" t="s">
        <v>83</v>
      </c>
      <c r="H202" s="26" t="s">
        <v>49</v>
      </c>
      <c r="I202" s="168">
        <v>7.26</v>
      </c>
      <c r="J202" s="168">
        <v>9.7200000000000006</v>
      </c>
      <c r="K202" s="14" t="s">
        <v>46</v>
      </c>
      <c r="L202" s="29"/>
      <c r="M202" s="29" t="s">
        <v>39</v>
      </c>
      <c r="N202" s="29" t="s">
        <v>39</v>
      </c>
      <c r="O202" s="29" t="s">
        <v>167</v>
      </c>
      <c r="P202" s="29" t="s">
        <v>167</v>
      </c>
    </row>
    <row r="203" spans="2:16" x14ac:dyDescent="0.3">
      <c r="B203" s="26" t="s">
        <v>5</v>
      </c>
      <c r="C203" s="26" t="str">
        <f t="shared" si="12"/>
        <v>All</v>
      </c>
      <c r="D203" s="26"/>
      <c r="E203" s="26"/>
      <c r="F203" s="26"/>
      <c r="G203" s="26" t="s">
        <v>90</v>
      </c>
      <c r="H203" s="26" t="s">
        <v>49</v>
      </c>
      <c r="I203" s="168">
        <v>2.5</v>
      </c>
      <c r="J203" s="168">
        <v>2.5</v>
      </c>
      <c r="K203" s="14" t="s">
        <v>46</v>
      </c>
      <c r="L203" s="29"/>
      <c r="M203" s="29" t="s">
        <v>39</v>
      </c>
      <c r="N203" s="29" t="s">
        <v>39</v>
      </c>
      <c r="O203" s="29" t="s">
        <v>167</v>
      </c>
      <c r="P203" s="29" t="s">
        <v>167</v>
      </c>
    </row>
    <row r="204" spans="2:16" x14ac:dyDescent="0.3">
      <c r="B204" s="26" t="s">
        <v>5</v>
      </c>
      <c r="C204" s="26" t="str">
        <f t="shared" si="12"/>
        <v>Residential without CL</v>
      </c>
      <c r="D204" s="26" t="s">
        <v>6</v>
      </c>
      <c r="E204" s="26" t="s">
        <v>158</v>
      </c>
      <c r="F204" s="26" t="s">
        <v>24</v>
      </c>
      <c r="G204" s="26" t="s">
        <v>81</v>
      </c>
      <c r="H204" s="26" t="s">
        <v>49</v>
      </c>
      <c r="I204" s="169">
        <v>0.11</v>
      </c>
      <c r="J204" s="169">
        <v>0.11</v>
      </c>
      <c r="K204" s="14" t="s">
        <v>33</v>
      </c>
      <c r="L204" s="29"/>
      <c r="M204" s="29" t="s">
        <v>39</v>
      </c>
      <c r="N204" s="29" t="s">
        <v>39</v>
      </c>
      <c r="O204" s="29" t="s">
        <v>167</v>
      </c>
      <c r="P204" s="29" t="s">
        <v>167</v>
      </c>
    </row>
    <row r="205" spans="2:16" x14ac:dyDescent="0.3">
      <c r="B205" s="26" t="s">
        <v>5</v>
      </c>
      <c r="C205" s="26" t="str">
        <f t="shared" ref="C205:C206" si="13">IF(D205="","All",D205&amp;" "&amp;E205)</f>
        <v>Residential with CL</v>
      </c>
      <c r="D205" s="26" t="s">
        <v>6</v>
      </c>
      <c r="E205" s="26" t="s">
        <v>159</v>
      </c>
      <c r="F205" s="26" t="s">
        <v>15</v>
      </c>
      <c r="G205" s="26" t="s">
        <v>81</v>
      </c>
      <c r="H205" s="26" t="s">
        <v>49</v>
      </c>
      <c r="I205" s="169">
        <v>0.11</v>
      </c>
      <c r="J205" s="169">
        <v>0.11</v>
      </c>
      <c r="K205" s="14" t="s">
        <v>33</v>
      </c>
      <c r="L205" s="29"/>
      <c r="M205" s="29" t="s">
        <v>39</v>
      </c>
      <c r="N205" s="29" t="s">
        <v>39</v>
      </c>
      <c r="O205" s="29" t="s">
        <v>167</v>
      </c>
      <c r="P205" s="29" t="s">
        <v>167</v>
      </c>
    </row>
    <row r="206" spans="2:16" x14ac:dyDescent="0.3">
      <c r="B206" s="26" t="s">
        <v>5</v>
      </c>
      <c r="C206" s="26" t="str">
        <f t="shared" si="13"/>
        <v>Small business without CL</v>
      </c>
      <c r="D206" s="26" t="s">
        <v>14</v>
      </c>
      <c r="E206" s="26" t="s">
        <v>158</v>
      </c>
      <c r="F206" s="26" t="s">
        <v>24</v>
      </c>
      <c r="G206" s="26" t="s">
        <v>81</v>
      </c>
      <c r="H206" s="26" t="s">
        <v>49</v>
      </c>
      <c r="I206" s="169">
        <v>0.11</v>
      </c>
      <c r="J206" s="169">
        <v>0.11</v>
      </c>
      <c r="K206" s="14" t="s">
        <v>33</v>
      </c>
      <c r="L206" s="29"/>
      <c r="M206" s="29" t="s">
        <v>39</v>
      </c>
      <c r="N206" s="29" t="s">
        <v>39</v>
      </c>
      <c r="O206" s="29" t="s">
        <v>167</v>
      </c>
      <c r="P206" s="29" t="s">
        <v>167</v>
      </c>
    </row>
    <row r="207" spans="2:16" x14ac:dyDescent="0.3">
      <c r="B207" s="26" t="s">
        <v>2</v>
      </c>
      <c r="C207" s="26" t="str">
        <f t="shared" si="12"/>
        <v>All</v>
      </c>
      <c r="D207" s="26"/>
      <c r="E207" s="26"/>
      <c r="F207" s="26"/>
      <c r="G207" s="26" t="s">
        <v>75</v>
      </c>
      <c r="H207" s="26"/>
      <c r="I207" s="170"/>
      <c r="J207" s="168">
        <v>0</v>
      </c>
      <c r="K207" s="14" t="s">
        <v>76</v>
      </c>
      <c r="L207" s="29"/>
      <c r="M207" s="29" t="s">
        <v>39</v>
      </c>
      <c r="N207" s="29" t="s">
        <v>39</v>
      </c>
      <c r="O207" s="29" t="s">
        <v>66</v>
      </c>
      <c r="P207" s="29" t="s">
        <v>168</v>
      </c>
    </row>
    <row r="208" spans="2:16" x14ac:dyDescent="0.3">
      <c r="B208" s="26" t="s">
        <v>4</v>
      </c>
      <c r="C208" s="26" t="str">
        <f t="shared" si="12"/>
        <v>All</v>
      </c>
      <c r="D208" s="26"/>
      <c r="E208" s="26"/>
      <c r="F208" s="26"/>
      <c r="G208" s="26" t="s">
        <v>75</v>
      </c>
      <c r="H208" s="26"/>
      <c r="I208" s="170"/>
      <c r="J208" s="168">
        <v>0</v>
      </c>
      <c r="K208" s="14" t="s">
        <v>76</v>
      </c>
      <c r="L208" s="29"/>
      <c r="M208" s="29" t="s">
        <v>39</v>
      </c>
      <c r="N208" s="29" t="s">
        <v>39</v>
      </c>
      <c r="O208" s="29" t="s">
        <v>66</v>
      </c>
      <c r="P208" s="29" t="s">
        <v>168</v>
      </c>
    </row>
    <row r="209" spans="2:16" x14ac:dyDescent="0.3">
      <c r="B209" s="26" t="s">
        <v>3</v>
      </c>
      <c r="C209" s="26" t="str">
        <f t="shared" si="12"/>
        <v>All</v>
      </c>
      <c r="D209" s="26"/>
      <c r="E209" s="26"/>
      <c r="F209" s="26"/>
      <c r="G209" s="26" t="s">
        <v>75</v>
      </c>
      <c r="H209" s="26"/>
      <c r="I209" s="170"/>
      <c r="J209" s="168">
        <v>0</v>
      </c>
      <c r="K209" s="14" t="s">
        <v>76</v>
      </c>
      <c r="L209" s="29"/>
      <c r="M209" s="29" t="s">
        <v>39</v>
      </c>
      <c r="N209" s="29" t="s">
        <v>39</v>
      </c>
      <c r="O209" s="29" t="s">
        <v>66</v>
      </c>
      <c r="P209" s="29" t="s">
        <v>168</v>
      </c>
    </row>
    <row r="210" spans="2:16" x14ac:dyDescent="0.3">
      <c r="B210" s="26" t="s">
        <v>0</v>
      </c>
      <c r="C210" s="26" t="str">
        <f t="shared" si="12"/>
        <v>All</v>
      </c>
      <c r="D210" s="26"/>
      <c r="E210" s="26"/>
      <c r="F210" s="26"/>
      <c r="G210" s="26" t="s">
        <v>75</v>
      </c>
      <c r="H210" s="26"/>
      <c r="I210" s="170"/>
      <c r="J210" s="168">
        <v>0</v>
      </c>
      <c r="K210" s="14" t="s">
        <v>76</v>
      </c>
      <c r="L210" s="29"/>
      <c r="M210" s="29" t="s">
        <v>39</v>
      </c>
      <c r="N210" s="29" t="s">
        <v>39</v>
      </c>
      <c r="O210" s="29" t="s">
        <v>66</v>
      </c>
      <c r="P210" s="29" t="s">
        <v>168</v>
      </c>
    </row>
    <row r="211" spans="2:16" x14ac:dyDescent="0.3">
      <c r="B211" s="26" t="s">
        <v>5</v>
      </c>
      <c r="C211" s="26" t="str">
        <f t="shared" si="12"/>
        <v>All</v>
      </c>
      <c r="D211" s="26"/>
      <c r="E211" s="26"/>
      <c r="F211" s="26"/>
      <c r="G211" s="26" t="s">
        <v>75</v>
      </c>
      <c r="H211" s="26"/>
      <c r="I211" s="170"/>
      <c r="J211" s="168">
        <v>0</v>
      </c>
      <c r="K211" s="14" t="s">
        <v>76</v>
      </c>
      <c r="L211" s="29"/>
      <c r="M211" s="29" t="s">
        <v>39</v>
      </c>
      <c r="N211" s="29" t="s">
        <v>39</v>
      </c>
      <c r="O211" s="29" t="s">
        <v>66</v>
      </c>
      <c r="P211" s="29" t="s">
        <v>168</v>
      </c>
    </row>
    <row r="212" spans="2:16" hidden="1" x14ac:dyDescent="0.3">
      <c r="B212" s="26" t="s">
        <v>2</v>
      </c>
      <c r="C212" s="26" t="str">
        <f t="shared" si="12"/>
        <v>Residential without CL</v>
      </c>
      <c r="D212" s="26" t="s">
        <v>6</v>
      </c>
      <c r="E212" s="26" t="s">
        <v>158</v>
      </c>
      <c r="F212" s="26" t="s">
        <v>24</v>
      </c>
      <c r="G212" s="26" t="s">
        <v>29</v>
      </c>
      <c r="H212" s="26"/>
      <c r="I212" s="171">
        <v>3900</v>
      </c>
      <c r="J212" s="171">
        <v>3900</v>
      </c>
      <c r="K212" s="14" t="s">
        <v>30</v>
      </c>
      <c r="L212" s="29" t="s">
        <v>58</v>
      </c>
      <c r="M212" s="29" t="s">
        <v>39</v>
      </c>
      <c r="N212" s="29" t="s">
        <v>39</v>
      </c>
      <c r="O212" s="29" t="s">
        <v>169</v>
      </c>
      <c r="P212" s="29" t="s">
        <v>170</v>
      </c>
    </row>
    <row r="213" spans="2:16" hidden="1" x14ac:dyDescent="0.3">
      <c r="B213" s="26" t="s">
        <v>4</v>
      </c>
      <c r="C213" s="26" t="str">
        <f t="shared" si="12"/>
        <v>Residential without CL</v>
      </c>
      <c r="D213" s="26" t="s">
        <v>6</v>
      </c>
      <c r="E213" s="26" t="s">
        <v>158</v>
      </c>
      <c r="F213" s="26" t="s">
        <v>24</v>
      </c>
      <c r="G213" s="26" t="s">
        <v>29</v>
      </c>
      <c r="H213" s="26"/>
      <c r="I213" s="171">
        <v>4900</v>
      </c>
      <c r="J213" s="171">
        <v>4900</v>
      </c>
      <c r="K213" s="14" t="s">
        <v>30</v>
      </c>
      <c r="L213" s="29" t="s">
        <v>58</v>
      </c>
      <c r="M213" s="29" t="s">
        <v>39</v>
      </c>
      <c r="N213" s="29" t="s">
        <v>39</v>
      </c>
      <c r="O213" s="29" t="s">
        <v>169</v>
      </c>
      <c r="P213" s="29" t="s">
        <v>170</v>
      </c>
    </row>
    <row r="214" spans="2:16" hidden="1" x14ac:dyDescent="0.3">
      <c r="B214" s="26" t="s">
        <v>0</v>
      </c>
      <c r="C214" s="26" t="str">
        <f t="shared" si="12"/>
        <v>Residential without CL</v>
      </c>
      <c r="D214" s="26" t="s">
        <v>6</v>
      </c>
      <c r="E214" s="26" t="s">
        <v>158</v>
      </c>
      <c r="F214" s="26" t="s">
        <v>24</v>
      </c>
      <c r="G214" s="26" t="s">
        <v>29</v>
      </c>
      <c r="H214" s="26"/>
      <c r="I214" s="171">
        <v>4600</v>
      </c>
      <c r="J214" s="171">
        <v>4600</v>
      </c>
      <c r="K214" s="14" t="s">
        <v>30</v>
      </c>
      <c r="L214" s="29" t="s">
        <v>58</v>
      </c>
      <c r="M214" s="29" t="s">
        <v>39</v>
      </c>
      <c r="N214" s="29" t="s">
        <v>39</v>
      </c>
      <c r="O214" s="29" t="s">
        <v>169</v>
      </c>
      <c r="P214" s="29" t="s">
        <v>170</v>
      </c>
    </row>
    <row r="215" spans="2:16" hidden="1" x14ac:dyDescent="0.3">
      <c r="B215" s="26" t="s">
        <v>3</v>
      </c>
      <c r="C215" s="26" t="str">
        <f t="shared" si="12"/>
        <v>Residential without CL</v>
      </c>
      <c r="D215" s="26" t="s">
        <v>6</v>
      </c>
      <c r="E215" s="26" t="s">
        <v>158</v>
      </c>
      <c r="F215" s="26" t="s">
        <v>24</v>
      </c>
      <c r="G215" s="26" t="s">
        <v>29</v>
      </c>
      <c r="H215" s="26"/>
      <c r="I215" s="171">
        <v>4600</v>
      </c>
      <c r="J215" s="171">
        <v>4600</v>
      </c>
      <c r="K215" s="14" t="s">
        <v>30</v>
      </c>
      <c r="L215" s="29" t="s">
        <v>58</v>
      </c>
      <c r="M215" s="29" t="s">
        <v>39</v>
      </c>
      <c r="N215" s="29" t="s">
        <v>39</v>
      </c>
      <c r="O215" s="29" t="s">
        <v>169</v>
      </c>
      <c r="P215" s="29" t="s">
        <v>170</v>
      </c>
    </row>
    <row r="216" spans="2:16" hidden="1" x14ac:dyDescent="0.3">
      <c r="B216" s="26" t="s">
        <v>5</v>
      </c>
      <c r="C216" s="26" t="str">
        <f t="shared" si="12"/>
        <v>Residential without CL</v>
      </c>
      <c r="D216" s="26" t="s">
        <v>6</v>
      </c>
      <c r="E216" s="26" t="s">
        <v>158</v>
      </c>
      <c r="F216" s="26" t="s">
        <v>24</v>
      </c>
      <c r="G216" s="26" t="s">
        <v>29</v>
      </c>
      <c r="H216" s="26"/>
      <c r="I216" s="171">
        <v>4000</v>
      </c>
      <c r="J216" s="171">
        <v>4000</v>
      </c>
      <c r="K216" s="14" t="s">
        <v>30</v>
      </c>
      <c r="L216" s="29" t="s">
        <v>58</v>
      </c>
      <c r="M216" s="29" t="s">
        <v>39</v>
      </c>
      <c r="N216" s="29" t="s">
        <v>39</v>
      </c>
      <c r="O216" s="29" t="s">
        <v>169</v>
      </c>
      <c r="P216" s="29" t="s">
        <v>170</v>
      </c>
    </row>
    <row r="217" spans="2:16" hidden="1" x14ac:dyDescent="0.3">
      <c r="B217" s="26" t="s">
        <v>2</v>
      </c>
      <c r="C217" s="26" t="str">
        <f t="shared" si="12"/>
        <v>Residential with CL</v>
      </c>
      <c r="D217" s="26" t="s">
        <v>6</v>
      </c>
      <c r="E217" s="26" t="s">
        <v>159</v>
      </c>
      <c r="F217" s="26" t="s">
        <v>24</v>
      </c>
      <c r="G217" s="26" t="s">
        <v>29</v>
      </c>
      <c r="H217" s="26"/>
      <c r="I217" s="171">
        <v>4800</v>
      </c>
      <c r="J217" s="171">
        <v>4800</v>
      </c>
      <c r="K217" s="14" t="s">
        <v>30</v>
      </c>
      <c r="L217" s="29" t="s">
        <v>58</v>
      </c>
      <c r="M217" s="29" t="s">
        <v>39</v>
      </c>
      <c r="N217" s="29" t="s">
        <v>39</v>
      </c>
      <c r="O217" s="29" t="s">
        <v>169</v>
      </c>
      <c r="P217" s="29" t="s">
        <v>170</v>
      </c>
    </row>
    <row r="218" spans="2:16" hidden="1" x14ac:dyDescent="0.3">
      <c r="B218" s="26" t="s">
        <v>4</v>
      </c>
      <c r="C218" s="26" t="str">
        <f t="shared" si="12"/>
        <v>Residential with CL</v>
      </c>
      <c r="D218" s="26" t="s">
        <v>6</v>
      </c>
      <c r="E218" s="26" t="s">
        <v>159</v>
      </c>
      <c r="F218" s="26" t="s">
        <v>24</v>
      </c>
      <c r="G218" s="26" t="s">
        <v>29</v>
      </c>
      <c r="H218" s="26"/>
      <c r="I218" s="171">
        <v>5200</v>
      </c>
      <c r="J218" s="171">
        <v>5200</v>
      </c>
      <c r="K218" s="14" t="s">
        <v>30</v>
      </c>
      <c r="L218" s="29" t="s">
        <v>58</v>
      </c>
      <c r="M218" s="29" t="s">
        <v>39</v>
      </c>
      <c r="N218" s="29" t="s">
        <v>39</v>
      </c>
      <c r="O218" s="29" t="s">
        <v>169</v>
      </c>
      <c r="P218" s="29" t="s">
        <v>170</v>
      </c>
    </row>
    <row r="219" spans="2:16" hidden="1" x14ac:dyDescent="0.3">
      <c r="B219" s="26" t="s">
        <v>0</v>
      </c>
      <c r="C219" s="26" t="str">
        <f t="shared" si="12"/>
        <v>Residential with CL</v>
      </c>
      <c r="D219" s="26" t="s">
        <v>6</v>
      </c>
      <c r="E219" s="26" t="s">
        <v>159</v>
      </c>
      <c r="F219" s="26" t="s">
        <v>24</v>
      </c>
      <c r="G219" s="26" t="s">
        <v>29</v>
      </c>
      <c r="H219" s="26"/>
      <c r="I219" s="171">
        <v>4400</v>
      </c>
      <c r="J219" s="171">
        <v>4400</v>
      </c>
      <c r="K219" s="14" t="s">
        <v>30</v>
      </c>
      <c r="L219" s="29" t="s">
        <v>58</v>
      </c>
      <c r="M219" s="29" t="s">
        <v>39</v>
      </c>
      <c r="N219" s="29" t="s">
        <v>39</v>
      </c>
      <c r="O219" s="29" t="s">
        <v>169</v>
      </c>
      <c r="P219" s="29" t="s">
        <v>170</v>
      </c>
    </row>
    <row r="220" spans="2:16" hidden="1" x14ac:dyDescent="0.3">
      <c r="B220" s="26" t="s">
        <v>3</v>
      </c>
      <c r="C220" s="26" t="str">
        <f t="shared" si="12"/>
        <v>Residential with CL</v>
      </c>
      <c r="D220" s="26" t="s">
        <v>6</v>
      </c>
      <c r="E220" s="26" t="s">
        <v>159</v>
      </c>
      <c r="F220" s="26" t="s">
        <v>24</v>
      </c>
      <c r="G220" s="26" t="s">
        <v>29</v>
      </c>
      <c r="H220" s="26"/>
      <c r="I220" s="171">
        <v>4600</v>
      </c>
      <c r="J220" s="171">
        <v>4600</v>
      </c>
      <c r="K220" s="14" t="s">
        <v>30</v>
      </c>
      <c r="L220" s="29" t="s">
        <v>58</v>
      </c>
      <c r="M220" s="29" t="s">
        <v>39</v>
      </c>
      <c r="N220" s="29" t="s">
        <v>39</v>
      </c>
      <c r="O220" s="29" t="s">
        <v>169</v>
      </c>
      <c r="P220" s="29" t="s">
        <v>170</v>
      </c>
    </row>
    <row r="221" spans="2:16" hidden="1" x14ac:dyDescent="0.3">
      <c r="B221" s="26" t="s">
        <v>5</v>
      </c>
      <c r="C221" s="26" t="str">
        <f t="shared" si="12"/>
        <v>Residential with CL</v>
      </c>
      <c r="D221" s="26" t="s">
        <v>6</v>
      </c>
      <c r="E221" s="26" t="s">
        <v>159</v>
      </c>
      <c r="F221" s="26" t="s">
        <v>24</v>
      </c>
      <c r="G221" s="26" t="s">
        <v>29</v>
      </c>
      <c r="H221" s="26"/>
      <c r="I221" s="171">
        <v>4200</v>
      </c>
      <c r="J221" s="171">
        <v>4200</v>
      </c>
      <c r="K221" s="14" t="s">
        <v>30</v>
      </c>
      <c r="L221" s="29" t="s">
        <v>58</v>
      </c>
      <c r="M221" s="29" t="s">
        <v>39</v>
      </c>
      <c r="N221" s="29" t="s">
        <v>39</v>
      </c>
      <c r="O221" s="29" t="s">
        <v>169</v>
      </c>
      <c r="P221" s="29" t="s">
        <v>170</v>
      </c>
    </row>
    <row r="222" spans="2:16" hidden="1" x14ac:dyDescent="0.3">
      <c r="B222" s="26" t="s">
        <v>2</v>
      </c>
      <c r="C222" s="26" t="str">
        <f t="shared" si="12"/>
        <v>Residential with CL</v>
      </c>
      <c r="D222" s="26" t="s">
        <v>6</v>
      </c>
      <c r="E222" s="26" t="s">
        <v>159</v>
      </c>
      <c r="F222" s="26" t="s">
        <v>17</v>
      </c>
      <c r="G222" s="26" t="s">
        <v>29</v>
      </c>
      <c r="H222" s="26"/>
      <c r="I222" s="171">
        <v>2000</v>
      </c>
      <c r="J222" s="171">
        <v>2000</v>
      </c>
      <c r="K222" s="14" t="s">
        <v>30</v>
      </c>
      <c r="L222" s="29" t="s">
        <v>58</v>
      </c>
      <c r="M222" s="29" t="s">
        <v>39</v>
      </c>
      <c r="N222" s="29" t="s">
        <v>39</v>
      </c>
      <c r="O222" s="29" t="s">
        <v>169</v>
      </c>
      <c r="P222" s="29" t="s">
        <v>170</v>
      </c>
    </row>
    <row r="223" spans="2:16" hidden="1" x14ac:dyDescent="0.3">
      <c r="B223" s="26" t="s">
        <v>4</v>
      </c>
      <c r="C223" s="26" t="str">
        <f t="shared" si="12"/>
        <v>Residential with CL</v>
      </c>
      <c r="D223" s="26" t="s">
        <v>6</v>
      </c>
      <c r="E223" s="26" t="s">
        <v>159</v>
      </c>
      <c r="F223" s="26" t="s">
        <v>17</v>
      </c>
      <c r="G223" s="26" t="s">
        <v>29</v>
      </c>
      <c r="H223" s="26"/>
      <c r="I223" s="171">
        <v>2200</v>
      </c>
      <c r="J223" s="171">
        <v>2200</v>
      </c>
      <c r="K223" s="14" t="s">
        <v>30</v>
      </c>
      <c r="L223" s="29" t="s">
        <v>58</v>
      </c>
      <c r="M223" s="29" t="s">
        <v>39</v>
      </c>
      <c r="N223" s="29" t="s">
        <v>39</v>
      </c>
      <c r="O223" s="29" t="s">
        <v>169</v>
      </c>
      <c r="P223" s="29" t="s">
        <v>170</v>
      </c>
    </row>
    <row r="224" spans="2:16" hidden="1" x14ac:dyDescent="0.3">
      <c r="B224" s="26" t="s">
        <v>0</v>
      </c>
      <c r="C224" s="26" t="str">
        <f t="shared" si="12"/>
        <v>Residential with CL</v>
      </c>
      <c r="D224" s="26" t="s">
        <v>6</v>
      </c>
      <c r="E224" s="26" t="s">
        <v>159</v>
      </c>
      <c r="F224" s="26" t="s">
        <v>17</v>
      </c>
      <c r="G224" s="26" t="s">
        <v>29</v>
      </c>
      <c r="H224" s="26"/>
      <c r="I224" s="171">
        <v>1900</v>
      </c>
      <c r="J224" s="171">
        <v>1900</v>
      </c>
      <c r="K224" s="14" t="s">
        <v>30</v>
      </c>
      <c r="L224" s="29" t="s">
        <v>58</v>
      </c>
      <c r="M224" s="29" t="s">
        <v>39</v>
      </c>
      <c r="N224" s="29" t="s">
        <v>39</v>
      </c>
      <c r="O224" s="29" t="s">
        <v>169</v>
      </c>
      <c r="P224" s="29" t="s">
        <v>170</v>
      </c>
    </row>
    <row r="225" spans="2:16" hidden="1" x14ac:dyDescent="0.3">
      <c r="B225" s="26" t="s">
        <v>3</v>
      </c>
      <c r="C225" s="26" t="str">
        <f t="shared" si="12"/>
        <v>Residential with CL</v>
      </c>
      <c r="D225" s="26" t="s">
        <v>6</v>
      </c>
      <c r="E225" s="26" t="s">
        <v>159</v>
      </c>
      <c r="F225" s="26" t="s">
        <v>17</v>
      </c>
      <c r="G225" s="26" t="s">
        <v>29</v>
      </c>
      <c r="H225" s="26"/>
      <c r="I225" s="171">
        <v>2000</v>
      </c>
      <c r="J225" s="171">
        <v>2000</v>
      </c>
      <c r="K225" s="14" t="s">
        <v>30</v>
      </c>
      <c r="L225" s="29" t="s">
        <v>58</v>
      </c>
      <c r="M225" s="29" t="s">
        <v>39</v>
      </c>
      <c r="N225" s="29" t="s">
        <v>39</v>
      </c>
      <c r="O225" s="29" t="s">
        <v>169</v>
      </c>
      <c r="P225" s="29" t="s">
        <v>170</v>
      </c>
    </row>
    <row r="226" spans="2:16" hidden="1" x14ac:dyDescent="0.3">
      <c r="B226" s="26" t="s">
        <v>5</v>
      </c>
      <c r="C226" s="26" t="str">
        <f t="shared" si="12"/>
        <v>Residential with CL</v>
      </c>
      <c r="D226" s="26" t="s">
        <v>6</v>
      </c>
      <c r="E226" s="26" t="s">
        <v>159</v>
      </c>
      <c r="F226" s="26" t="s">
        <v>17</v>
      </c>
      <c r="G226" s="26" t="s">
        <v>29</v>
      </c>
      <c r="H226" s="26"/>
      <c r="I226" s="171">
        <v>1800</v>
      </c>
      <c r="J226" s="171">
        <v>1800</v>
      </c>
      <c r="K226" s="14" t="s">
        <v>30</v>
      </c>
      <c r="L226" s="29" t="s">
        <v>58</v>
      </c>
      <c r="M226" s="29" t="s">
        <v>39</v>
      </c>
      <c r="N226" s="29" t="s">
        <v>39</v>
      </c>
      <c r="O226" s="29" t="s">
        <v>169</v>
      </c>
      <c r="P226" s="29" t="s">
        <v>170</v>
      </c>
    </row>
    <row r="227" spans="2:16" hidden="1" x14ac:dyDescent="0.3">
      <c r="B227" s="26" t="s">
        <v>2</v>
      </c>
      <c r="C227" s="26" t="str">
        <f t="shared" si="12"/>
        <v>Residential with CL</v>
      </c>
      <c r="D227" s="26" t="s">
        <v>6</v>
      </c>
      <c r="E227" s="26" t="s">
        <v>159</v>
      </c>
      <c r="F227" s="26" t="s">
        <v>17</v>
      </c>
      <c r="G227" s="26" t="s">
        <v>62</v>
      </c>
      <c r="H227" s="26"/>
      <c r="I227" s="172">
        <v>0.67</v>
      </c>
      <c r="J227" s="172">
        <v>0.67</v>
      </c>
      <c r="K227" s="14" t="s">
        <v>33</v>
      </c>
      <c r="L227" s="29"/>
      <c r="M227" s="29" t="s">
        <v>39</v>
      </c>
      <c r="N227" s="29" t="s">
        <v>39</v>
      </c>
      <c r="O227" s="29" t="s">
        <v>169</v>
      </c>
      <c r="P227" s="29" t="s">
        <v>170</v>
      </c>
    </row>
    <row r="228" spans="2:16" s="12" customFormat="1" hidden="1" x14ac:dyDescent="0.3">
      <c r="B228" s="26" t="s">
        <v>4</v>
      </c>
      <c r="C228" s="26" t="str">
        <f t="shared" si="12"/>
        <v>Residential with CL</v>
      </c>
      <c r="D228" s="26" t="s">
        <v>6</v>
      </c>
      <c r="E228" s="26" t="s">
        <v>159</v>
      </c>
      <c r="F228" s="26" t="s">
        <v>17</v>
      </c>
      <c r="G228" s="26" t="s">
        <v>62</v>
      </c>
      <c r="H228" s="26"/>
      <c r="I228" s="172">
        <v>0.67</v>
      </c>
      <c r="J228" s="172">
        <v>0.67</v>
      </c>
      <c r="K228" s="14" t="s">
        <v>33</v>
      </c>
      <c r="L228" s="29"/>
      <c r="M228" s="29" t="s">
        <v>39</v>
      </c>
      <c r="N228" s="29" t="s">
        <v>39</v>
      </c>
      <c r="O228" s="29" t="s">
        <v>169</v>
      </c>
      <c r="P228" s="29" t="s">
        <v>170</v>
      </c>
    </row>
    <row r="229" spans="2:16" s="12" customFormat="1" hidden="1" x14ac:dyDescent="0.3">
      <c r="B229" s="26" t="s">
        <v>0</v>
      </c>
      <c r="C229" s="26" t="str">
        <f t="shared" si="12"/>
        <v>Residential with CL</v>
      </c>
      <c r="D229" s="26" t="s">
        <v>6</v>
      </c>
      <c r="E229" s="26" t="s">
        <v>159</v>
      </c>
      <c r="F229" s="26" t="s">
        <v>17</v>
      </c>
      <c r="G229" s="26" t="s">
        <v>62</v>
      </c>
      <c r="H229" s="26"/>
      <c r="I229" s="172">
        <v>0.28999999999999998</v>
      </c>
      <c r="J229" s="172">
        <v>0.28999999999999998</v>
      </c>
      <c r="K229" s="14" t="s">
        <v>33</v>
      </c>
      <c r="L229" s="29"/>
      <c r="M229" s="29" t="s">
        <v>39</v>
      </c>
      <c r="N229" s="29" t="s">
        <v>39</v>
      </c>
      <c r="O229" s="29" t="s">
        <v>169</v>
      </c>
      <c r="P229" s="29" t="s">
        <v>170</v>
      </c>
    </row>
    <row r="230" spans="2:16" s="12" customFormat="1" hidden="1" x14ac:dyDescent="0.3">
      <c r="B230" s="26" t="s">
        <v>3</v>
      </c>
      <c r="C230" s="26" t="str">
        <f t="shared" si="12"/>
        <v>Residential with CL</v>
      </c>
      <c r="D230" s="26" t="s">
        <v>6</v>
      </c>
      <c r="E230" s="26" t="s">
        <v>159</v>
      </c>
      <c r="F230" s="26" t="s">
        <v>17</v>
      </c>
      <c r="G230" s="26" t="s">
        <v>62</v>
      </c>
      <c r="H230" s="26"/>
      <c r="I230" s="172">
        <v>0.77</v>
      </c>
      <c r="J230" s="172">
        <v>0.77</v>
      </c>
      <c r="K230" s="14" t="s">
        <v>33</v>
      </c>
      <c r="L230" s="29"/>
      <c r="M230" s="29" t="s">
        <v>39</v>
      </c>
      <c r="N230" s="29" t="s">
        <v>39</v>
      </c>
      <c r="O230" s="29" t="s">
        <v>169</v>
      </c>
      <c r="P230" s="29" t="s">
        <v>170</v>
      </c>
    </row>
    <row r="231" spans="2:16" s="12" customFormat="1" hidden="1" x14ac:dyDescent="0.3">
      <c r="B231" s="26" t="s">
        <v>5</v>
      </c>
      <c r="C231" s="26" t="str">
        <f t="shared" si="12"/>
        <v>Residential with CL</v>
      </c>
      <c r="D231" s="26" t="s">
        <v>6</v>
      </c>
      <c r="E231" s="26" t="s">
        <v>159</v>
      </c>
      <c r="F231" s="26" t="s">
        <v>17</v>
      </c>
      <c r="G231" s="26" t="s">
        <v>62</v>
      </c>
      <c r="H231" s="26"/>
      <c r="I231" s="172">
        <v>1</v>
      </c>
      <c r="J231" s="172">
        <v>1</v>
      </c>
      <c r="K231" s="14" t="s">
        <v>33</v>
      </c>
      <c r="L231" s="29"/>
      <c r="M231" s="29" t="s">
        <v>39</v>
      </c>
      <c r="N231" s="29" t="s">
        <v>39</v>
      </c>
      <c r="O231" s="29" t="s">
        <v>169</v>
      </c>
      <c r="P231" s="29" t="s">
        <v>170</v>
      </c>
    </row>
    <row r="232" spans="2:16" hidden="1" x14ac:dyDescent="0.3">
      <c r="B232" s="26" t="s">
        <v>2</v>
      </c>
      <c r="C232" s="26" t="str">
        <f t="shared" si="12"/>
        <v>Small business without CL</v>
      </c>
      <c r="D232" s="26" t="s">
        <v>14</v>
      </c>
      <c r="E232" s="26" t="s">
        <v>158</v>
      </c>
      <c r="F232" s="26" t="s">
        <v>24</v>
      </c>
      <c r="G232" s="26" t="s">
        <v>29</v>
      </c>
      <c r="H232" s="26"/>
      <c r="I232" s="171">
        <v>20000</v>
      </c>
      <c r="J232" s="171">
        <v>20000</v>
      </c>
      <c r="K232" s="14" t="s">
        <v>30</v>
      </c>
      <c r="L232" s="29" t="s">
        <v>58</v>
      </c>
      <c r="M232" s="29" t="s">
        <v>39</v>
      </c>
      <c r="N232" s="29" t="s">
        <v>39</v>
      </c>
      <c r="O232" s="29" t="s">
        <v>169</v>
      </c>
      <c r="P232" s="29" t="s">
        <v>170</v>
      </c>
    </row>
    <row r="233" spans="2:16" hidden="1" x14ac:dyDescent="0.3">
      <c r="B233" s="26" t="s">
        <v>4</v>
      </c>
      <c r="C233" s="26" t="str">
        <f t="shared" si="12"/>
        <v>Small business without CL</v>
      </c>
      <c r="D233" s="26" t="s">
        <v>14</v>
      </c>
      <c r="E233" s="26" t="s">
        <v>158</v>
      </c>
      <c r="F233" s="26" t="s">
        <v>24</v>
      </c>
      <c r="G233" s="26" t="s">
        <v>29</v>
      </c>
      <c r="H233" s="26"/>
      <c r="I233" s="171">
        <v>20000</v>
      </c>
      <c r="J233" s="171">
        <v>20000</v>
      </c>
      <c r="K233" s="14" t="s">
        <v>30</v>
      </c>
      <c r="L233" s="29" t="s">
        <v>58</v>
      </c>
      <c r="M233" s="29" t="s">
        <v>39</v>
      </c>
      <c r="N233" s="29" t="s">
        <v>39</v>
      </c>
      <c r="O233" s="29" t="s">
        <v>169</v>
      </c>
      <c r="P233" s="29" t="s">
        <v>170</v>
      </c>
    </row>
    <row r="234" spans="2:16" hidden="1" x14ac:dyDescent="0.3">
      <c r="B234" s="26" t="s">
        <v>0</v>
      </c>
      <c r="C234" s="26" t="str">
        <f t="shared" si="12"/>
        <v>Small business without CL</v>
      </c>
      <c r="D234" s="26" t="s">
        <v>14</v>
      </c>
      <c r="E234" s="26" t="s">
        <v>158</v>
      </c>
      <c r="F234" s="26" t="s">
        <v>24</v>
      </c>
      <c r="G234" s="26" t="s">
        <v>29</v>
      </c>
      <c r="H234" s="26"/>
      <c r="I234" s="171">
        <v>20000</v>
      </c>
      <c r="J234" s="171">
        <v>20000</v>
      </c>
      <c r="K234" s="14" t="s">
        <v>30</v>
      </c>
      <c r="L234" s="29" t="s">
        <v>58</v>
      </c>
      <c r="M234" s="29" t="s">
        <v>39</v>
      </c>
      <c r="N234" s="29" t="s">
        <v>39</v>
      </c>
      <c r="O234" s="29" t="s">
        <v>169</v>
      </c>
      <c r="P234" s="29" t="s">
        <v>170</v>
      </c>
    </row>
    <row r="235" spans="2:16" hidden="1" x14ac:dyDescent="0.3">
      <c r="B235" s="26" t="s">
        <v>3</v>
      </c>
      <c r="C235" s="26" t="str">
        <f t="shared" si="12"/>
        <v>Small business without CL</v>
      </c>
      <c r="D235" s="26" t="s">
        <v>14</v>
      </c>
      <c r="E235" s="26" t="s">
        <v>158</v>
      </c>
      <c r="F235" s="26" t="s">
        <v>24</v>
      </c>
      <c r="G235" s="26" t="s">
        <v>29</v>
      </c>
      <c r="H235" s="26"/>
      <c r="I235" s="171">
        <v>20000</v>
      </c>
      <c r="J235" s="171">
        <v>20000</v>
      </c>
      <c r="K235" s="14" t="s">
        <v>30</v>
      </c>
      <c r="L235" s="29" t="s">
        <v>58</v>
      </c>
      <c r="M235" s="29" t="s">
        <v>39</v>
      </c>
      <c r="N235" s="29" t="s">
        <v>39</v>
      </c>
      <c r="O235" s="29" t="s">
        <v>169</v>
      </c>
      <c r="P235" s="29" t="s">
        <v>170</v>
      </c>
    </row>
    <row r="236" spans="2:16" hidden="1" x14ac:dyDescent="0.3">
      <c r="B236" s="26" t="s">
        <v>5</v>
      </c>
      <c r="C236" s="26" t="str">
        <f t="shared" si="12"/>
        <v>Small business without CL</v>
      </c>
      <c r="D236" s="26" t="s">
        <v>14</v>
      </c>
      <c r="E236" s="26" t="s">
        <v>158</v>
      </c>
      <c r="F236" s="26" t="s">
        <v>24</v>
      </c>
      <c r="G236" s="26" t="s">
        <v>29</v>
      </c>
      <c r="H236" s="26"/>
      <c r="I236" s="171">
        <v>20000</v>
      </c>
      <c r="J236" s="171">
        <v>20000</v>
      </c>
      <c r="K236" s="14" t="s">
        <v>30</v>
      </c>
      <c r="L236" s="29" t="s">
        <v>58</v>
      </c>
      <c r="M236" s="29" t="s">
        <v>39</v>
      </c>
      <c r="N236" s="29" t="s">
        <v>39</v>
      </c>
      <c r="O236" s="29" t="s">
        <v>169</v>
      </c>
      <c r="P236" s="29" t="s">
        <v>170</v>
      </c>
    </row>
    <row r="237" spans="2:16" hidden="1" x14ac:dyDescent="0.3">
      <c r="B237" s="26" t="s">
        <v>4</v>
      </c>
      <c r="C237" s="26" t="str">
        <f t="shared" si="12"/>
        <v>Residential without CL</v>
      </c>
      <c r="D237" s="26" t="s">
        <v>6</v>
      </c>
      <c r="E237" s="26" t="s">
        <v>158</v>
      </c>
      <c r="F237" s="26" t="s">
        <v>24</v>
      </c>
      <c r="G237" s="26" t="s">
        <v>29</v>
      </c>
      <c r="H237" s="26"/>
      <c r="I237" s="171">
        <v>4000</v>
      </c>
      <c r="J237" s="171">
        <v>4000</v>
      </c>
      <c r="K237" s="14" t="s">
        <v>30</v>
      </c>
      <c r="L237" s="29" t="s">
        <v>60</v>
      </c>
      <c r="M237" s="29" t="s">
        <v>39</v>
      </c>
      <c r="N237" s="29" t="s">
        <v>39</v>
      </c>
      <c r="O237" s="29" t="s">
        <v>169</v>
      </c>
      <c r="P237" s="29" t="s">
        <v>170</v>
      </c>
    </row>
    <row r="238" spans="2:16" hidden="1" x14ac:dyDescent="0.3">
      <c r="B238" s="26" t="s">
        <v>4</v>
      </c>
      <c r="C238" s="26" t="str">
        <f t="shared" si="12"/>
        <v>Residential with CL</v>
      </c>
      <c r="D238" s="26" t="s">
        <v>6</v>
      </c>
      <c r="E238" s="26" t="s">
        <v>159</v>
      </c>
      <c r="F238" s="26" t="s">
        <v>24</v>
      </c>
      <c r="G238" s="26" t="s">
        <v>29</v>
      </c>
      <c r="H238" s="26"/>
      <c r="I238" s="171">
        <v>4000</v>
      </c>
      <c r="J238" s="171">
        <v>4000</v>
      </c>
      <c r="K238" s="14" t="s">
        <v>30</v>
      </c>
      <c r="L238" s="29" t="s">
        <v>60</v>
      </c>
      <c r="M238" s="29" t="s">
        <v>39</v>
      </c>
      <c r="N238" s="29" t="s">
        <v>39</v>
      </c>
      <c r="O238" s="29" t="s">
        <v>169</v>
      </c>
      <c r="P238" s="29" t="s">
        <v>170</v>
      </c>
    </row>
    <row r="239" spans="2:16" hidden="1" x14ac:dyDescent="0.3">
      <c r="B239" s="26" t="s">
        <v>5</v>
      </c>
      <c r="C239" s="26" t="str">
        <f t="shared" si="12"/>
        <v>Residential without CL</v>
      </c>
      <c r="D239" s="26" t="s">
        <v>6</v>
      </c>
      <c r="E239" s="26" t="s">
        <v>158</v>
      </c>
      <c r="F239" s="26" t="s">
        <v>24</v>
      </c>
      <c r="G239" s="26" t="s">
        <v>29</v>
      </c>
      <c r="H239" s="26"/>
      <c r="I239" s="171">
        <v>4000</v>
      </c>
      <c r="J239" s="171">
        <v>4000</v>
      </c>
      <c r="K239" s="14" t="s">
        <v>30</v>
      </c>
      <c r="L239" s="29" t="s">
        <v>60</v>
      </c>
      <c r="M239" s="29" t="s">
        <v>39</v>
      </c>
      <c r="N239" s="29" t="s">
        <v>39</v>
      </c>
      <c r="O239" s="29" t="s">
        <v>169</v>
      </c>
      <c r="P239" s="29" t="s">
        <v>170</v>
      </c>
    </row>
    <row r="240" spans="2:16" hidden="1" x14ac:dyDescent="0.3">
      <c r="B240" s="26" t="s">
        <v>5</v>
      </c>
      <c r="C240" s="26" t="str">
        <f t="shared" si="12"/>
        <v>Residential with CL</v>
      </c>
      <c r="D240" s="26" t="s">
        <v>6</v>
      </c>
      <c r="E240" s="26" t="s">
        <v>159</v>
      </c>
      <c r="F240" s="26" t="s">
        <v>24</v>
      </c>
      <c r="G240" s="26" t="s">
        <v>29</v>
      </c>
      <c r="H240" s="26"/>
      <c r="I240" s="171">
        <v>4000</v>
      </c>
      <c r="J240" s="171">
        <v>4000</v>
      </c>
      <c r="K240" s="14" t="s">
        <v>30</v>
      </c>
      <c r="L240" s="29" t="s">
        <v>60</v>
      </c>
      <c r="M240" s="29" t="s">
        <v>39</v>
      </c>
      <c r="N240" s="29" t="s">
        <v>39</v>
      </c>
      <c r="O240" s="29" t="s">
        <v>169</v>
      </c>
      <c r="P240" s="29" t="s">
        <v>170</v>
      </c>
    </row>
    <row r="241" spans="2:16" hidden="1" x14ac:dyDescent="0.3">
      <c r="B241" s="26" t="s">
        <v>2</v>
      </c>
      <c r="C241" s="26" t="str">
        <f t="shared" si="12"/>
        <v>Residential without CL</v>
      </c>
      <c r="D241" s="26" t="s">
        <v>6</v>
      </c>
      <c r="E241" s="26" t="s">
        <v>158</v>
      </c>
      <c r="F241" s="26"/>
      <c r="G241" s="26" t="s">
        <v>74</v>
      </c>
      <c r="H241" s="26"/>
      <c r="I241" s="171">
        <v>1467</v>
      </c>
      <c r="J241" s="170"/>
      <c r="K241" s="14" t="s">
        <v>76</v>
      </c>
      <c r="L241" s="29"/>
      <c r="M241" s="29" t="s">
        <v>39</v>
      </c>
      <c r="N241" s="29" t="s">
        <v>39</v>
      </c>
      <c r="O241" s="29" t="s">
        <v>169</v>
      </c>
      <c r="P241" s="29" t="s">
        <v>66</v>
      </c>
    </row>
    <row r="242" spans="2:16" hidden="1" x14ac:dyDescent="0.3">
      <c r="B242" s="26" t="s">
        <v>4</v>
      </c>
      <c r="C242" s="26" t="str">
        <f t="shared" si="12"/>
        <v>Residential without CL</v>
      </c>
      <c r="D242" s="26" t="s">
        <v>6</v>
      </c>
      <c r="E242" s="26" t="s">
        <v>158</v>
      </c>
      <c r="F242" s="26"/>
      <c r="G242" s="26" t="s">
        <v>74</v>
      </c>
      <c r="H242" s="26"/>
      <c r="I242" s="171">
        <v>1720</v>
      </c>
      <c r="J242" s="170"/>
      <c r="K242" s="14" t="s">
        <v>76</v>
      </c>
      <c r="L242" s="29"/>
      <c r="M242" s="29" t="s">
        <v>39</v>
      </c>
      <c r="N242" s="29" t="s">
        <v>39</v>
      </c>
      <c r="O242" s="29" t="s">
        <v>169</v>
      </c>
      <c r="P242" s="29" t="s">
        <v>66</v>
      </c>
    </row>
    <row r="243" spans="2:16" hidden="1" x14ac:dyDescent="0.3">
      <c r="B243" s="26" t="s">
        <v>0</v>
      </c>
      <c r="C243" s="26" t="str">
        <f t="shared" si="12"/>
        <v>Residential without CL</v>
      </c>
      <c r="D243" s="26" t="s">
        <v>6</v>
      </c>
      <c r="E243" s="26" t="s">
        <v>158</v>
      </c>
      <c r="F243" s="26"/>
      <c r="G243" s="26" t="s">
        <v>74</v>
      </c>
      <c r="H243" s="26"/>
      <c r="I243" s="171">
        <v>1570</v>
      </c>
      <c r="J243" s="170"/>
      <c r="K243" s="14" t="s">
        <v>76</v>
      </c>
      <c r="L243" s="29"/>
      <c r="M243" s="29" t="s">
        <v>39</v>
      </c>
      <c r="N243" s="29" t="s">
        <v>39</v>
      </c>
      <c r="O243" s="29" t="s">
        <v>169</v>
      </c>
      <c r="P243" s="29" t="s">
        <v>66</v>
      </c>
    </row>
    <row r="244" spans="2:16" hidden="1" x14ac:dyDescent="0.3">
      <c r="B244" s="26" t="s">
        <v>3</v>
      </c>
      <c r="C244" s="26" t="str">
        <f t="shared" si="12"/>
        <v>Residential without CL</v>
      </c>
      <c r="D244" s="26" t="s">
        <v>6</v>
      </c>
      <c r="E244" s="26" t="s">
        <v>158</v>
      </c>
      <c r="F244" s="26"/>
      <c r="G244" s="26" t="s">
        <v>74</v>
      </c>
      <c r="H244" s="26"/>
      <c r="I244" s="171">
        <v>1957</v>
      </c>
      <c r="J244" s="170"/>
      <c r="K244" s="14" t="s">
        <v>76</v>
      </c>
      <c r="L244" s="29"/>
      <c r="M244" s="29" t="s">
        <v>39</v>
      </c>
      <c r="N244" s="29" t="s">
        <v>39</v>
      </c>
      <c r="O244" s="29" t="s">
        <v>169</v>
      </c>
      <c r="P244" s="29" t="s">
        <v>66</v>
      </c>
    </row>
    <row r="245" spans="2:16" hidden="1" x14ac:dyDescent="0.3">
      <c r="B245" s="26" t="s">
        <v>5</v>
      </c>
      <c r="C245" s="26" t="str">
        <f t="shared" si="12"/>
        <v>Residential without CL</v>
      </c>
      <c r="D245" s="26" t="s">
        <v>6</v>
      </c>
      <c r="E245" s="26" t="s">
        <v>158</v>
      </c>
      <c r="F245" s="26"/>
      <c r="G245" s="26" t="s">
        <v>74</v>
      </c>
      <c r="H245" s="26"/>
      <c r="I245" s="171">
        <v>1941</v>
      </c>
      <c r="J245" s="170"/>
      <c r="K245" s="14" t="s">
        <v>76</v>
      </c>
      <c r="L245" s="29"/>
      <c r="M245" s="29" t="s">
        <v>39</v>
      </c>
      <c r="N245" s="29" t="s">
        <v>39</v>
      </c>
      <c r="O245" s="29" t="s">
        <v>169</v>
      </c>
      <c r="P245" s="29" t="s">
        <v>66</v>
      </c>
    </row>
    <row r="246" spans="2:16" hidden="1" x14ac:dyDescent="0.3">
      <c r="B246" s="26" t="s">
        <v>2</v>
      </c>
      <c r="C246" s="26" t="str">
        <f t="shared" si="12"/>
        <v>Residential with CL</v>
      </c>
      <c r="D246" s="26" t="s">
        <v>6</v>
      </c>
      <c r="E246" s="26" t="s">
        <v>159</v>
      </c>
      <c r="F246" s="26"/>
      <c r="G246" s="26" t="s">
        <v>74</v>
      </c>
      <c r="H246" s="26"/>
      <c r="I246" s="171">
        <v>2059</v>
      </c>
      <c r="J246" s="170"/>
      <c r="K246" s="14" t="s">
        <v>76</v>
      </c>
      <c r="L246" s="29"/>
      <c r="M246" s="29" t="s">
        <v>39</v>
      </c>
      <c r="N246" s="29" t="s">
        <v>39</v>
      </c>
      <c r="O246" s="29" t="s">
        <v>169</v>
      </c>
      <c r="P246" s="29" t="s">
        <v>66</v>
      </c>
    </row>
    <row r="247" spans="2:16" hidden="1" x14ac:dyDescent="0.3">
      <c r="B247" s="26" t="s">
        <v>4</v>
      </c>
      <c r="C247" s="26" t="str">
        <f t="shared" si="12"/>
        <v>Residential with CL</v>
      </c>
      <c r="D247" s="26" t="s">
        <v>6</v>
      </c>
      <c r="E247" s="26" t="s">
        <v>159</v>
      </c>
      <c r="F247" s="26"/>
      <c r="G247" s="26" t="s">
        <v>74</v>
      </c>
      <c r="H247" s="26"/>
      <c r="I247" s="171">
        <v>2166</v>
      </c>
      <c r="J247" s="170"/>
      <c r="K247" s="14" t="s">
        <v>76</v>
      </c>
      <c r="L247" s="29"/>
      <c r="M247" s="29" t="s">
        <v>39</v>
      </c>
      <c r="N247" s="29" t="s">
        <v>39</v>
      </c>
      <c r="O247" s="29" t="s">
        <v>169</v>
      </c>
      <c r="P247" s="29" t="s">
        <v>66</v>
      </c>
    </row>
    <row r="248" spans="2:16" hidden="1" x14ac:dyDescent="0.3">
      <c r="B248" s="26" t="s">
        <v>0</v>
      </c>
      <c r="C248" s="26" t="str">
        <f t="shared" si="12"/>
        <v>Residential with CL</v>
      </c>
      <c r="D248" s="26" t="s">
        <v>6</v>
      </c>
      <c r="E248" s="26" t="s">
        <v>159</v>
      </c>
      <c r="F248" s="26"/>
      <c r="G248" s="26" t="s">
        <v>74</v>
      </c>
      <c r="H248" s="26"/>
      <c r="I248" s="171">
        <v>1927</v>
      </c>
      <c r="J248" s="170"/>
      <c r="K248" s="14" t="s">
        <v>76</v>
      </c>
      <c r="L248" s="29"/>
      <c r="M248" s="29" t="s">
        <v>39</v>
      </c>
      <c r="N248" s="29" t="s">
        <v>39</v>
      </c>
      <c r="O248" s="29" t="s">
        <v>169</v>
      </c>
      <c r="P248" s="29" t="s">
        <v>66</v>
      </c>
    </row>
    <row r="249" spans="2:16" hidden="1" x14ac:dyDescent="0.3">
      <c r="B249" s="26" t="s">
        <v>3</v>
      </c>
      <c r="C249" s="26" t="str">
        <f t="shared" si="12"/>
        <v>Residential with CL</v>
      </c>
      <c r="D249" s="26" t="s">
        <v>6</v>
      </c>
      <c r="E249" s="26" t="s">
        <v>159</v>
      </c>
      <c r="F249" s="26"/>
      <c r="G249" s="26" t="s">
        <v>74</v>
      </c>
      <c r="H249" s="26"/>
      <c r="I249" s="171">
        <v>2375</v>
      </c>
      <c r="J249" s="170"/>
      <c r="K249" s="14" t="s">
        <v>76</v>
      </c>
      <c r="L249" s="29"/>
      <c r="M249" s="29" t="s">
        <v>39</v>
      </c>
      <c r="N249" s="29" t="s">
        <v>39</v>
      </c>
      <c r="O249" s="29" t="s">
        <v>169</v>
      </c>
      <c r="P249" s="29" t="s">
        <v>66</v>
      </c>
    </row>
    <row r="250" spans="2:16" hidden="1" x14ac:dyDescent="0.3">
      <c r="B250" s="26" t="s">
        <v>5</v>
      </c>
      <c r="C250" s="26" t="str">
        <f t="shared" si="12"/>
        <v>Residential with CL</v>
      </c>
      <c r="D250" s="26" t="s">
        <v>6</v>
      </c>
      <c r="E250" s="26" t="s">
        <v>159</v>
      </c>
      <c r="F250" s="26"/>
      <c r="G250" s="26" t="s">
        <v>74</v>
      </c>
      <c r="H250" s="26"/>
      <c r="I250" s="171">
        <v>2420</v>
      </c>
      <c r="J250" s="170"/>
      <c r="K250" s="14" t="s">
        <v>76</v>
      </c>
      <c r="L250" s="29"/>
      <c r="M250" s="29" t="s">
        <v>39</v>
      </c>
      <c r="N250" s="29" t="s">
        <v>39</v>
      </c>
      <c r="O250" s="29" t="s">
        <v>169</v>
      </c>
      <c r="P250" s="29" t="s">
        <v>66</v>
      </c>
    </row>
    <row r="251" spans="2:16" hidden="1" x14ac:dyDescent="0.3">
      <c r="B251" s="26" t="s">
        <v>2</v>
      </c>
      <c r="C251" s="26" t="str">
        <f t="shared" si="12"/>
        <v>Small business without CL</v>
      </c>
      <c r="D251" s="26" t="s">
        <v>14</v>
      </c>
      <c r="E251" s="26" t="s">
        <v>158</v>
      </c>
      <c r="F251" s="26"/>
      <c r="G251" s="26" t="s">
        <v>74</v>
      </c>
      <c r="H251" s="26"/>
      <c r="I251" s="171">
        <v>7371</v>
      </c>
      <c r="J251" s="170"/>
      <c r="K251" s="14" t="s">
        <v>76</v>
      </c>
      <c r="L251" s="29"/>
      <c r="M251" s="29" t="s">
        <v>39</v>
      </c>
      <c r="N251" s="29" t="s">
        <v>39</v>
      </c>
      <c r="O251" s="29" t="s">
        <v>169</v>
      </c>
      <c r="P251" s="29" t="s">
        <v>66</v>
      </c>
    </row>
    <row r="252" spans="2:16" hidden="1" x14ac:dyDescent="0.3">
      <c r="B252" s="26" t="s">
        <v>4</v>
      </c>
      <c r="C252" s="26" t="str">
        <f t="shared" si="12"/>
        <v>Small business without CL</v>
      </c>
      <c r="D252" s="26" t="s">
        <v>14</v>
      </c>
      <c r="E252" s="26" t="s">
        <v>158</v>
      </c>
      <c r="F252" s="26"/>
      <c r="G252" s="26" t="s">
        <v>74</v>
      </c>
      <c r="H252" s="26"/>
      <c r="I252" s="171">
        <v>6204</v>
      </c>
      <c r="J252" s="170"/>
      <c r="K252" s="14" t="s">
        <v>76</v>
      </c>
      <c r="L252" s="29"/>
      <c r="M252" s="29" t="s">
        <v>39</v>
      </c>
      <c r="N252" s="29" t="s">
        <v>39</v>
      </c>
      <c r="O252" s="29" t="s">
        <v>169</v>
      </c>
      <c r="P252" s="29" t="s">
        <v>66</v>
      </c>
    </row>
    <row r="253" spans="2:16" hidden="1" x14ac:dyDescent="0.3">
      <c r="B253" s="26" t="s">
        <v>0</v>
      </c>
      <c r="C253" s="26" t="str">
        <f t="shared" si="12"/>
        <v>Small business without CL</v>
      </c>
      <c r="D253" s="26" t="s">
        <v>14</v>
      </c>
      <c r="E253" s="26" t="s">
        <v>158</v>
      </c>
      <c r="F253" s="26"/>
      <c r="G253" s="26" t="s">
        <v>74</v>
      </c>
      <c r="H253" s="26"/>
      <c r="I253" s="171">
        <v>6025</v>
      </c>
      <c r="J253" s="170"/>
      <c r="K253" s="14" t="s">
        <v>76</v>
      </c>
      <c r="L253" s="29"/>
      <c r="M253" s="29" t="s">
        <v>39</v>
      </c>
      <c r="N253" s="29" t="s">
        <v>39</v>
      </c>
      <c r="O253" s="29" t="s">
        <v>169</v>
      </c>
      <c r="P253" s="29" t="s">
        <v>66</v>
      </c>
    </row>
    <row r="254" spans="2:16" hidden="1" x14ac:dyDescent="0.3">
      <c r="B254" s="26" t="s">
        <v>3</v>
      </c>
      <c r="C254" s="26" t="str">
        <f t="shared" si="12"/>
        <v>Small business without CL</v>
      </c>
      <c r="D254" s="26" t="s">
        <v>14</v>
      </c>
      <c r="E254" s="26" t="s">
        <v>158</v>
      </c>
      <c r="F254" s="26"/>
      <c r="G254" s="26" t="s">
        <v>74</v>
      </c>
      <c r="H254" s="26"/>
      <c r="I254" s="171">
        <v>8045</v>
      </c>
      <c r="J254" s="170"/>
      <c r="K254" s="14" t="s">
        <v>76</v>
      </c>
      <c r="L254" s="29"/>
      <c r="M254" s="29" t="s">
        <v>39</v>
      </c>
      <c r="N254" s="29" t="s">
        <v>39</v>
      </c>
      <c r="O254" s="29" t="s">
        <v>169</v>
      </c>
      <c r="P254" s="29" t="s">
        <v>66</v>
      </c>
    </row>
    <row r="255" spans="2:16" hidden="1" x14ac:dyDescent="0.3">
      <c r="B255" s="26" t="s">
        <v>5</v>
      </c>
      <c r="C255" s="26" t="str">
        <f t="shared" si="12"/>
        <v>Small business without CL</v>
      </c>
      <c r="D255" s="26" t="s">
        <v>14</v>
      </c>
      <c r="E255" s="26" t="s">
        <v>158</v>
      </c>
      <c r="F255" s="26"/>
      <c r="G255" s="26" t="s">
        <v>74</v>
      </c>
      <c r="H255" s="26"/>
      <c r="I255" s="171">
        <v>9120</v>
      </c>
      <c r="J255" s="170"/>
      <c r="K255" s="14" t="s">
        <v>76</v>
      </c>
      <c r="L255" s="29"/>
      <c r="M255" s="29" t="s">
        <v>39</v>
      </c>
      <c r="N255" s="29" t="s">
        <v>39</v>
      </c>
      <c r="O255" s="29" t="s">
        <v>169</v>
      </c>
      <c r="P255" s="29" t="s">
        <v>66</v>
      </c>
    </row>
    <row r="256" spans="2:16" hidden="1" x14ac:dyDescent="0.3">
      <c r="B256" s="26"/>
      <c r="C256" s="26"/>
      <c r="D256" s="26"/>
      <c r="E256" s="26"/>
      <c r="F256" s="26"/>
      <c r="G256" s="26"/>
      <c r="H256" s="26"/>
      <c r="I256" s="170"/>
      <c r="J256" s="170"/>
      <c r="K256" s="14"/>
      <c r="L256" s="29"/>
      <c r="M256" s="29"/>
      <c r="N256" s="29"/>
      <c r="O256" s="29"/>
      <c r="P256" s="29"/>
    </row>
    <row r="257" spans="2:16" hidden="1" x14ac:dyDescent="0.3">
      <c r="B257" s="26"/>
      <c r="C257" s="26"/>
      <c r="D257" s="26"/>
      <c r="E257" s="26"/>
      <c r="F257" s="26"/>
      <c r="G257" s="26"/>
      <c r="H257" s="26"/>
      <c r="I257" s="170"/>
      <c r="J257" s="170"/>
      <c r="K257" s="14"/>
      <c r="L257" s="29"/>
      <c r="M257" s="29"/>
      <c r="N257" s="29"/>
      <c r="O257" s="29"/>
      <c r="P257" s="29"/>
    </row>
    <row r="258" spans="2:16" hidden="1" x14ac:dyDescent="0.3">
      <c r="B258" s="26"/>
      <c r="C258" s="26"/>
      <c r="D258" s="26"/>
      <c r="E258" s="26"/>
      <c r="F258" s="26"/>
      <c r="G258" s="26"/>
      <c r="H258" s="26"/>
      <c r="I258" s="170"/>
      <c r="J258" s="170"/>
      <c r="K258" s="14"/>
      <c r="L258" s="29"/>
      <c r="M258" s="29"/>
      <c r="N258" s="29"/>
      <c r="O258" s="29"/>
      <c r="P258" s="29"/>
    </row>
    <row r="259" spans="2:16" hidden="1" x14ac:dyDescent="0.3">
      <c r="B259" s="26"/>
      <c r="C259" s="26"/>
      <c r="D259" s="26"/>
      <c r="E259" s="26"/>
      <c r="F259" s="26"/>
      <c r="G259" s="26"/>
      <c r="H259" s="26"/>
      <c r="I259" s="170"/>
      <c r="J259" s="170"/>
      <c r="K259" s="14"/>
      <c r="L259" s="29"/>
      <c r="M259" s="29"/>
      <c r="N259" s="29"/>
      <c r="O259" s="29"/>
      <c r="P259" s="29"/>
    </row>
    <row r="260" spans="2:16" hidden="1" x14ac:dyDescent="0.3">
      <c r="B260" s="26"/>
      <c r="C260" s="26"/>
      <c r="D260" s="26"/>
      <c r="E260" s="26"/>
      <c r="F260" s="26"/>
      <c r="G260" s="26"/>
      <c r="H260" s="26"/>
      <c r="I260" s="170"/>
      <c r="J260" s="170"/>
      <c r="K260" s="14"/>
      <c r="L260" s="29"/>
      <c r="M260" s="29"/>
      <c r="N260" s="29"/>
      <c r="O260" s="29"/>
      <c r="P260" s="29"/>
    </row>
    <row r="261" spans="2:16" hidden="1" x14ac:dyDescent="0.3">
      <c r="B261" s="26"/>
      <c r="C261" s="26"/>
      <c r="D261" s="26"/>
      <c r="E261" s="26"/>
      <c r="F261" s="26"/>
      <c r="G261" s="26"/>
      <c r="H261" s="26"/>
      <c r="I261" s="170"/>
      <c r="J261" s="170"/>
      <c r="K261" s="14"/>
      <c r="L261" s="29"/>
      <c r="M261" s="29"/>
      <c r="N261" s="29"/>
      <c r="O261" s="29"/>
      <c r="P261" s="29"/>
    </row>
    <row r="262" spans="2:16" hidden="1" x14ac:dyDescent="0.3">
      <c r="B262" s="26"/>
      <c r="C262" s="26"/>
      <c r="D262" s="26"/>
      <c r="E262" s="26"/>
      <c r="F262" s="26"/>
      <c r="G262" s="26"/>
      <c r="H262" s="26"/>
      <c r="I262" s="170"/>
      <c r="J262" s="170"/>
      <c r="K262" s="14"/>
      <c r="L262" s="29"/>
      <c r="M262" s="29"/>
      <c r="N262" s="29"/>
      <c r="O262" s="29"/>
      <c r="P262" s="29"/>
    </row>
    <row r="263" spans="2:16" hidden="1" x14ac:dyDescent="0.3">
      <c r="B263" s="26"/>
      <c r="C263" s="26"/>
      <c r="D263" s="26"/>
      <c r="E263" s="26"/>
      <c r="F263" s="26"/>
      <c r="G263" s="26"/>
      <c r="H263" s="26"/>
      <c r="I263" s="170"/>
      <c r="J263" s="170"/>
      <c r="K263" s="14"/>
      <c r="L263" s="29"/>
      <c r="M263" s="29"/>
      <c r="N263" s="29"/>
      <c r="O263" s="29"/>
      <c r="P263" s="29"/>
    </row>
    <row r="264" spans="2:16" hidden="1" x14ac:dyDescent="0.3">
      <c r="B264" s="26"/>
      <c r="C264" s="26"/>
      <c r="D264" s="26"/>
      <c r="E264" s="26"/>
      <c r="F264" s="26"/>
      <c r="G264" s="26"/>
      <c r="H264" s="26"/>
      <c r="I264" s="170"/>
      <c r="J264" s="170"/>
      <c r="K264" s="14"/>
      <c r="L264" s="29"/>
      <c r="M264" s="29"/>
      <c r="N264" s="29"/>
      <c r="O264" s="29"/>
      <c r="P264" s="29"/>
    </row>
    <row r="265" spans="2:16" hidden="1" x14ac:dyDescent="0.3">
      <c r="B265" s="26"/>
      <c r="C265" s="26"/>
      <c r="D265" s="26"/>
      <c r="E265" s="26"/>
      <c r="F265" s="26"/>
      <c r="G265" s="26"/>
      <c r="H265" s="26"/>
      <c r="I265" s="170"/>
      <c r="J265" s="170"/>
      <c r="K265" s="14"/>
      <c r="L265" s="29"/>
      <c r="M265" s="29"/>
      <c r="N265" s="29"/>
      <c r="O265" s="29"/>
      <c r="P265" s="29"/>
    </row>
    <row r="266" spans="2:16" hidden="1" x14ac:dyDescent="0.3">
      <c r="B266" s="26"/>
      <c r="C266" s="26"/>
      <c r="D266" s="26"/>
      <c r="E266" s="26"/>
      <c r="F266" s="26"/>
      <c r="G266" s="26"/>
      <c r="H266" s="26"/>
      <c r="I266" s="170"/>
      <c r="J266" s="170"/>
      <c r="K266" s="14"/>
      <c r="L266" s="29"/>
      <c r="M266" s="29"/>
      <c r="N266" s="29"/>
      <c r="O266" s="29"/>
      <c r="P266" s="29"/>
    </row>
    <row r="267" spans="2:16" hidden="1" x14ac:dyDescent="0.3">
      <c r="B267" s="26"/>
      <c r="C267" s="26"/>
      <c r="D267" s="26"/>
      <c r="E267" s="26"/>
      <c r="F267" s="26"/>
      <c r="G267" s="26"/>
      <c r="H267" s="26"/>
      <c r="I267" s="170"/>
      <c r="J267" s="170"/>
      <c r="K267" s="14"/>
      <c r="L267" s="29"/>
      <c r="M267" s="29"/>
      <c r="N267" s="29"/>
      <c r="O267" s="29"/>
      <c r="P267" s="29"/>
    </row>
    <row r="268" spans="2:16" hidden="1" x14ac:dyDescent="0.3">
      <c r="B268" s="26"/>
      <c r="C268" s="26"/>
      <c r="D268" s="26"/>
      <c r="E268" s="26"/>
      <c r="F268" s="26"/>
      <c r="G268" s="26"/>
      <c r="H268" s="26"/>
      <c r="I268" s="170"/>
      <c r="J268" s="170"/>
      <c r="K268" s="14"/>
      <c r="L268" s="29"/>
      <c r="M268" s="29"/>
      <c r="N268" s="29"/>
      <c r="O268" s="29"/>
      <c r="P268" s="29"/>
    </row>
    <row r="269" spans="2:16" hidden="1" x14ac:dyDescent="0.3">
      <c r="B269" s="26"/>
      <c r="C269" s="26"/>
      <c r="D269" s="26"/>
      <c r="E269" s="26"/>
      <c r="F269" s="26"/>
      <c r="G269" s="26"/>
      <c r="H269" s="26"/>
      <c r="I269" s="170"/>
      <c r="J269" s="170"/>
      <c r="K269" s="14"/>
      <c r="L269" s="29"/>
      <c r="M269" s="29"/>
      <c r="N269" s="29"/>
      <c r="O269" s="29"/>
      <c r="P269" s="29"/>
    </row>
    <row r="270" spans="2:16" hidden="1" x14ac:dyDescent="0.3">
      <c r="B270" s="26"/>
      <c r="C270" s="26"/>
      <c r="D270" s="26"/>
      <c r="E270" s="26"/>
      <c r="F270" s="26"/>
      <c r="G270" s="26"/>
      <c r="H270" s="26"/>
      <c r="I270" s="170"/>
      <c r="J270" s="170"/>
      <c r="K270" s="14"/>
      <c r="L270" s="29"/>
      <c r="M270" s="29"/>
      <c r="N270" s="29"/>
      <c r="O270" s="29"/>
      <c r="P270" s="29"/>
    </row>
    <row r="271" spans="2:16" hidden="1" x14ac:dyDescent="0.3">
      <c r="B271" s="26"/>
      <c r="C271" s="26"/>
      <c r="D271" s="26"/>
      <c r="E271" s="26"/>
      <c r="F271" s="26"/>
      <c r="G271" s="26"/>
      <c r="H271" s="26"/>
      <c r="I271" s="170"/>
      <c r="J271" s="170"/>
      <c r="K271" s="14"/>
      <c r="L271" s="29"/>
      <c r="M271" s="29"/>
      <c r="N271" s="29"/>
      <c r="O271" s="29"/>
      <c r="P271" s="29"/>
    </row>
    <row r="272" spans="2:16" hidden="1" x14ac:dyDescent="0.3">
      <c r="B272" s="26"/>
      <c r="C272" s="26"/>
      <c r="D272" s="26"/>
      <c r="E272" s="26"/>
      <c r="F272" s="26"/>
      <c r="G272" s="26"/>
      <c r="H272" s="26"/>
      <c r="I272" s="170"/>
      <c r="J272" s="170"/>
      <c r="K272" s="14"/>
      <c r="L272" s="29"/>
      <c r="M272" s="29"/>
      <c r="N272" s="29"/>
      <c r="O272" s="29"/>
      <c r="P272" s="29"/>
    </row>
    <row r="273" spans="2:16" hidden="1" x14ac:dyDescent="0.3">
      <c r="B273" s="26"/>
      <c r="C273" s="26"/>
      <c r="D273" s="26"/>
      <c r="E273" s="26"/>
      <c r="F273" s="26"/>
      <c r="G273" s="26"/>
      <c r="H273" s="26"/>
      <c r="I273" s="170"/>
      <c r="J273" s="170"/>
      <c r="K273" s="14"/>
      <c r="L273" s="29"/>
      <c r="M273" s="29"/>
      <c r="N273" s="29"/>
      <c r="O273" s="29"/>
      <c r="P273" s="29"/>
    </row>
    <row r="274" spans="2:16" hidden="1" x14ac:dyDescent="0.3">
      <c r="B274" s="26"/>
      <c r="C274" s="26"/>
      <c r="D274" s="26"/>
      <c r="E274" s="26"/>
      <c r="F274" s="26"/>
      <c r="G274" s="26"/>
      <c r="H274" s="26"/>
      <c r="I274" s="170"/>
      <c r="J274" s="170"/>
      <c r="K274" s="14"/>
      <c r="L274" s="29"/>
      <c r="M274" s="29"/>
      <c r="N274" s="29"/>
      <c r="O274" s="29"/>
      <c r="P274" s="29"/>
    </row>
    <row r="275" spans="2:16" hidden="1" x14ac:dyDescent="0.3">
      <c r="B275" s="26"/>
      <c r="C275" s="26"/>
      <c r="D275" s="26"/>
      <c r="E275" s="26"/>
      <c r="F275" s="26"/>
      <c r="G275" s="26"/>
      <c r="H275" s="26"/>
      <c r="I275" s="170"/>
      <c r="J275" s="170"/>
      <c r="K275" s="14"/>
      <c r="L275" s="29"/>
      <c r="M275" s="29"/>
      <c r="N275" s="29"/>
      <c r="O275" s="29"/>
      <c r="P275" s="29"/>
    </row>
    <row r="276" spans="2:16" hidden="1" x14ac:dyDescent="0.3">
      <c r="B276" s="26"/>
      <c r="C276" s="26"/>
      <c r="D276" s="26"/>
      <c r="E276" s="26"/>
      <c r="F276" s="26"/>
      <c r="G276" s="26"/>
      <c r="H276" s="26"/>
      <c r="I276" s="170"/>
      <c r="J276" s="170"/>
      <c r="K276" s="14"/>
      <c r="L276" s="29"/>
      <c r="M276" s="29"/>
      <c r="N276" s="29"/>
      <c r="O276" s="29"/>
      <c r="P276" s="29"/>
    </row>
    <row r="277" spans="2:16" hidden="1" x14ac:dyDescent="0.3">
      <c r="B277" s="26"/>
      <c r="C277" s="26"/>
      <c r="D277" s="26"/>
      <c r="E277" s="26"/>
      <c r="F277" s="26"/>
      <c r="G277" s="26"/>
      <c r="H277" s="26"/>
      <c r="I277" s="170"/>
      <c r="J277" s="170"/>
      <c r="K277" s="14"/>
      <c r="L277" s="29"/>
      <c r="M277" s="29"/>
      <c r="N277" s="29"/>
      <c r="O277" s="29"/>
      <c r="P277" s="29"/>
    </row>
    <row r="278" spans="2:16" hidden="1" x14ac:dyDescent="0.3">
      <c r="B278" s="26"/>
      <c r="C278" s="26"/>
      <c r="D278" s="26"/>
      <c r="E278" s="26"/>
      <c r="F278" s="26"/>
      <c r="G278" s="26"/>
      <c r="H278" s="26"/>
      <c r="I278" s="170"/>
      <c r="J278" s="170"/>
      <c r="K278" s="14"/>
      <c r="L278" s="29"/>
      <c r="M278" s="29"/>
      <c r="N278" s="29"/>
      <c r="O278" s="29"/>
      <c r="P278" s="29"/>
    </row>
    <row r="279" spans="2:16" hidden="1" x14ac:dyDescent="0.3">
      <c r="B279" s="26"/>
      <c r="C279" s="26"/>
      <c r="D279" s="26"/>
      <c r="E279" s="26"/>
      <c r="F279" s="26"/>
      <c r="G279" s="26"/>
      <c r="H279" s="26"/>
      <c r="I279" s="170"/>
      <c r="J279" s="170"/>
      <c r="K279" s="14"/>
      <c r="L279" s="29"/>
      <c r="M279" s="29"/>
      <c r="N279" s="29"/>
      <c r="O279" s="29"/>
      <c r="P279" s="29"/>
    </row>
    <row r="280" spans="2:16" hidden="1" x14ac:dyDescent="0.3">
      <c r="B280" s="26"/>
      <c r="C280" s="26"/>
      <c r="D280" s="26"/>
      <c r="E280" s="26"/>
      <c r="F280" s="26"/>
      <c r="G280" s="26"/>
      <c r="H280" s="26"/>
      <c r="I280" s="170"/>
      <c r="J280" s="170"/>
      <c r="K280" s="14"/>
      <c r="L280" s="29"/>
      <c r="M280" s="29"/>
      <c r="N280" s="29"/>
      <c r="O280" s="29"/>
      <c r="P280" s="29"/>
    </row>
    <row r="281" spans="2:16" hidden="1" x14ac:dyDescent="0.3">
      <c r="B281" s="26"/>
      <c r="C281" s="26"/>
      <c r="D281" s="26"/>
      <c r="E281" s="26"/>
      <c r="F281" s="26"/>
      <c r="G281" s="26"/>
      <c r="H281" s="26"/>
      <c r="I281" s="170"/>
      <c r="J281" s="170"/>
      <c r="K281" s="14"/>
      <c r="L281" s="29"/>
      <c r="M281" s="29"/>
      <c r="N281" s="29"/>
      <c r="O281" s="29"/>
      <c r="P281" s="29"/>
    </row>
    <row r="282" spans="2:16" hidden="1" x14ac:dyDescent="0.3">
      <c r="B282" s="26"/>
      <c r="C282" s="26"/>
      <c r="D282" s="26"/>
      <c r="E282" s="26"/>
      <c r="F282" s="26"/>
      <c r="G282" s="26"/>
      <c r="H282" s="26"/>
      <c r="I282" s="170"/>
      <c r="J282" s="170"/>
      <c r="K282" s="14"/>
      <c r="L282" s="29"/>
      <c r="M282" s="29"/>
      <c r="N282" s="29"/>
      <c r="O282" s="29"/>
      <c r="P282" s="29"/>
    </row>
    <row r="283" spans="2:16" hidden="1" x14ac:dyDescent="0.3">
      <c r="B283" s="26"/>
      <c r="C283" s="26"/>
      <c r="D283" s="26"/>
      <c r="E283" s="26"/>
      <c r="F283" s="26"/>
      <c r="G283" s="26"/>
      <c r="H283" s="26"/>
      <c r="I283" s="170"/>
      <c r="J283" s="170"/>
      <c r="K283" s="14"/>
      <c r="L283" s="29"/>
      <c r="M283" s="29"/>
      <c r="N283" s="29"/>
      <c r="O283" s="29"/>
      <c r="P283" s="29"/>
    </row>
    <row r="284" spans="2:16" hidden="1" x14ac:dyDescent="0.3">
      <c r="B284" s="26"/>
      <c r="C284" s="26"/>
      <c r="D284" s="26"/>
      <c r="E284" s="26"/>
      <c r="F284" s="26"/>
      <c r="G284" s="26"/>
      <c r="H284" s="26"/>
      <c r="I284" s="170"/>
      <c r="J284" s="170"/>
      <c r="K284" s="14"/>
      <c r="L284" s="29"/>
      <c r="M284" s="29"/>
      <c r="N284" s="29"/>
      <c r="O284" s="29"/>
      <c r="P284" s="29"/>
    </row>
    <row r="285" spans="2:16" hidden="1" x14ac:dyDescent="0.3">
      <c r="B285" s="26"/>
      <c r="C285" s="26"/>
      <c r="D285" s="26"/>
      <c r="E285" s="26"/>
      <c r="F285" s="26"/>
      <c r="G285" s="26"/>
      <c r="H285" s="26"/>
      <c r="I285" s="40"/>
      <c r="J285" s="40"/>
      <c r="K285" s="14"/>
      <c r="L285" s="29"/>
      <c r="M285" s="29"/>
      <c r="N285" s="29"/>
      <c r="O285" s="29"/>
      <c r="P285" s="29"/>
    </row>
    <row r="286" spans="2:16" hidden="1" x14ac:dyDescent="0.3">
      <c r="B286" s="26"/>
      <c r="C286" s="26"/>
      <c r="D286" s="26"/>
      <c r="E286" s="26"/>
      <c r="F286" s="26"/>
      <c r="G286" s="26"/>
      <c r="H286" s="26"/>
      <c r="I286" s="40"/>
      <c r="J286" s="40"/>
      <c r="K286" s="14"/>
      <c r="L286" s="29"/>
      <c r="M286" s="29"/>
      <c r="N286" s="29"/>
      <c r="O286" s="29"/>
      <c r="P286" s="29"/>
    </row>
    <row r="287" spans="2:16" hidden="1" x14ac:dyDescent="0.3">
      <c r="B287" s="26"/>
      <c r="C287" s="26"/>
      <c r="D287" s="26"/>
      <c r="E287" s="26"/>
      <c r="F287" s="26"/>
      <c r="G287" s="26"/>
      <c r="H287" s="26"/>
      <c r="I287" s="40"/>
      <c r="J287" s="40"/>
      <c r="K287" s="14"/>
      <c r="L287" s="29"/>
      <c r="M287" s="29"/>
      <c r="N287" s="29"/>
      <c r="O287" s="29"/>
      <c r="P287" s="29"/>
    </row>
    <row r="288" spans="2:16" hidden="1" x14ac:dyDescent="0.3">
      <c r="B288" s="26"/>
      <c r="C288" s="26"/>
      <c r="D288" s="26"/>
      <c r="E288" s="26"/>
      <c r="F288" s="26"/>
      <c r="G288" s="26"/>
      <c r="H288" s="26"/>
      <c r="I288" s="40"/>
      <c r="J288" s="40"/>
      <c r="K288" s="14"/>
      <c r="L288" s="29"/>
      <c r="M288" s="29"/>
      <c r="N288" s="29"/>
      <c r="O288" s="29"/>
      <c r="P288" s="29"/>
    </row>
    <row r="289" spans="2:16" hidden="1" x14ac:dyDescent="0.3">
      <c r="B289" s="26"/>
      <c r="C289" s="26"/>
      <c r="D289" s="26"/>
      <c r="E289" s="26"/>
      <c r="F289" s="26"/>
      <c r="G289" s="26"/>
      <c r="H289" s="26"/>
      <c r="I289" s="40"/>
      <c r="J289" s="40"/>
      <c r="K289" s="14"/>
      <c r="L289" s="29"/>
      <c r="M289" s="29"/>
      <c r="N289" s="29"/>
      <c r="O289" s="29"/>
      <c r="P289" s="29"/>
    </row>
    <row r="290" spans="2:16" hidden="1" x14ac:dyDescent="0.3">
      <c r="B290" s="26"/>
      <c r="C290" s="26"/>
      <c r="D290" s="26"/>
      <c r="E290" s="26"/>
      <c r="F290" s="26"/>
      <c r="G290" s="26"/>
      <c r="H290" s="26"/>
      <c r="I290" s="40"/>
      <c r="J290" s="40"/>
      <c r="K290" s="14"/>
      <c r="L290" s="29"/>
      <c r="M290" s="29"/>
      <c r="N290" s="29"/>
      <c r="O290" s="29"/>
      <c r="P290" s="29"/>
    </row>
    <row r="291" spans="2:16" hidden="1" x14ac:dyDescent="0.3">
      <c r="B291" s="26"/>
      <c r="C291" s="26"/>
      <c r="D291" s="26"/>
      <c r="E291" s="26"/>
      <c r="F291" s="26"/>
      <c r="G291" s="26"/>
      <c r="H291" s="26"/>
      <c r="I291" s="40"/>
      <c r="J291" s="40"/>
      <c r="K291" s="14"/>
      <c r="L291" s="29"/>
      <c r="M291" s="29"/>
      <c r="N291" s="29"/>
      <c r="O291" s="29"/>
      <c r="P291" s="29"/>
    </row>
    <row r="292" spans="2:16" hidden="1" x14ac:dyDescent="0.3">
      <c r="B292" s="26"/>
      <c r="C292" s="26"/>
      <c r="D292" s="26"/>
      <c r="E292" s="26"/>
      <c r="F292" s="26"/>
      <c r="G292" s="26"/>
      <c r="H292" s="26"/>
      <c r="I292" s="40"/>
      <c r="J292" s="40"/>
      <c r="K292" s="14"/>
      <c r="L292" s="29"/>
      <c r="M292" s="29"/>
      <c r="N292" s="29"/>
      <c r="O292" s="29"/>
      <c r="P292" s="29"/>
    </row>
    <row r="293" spans="2:16" hidden="1" x14ac:dyDescent="0.3">
      <c r="B293" s="26"/>
      <c r="C293" s="26"/>
      <c r="D293" s="26"/>
      <c r="E293" s="26"/>
      <c r="F293" s="26"/>
      <c r="G293" s="26"/>
      <c r="H293" s="26"/>
      <c r="I293" s="40"/>
      <c r="J293" s="40"/>
      <c r="K293" s="14"/>
      <c r="L293" s="29"/>
      <c r="M293" s="29"/>
      <c r="N293" s="29"/>
      <c r="O293" s="29"/>
      <c r="P293" s="29"/>
    </row>
    <row r="294" spans="2:16" hidden="1" x14ac:dyDescent="0.3">
      <c r="B294" s="26"/>
      <c r="C294" s="26"/>
      <c r="D294" s="26"/>
      <c r="E294" s="26"/>
      <c r="F294" s="26"/>
      <c r="G294" s="26"/>
      <c r="H294" s="26"/>
      <c r="I294" s="40"/>
      <c r="J294" s="40"/>
      <c r="K294" s="14"/>
      <c r="L294" s="29"/>
      <c r="M294" s="29"/>
      <c r="N294" s="29"/>
      <c r="O294" s="29"/>
      <c r="P294" s="29"/>
    </row>
    <row r="295" spans="2:16" hidden="1" x14ac:dyDescent="0.3">
      <c r="B295" s="26"/>
      <c r="C295" s="26"/>
      <c r="D295" s="26"/>
      <c r="E295" s="26"/>
      <c r="F295" s="26"/>
      <c r="G295" s="26"/>
      <c r="H295" s="26"/>
      <c r="I295" s="40"/>
      <c r="J295" s="40"/>
      <c r="K295" s="14"/>
      <c r="L295" s="29"/>
      <c r="M295" s="29"/>
      <c r="N295" s="29"/>
      <c r="O295" s="29"/>
      <c r="P295" s="29"/>
    </row>
    <row r="296" spans="2:16" hidden="1" x14ac:dyDescent="0.3">
      <c r="B296" s="26"/>
      <c r="C296" s="26"/>
      <c r="D296" s="26"/>
      <c r="E296" s="26"/>
      <c r="F296" s="26"/>
      <c r="G296" s="26"/>
      <c r="H296" s="26"/>
      <c r="I296" s="40"/>
      <c r="J296" s="40"/>
      <c r="K296" s="14"/>
      <c r="L296" s="29"/>
      <c r="M296" s="29"/>
      <c r="N296" s="29"/>
      <c r="O296" s="29"/>
      <c r="P296" s="29"/>
    </row>
    <row r="297" spans="2:16" hidden="1" x14ac:dyDescent="0.3">
      <c r="B297" s="26"/>
      <c r="C297" s="26"/>
      <c r="D297" s="26"/>
      <c r="E297" s="26"/>
      <c r="F297" s="26"/>
      <c r="G297" s="26"/>
      <c r="H297" s="26"/>
      <c r="I297" s="40"/>
      <c r="J297" s="40"/>
      <c r="K297" s="14"/>
      <c r="L297" s="29"/>
      <c r="M297" s="29"/>
      <c r="N297" s="29"/>
      <c r="O297" s="29"/>
      <c r="P297" s="29"/>
    </row>
    <row r="298" spans="2:16" hidden="1" x14ac:dyDescent="0.3">
      <c r="B298" s="26"/>
      <c r="C298" s="26"/>
      <c r="D298" s="26"/>
      <c r="E298" s="26"/>
      <c r="F298" s="26"/>
      <c r="G298" s="26"/>
      <c r="H298" s="26"/>
      <c r="I298" s="40"/>
      <c r="J298" s="40"/>
      <c r="K298" s="14"/>
      <c r="L298" s="29"/>
      <c r="M298" s="29"/>
      <c r="N298" s="29"/>
      <c r="O298" s="29"/>
      <c r="P298" s="29"/>
    </row>
    <row r="299" spans="2:16" hidden="1" x14ac:dyDescent="0.3">
      <c r="B299" s="26"/>
      <c r="C299" s="26"/>
      <c r="D299" s="26"/>
      <c r="E299" s="26"/>
      <c r="F299" s="26"/>
      <c r="G299" s="26"/>
      <c r="H299" s="26"/>
      <c r="I299" s="40"/>
      <c r="J299" s="40"/>
      <c r="K299" s="14"/>
      <c r="L299" s="29"/>
      <c r="M299" s="29"/>
      <c r="N299" s="29"/>
      <c r="O299" s="29"/>
      <c r="P299" s="29"/>
    </row>
    <row r="300" spans="2:16" hidden="1" x14ac:dyDescent="0.3">
      <c r="B300" s="26"/>
      <c r="C300" s="26"/>
      <c r="D300" s="26"/>
      <c r="E300" s="26"/>
      <c r="F300" s="26"/>
      <c r="G300" s="26"/>
      <c r="H300" s="26"/>
      <c r="I300" s="40"/>
      <c r="J300" s="40"/>
      <c r="K300" s="14"/>
      <c r="L300" s="29"/>
      <c r="M300" s="29"/>
      <c r="N300" s="29"/>
      <c r="O300" s="29"/>
      <c r="P300" s="29"/>
    </row>
    <row r="301" spans="2:16" hidden="1" x14ac:dyDescent="0.3">
      <c r="B301" s="26"/>
      <c r="C301" s="26"/>
      <c r="D301" s="26"/>
      <c r="E301" s="26"/>
      <c r="F301" s="26"/>
      <c r="G301" s="26"/>
      <c r="H301" s="26"/>
      <c r="I301" s="40"/>
      <c r="J301" s="40"/>
      <c r="K301" s="14"/>
      <c r="L301" s="29"/>
      <c r="M301" s="29"/>
      <c r="N301" s="29"/>
      <c r="O301" s="29"/>
      <c r="P301" s="29"/>
    </row>
    <row r="302" spans="2:16" hidden="1" x14ac:dyDescent="0.3">
      <c r="B302" s="26"/>
      <c r="C302" s="26"/>
      <c r="D302" s="26"/>
      <c r="E302" s="26"/>
      <c r="F302" s="26"/>
      <c r="G302" s="26"/>
      <c r="H302" s="26"/>
      <c r="I302" s="40"/>
      <c r="J302" s="40"/>
      <c r="K302" s="14"/>
      <c r="L302" s="29"/>
      <c r="M302" s="29"/>
      <c r="N302" s="29"/>
      <c r="O302" s="29"/>
      <c r="P302" s="29"/>
    </row>
    <row r="303" spans="2:16" hidden="1" x14ac:dyDescent="0.3">
      <c r="B303" s="26"/>
      <c r="C303" s="26"/>
      <c r="D303" s="26"/>
      <c r="E303" s="26"/>
      <c r="F303" s="26"/>
      <c r="G303" s="26"/>
      <c r="H303" s="26"/>
      <c r="I303" s="40"/>
      <c r="J303" s="40"/>
      <c r="K303" s="14"/>
      <c r="L303" s="29"/>
      <c r="M303" s="29"/>
      <c r="N303" s="29"/>
      <c r="O303" s="29"/>
      <c r="P303" s="29"/>
    </row>
    <row r="304" spans="2:16" hidden="1" x14ac:dyDescent="0.3">
      <c r="B304" s="26"/>
      <c r="C304" s="26"/>
      <c r="D304" s="26"/>
      <c r="E304" s="26"/>
      <c r="F304" s="26"/>
      <c r="G304" s="26"/>
      <c r="H304" s="26"/>
      <c r="I304" s="40"/>
      <c r="J304" s="40"/>
      <c r="K304" s="14"/>
      <c r="L304" s="29"/>
      <c r="M304" s="29"/>
      <c r="N304" s="29"/>
      <c r="O304" s="29"/>
      <c r="P304" s="29"/>
    </row>
    <row r="305" spans="2:16" hidden="1" x14ac:dyDescent="0.3">
      <c r="B305" s="26"/>
      <c r="C305" s="26"/>
      <c r="D305" s="26"/>
      <c r="E305" s="26"/>
      <c r="F305" s="26"/>
      <c r="G305" s="26"/>
      <c r="H305" s="26"/>
      <c r="I305" s="40"/>
      <c r="J305" s="40"/>
      <c r="K305" s="14"/>
      <c r="L305" s="29"/>
      <c r="M305" s="29"/>
      <c r="N305" s="29"/>
      <c r="O305" s="29"/>
      <c r="P305" s="29"/>
    </row>
    <row r="306" spans="2:16" hidden="1" x14ac:dyDescent="0.3">
      <c r="B306" s="26"/>
      <c r="C306" s="26"/>
      <c r="D306" s="26"/>
      <c r="E306" s="26"/>
      <c r="F306" s="26"/>
      <c r="G306" s="26"/>
      <c r="H306" s="26"/>
      <c r="I306" s="40"/>
      <c r="J306" s="40"/>
      <c r="K306" s="14"/>
      <c r="L306" s="29"/>
      <c r="M306" s="29"/>
      <c r="N306" s="29"/>
      <c r="O306" s="29"/>
      <c r="P306" s="29"/>
    </row>
    <row r="307" spans="2:16" hidden="1" x14ac:dyDescent="0.3">
      <c r="B307" s="26"/>
      <c r="C307" s="26"/>
      <c r="D307" s="26"/>
      <c r="E307" s="26"/>
      <c r="F307" s="26"/>
      <c r="G307" s="26"/>
      <c r="H307" s="26"/>
      <c r="I307" s="40"/>
      <c r="J307" s="40"/>
      <c r="K307" s="14"/>
      <c r="L307" s="29"/>
      <c r="M307" s="29"/>
      <c r="N307" s="29"/>
      <c r="O307" s="29"/>
      <c r="P307" s="29"/>
    </row>
    <row r="308" spans="2:16" hidden="1" x14ac:dyDescent="0.3">
      <c r="B308" s="26"/>
      <c r="C308" s="26"/>
      <c r="D308" s="26"/>
      <c r="E308" s="26"/>
      <c r="F308" s="26"/>
      <c r="G308" s="26"/>
      <c r="H308" s="26"/>
      <c r="I308" s="40"/>
      <c r="J308" s="40"/>
      <c r="K308" s="14"/>
      <c r="L308" s="29"/>
      <c r="M308" s="29"/>
      <c r="N308" s="29"/>
      <c r="O308" s="29"/>
      <c r="P308" s="29"/>
    </row>
    <row r="309" spans="2:16" hidden="1" x14ac:dyDescent="0.3">
      <c r="B309" s="26"/>
      <c r="C309" s="26"/>
      <c r="D309" s="26"/>
      <c r="E309" s="26"/>
      <c r="F309" s="26"/>
      <c r="G309" s="26"/>
      <c r="H309" s="26"/>
      <c r="I309" s="40"/>
      <c r="J309" s="40"/>
      <c r="K309" s="14"/>
      <c r="L309" s="29"/>
      <c r="M309" s="29"/>
      <c r="N309" s="29"/>
      <c r="O309" s="29"/>
      <c r="P309" s="29"/>
    </row>
    <row r="310" spans="2:16" hidden="1" x14ac:dyDescent="0.3">
      <c r="B310" s="26"/>
      <c r="C310" s="26"/>
      <c r="D310" s="26"/>
      <c r="E310" s="26"/>
      <c r="F310" s="26"/>
      <c r="G310" s="26"/>
      <c r="H310" s="26"/>
      <c r="I310" s="40"/>
      <c r="J310" s="40"/>
      <c r="K310" s="14"/>
      <c r="L310" s="29"/>
      <c r="M310" s="29"/>
      <c r="N310" s="29"/>
      <c r="O310" s="29"/>
      <c r="P310" s="29"/>
    </row>
    <row r="311" spans="2:16" hidden="1" x14ac:dyDescent="0.3">
      <c r="B311" s="26"/>
      <c r="C311" s="26"/>
      <c r="D311" s="26"/>
      <c r="E311" s="26"/>
      <c r="F311" s="26"/>
      <c r="G311" s="26"/>
      <c r="H311" s="26"/>
      <c r="I311" s="40"/>
      <c r="J311" s="40"/>
      <c r="K311" s="14"/>
      <c r="L311" s="29"/>
      <c r="M311" s="29"/>
      <c r="N311" s="29"/>
      <c r="O311" s="29"/>
      <c r="P311" s="29"/>
    </row>
    <row r="312" spans="2:16" hidden="1" x14ac:dyDescent="0.3">
      <c r="B312" s="26"/>
      <c r="C312" s="26"/>
      <c r="D312" s="26"/>
      <c r="E312" s="26"/>
      <c r="F312" s="26"/>
      <c r="G312" s="26"/>
      <c r="H312" s="26"/>
      <c r="I312" s="40"/>
      <c r="J312" s="40"/>
      <c r="K312" s="14"/>
      <c r="L312" s="29"/>
      <c r="M312" s="29"/>
      <c r="N312" s="29"/>
      <c r="O312" s="29"/>
      <c r="P312" s="29"/>
    </row>
    <row r="313" spans="2:16" hidden="1" x14ac:dyDescent="0.3">
      <c r="B313" s="26"/>
      <c r="C313" s="26"/>
      <c r="D313" s="26"/>
      <c r="E313" s="26"/>
      <c r="F313" s="26"/>
      <c r="G313" s="26"/>
      <c r="H313" s="26"/>
      <c r="I313" s="40"/>
      <c r="J313" s="40"/>
      <c r="K313" s="14"/>
      <c r="L313" s="29"/>
      <c r="M313" s="29"/>
      <c r="N313" s="29"/>
      <c r="O313" s="29"/>
      <c r="P313" s="29"/>
    </row>
    <row r="314" spans="2:16" hidden="1" x14ac:dyDescent="0.3">
      <c r="B314" s="26"/>
      <c r="C314" s="26"/>
      <c r="D314" s="26"/>
      <c r="E314" s="26"/>
      <c r="F314" s="26"/>
      <c r="G314" s="26"/>
      <c r="H314" s="26"/>
      <c r="I314" s="40"/>
      <c r="J314" s="40"/>
      <c r="K314" s="14"/>
      <c r="L314" s="29"/>
      <c r="M314" s="29"/>
      <c r="N314" s="29"/>
      <c r="O314" s="29"/>
      <c r="P314" s="29"/>
    </row>
    <row r="315" spans="2:16" hidden="1" x14ac:dyDescent="0.3">
      <c r="B315" s="26"/>
      <c r="C315" s="26"/>
      <c r="D315" s="26"/>
      <c r="E315" s="26"/>
      <c r="F315" s="26"/>
      <c r="G315" s="26"/>
      <c r="H315" s="26"/>
      <c r="I315" s="40"/>
      <c r="J315" s="40"/>
      <c r="K315" s="14"/>
      <c r="L315" s="29"/>
      <c r="M315" s="29"/>
      <c r="N315" s="29"/>
      <c r="O315" s="29"/>
      <c r="P315" s="29"/>
    </row>
    <row r="316" spans="2:16" hidden="1" x14ac:dyDescent="0.3">
      <c r="B316" s="26"/>
      <c r="C316" s="26"/>
      <c r="D316" s="26"/>
      <c r="E316" s="26"/>
      <c r="F316" s="26"/>
      <c r="G316" s="26"/>
      <c r="H316" s="26"/>
      <c r="I316" s="40"/>
      <c r="J316" s="40"/>
      <c r="K316" s="14"/>
      <c r="L316" s="29"/>
      <c r="M316" s="29"/>
      <c r="N316" s="29"/>
      <c r="O316" s="29"/>
      <c r="P316" s="29"/>
    </row>
    <row r="317" spans="2:16" hidden="1" x14ac:dyDescent="0.3">
      <c r="B317" s="26"/>
      <c r="C317" s="26"/>
      <c r="D317" s="26"/>
      <c r="E317" s="26"/>
      <c r="F317" s="26"/>
      <c r="G317" s="26"/>
      <c r="H317" s="26"/>
      <c r="I317" s="40"/>
      <c r="J317" s="40"/>
      <c r="K317" s="14"/>
      <c r="L317" s="29"/>
      <c r="M317" s="29"/>
      <c r="N317" s="29"/>
      <c r="O317" s="29"/>
      <c r="P317" s="29"/>
    </row>
    <row r="318" spans="2:16" hidden="1" x14ac:dyDescent="0.3">
      <c r="B318" s="26"/>
      <c r="C318" s="26"/>
      <c r="D318" s="26"/>
      <c r="E318" s="26"/>
      <c r="F318" s="26"/>
      <c r="G318" s="26"/>
      <c r="H318" s="26"/>
      <c r="I318" s="40"/>
      <c r="J318" s="40"/>
      <c r="K318" s="14"/>
      <c r="L318" s="29"/>
      <c r="M318" s="29"/>
      <c r="N318" s="29"/>
      <c r="O318" s="29"/>
      <c r="P318" s="29"/>
    </row>
    <row r="319" spans="2:16" hidden="1" x14ac:dyDescent="0.3">
      <c r="B319" s="26"/>
      <c r="C319" s="26"/>
      <c r="D319" s="26"/>
      <c r="E319" s="26"/>
      <c r="F319" s="26"/>
      <c r="G319" s="26"/>
      <c r="H319" s="26"/>
      <c r="I319" s="40"/>
      <c r="J319" s="40"/>
      <c r="K319" s="14"/>
      <c r="L319" s="29"/>
      <c r="M319" s="29"/>
      <c r="N319" s="29"/>
      <c r="O319" s="29"/>
      <c r="P319" s="29"/>
    </row>
    <row r="320" spans="2:16" hidden="1" x14ac:dyDescent="0.3">
      <c r="B320" s="26"/>
      <c r="C320" s="26"/>
      <c r="D320" s="26"/>
      <c r="E320" s="26"/>
      <c r="F320" s="26"/>
      <c r="G320" s="26"/>
      <c r="H320" s="26"/>
      <c r="I320" s="40"/>
      <c r="J320" s="40"/>
      <c r="K320" s="14"/>
      <c r="L320" s="29"/>
      <c r="M320" s="29"/>
      <c r="N320" s="29"/>
      <c r="O320" s="29"/>
      <c r="P320" s="29"/>
    </row>
    <row r="321" spans="2:16" hidden="1" x14ac:dyDescent="0.3">
      <c r="B321" s="26"/>
      <c r="C321" s="26"/>
      <c r="D321" s="26"/>
      <c r="E321" s="26"/>
      <c r="F321" s="26"/>
      <c r="G321" s="26"/>
      <c r="H321" s="26"/>
      <c r="I321" s="40"/>
      <c r="J321" s="40"/>
      <c r="K321" s="14"/>
      <c r="L321" s="29"/>
      <c r="M321" s="29"/>
      <c r="N321" s="29"/>
      <c r="O321" s="29"/>
      <c r="P321" s="29"/>
    </row>
    <row r="322" spans="2:16" hidden="1" x14ac:dyDescent="0.3">
      <c r="B322" s="26"/>
      <c r="C322" s="26"/>
      <c r="D322" s="26"/>
      <c r="E322" s="26"/>
      <c r="F322" s="26"/>
      <c r="G322" s="26"/>
      <c r="H322" s="26"/>
      <c r="I322" s="40"/>
      <c r="J322" s="40"/>
      <c r="K322" s="14"/>
      <c r="L322" s="29"/>
      <c r="M322" s="29"/>
      <c r="N322" s="29"/>
      <c r="O322" s="29"/>
      <c r="P322" s="29"/>
    </row>
    <row r="323" spans="2:16" hidden="1" x14ac:dyDescent="0.3">
      <c r="B323" s="26"/>
      <c r="C323" s="26"/>
      <c r="D323" s="26"/>
      <c r="E323" s="26"/>
      <c r="F323" s="26"/>
      <c r="G323" s="26"/>
      <c r="H323" s="26"/>
      <c r="I323" s="40"/>
      <c r="J323" s="40"/>
      <c r="K323" s="14"/>
      <c r="L323" s="29"/>
      <c r="M323" s="29"/>
      <c r="N323" s="29"/>
      <c r="O323" s="29"/>
      <c r="P323" s="29"/>
    </row>
    <row r="324" spans="2:16" hidden="1" x14ac:dyDescent="0.3">
      <c r="B324" s="26"/>
      <c r="C324" s="26"/>
      <c r="D324" s="26"/>
      <c r="E324" s="26"/>
      <c r="F324" s="26"/>
      <c r="G324" s="26"/>
      <c r="H324" s="26"/>
      <c r="I324" s="40"/>
      <c r="J324" s="40"/>
      <c r="K324" s="14"/>
      <c r="L324" s="29"/>
      <c r="M324" s="29"/>
      <c r="N324" s="29"/>
      <c r="O324" s="29"/>
      <c r="P324" s="29"/>
    </row>
    <row r="325" spans="2:16" hidden="1" x14ac:dyDescent="0.3">
      <c r="B325" s="26"/>
      <c r="C325" s="26"/>
      <c r="D325" s="26"/>
      <c r="E325" s="26"/>
      <c r="F325" s="26"/>
      <c r="G325" s="26"/>
      <c r="H325" s="26"/>
      <c r="I325" s="40"/>
      <c r="J325" s="40"/>
      <c r="K325" s="14"/>
      <c r="L325" s="29"/>
      <c r="M325" s="29"/>
      <c r="N325" s="29"/>
      <c r="O325" s="29"/>
      <c r="P325" s="29"/>
    </row>
    <row r="326" spans="2:16" hidden="1" x14ac:dyDescent="0.3">
      <c r="B326" s="26"/>
      <c r="C326" s="26"/>
      <c r="D326" s="26"/>
      <c r="E326" s="26"/>
      <c r="F326" s="26"/>
      <c r="G326" s="26"/>
      <c r="H326" s="26"/>
      <c r="I326" s="40"/>
      <c r="J326" s="40"/>
      <c r="K326" s="14"/>
      <c r="L326" s="29"/>
      <c r="M326" s="29"/>
      <c r="N326" s="29"/>
      <c r="O326" s="29"/>
      <c r="P326" s="29"/>
    </row>
    <row r="327" spans="2:16" hidden="1" x14ac:dyDescent="0.3">
      <c r="B327" s="26"/>
      <c r="C327" s="26"/>
      <c r="D327" s="26"/>
      <c r="E327" s="26"/>
      <c r="F327" s="26"/>
      <c r="G327" s="26"/>
      <c r="H327" s="26"/>
      <c r="I327" s="40"/>
      <c r="J327" s="40"/>
      <c r="K327" s="14"/>
      <c r="L327" s="29"/>
      <c r="M327" s="29"/>
      <c r="N327" s="29"/>
      <c r="O327" s="29"/>
      <c r="P327" s="29"/>
    </row>
    <row r="328" spans="2:16" hidden="1" x14ac:dyDescent="0.3">
      <c r="B328" s="26"/>
      <c r="C328" s="26"/>
      <c r="D328" s="26"/>
      <c r="E328" s="26"/>
      <c r="F328" s="26"/>
      <c r="G328" s="26"/>
      <c r="H328" s="26"/>
      <c r="I328" s="40"/>
      <c r="J328" s="40"/>
      <c r="K328" s="14"/>
      <c r="L328" s="29"/>
      <c r="M328" s="29"/>
      <c r="N328" s="29"/>
      <c r="O328" s="29"/>
      <c r="P328" s="29"/>
    </row>
    <row r="329" spans="2:16" hidden="1" x14ac:dyDescent="0.3">
      <c r="B329" s="26"/>
      <c r="C329" s="26"/>
      <c r="D329" s="26"/>
      <c r="E329" s="26"/>
      <c r="F329" s="26"/>
      <c r="G329" s="26"/>
      <c r="H329" s="26"/>
      <c r="I329" s="40"/>
      <c r="J329" s="40"/>
      <c r="K329" s="14"/>
      <c r="L329" s="29"/>
      <c r="M329" s="29"/>
      <c r="N329" s="29"/>
      <c r="O329" s="29"/>
      <c r="P329" s="29"/>
    </row>
    <row r="330" spans="2:16" hidden="1" x14ac:dyDescent="0.3">
      <c r="B330" s="26"/>
      <c r="C330" s="26"/>
      <c r="D330" s="26"/>
      <c r="E330" s="26"/>
      <c r="F330" s="26"/>
      <c r="G330" s="26"/>
      <c r="H330" s="26"/>
      <c r="I330" s="40"/>
      <c r="J330" s="40"/>
      <c r="K330" s="14"/>
      <c r="L330" s="29"/>
      <c r="M330" s="29"/>
      <c r="N330" s="29"/>
      <c r="O330" s="29"/>
      <c r="P330" s="29"/>
    </row>
    <row r="331" spans="2:16" hidden="1" x14ac:dyDescent="0.3">
      <c r="B331" s="26"/>
      <c r="C331" s="26"/>
      <c r="D331" s="26"/>
      <c r="E331" s="26"/>
      <c r="F331" s="26"/>
      <c r="G331" s="26"/>
      <c r="H331" s="26"/>
      <c r="I331" s="40"/>
      <c r="J331" s="40"/>
      <c r="K331" s="14"/>
      <c r="L331" s="29"/>
      <c r="M331" s="29"/>
      <c r="N331" s="29"/>
      <c r="O331" s="29"/>
      <c r="P331" s="29"/>
    </row>
    <row r="332" spans="2:16" hidden="1" x14ac:dyDescent="0.3">
      <c r="B332" s="26"/>
      <c r="C332" s="26"/>
      <c r="D332" s="26"/>
      <c r="E332" s="26"/>
      <c r="F332" s="26"/>
      <c r="G332" s="26"/>
      <c r="H332" s="26"/>
      <c r="I332" s="40"/>
      <c r="J332" s="40"/>
      <c r="K332" s="14"/>
      <c r="L332" s="29"/>
      <c r="M332" s="29"/>
      <c r="N332" s="29"/>
      <c r="O332" s="29"/>
      <c r="P332" s="29"/>
    </row>
    <row r="333" spans="2:16" hidden="1" x14ac:dyDescent="0.3">
      <c r="B333" s="26"/>
      <c r="C333" s="26"/>
      <c r="D333" s="26"/>
      <c r="E333" s="26"/>
      <c r="F333" s="26"/>
      <c r="G333" s="26"/>
      <c r="H333" s="26"/>
      <c r="I333" s="40"/>
      <c r="J333" s="40"/>
      <c r="K333" s="14"/>
      <c r="L333" s="29"/>
      <c r="M333" s="29"/>
      <c r="N333" s="29"/>
      <c r="O333" s="29"/>
      <c r="P333" s="29"/>
    </row>
    <row r="334" spans="2:16" hidden="1" x14ac:dyDescent="0.3">
      <c r="B334" s="26"/>
      <c r="C334" s="26"/>
      <c r="D334" s="26"/>
      <c r="E334" s="26"/>
      <c r="F334" s="26"/>
      <c r="G334" s="26"/>
      <c r="H334" s="26"/>
      <c r="I334" s="40"/>
      <c r="J334" s="40"/>
      <c r="K334" s="14"/>
      <c r="L334" s="29"/>
      <c r="M334" s="29"/>
      <c r="N334" s="29"/>
      <c r="O334" s="29"/>
      <c r="P334" s="29"/>
    </row>
    <row r="335" spans="2:16" hidden="1" x14ac:dyDescent="0.3">
      <c r="B335" s="26"/>
      <c r="C335" s="26"/>
      <c r="D335" s="26"/>
      <c r="E335" s="26"/>
      <c r="F335" s="26"/>
      <c r="G335" s="26"/>
      <c r="H335" s="26"/>
      <c r="I335" s="40"/>
      <c r="J335" s="40"/>
      <c r="K335" s="14"/>
      <c r="L335" s="29"/>
      <c r="M335" s="29"/>
      <c r="N335" s="29"/>
      <c r="O335" s="29"/>
      <c r="P335" s="29"/>
    </row>
    <row r="336" spans="2:16" hidden="1" x14ac:dyDescent="0.3">
      <c r="B336" s="26"/>
      <c r="C336" s="26"/>
      <c r="D336" s="26"/>
      <c r="E336" s="26"/>
      <c r="F336" s="26"/>
      <c r="G336" s="26"/>
      <c r="H336" s="26"/>
      <c r="I336" s="40"/>
      <c r="J336" s="40"/>
      <c r="K336" s="14"/>
      <c r="L336" s="29"/>
      <c r="M336" s="29"/>
      <c r="N336" s="29"/>
      <c r="O336" s="29"/>
      <c r="P336" s="29"/>
    </row>
    <row r="337" spans="2:16" hidden="1" x14ac:dyDescent="0.3">
      <c r="B337" s="26"/>
      <c r="C337" s="26"/>
      <c r="D337" s="26"/>
      <c r="E337" s="26"/>
      <c r="F337" s="26"/>
      <c r="G337" s="26"/>
      <c r="H337" s="26"/>
      <c r="I337" s="40"/>
      <c r="J337" s="40"/>
      <c r="K337" s="14"/>
      <c r="L337" s="29"/>
      <c r="M337" s="29"/>
      <c r="N337" s="29"/>
      <c r="O337" s="29"/>
      <c r="P337" s="29"/>
    </row>
    <row r="338" spans="2:16" hidden="1" x14ac:dyDescent="0.3">
      <c r="B338" s="26"/>
      <c r="C338" s="26"/>
      <c r="D338" s="26"/>
      <c r="E338" s="26"/>
      <c r="F338" s="26"/>
      <c r="G338" s="26"/>
      <c r="H338" s="26"/>
      <c r="I338" s="40"/>
      <c r="J338" s="40"/>
      <c r="K338" s="14"/>
      <c r="L338" s="29"/>
      <c r="M338" s="29"/>
      <c r="N338" s="29"/>
      <c r="O338" s="29"/>
      <c r="P338" s="29"/>
    </row>
    <row r="339" spans="2:16" hidden="1" x14ac:dyDescent="0.3">
      <c r="B339" s="26"/>
      <c r="C339" s="26"/>
      <c r="D339" s="26"/>
      <c r="E339" s="26"/>
      <c r="F339" s="26"/>
      <c r="G339" s="26"/>
      <c r="H339" s="26"/>
      <c r="I339" s="40"/>
      <c r="J339" s="40"/>
      <c r="K339" s="14"/>
      <c r="L339" s="29"/>
      <c r="M339" s="29"/>
      <c r="N339" s="29"/>
      <c r="O339" s="29"/>
      <c r="P339" s="29"/>
    </row>
    <row r="340" spans="2:16" hidden="1" x14ac:dyDescent="0.3">
      <c r="B340" s="26"/>
      <c r="C340" s="26"/>
      <c r="D340" s="26"/>
      <c r="E340" s="26"/>
      <c r="F340" s="26"/>
      <c r="G340" s="26"/>
      <c r="H340" s="26"/>
      <c r="I340" s="40"/>
      <c r="J340" s="40"/>
      <c r="K340" s="14"/>
      <c r="L340" s="29"/>
      <c r="M340" s="29"/>
      <c r="N340" s="29"/>
      <c r="O340" s="29"/>
      <c r="P340" s="29"/>
    </row>
    <row r="341" spans="2:16" hidden="1" x14ac:dyDescent="0.3">
      <c r="B341" s="26"/>
      <c r="C341" s="26"/>
      <c r="D341" s="26"/>
      <c r="E341" s="26"/>
      <c r="F341" s="26"/>
      <c r="G341" s="26"/>
      <c r="H341" s="26"/>
      <c r="I341" s="40"/>
      <c r="J341" s="40"/>
      <c r="K341" s="14"/>
      <c r="L341" s="29"/>
      <c r="M341" s="29"/>
      <c r="N341" s="29"/>
      <c r="O341" s="29"/>
      <c r="P341" s="29"/>
    </row>
    <row r="342" spans="2:16" hidden="1" x14ac:dyDescent="0.3">
      <c r="B342" s="26"/>
      <c r="C342" s="26"/>
      <c r="D342" s="26"/>
      <c r="E342" s="26"/>
      <c r="F342" s="26"/>
      <c r="G342" s="26"/>
      <c r="H342" s="26"/>
      <c r="I342" s="40"/>
      <c r="J342" s="40"/>
      <c r="K342" s="14"/>
      <c r="L342" s="29"/>
      <c r="M342" s="29"/>
      <c r="N342" s="29"/>
      <c r="O342" s="29"/>
      <c r="P342" s="29"/>
    </row>
    <row r="343" spans="2:16" hidden="1" x14ac:dyDescent="0.3">
      <c r="B343" s="26"/>
      <c r="C343" s="26"/>
      <c r="D343" s="26"/>
      <c r="E343" s="26"/>
      <c r="F343" s="26"/>
      <c r="G343" s="26"/>
      <c r="H343" s="26"/>
      <c r="I343" s="40"/>
      <c r="J343" s="40"/>
      <c r="K343" s="14"/>
      <c r="L343" s="29"/>
      <c r="M343" s="29"/>
      <c r="N343" s="29"/>
      <c r="O343" s="29"/>
      <c r="P343" s="29"/>
    </row>
    <row r="344" spans="2:16" hidden="1" x14ac:dyDescent="0.3">
      <c r="B344" s="26"/>
      <c r="C344" s="26"/>
      <c r="D344" s="26"/>
      <c r="E344" s="26"/>
      <c r="F344" s="26"/>
      <c r="G344" s="26"/>
      <c r="H344" s="26"/>
      <c r="I344" s="40"/>
      <c r="J344" s="40"/>
      <c r="K344" s="14"/>
      <c r="L344" s="29"/>
      <c r="M344" s="29"/>
      <c r="N344" s="29"/>
      <c r="O344" s="29"/>
      <c r="P344" s="29"/>
    </row>
    <row r="345" spans="2:16" hidden="1" x14ac:dyDescent="0.3">
      <c r="B345" s="26"/>
      <c r="C345" s="26"/>
      <c r="D345" s="26"/>
      <c r="E345" s="26"/>
      <c r="F345" s="26"/>
      <c r="G345" s="26"/>
      <c r="H345" s="26"/>
      <c r="I345" s="40"/>
      <c r="J345" s="40"/>
      <c r="K345" s="14"/>
      <c r="L345" s="29"/>
      <c r="M345" s="29"/>
      <c r="N345" s="29"/>
      <c r="O345" s="29"/>
      <c r="P345" s="29"/>
    </row>
    <row r="346" spans="2:16" hidden="1" x14ac:dyDescent="0.3">
      <c r="B346" s="26"/>
      <c r="C346" s="26"/>
      <c r="D346" s="26"/>
      <c r="E346" s="26"/>
      <c r="F346" s="26"/>
      <c r="G346" s="26"/>
      <c r="H346" s="26"/>
      <c r="I346" s="40"/>
      <c r="J346" s="40"/>
      <c r="K346" s="14"/>
      <c r="L346" s="29"/>
      <c r="M346" s="29"/>
      <c r="N346" s="29"/>
      <c r="O346" s="29"/>
      <c r="P346" s="29"/>
    </row>
    <row r="347" spans="2:16" hidden="1" x14ac:dyDescent="0.3">
      <c r="B347" s="26"/>
      <c r="C347" s="26"/>
      <c r="D347" s="26"/>
      <c r="E347" s="26"/>
      <c r="F347" s="26"/>
      <c r="G347" s="26"/>
      <c r="H347" s="26"/>
      <c r="I347" s="40"/>
      <c r="J347" s="40"/>
      <c r="K347" s="14"/>
      <c r="L347" s="29"/>
      <c r="M347" s="29"/>
      <c r="N347" s="29"/>
      <c r="O347" s="29"/>
      <c r="P347" s="29"/>
    </row>
    <row r="348" spans="2:16" hidden="1" x14ac:dyDescent="0.3">
      <c r="B348" s="26"/>
      <c r="C348" s="26"/>
      <c r="D348" s="26"/>
      <c r="E348" s="26"/>
      <c r="F348" s="26"/>
      <c r="G348" s="26"/>
      <c r="H348" s="26"/>
      <c r="I348" s="40"/>
      <c r="J348" s="40"/>
      <c r="K348" s="14"/>
      <c r="L348" s="29"/>
      <c r="M348" s="29"/>
      <c r="N348" s="29"/>
      <c r="O348" s="29"/>
      <c r="P348" s="29"/>
    </row>
    <row r="349" spans="2:16" hidden="1" x14ac:dyDescent="0.3">
      <c r="B349" s="26"/>
      <c r="C349" s="26"/>
      <c r="D349" s="26"/>
      <c r="E349" s="26"/>
      <c r="F349" s="26"/>
      <c r="G349" s="26"/>
      <c r="H349" s="26"/>
      <c r="I349" s="40"/>
      <c r="J349" s="40"/>
      <c r="K349" s="14"/>
      <c r="L349" s="29"/>
      <c r="M349" s="29"/>
      <c r="N349" s="29"/>
      <c r="O349" s="29"/>
      <c r="P349" s="29"/>
    </row>
    <row r="350" spans="2:16" hidden="1" x14ac:dyDescent="0.3">
      <c r="B350" s="26"/>
      <c r="C350" s="26"/>
      <c r="D350" s="26"/>
      <c r="E350" s="26"/>
      <c r="F350" s="26"/>
      <c r="G350" s="26"/>
      <c r="H350" s="26"/>
      <c r="I350" s="40"/>
      <c r="J350" s="40"/>
      <c r="K350" s="14"/>
      <c r="L350" s="29"/>
      <c r="M350" s="29"/>
      <c r="N350" s="29"/>
      <c r="O350" s="29"/>
      <c r="P350" s="29"/>
    </row>
    <row r="351" spans="2:16" hidden="1" x14ac:dyDescent="0.3">
      <c r="B351" s="26"/>
      <c r="C351" s="26"/>
      <c r="D351" s="26"/>
      <c r="E351" s="26"/>
      <c r="F351" s="26"/>
      <c r="G351" s="26"/>
      <c r="H351" s="26"/>
      <c r="I351" s="40"/>
      <c r="J351" s="40"/>
      <c r="K351" s="14"/>
      <c r="L351" s="29"/>
      <c r="M351" s="29"/>
      <c r="N351" s="29"/>
      <c r="O351" s="29"/>
      <c r="P351" s="29"/>
    </row>
    <row r="352" spans="2:16" hidden="1" x14ac:dyDescent="0.3">
      <c r="B352" s="26"/>
      <c r="C352" s="26"/>
      <c r="D352" s="26"/>
      <c r="E352" s="26"/>
      <c r="F352" s="26"/>
      <c r="G352" s="26"/>
      <c r="H352" s="26"/>
      <c r="I352" s="40"/>
      <c r="J352" s="40"/>
      <c r="K352" s="14"/>
      <c r="L352" s="29"/>
      <c r="M352" s="29"/>
      <c r="N352" s="29"/>
      <c r="O352" s="29"/>
      <c r="P352" s="29"/>
    </row>
    <row r="353" spans="2:16" hidden="1" x14ac:dyDescent="0.3">
      <c r="B353" s="26"/>
      <c r="C353" s="26"/>
      <c r="D353" s="26"/>
      <c r="E353" s="26"/>
      <c r="F353" s="26"/>
      <c r="G353" s="26"/>
      <c r="H353" s="26"/>
      <c r="I353" s="40"/>
      <c r="J353" s="40"/>
      <c r="K353" s="14"/>
      <c r="L353" s="29"/>
      <c r="M353" s="29"/>
      <c r="N353" s="29"/>
      <c r="O353" s="29"/>
      <c r="P353" s="29"/>
    </row>
    <row r="354" spans="2:16" hidden="1" x14ac:dyDescent="0.3">
      <c r="B354" s="26"/>
      <c r="C354" s="26"/>
      <c r="D354" s="26"/>
      <c r="E354" s="26"/>
      <c r="F354" s="26"/>
      <c r="G354" s="26"/>
      <c r="H354" s="26"/>
      <c r="I354" s="40"/>
      <c r="J354" s="40"/>
      <c r="K354" s="14"/>
      <c r="L354" s="29"/>
      <c r="M354" s="29"/>
      <c r="N354" s="29"/>
      <c r="O354" s="29"/>
      <c r="P354" s="29"/>
    </row>
    <row r="355" spans="2:16" hidden="1" x14ac:dyDescent="0.3">
      <c r="B355" s="26"/>
      <c r="C355" s="26"/>
      <c r="D355" s="26"/>
      <c r="E355" s="26"/>
      <c r="F355" s="26"/>
      <c r="G355" s="26"/>
      <c r="H355" s="26"/>
      <c r="I355" s="40"/>
      <c r="J355" s="40"/>
      <c r="K355" s="14"/>
      <c r="L355" s="29"/>
      <c r="M355" s="29"/>
      <c r="N355" s="29"/>
      <c r="O355" s="29"/>
      <c r="P355" s="29"/>
    </row>
    <row r="356" spans="2:16" hidden="1" x14ac:dyDescent="0.3">
      <c r="B356" s="26"/>
      <c r="C356" s="26"/>
      <c r="D356" s="26"/>
      <c r="E356" s="26"/>
      <c r="F356" s="26"/>
      <c r="G356" s="26"/>
      <c r="H356" s="26"/>
      <c r="I356" s="40"/>
      <c r="J356" s="40"/>
      <c r="K356" s="14"/>
      <c r="L356" s="29"/>
      <c r="M356" s="29"/>
      <c r="N356" s="29"/>
      <c r="O356" s="29"/>
      <c r="P356" s="29"/>
    </row>
    <row r="357" spans="2:16" hidden="1" x14ac:dyDescent="0.3">
      <c r="B357" s="26"/>
      <c r="C357" s="26"/>
      <c r="D357" s="26"/>
      <c r="E357" s="26"/>
      <c r="F357" s="26"/>
      <c r="G357" s="26"/>
      <c r="H357" s="26"/>
      <c r="I357" s="40"/>
      <c r="J357" s="40"/>
      <c r="K357" s="14"/>
      <c r="L357" s="29"/>
      <c r="M357" s="29"/>
      <c r="N357" s="29"/>
      <c r="O357" s="29"/>
      <c r="P357" s="29"/>
    </row>
    <row r="358" spans="2:16" hidden="1" x14ac:dyDescent="0.3">
      <c r="B358" s="26"/>
      <c r="C358" s="26"/>
      <c r="D358" s="26"/>
      <c r="E358" s="26"/>
      <c r="F358" s="26"/>
      <c r="G358" s="26"/>
      <c r="H358" s="26"/>
      <c r="I358" s="40"/>
      <c r="J358" s="40"/>
      <c r="K358" s="14"/>
      <c r="L358" s="29"/>
      <c r="M358" s="29"/>
      <c r="N358" s="29"/>
      <c r="O358" s="29"/>
      <c r="P358" s="29"/>
    </row>
    <row r="359" spans="2:16" hidden="1" x14ac:dyDescent="0.3">
      <c r="B359" s="26"/>
      <c r="C359" s="26"/>
      <c r="D359" s="26"/>
      <c r="E359" s="26"/>
      <c r="F359" s="26"/>
      <c r="G359" s="26"/>
      <c r="H359" s="26"/>
      <c r="I359" s="40"/>
      <c r="J359" s="40"/>
      <c r="K359" s="14"/>
      <c r="L359" s="29"/>
      <c r="M359" s="29"/>
      <c r="N359" s="29"/>
      <c r="O359" s="29"/>
      <c r="P359" s="29"/>
    </row>
    <row r="360" spans="2:16" hidden="1" x14ac:dyDescent="0.3">
      <c r="B360" s="26"/>
      <c r="C360" s="26"/>
      <c r="D360" s="26"/>
      <c r="E360" s="26"/>
      <c r="F360" s="26"/>
      <c r="G360" s="26"/>
      <c r="H360" s="26"/>
      <c r="I360" s="40"/>
      <c r="J360" s="40"/>
      <c r="K360" s="14"/>
      <c r="L360" s="29"/>
      <c r="M360" s="29"/>
      <c r="N360" s="29"/>
      <c r="O360" s="29"/>
      <c r="P360" s="29"/>
    </row>
    <row r="361" spans="2:16" hidden="1" x14ac:dyDescent="0.3">
      <c r="B361" s="26"/>
      <c r="C361" s="26"/>
      <c r="D361" s="26"/>
      <c r="E361" s="26"/>
      <c r="F361" s="26"/>
      <c r="G361" s="26"/>
      <c r="H361" s="26"/>
      <c r="I361" s="40"/>
      <c r="J361" s="40"/>
      <c r="K361" s="14"/>
      <c r="L361" s="29"/>
      <c r="M361" s="29"/>
      <c r="N361" s="29"/>
      <c r="O361" s="29"/>
      <c r="P361" s="29"/>
    </row>
    <row r="362" spans="2:16" hidden="1" x14ac:dyDescent="0.3">
      <c r="B362" s="26"/>
      <c r="C362" s="26"/>
      <c r="D362" s="26"/>
      <c r="E362" s="26"/>
      <c r="F362" s="26"/>
      <c r="G362" s="26"/>
      <c r="H362" s="26"/>
      <c r="I362" s="40"/>
      <c r="J362" s="40"/>
      <c r="K362" s="14"/>
      <c r="L362" s="29"/>
      <c r="M362" s="29"/>
      <c r="N362" s="29"/>
      <c r="O362" s="29"/>
      <c r="P362" s="29"/>
    </row>
    <row r="363" spans="2:16" hidden="1" x14ac:dyDescent="0.3">
      <c r="B363" s="26"/>
      <c r="C363" s="26"/>
      <c r="D363" s="26"/>
      <c r="E363" s="26"/>
      <c r="F363" s="26"/>
      <c r="G363" s="26"/>
      <c r="H363" s="26"/>
      <c r="I363" s="40"/>
      <c r="J363" s="40"/>
      <c r="K363" s="14"/>
      <c r="L363" s="29"/>
      <c r="M363" s="29"/>
      <c r="N363" s="29"/>
      <c r="O363" s="29"/>
      <c r="P363" s="29"/>
    </row>
    <row r="364" spans="2:16" hidden="1" x14ac:dyDescent="0.3">
      <c r="B364" s="26"/>
      <c r="C364" s="26"/>
      <c r="D364" s="26"/>
      <c r="E364" s="26"/>
      <c r="F364" s="26"/>
      <c r="G364" s="26"/>
      <c r="H364" s="26"/>
      <c r="I364" s="40"/>
      <c r="J364" s="40"/>
      <c r="K364" s="14"/>
      <c r="L364" s="29"/>
      <c r="M364" s="29"/>
      <c r="N364" s="29"/>
      <c r="O364" s="29"/>
      <c r="P364" s="29"/>
    </row>
    <row r="365" spans="2:16" hidden="1" x14ac:dyDescent="0.3">
      <c r="B365" s="26"/>
      <c r="C365" s="26"/>
      <c r="D365" s="26"/>
      <c r="E365" s="26"/>
      <c r="F365" s="26"/>
      <c r="G365" s="26"/>
      <c r="H365" s="26"/>
      <c r="I365" s="40"/>
      <c r="J365" s="40"/>
      <c r="K365" s="14"/>
      <c r="L365" s="29"/>
      <c r="M365" s="29"/>
      <c r="N365" s="29"/>
      <c r="O365" s="29"/>
      <c r="P365" s="29"/>
    </row>
    <row r="366" spans="2:16" hidden="1" x14ac:dyDescent="0.3">
      <c r="B366" s="26"/>
      <c r="C366" s="26"/>
      <c r="D366" s="26"/>
      <c r="E366" s="26"/>
      <c r="F366" s="26"/>
      <c r="G366" s="26"/>
      <c r="H366" s="26"/>
      <c r="I366" s="40"/>
      <c r="J366" s="40"/>
      <c r="K366" s="14"/>
      <c r="L366" s="29"/>
      <c r="M366" s="29"/>
      <c r="N366" s="29"/>
      <c r="O366" s="29"/>
      <c r="P366" s="29"/>
    </row>
    <row r="367" spans="2:16" hidden="1" x14ac:dyDescent="0.3">
      <c r="B367" s="26"/>
      <c r="C367" s="26"/>
      <c r="D367" s="26"/>
      <c r="E367" s="26"/>
      <c r="F367" s="26"/>
      <c r="G367" s="26"/>
      <c r="H367" s="26"/>
      <c r="I367" s="40"/>
      <c r="J367" s="40"/>
      <c r="K367" s="14"/>
      <c r="L367" s="29"/>
      <c r="M367" s="29"/>
      <c r="N367" s="29"/>
      <c r="O367" s="29"/>
      <c r="P367" s="29"/>
    </row>
    <row r="368" spans="2:16" hidden="1" x14ac:dyDescent="0.3">
      <c r="B368" s="26"/>
      <c r="C368" s="26"/>
      <c r="D368" s="26"/>
      <c r="E368" s="26"/>
      <c r="F368" s="26"/>
      <c r="G368" s="26"/>
      <c r="H368" s="26"/>
      <c r="I368" s="40"/>
      <c r="J368" s="40"/>
      <c r="K368" s="14"/>
      <c r="L368" s="29"/>
      <c r="M368" s="29"/>
      <c r="N368" s="29"/>
      <c r="O368" s="29"/>
      <c r="P368" s="29"/>
    </row>
    <row r="369" spans="2:16" hidden="1" x14ac:dyDescent="0.3">
      <c r="B369" s="26"/>
      <c r="C369" s="26"/>
      <c r="D369" s="26"/>
      <c r="E369" s="26"/>
      <c r="F369" s="26"/>
      <c r="G369" s="26"/>
      <c r="H369" s="26"/>
      <c r="I369" s="40"/>
      <c r="J369" s="40"/>
      <c r="K369" s="14"/>
      <c r="L369" s="29"/>
      <c r="M369" s="29"/>
      <c r="N369" s="29"/>
      <c r="O369" s="29"/>
      <c r="P369" s="29"/>
    </row>
    <row r="370" spans="2:16" hidden="1" x14ac:dyDescent="0.3">
      <c r="B370" s="26"/>
      <c r="C370" s="26"/>
      <c r="D370" s="26"/>
      <c r="E370" s="26"/>
      <c r="F370" s="26"/>
      <c r="G370" s="26"/>
      <c r="H370" s="26"/>
      <c r="I370" s="40"/>
      <c r="J370" s="40"/>
      <c r="K370" s="14"/>
      <c r="L370" s="29"/>
      <c r="M370" s="29"/>
      <c r="N370" s="29"/>
      <c r="O370" s="29"/>
      <c r="P370" s="29"/>
    </row>
    <row r="371" spans="2:16" hidden="1" x14ac:dyDescent="0.3">
      <c r="B371" s="26"/>
      <c r="C371" s="26"/>
      <c r="D371" s="26"/>
      <c r="E371" s="26"/>
      <c r="F371" s="26"/>
      <c r="G371" s="26"/>
      <c r="H371" s="26"/>
      <c r="I371" s="40"/>
      <c r="J371" s="40"/>
      <c r="K371" s="14"/>
      <c r="L371" s="29"/>
      <c r="M371" s="29"/>
      <c r="N371" s="29"/>
      <c r="O371" s="29"/>
      <c r="P371" s="29"/>
    </row>
    <row r="372" spans="2:16" hidden="1" x14ac:dyDescent="0.3">
      <c r="B372" s="26"/>
      <c r="C372" s="26"/>
      <c r="D372" s="26"/>
      <c r="E372" s="26"/>
      <c r="F372" s="26"/>
      <c r="G372" s="26"/>
      <c r="H372" s="26"/>
      <c r="I372" s="40"/>
      <c r="J372" s="40"/>
      <c r="K372" s="14"/>
      <c r="L372" s="29"/>
      <c r="M372" s="29"/>
      <c r="N372" s="29"/>
      <c r="O372" s="29"/>
      <c r="P372" s="29"/>
    </row>
    <row r="373" spans="2:16" hidden="1" x14ac:dyDescent="0.3">
      <c r="B373" s="26"/>
      <c r="C373" s="26"/>
      <c r="D373" s="26"/>
      <c r="E373" s="26"/>
      <c r="F373" s="26"/>
      <c r="G373" s="26"/>
      <c r="H373" s="26"/>
      <c r="I373" s="40"/>
      <c r="J373" s="40"/>
      <c r="K373" s="14"/>
      <c r="L373" s="29"/>
      <c r="M373" s="29"/>
      <c r="N373" s="29"/>
      <c r="O373" s="29"/>
      <c r="P373" s="29"/>
    </row>
    <row r="374" spans="2:16" hidden="1" x14ac:dyDescent="0.3">
      <c r="B374" s="26"/>
      <c r="C374" s="26"/>
      <c r="D374" s="26"/>
      <c r="E374" s="26"/>
      <c r="F374" s="26"/>
      <c r="G374" s="26"/>
      <c r="H374" s="26"/>
      <c r="I374" s="40"/>
      <c r="J374" s="40"/>
      <c r="K374" s="14"/>
      <c r="L374" s="29"/>
      <c r="M374" s="29"/>
      <c r="N374" s="29"/>
      <c r="O374" s="29"/>
      <c r="P374" s="29"/>
    </row>
    <row r="375" spans="2:16" hidden="1" x14ac:dyDescent="0.3">
      <c r="B375" s="26"/>
      <c r="C375" s="26"/>
      <c r="D375" s="26"/>
      <c r="E375" s="26"/>
      <c r="F375" s="26"/>
      <c r="G375" s="26"/>
      <c r="H375" s="26"/>
      <c r="I375" s="40"/>
      <c r="J375" s="40"/>
      <c r="K375" s="14"/>
      <c r="L375" s="29"/>
      <c r="M375" s="29"/>
      <c r="N375" s="29"/>
      <c r="O375" s="29"/>
      <c r="P375" s="29"/>
    </row>
    <row r="376" spans="2:16" hidden="1" x14ac:dyDescent="0.3">
      <c r="B376" s="26"/>
      <c r="C376" s="26"/>
      <c r="D376" s="26"/>
      <c r="E376" s="26"/>
      <c r="F376" s="26"/>
      <c r="G376" s="26"/>
      <c r="H376" s="26"/>
      <c r="I376" s="40"/>
      <c r="J376" s="40"/>
      <c r="K376" s="14"/>
      <c r="L376" s="29"/>
      <c r="M376" s="29"/>
      <c r="N376" s="29"/>
      <c r="O376" s="29"/>
      <c r="P376" s="29"/>
    </row>
    <row r="377" spans="2:16" hidden="1" x14ac:dyDescent="0.3">
      <c r="B377" s="26"/>
      <c r="C377" s="26"/>
      <c r="D377" s="26"/>
      <c r="E377" s="26"/>
      <c r="F377" s="26"/>
      <c r="G377" s="26"/>
      <c r="H377" s="26"/>
      <c r="I377" s="40"/>
      <c r="J377" s="40"/>
      <c r="K377" s="14"/>
      <c r="L377" s="29"/>
      <c r="M377" s="29"/>
      <c r="N377" s="29"/>
      <c r="O377" s="29"/>
      <c r="P377" s="29"/>
    </row>
    <row r="378" spans="2:16" hidden="1" x14ac:dyDescent="0.3">
      <c r="B378" s="26"/>
      <c r="C378" s="26"/>
      <c r="D378" s="26"/>
      <c r="E378" s="26"/>
      <c r="F378" s="26"/>
      <c r="G378" s="26"/>
      <c r="H378" s="26"/>
      <c r="I378" s="40"/>
      <c r="J378" s="40"/>
      <c r="K378" s="14"/>
      <c r="L378" s="29"/>
      <c r="M378" s="29"/>
      <c r="N378" s="29"/>
      <c r="O378" s="29"/>
      <c r="P378" s="29"/>
    </row>
    <row r="379" spans="2:16" hidden="1" x14ac:dyDescent="0.3">
      <c r="B379" s="26"/>
      <c r="C379" s="26"/>
      <c r="D379" s="26"/>
      <c r="E379" s="26"/>
      <c r="F379" s="26"/>
      <c r="G379" s="26"/>
      <c r="H379" s="26"/>
      <c r="I379" s="40"/>
      <c r="J379" s="40"/>
      <c r="K379" s="14"/>
      <c r="L379" s="29"/>
      <c r="M379" s="29"/>
      <c r="N379" s="29"/>
      <c r="O379" s="29"/>
      <c r="P379" s="29"/>
    </row>
    <row r="380" spans="2:16" hidden="1" x14ac:dyDescent="0.3">
      <c r="B380" s="26"/>
      <c r="C380" s="26"/>
      <c r="D380" s="26"/>
      <c r="E380" s="26"/>
      <c r="F380" s="26"/>
      <c r="G380" s="26"/>
      <c r="H380" s="26"/>
      <c r="I380" s="40"/>
      <c r="J380" s="40"/>
      <c r="K380" s="14"/>
      <c r="L380" s="29"/>
      <c r="M380" s="29"/>
      <c r="N380" s="29"/>
      <c r="O380" s="29"/>
      <c r="P380" s="29"/>
    </row>
    <row r="381" spans="2:16" hidden="1" x14ac:dyDescent="0.3">
      <c r="B381" s="26"/>
      <c r="C381" s="26"/>
      <c r="D381" s="26"/>
      <c r="E381" s="26"/>
      <c r="F381" s="26"/>
      <c r="G381" s="26"/>
      <c r="H381" s="26"/>
      <c r="I381" s="40"/>
      <c r="J381" s="40"/>
      <c r="K381" s="14"/>
      <c r="L381" s="29"/>
      <c r="M381" s="29"/>
      <c r="N381" s="29"/>
      <c r="O381" s="29"/>
      <c r="P381" s="29"/>
    </row>
  </sheetData>
  <sheetProtection algorithmName="SHA-256" hashValue="T52CNICllfcBaGPlgMRscqPMjuUMOOD24RS0oiSwV+8=" saltValue="nvy0TnwMmBTlxPqTph1uGg==" spinCount="100000" sheet="1" objects="1" scenarios="1"/>
  <autoFilter ref="B3:P381"/>
  <mergeCells count="1">
    <mergeCell ref="A1:B1"/>
  </mergeCells>
  <conditionalFormatting sqref="B4:P304">
    <cfRule type="expression" dxfId="1" priority="3">
      <formula>MOD(ROW(),2)=0</formula>
    </cfRule>
  </conditionalFormatting>
  <hyperlinks>
    <hyperlink ref="A1" location="Index!A1" display="&lt;&lt;Back to Index"/>
    <hyperlink ref="O5" r:id="rId1" location="page=13" display="2019-20 APP - approved"/>
    <hyperlink ref="O4" r:id="rId2" location="page=13" display="2019-20 APP - approved"/>
    <hyperlink ref="O6" r:id="rId3" location="page=14" display="2019-20 APP - approved"/>
    <hyperlink ref="O7" r:id="rId4" location="page=15" display="2019-20 APP - approved"/>
    <hyperlink ref="O10" r:id="rId5" location="page=13" display="2019-20 APP - approved"/>
    <hyperlink ref="O11" r:id="rId6" location="page=14" display="2019-20 APP - approved"/>
    <hyperlink ref="O12" r:id="rId7" location="page=15" display="2019-20 APP - approved"/>
    <hyperlink ref="O15" r:id="rId8" location="page=13" display="2019-20 APP - approved"/>
    <hyperlink ref="O16" r:id="rId9" location="page=14" display="2019-20 APP - approved"/>
    <hyperlink ref="O17" r:id="rId10" location="page=15" display="2019-20 APP - approved"/>
    <hyperlink ref="O24" r:id="rId11" location="page=13" display="2019-20 APP - approved"/>
    <hyperlink ref="O25" r:id="rId12" location="page=14" display="2019-20 APP - approved"/>
    <hyperlink ref="O26" r:id="rId13" location="page=15" display="2019-20 APP - approved"/>
    <hyperlink ref="O23" r:id="rId14" location="page=13" display="2019-20 APP - approved"/>
    <hyperlink ref="O20" r:id="rId15" location="page=39" display="2019-20 APP - approved"/>
    <hyperlink ref="O21" r:id="rId16" location="page=39" display="2019-20 APP - approved"/>
    <hyperlink ref="O22" r:id="rId17" location="page=39" display="2019-20 APP - approved"/>
    <hyperlink ref="O29" r:id="rId18" location="page=39" display="2019-20 APP - approved"/>
    <hyperlink ref="P8" r:id="rId19" location="page=47" display="https://www.aer.gov.au/system/files/Ausgrid%20-%20AER%20approved%202019-20%20Initial%20Pricing%20Proposal%20-%20REVISED%20-%2029%20May%202019%20-%20June%202019.pdf#page=47"/>
    <hyperlink ref="P9" r:id="rId20" location="page=47" display="https://www.aer.gov.au/system/files/Ausgrid%20-%20AER%20approved%202019-20%20Initial%20Pricing%20Proposal%20-%20REVISED%20-%2029%20May%202019%20-%20June%202019.pdf#page=47"/>
    <hyperlink ref="P27" r:id="rId21" location="page=47" display="https://www.aer.gov.au/system/files/Ausgrid%20-%20AER%20approved%202019-20%20Initial%20Pricing%20Proposal%20-%20REVISED%20-%2029%20May%202019%20-%20June%202019.pdf#page=47"/>
    <hyperlink ref="P28" r:id="rId22" location="page=47" display="https://www.aer.gov.au/system/files/Ausgrid%20-%20AER%20approved%202019-20%20Initial%20Pricing%20Proposal%20-%20REVISED%20-%2029%20May%202019%20-%20June%202019.pdf#page=47"/>
    <hyperlink ref="O33" r:id="rId23" location="page=79"/>
    <hyperlink ref="O34" r:id="rId24" location="page=79"/>
    <hyperlink ref="O38:O39" r:id="rId25" location="page=79" display="2019-20 APP (approved)"/>
    <hyperlink ref="O42:O43" r:id="rId26" location="page=79" display="2019-20 APP (approved)"/>
    <hyperlink ref="O49:O50" r:id="rId27" location="page=79" display="2019-20 APP (approved)"/>
    <hyperlink ref="O40" r:id="rId28" location="page=80"/>
    <hyperlink ref="O44" r:id="rId29" location="page=80"/>
    <hyperlink ref="O51" r:id="rId30" location="page=80"/>
    <hyperlink ref="O36" r:id="rId31" location="page=80"/>
    <hyperlink ref="O35" r:id="rId32" location="page=79"/>
    <hyperlink ref="O37" r:id="rId33" location="page=81"/>
    <hyperlink ref="O41" r:id="rId34" location="page=81"/>
    <hyperlink ref="O45" r:id="rId35" location="page=81"/>
    <hyperlink ref="O52" r:id="rId36" location="page=81"/>
    <hyperlink ref="O46" r:id="rId37" location="page=118"/>
    <hyperlink ref="O47" r:id="rId38" location="page=118"/>
    <hyperlink ref="O48" r:id="rId39" location="page=118"/>
    <hyperlink ref="O53" r:id="rId40" location="page=118"/>
    <hyperlink ref="P18" r:id="rId41" location="page=47" display="https://www.aer.gov.au/system/files/Ausgrid%20-%20AER%20approved%202019-20%20Initial%20Pricing%20Proposal%20-%20REVISED%20-%2029%20May%202019%20-%20June%202019.pdf#page=47"/>
    <hyperlink ref="P19" r:id="rId42" location="page=47" display="https://www.aer.gov.au/system/files/Ausgrid%20-%20AER%20approved%202019-20%20Initial%20Pricing%20Proposal%20-%20REVISED%20-%2029%20May%202019%20-%20June%202019.pdf#page=47"/>
    <hyperlink ref="P13" r:id="rId43" location="page=47" display="https://www.aer.gov.au/system/files/Ausgrid%20-%20AER%20approved%202019-20%20Initial%20Pricing%20Proposal%20-%20REVISED%20-%2029%20May%202019%20-%20June%202019.pdf#page=47"/>
    <hyperlink ref="P14" r:id="rId44" location="page=47" display="https://www.aer.gov.au/system/files/Ausgrid%20-%20AER%20approved%202019-20%20Initial%20Pricing%20Proposal%20-%20REVISED%20-%2029%20May%202019%20-%20June%202019.pdf#page=47"/>
    <hyperlink ref="O57" r:id="rId45"/>
    <hyperlink ref="O58" r:id="rId46"/>
    <hyperlink ref="O59" r:id="rId47"/>
    <hyperlink ref="O60" r:id="rId48"/>
    <hyperlink ref="O61" r:id="rId49"/>
    <hyperlink ref="P62" r:id="rId50" location="page=4"/>
    <hyperlink ref="P63" r:id="rId51" location="page=4"/>
    <hyperlink ref="P69:P70" r:id="rId52" location="page=4" display="2019-20 APP (indicative)"/>
    <hyperlink ref="P76:P77" r:id="rId53" location="page=4" display="2019-20 APP (indicative)"/>
    <hyperlink ref="P86:P87" r:id="rId54" location="page=4" display="2019-20 APP (indicative)"/>
    <hyperlink ref="O115:O117" r:id="rId55" location="page=46" display="2019-20 APP (approved)"/>
    <hyperlink ref="O121" r:id="rId56" location="page=46"/>
    <hyperlink ref="O126:O127" r:id="rId57" location="page=46" display="2019-20 APP (approved)"/>
    <hyperlink ref="O118" r:id="rId58" location="page=47"/>
    <hyperlink ref="O122" r:id="rId59" location="page=47"/>
    <hyperlink ref="O128" r:id="rId60" location="page=47"/>
    <hyperlink ref="O119" r:id="rId61" location="page=48"/>
    <hyperlink ref="O120" r:id="rId62" location="page=48"/>
    <hyperlink ref="O123" r:id="rId63" location="page=48"/>
    <hyperlink ref="O129" r:id="rId64" location="page=48"/>
    <hyperlink ref="O124" r:id="rId65" location="page=56"/>
    <hyperlink ref="O125" r:id="rId66" location="page=56"/>
    <hyperlink ref="O131" r:id="rId67" location="page=56"/>
    <hyperlink ref="O130" r:id="rId68" location="page=48"/>
    <hyperlink ref="O92" r:id="rId69"/>
    <hyperlink ref="P112" r:id="rId70" location="page=15"/>
    <hyperlink ref="P132" r:id="rId71" location="page=17"/>
    <hyperlink ref="P113" r:id="rId72" display="AER Powerlink Determination 2017-22 revenue change (updated for latest reurn on debt)"/>
    <hyperlink ref="P133" r:id="rId73"/>
    <hyperlink ref="P33" r:id="rId74"/>
    <hyperlink ref="P34:P45" r:id="rId75" display="2019-20 APP (indicative)"/>
    <hyperlink ref="P49:P52" r:id="rId76" display="2019-20 APP (indicative)"/>
    <hyperlink ref="O64" r:id="rId77"/>
    <hyperlink ref="O65:O68" r:id="rId78" display="2019-20 APP (approved)"/>
    <hyperlink ref="O71:O75" r:id="rId79" display="2019-20 APP (approved)"/>
    <hyperlink ref="O78" r:id="rId80"/>
    <hyperlink ref="O79" r:id="rId81"/>
    <hyperlink ref="O80" r:id="rId82"/>
    <hyperlink ref="O88" r:id="rId83"/>
    <hyperlink ref="P115" r:id="rId84" location="page=28"/>
    <hyperlink ref="P116" r:id="rId85" location="page=28"/>
    <hyperlink ref="P117" r:id="rId86" location="page=28"/>
    <hyperlink ref="P118" r:id="rId87" location="page=28"/>
    <hyperlink ref="P119" r:id="rId88" location="page=28"/>
    <hyperlink ref="P120" r:id="rId89" location="page=28"/>
    <hyperlink ref="P121" r:id="rId90" location="page=28"/>
    <hyperlink ref="P122" r:id="rId91" location="page=28"/>
    <hyperlink ref="P123" r:id="rId92" location="page=28"/>
    <hyperlink ref="P124" r:id="rId93" location="page=38"/>
    <hyperlink ref="P125" r:id="rId94" location="page=38"/>
    <hyperlink ref="P131" r:id="rId95" location="page=38"/>
    <hyperlink ref="P126:P130" r:id="rId96" location="page=28" display="2020-21 revised proposal"/>
    <hyperlink ref="P92" r:id="rId97"/>
    <hyperlink ref="P93:P95" r:id="rId98" display="2020-21 revised proposal"/>
    <hyperlink ref="P97:P98" r:id="rId99" display="2020-21 revised proposal"/>
    <hyperlink ref="P100:P101" r:id="rId100" display="2020-21 revised proposal"/>
    <hyperlink ref="P103:P109" r:id="rId101" display="2020-21 revised proposal"/>
    <hyperlink ref="P111" r:id="rId102"/>
  </hyperlinks>
  <pageMargins left="0.7" right="0.7" top="0.75" bottom="0.75" header="0.3" footer="0.3"/>
  <pageSetup paperSize="9" orientation="portrait" r:id="rId103"/>
  <ignoredErrors>
    <ignoredError sqref="I100 I9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38"/>
  <sheetViews>
    <sheetView workbookViewId="0">
      <selection activeCell="Q20" sqref="Q20:Q1048576"/>
    </sheetView>
  </sheetViews>
  <sheetFormatPr defaultColWidth="0" defaultRowHeight="14.4" zeroHeight="1" outlineLevelCol="1" x14ac:dyDescent="0.3"/>
  <cols>
    <col min="1" max="1" width="1.6640625" style="3" customWidth="1"/>
    <col min="2" max="2" width="30.88671875" style="23" bestFit="1" customWidth="1"/>
    <col min="3" max="4" width="13.33203125" style="23" hidden="1" customWidth="1" outlineLevel="1"/>
    <col min="5" max="5" width="13.33203125" style="23" customWidth="1" collapsed="1"/>
    <col min="6" max="6" width="0.88671875" style="23" customWidth="1"/>
    <col min="7" max="8" width="13.33203125" style="23" hidden="1" customWidth="1" outlineLevel="1"/>
    <col min="9" max="9" width="13.33203125" style="23" customWidth="1" collapsed="1"/>
    <col min="10" max="11" width="13.33203125" style="23" hidden="1" customWidth="1"/>
    <col min="12" max="13" width="13.33203125" style="23" hidden="1" customWidth="1" outlineLevel="1"/>
    <col min="14" max="14" width="13.33203125" style="23" customWidth="1" collapsed="1"/>
    <col min="15" max="15" width="13.33203125" style="23" customWidth="1"/>
    <col min="16" max="16" width="0.88671875" style="23" customWidth="1"/>
    <col min="17" max="17" width="13.33203125" style="23" customWidth="1"/>
    <col min="18" max="18" width="3.33203125" style="3" customWidth="1"/>
    <col min="19" max="16384" width="8.88671875" style="3" hidden="1"/>
  </cols>
  <sheetData>
    <row r="1" spans="1:17" ht="10.199999999999999" customHeight="1" x14ac:dyDescent="0.3">
      <c r="A1" s="246" t="s">
        <v>22</v>
      </c>
      <c r="B1" s="272"/>
    </row>
    <row r="2" spans="1:17" s="15" customFormat="1" ht="22.5" customHeight="1" x14ac:dyDescent="0.3">
      <c r="A2" s="16" t="s">
        <v>29</v>
      </c>
      <c r="B2" s="30"/>
      <c r="C2" s="24"/>
      <c r="D2" s="24"/>
      <c r="E2" s="24"/>
      <c r="F2" s="24"/>
      <c r="G2" s="24"/>
      <c r="H2" s="24"/>
      <c r="I2" s="24"/>
      <c r="J2" s="24"/>
      <c r="K2" s="24"/>
      <c r="L2" s="24"/>
      <c r="M2" s="24"/>
      <c r="N2" s="24"/>
      <c r="O2" s="24"/>
      <c r="P2" s="24"/>
      <c r="Q2" s="24"/>
    </row>
    <row r="3" spans="1:17" s="5" customFormat="1" x14ac:dyDescent="0.3">
      <c r="B3" s="46"/>
      <c r="C3" s="21"/>
      <c r="D3" s="21"/>
      <c r="E3" s="21"/>
      <c r="F3" s="21"/>
      <c r="G3" s="21"/>
      <c r="H3" s="21"/>
      <c r="I3" s="21"/>
      <c r="J3" s="21"/>
      <c r="K3" s="21"/>
      <c r="L3" s="21"/>
      <c r="M3" s="21"/>
      <c r="N3" s="21"/>
      <c r="O3" s="21"/>
      <c r="P3" s="21"/>
      <c r="Q3" s="21"/>
    </row>
    <row r="4" spans="1:17" s="5" customFormat="1" hidden="1" x14ac:dyDescent="0.3">
      <c r="B4" s="46"/>
      <c r="C4" s="21" t="str">
        <f>$C$9</f>
        <v>2019-20</v>
      </c>
      <c r="D4" s="21" t="str">
        <f>$C$9</f>
        <v>2019-20</v>
      </c>
      <c r="E4" s="21" t="str">
        <f>$C$9</f>
        <v>2019-20</v>
      </c>
      <c r="F4" s="21"/>
      <c r="G4" s="21" t="str">
        <f t="shared" ref="G4:O4" si="0">$C$9</f>
        <v>2019-20</v>
      </c>
      <c r="H4" s="21" t="str">
        <f t="shared" si="0"/>
        <v>2019-20</v>
      </c>
      <c r="I4" s="21" t="str">
        <f t="shared" si="0"/>
        <v>2019-20</v>
      </c>
      <c r="J4" s="21" t="str">
        <f t="shared" si="0"/>
        <v>2019-20</v>
      </c>
      <c r="K4" s="21"/>
      <c r="L4" s="21" t="str">
        <f t="shared" si="0"/>
        <v>2019-20</v>
      </c>
      <c r="M4" s="21" t="str">
        <f t="shared" si="0"/>
        <v>2019-20</v>
      </c>
      <c r="N4" s="21" t="str">
        <f t="shared" si="0"/>
        <v>2019-20</v>
      </c>
      <c r="O4" s="21" t="str">
        <f t="shared" si="0"/>
        <v>2019-20</v>
      </c>
      <c r="P4" s="21"/>
      <c r="Q4" s="21" t="str">
        <f>$C$9</f>
        <v>2019-20</v>
      </c>
    </row>
    <row r="5" spans="1:17" s="5" customFormat="1" hidden="1" x14ac:dyDescent="0.3">
      <c r="B5" s="46"/>
      <c r="C5" s="21" t="str">
        <f>$C$10</f>
        <v>Residential</v>
      </c>
      <c r="D5" s="21" t="str">
        <f>$C$10</f>
        <v>Residential</v>
      </c>
      <c r="E5" s="21" t="str">
        <f>$C$10</f>
        <v>Residential</v>
      </c>
      <c r="F5" s="21"/>
      <c r="G5" s="21" t="str">
        <f t="shared" ref="G5:O5" si="1">$G$10</f>
        <v>Residential</v>
      </c>
      <c r="H5" s="21" t="str">
        <f t="shared" si="1"/>
        <v>Residential</v>
      </c>
      <c r="I5" s="21" t="str">
        <f t="shared" si="1"/>
        <v>Residential</v>
      </c>
      <c r="J5" s="21" t="str">
        <f t="shared" si="1"/>
        <v>Residential</v>
      </c>
      <c r="K5" s="21"/>
      <c r="L5" s="21" t="str">
        <f t="shared" si="1"/>
        <v>Residential</v>
      </c>
      <c r="M5" s="21" t="str">
        <f t="shared" si="1"/>
        <v>Residential</v>
      </c>
      <c r="N5" s="21" t="str">
        <f t="shared" si="1"/>
        <v>Residential</v>
      </c>
      <c r="O5" s="21" t="str">
        <f t="shared" si="1"/>
        <v>Residential</v>
      </c>
      <c r="P5" s="21"/>
      <c r="Q5" s="21" t="str">
        <f>$Q$10</f>
        <v>Small business</v>
      </c>
    </row>
    <row r="6" spans="1:17" s="5" customFormat="1" hidden="1" x14ac:dyDescent="0.3">
      <c r="B6" s="46"/>
      <c r="C6" s="21" t="str">
        <f>$C$11</f>
        <v>without CL</v>
      </c>
      <c r="D6" s="21" t="str">
        <f>$C$11</f>
        <v>without CL</v>
      </c>
      <c r="E6" s="21" t="str">
        <f>$C$11</f>
        <v>without CL</v>
      </c>
      <c r="F6" s="21"/>
      <c r="G6" s="21" t="str">
        <f t="shared" ref="G6:O6" si="2">$G$11</f>
        <v>with CL</v>
      </c>
      <c r="H6" s="21" t="str">
        <f t="shared" si="2"/>
        <v>with CL</v>
      </c>
      <c r="I6" s="21" t="str">
        <f t="shared" si="2"/>
        <v>with CL</v>
      </c>
      <c r="J6" s="21" t="str">
        <f t="shared" si="2"/>
        <v>with CL</v>
      </c>
      <c r="K6" s="21"/>
      <c r="L6" s="21" t="str">
        <f t="shared" si="2"/>
        <v>with CL</v>
      </c>
      <c r="M6" s="21" t="str">
        <f t="shared" si="2"/>
        <v>with CL</v>
      </c>
      <c r="N6" s="21" t="str">
        <f t="shared" si="2"/>
        <v>with CL</v>
      </c>
      <c r="O6" s="21" t="str">
        <f t="shared" si="2"/>
        <v>with CL</v>
      </c>
      <c r="P6" s="21"/>
      <c r="Q6" s="21" t="str">
        <f>$Q$11</f>
        <v>without CL</v>
      </c>
    </row>
    <row r="7" spans="1:17" s="5" customFormat="1" hidden="1" x14ac:dyDescent="0.3">
      <c r="B7" s="46"/>
      <c r="C7" s="21" t="str">
        <f>$C$12</f>
        <v>Flat rate</v>
      </c>
      <c r="D7" s="21" t="str">
        <f>$C$12</f>
        <v>Flat rate</v>
      </c>
      <c r="E7" s="21" t="str">
        <f>$C$12</f>
        <v>Flat rate</v>
      </c>
      <c r="F7" s="21"/>
      <c r="G7" s="21" t="str">
        <f>$G$12</f>
        <v>Flat rate</v>
      </c>
      <c r="H7" s="21" t="str">
        <f>$G$12</f>
        <v>Flat rate</v>
      </c>
      <c r="I7" s="21" t="str">
        <f>$G$12</f>
        <v>Flat rate</v>
      </c>
      <c r="J7" s="21" t="str">
        <f>$J$12</f>
        <v>CL</v>
      </c>
      <c r="K7" s="21"/>
      <c r="L7" s="21" t="str">
        <f>$L$13</f>
        <v>CL1</v>
      </c>
      <c r="M7" s="21" t="str">
        <f>$M$13</f>
        <v>CL2</v>
      </c>
      <c r="N7" s="21" t="str">
        <f>$J$12</f>
        <v>CL</v>
      </c>
      <c r="O7" s="21" t="str">
        <f>O12</f>
        <v>Total</v>
      </c>
      <c r="P7" s="21"/>
      <c r="Q7" s="21" t="str">
        <f>$Q$12</f>
        <v>Flat rate</v>
      </c>
    </row>
    <row r="8" spans="1:17" s="5" customFormat="1" hidden="1" x14ac:dyDescent="0.3">
      <c r="B8" s="46"/>
      <c r="C8" s="21" t="str">
        <f>$A$2</f>
        <v>Usage</v>
      </c>
      <c r="D8" s="21" t="str">
        <f>$A$2</f>
        <v>Usage</v>
      </c>
      <c r="E8" s="21" t="str">
        <f>$A$2</f>
        <v>Usage</v>
      </c>
      <c r="F8" s="21"/>
      <c r="G8" s="21" t="str">
        <f>$A$2</f>
        <v>Usage</v>
      </c>
      <c r="H8" s="21" t="str">
        <f>$A$2</f>
        <v>Usage</v>
      </c>
      <c r="I8" s="21" t="str">
        <f>$A$2</f>
        <v>Usage</v>
      </c>
      <c r="J8" s="21" t="s">
        <v>62</v>
      </c>
      <c r="K8" s="21" t="s">
        <v>103</v>
      </c>
      <c r="L8" s="21" t="str">
        <f>$A$2</f>
        <v>Usage</v>
      </c>
      <c r="M8" s="21" t="str">
        <f>$A$2</f>
        <v>Usage</v>
      </c>
      <c r="N8" s="21" t="str">
        <f>$A$2</f>
        <v>Usage</v>
      </c>
      <c r="O8" s="21" t="str">
        <f>$A$2</f>
        <v>Usage</v>
      </c>
      <c r="P8" s="21"/>
      <c r="Q8" s="21" t="str">
        <f>$A$2</f>
        <v>Usage</v>
      </c>
    </row>
    <row r="9" spans="1:17" ht="19.95" hidden="1" customHeight="1" x14ac:dyDescent="0.3">
      <c r="B9" s="45"/>
      <c r="C9" s="282" t="str">
        <f>PY</f>
        <v>2019-20</v>
      </c>
      <c r="D9" s="282"/>
      <c r="E9" s="282"/>
      <c r="F9" s="282"/>
      <c r="G9" s="282"/>
      <c r="H9" s="282"/>
      <c r="I9" s="282"/>
      <c r="J9" s="282"/>
      <c r="K9" s="282"/>
      <c r="L9" s="282"/>
      <c r="M9" s="282"/>
      <c r="N9" s="282"/>
      <c r="O9" s="282"/>
      <c r="P9" s="282"/>
      <c r="Q9" s="282"/>
    </row>
    <row r="10" spans="1:17" ht="19.95" customHeight="1" x14ac:dyDescent="0.3">
      <c r="B10" s="283" t="s">
        <v>1</v>
      </c>
      <c r="C10" s="287" t="s">
        <v>6</v>
      </c>
      <c r="D10" s="287"/>
      <c r="E10" s="287"/>
      <c r="F10" s="84"/>
      <c r="G10" s="287" t="s">
        <v>6</v>
      </c>
      <c r="H10" s="287"/>
      <c r="I10" s="287"/>
      <c r="J10" s="287"/>
      <c r="K10" s="287"/>
      <c r="L10" s="287"/>
      <c r="M10" s="287"/>
      <c r="N10" s="287"/>
      <c r="O10" s="287"/>
      <c r="P10" s="85"/>
      <c r="Q10" s="235" t="s">
        <v>14</v>
      </c>
    </row>
    <row r="11" spans="1:17" ht="27.6" customHeight="1" x14ac:dyDescent="0.3">
      <c r="B11" s="283"/>
      <c r="C11" s="284" t="s">
        <v>158</v>
      </c>
      <c r="D11" s="284"/>
      <c r="E11" s="284"/>
      <c r="F11" s="86"/>
      <c r="G11" s="284" t="s">
        <v>159</v>
      </c>
      <c r="H11" s="284"/>
      <c r="I11" s="284"/>
      <c r="J11" s="284"/>
      <c r="K11" s="284"/>
      <c r="L11" s="284"/>
      <c r="M11" s="284"/>
      <c r="N11" s="284"/>
      <c r="O11" s="284"/>
      <c r="P11" s="86"/>
      <c r="Q11" s="234" t="s">
        <v>158</v>
      </c>
    </row>
    <row r="12" spans="1:17" ht="19.95" customHeight="1" x14ac:dyDescent="0.3">
      <c r="B12" s="283"/>
      <c r="C12" s="285" t="s">
        <v>24</v>
      </c>
      <c r="D12" s="285"/>
      <c r="E12" s="285"/>
      <c r="F12" s="86"/>
      <c r="G12" s="285" t="s">
        <v>24</v>
      </c>
      <c r="H12" s="285"/>
      <c r="I12" s="285"/>
      <c r="J12" s="285" t="s">
        <v>17</v>
      </c>
      <c r="K12" s="285"/>
      <c r="L12" s="285"/>
      <c r="M12" s="285"/>
      <c r="N12" s="285"/>
      <c r="O12" s="285" t="s">
        <v>58</v>
      </c>
      <c r="P12" s="86"/>
      <c r="Q12" s="86" t="s">
        <v>24</v>
      </c>
    </row>
    <row r="13" spans="1:17" s="179" customFormat="1" ht="19.95" customHeight="1" x14ac:dyDescent="0.3">
      <c r="B13" s="283"/>
      <c r="C13" s="180" t="s">
        <v>60</v>
      </c>
      <c r="D13" s="180" t="s">
        <v>61</v>
      </c>
      <c r="E13" s="180" t="s">
        <v>58</v>
      </c>
      <c r="F13" s="180"/>
      <c r="G13" s="180" t="s">
        <v>60</v>
      </c>
      <c r="H13" s="180" t="s">
        <v>61</v>
      </c>
      <c r="I13" s="180" t="s">
        <v>58</v>
      </c>
      <c r="J13" s="180"/>
      <c r="K13" s="180"/>
      <c r="L13" s="180" t="s">
        <v>15</v>
      </c>
      <c r="M13" s="180" t="s">
        <v>16</v>
      </c>
      <c r="N13" s="180" t="s">
        <v>58</v>
      </c>
      <c r="O13" s="286"/>
      <c r="P13" s="180"/>
      <c r="Q13" s="180" t="s">
        <v>58</v>
      </c>
    </row>
    <row r="14" spans="1:17" ht="19.95" customHeight="1" x14ac:dyDescent="0.3">
      <c r="B14" s="87" t="s">
        <v>2</v>
      </c>
      <c r="C14" s="88">
        <f t="array" ref="C14">IFERROR(INDEX('Detail inputs'!$D$3:$L$284,MATCH(C$5&amp;C$6&amp;C$7&amp;$B14&amp;C$8&amp;C$13,'Detail inputs'!$D$3:$D$284&amp;'Detail inputs'!$E$3:$E$284&amp;'Detail inputs'!$F$3:$F$284&amp;'Detail inputs'!$B$3:$B$284&amp;'Detail inputs'!$G$3:$G$284&amp;'Detail inputs'!$L$3:$L$284,0),MATCH(C$4,'Detail inputs'!$D$3:$L$3,0)),E14)</f>
        <v>3900</v>
      </c>
      <c r="D14" s="88">
        <f>E14-C14</f>
        <v>0</v>
      </c>
      <c r="E14" s="88">
        <f t="array" ref="E14">IFERROR(INDEX('Detail inputs'!$D$3:$L$284,MATCH(E$5&amp;E$6&amp;E$7&amp;$B14&amp;E$8&amp;E$13,'Detail inputs'!$D$3:$D$284&amp;'Detail inputs'!$E$3:$E$284&amp;'Detail inputs'!$F$3:$F$284&amp;'Detail inputs'!$B$3:$B$284&amp;'Detail inputs'!$G$3:$G$284&amp;'Detail inputs'!$L$3:$L$284,0),MATCH(E$4,'Detail inputs'!$D$3:$L$3,0)),0)</f>
        <v>3900</v>
      </c>
      <c r="F14" s="89"/>
      <c r="G14" s="88">
        <f t="array" ref="G14">IFERROR(INDEX('Detail inputs'!$D$3:$L$284,MATCH(G$5&amp;G$6&amp;G$7&amp;$B14&amp;G$8&amp;G$13,'Detail inputs'!$D$3:$D$284&amp;'Detail inputs'!$E$3:$E$284&amp;'Detail inputs'!$F$3:$F$284&amp;'Detail inputs'!$B$3:$B$284&amp;'Detail inputs'!$G$3:$G$284&amp;'Detail inputs'!$L$3:$L$284,0),MATCH(G$4,'Detail inputs'!$D$3:$L$3,0)),I14)</f>
        <v>4800</v>
      </c>
      <c r="H14" s="88">
        <f>I14-G14</f>
        <v>0</v>
      </c>
      <c r="I14" s="88">
        <f t="array" ref="I14">IFERROR(INDEX('Detail inputs'!$D$3:$L$284,MATCH(I$5&amp;I$6&amp;I$7&amp;$B14&amp;I$8&amp;I$13,'Detail inputs'!$D$3:$D$284&amp;'Detail inputs'!$E$3:$E$284&amp;'Detail inputs'!$F$3:$F$284&amp;'Detail inputs'!$B$3:$B$284&amp;'Detail inputs'!$G$3:$G$284&amp;'Detail inputs'!$L$3:$L$284,0),MATCH(I$4,'Detail inputs'!$D$3:$L$3,0)),0)</f>
        <v>4800</v>
      </c>
      <c r="J14" s="90">
        <f t="array" ref="J14">IFERROR(INDEX('Detail inputs'!$D$3:$L$284,MATCH(J$5&amp;J$6&amp;J$7&amp;$B14&amp;J$8&amp;J$13,'Detail inputs'!$D$3:$D$284&amp;'Detail inputs'!$E$3:$E$284&amp;'Detail inputs'!$F$3:$F$284&amp;'Detail inputs'!$B$3:$B$284&amp;'Detail inputs'!$G$3:$G$284&amp;'Detail inputs'!$L$3:$L$284,0),MATCH(J$4,'Detail inputs'!$D$3:$L$3,0)),0)</f>
        <v>0.67</v>
      </c>
      <c r="K14" s="90">
        <f>1-J14</f>
        <v>0.32999999999999996</v>
      </c>
      <c r="L14" s="88">
        <f>J14*N14</f>
        <v>1340</v>
      </c>
      <c r="M14" s="88">
        <f>N14-L14</f>
        <v>660</v>
      </c>
      <c r="N14" s="88">
        <f t="array" ref="N14">IFERROR(INDEX('Detail inputs'!$D$3:$L$284,MATCH(N$5&amp;N$6&amp;N$7&amp;$B14&amp;$A$2&amp;N$13,'Detail inputs'!$D$3:$D$284&amp;'Detail inputs'!$E$3:$E$284&amp;'Detail inputs'!$F$3:$F$284&amp;'Detail inputs'!$B$3:$B$284&amp;'Detail inputs'!$G$3:$G$284&amp;'Detail inputs'!$L$3:$L$284,0),MATCH(N$4,'Detail inputs'!$D$3:$L$3,0)),0)</f>
        <v>2000</v>
      </c>
      <c r="O14" s="88">
        <f>I14+N14</f>
        <v>6800</v>
      </c>
      <c r="P14" s="89"/>
      <c r="Q14" s="88">
        <v>20000</v>
      </c>
    </row>
    <row r="15" spans="1:17" ht="19.95" customHeight="1" x14ac:dyDescent="0.3">
      <c r="B15" s="87" t="s">
        <v>4</v>
      </c>
      <c r="C15" s="88">
        <f t="array" ref="C15">IFERROR(INDEX('Detail inputs'!$D$3:$L$284,MATCH(C$5&amp;C$6&amp;C$7&amp;$B15&amp;C$8&amp;C$13,'Detail inputs'!$D$3:$D$284&amp;'Detail inputs'!$E$3:$E$284&amp;'Detail inputs'!$F$3:$F$284&amp;'Detail inputs'!$B$3:$B$284&amp;'Detail inputs'!$G$3:$G$284&amp;'Detail inputs'!$L$3:$L$284,0),MATCH(C$4,'Detail inputs'!$D$3:$L$3,0)),E15)</f>
        <v>4000</v>
      </c>
      <c r="D15" s="88">
        <f>E15-C15</f>
        <v>900</v>
      </c>
      <c r="E15" s="88">
        <f t="array" ref="E15">IFERROR(INDEX('Detail inputs'!$D$3:$L$284,MATCH(E$5&amp;E$6&amp;E$7&amp;$B15&amp;E$8&amp;E$13,'Detail inputs'!$D$3:$D$284&amp;'Detail inputs'!$E$3:$E$284&amp;'Detail inputs'!$F$3:$F$284&amp;'Detail inputs'!$B$3:$B$284&amp;'Detail inputs'!$G$3:$G$284&amp;'Detail inputs'!$L$3:$L$284,0),MATCH(E$4,'Detail inputs'!$D$3:$L$3,0)),0)</f>
        <v>4900</v>
      </c>
      <c r="F15" s="89"/>
      <c r="G15" s="88">
        <f t="array" ref="G15">IFERROR(INDEX('Detail inputs'!$D$3:$L$284,MATCH(G$5&amp;G$6&amp;G$7&amp;$B15&amp;G$8&amp;G$13,'Detail inputs'!$D$3:$D$284&amp;'Detail inputs'!$E$3:$E$284&amp;'Detail inputs'!$F$3:$F$284&amp;'Detail inputs'!$B$3:$B$284&amp;'Detail inputs'!$G$3:$G$284&amp;'Detail inputs'!$L$3:$L$284,0),MATCH(G$4,'Detail inputs'!$D$3:$L$3,0)),I15)</f>
        <v>4000</v>
      </c>
      <c r="H15" s="88">
        <f>I15-G15</f>
        <v>1200</v>
      </c>
      <c r="I15" s="88">
        <f t="array" ref="I15">IFERROR(INDEX('Detail inputs'!$D$3:$L$284,MATCH(I$5&amp;I$6&amp;I$7&amp;$B15&amp;I$8&amp;I$13,'Detail inputs'!$D$3:$D$284&amp;'Detail inputs'!$E$3:$E$284&amp;'Detail inputs'!$F$3:$F$284&amp;'Detail inputs'!$B$3:$B$284&amp;'Detail inputs'!$G$3:$G$284&amp;'Detail inputs'!$L$3:$L$284,0),MATCH(I$4,'Detail inputs'!$D$3:$L$3,0)),0)</f>
        <v>5200</v>
      </c>
      <c r="J15" s="90">
        <f t="array" ref="J15">IFERROR(INDEX('Detail inputs'!$D$3:$L$284,MATCH(J$5&amp;J$6&amp;J$7&amp;$B15&amp;J$8&amp;J$13,'Detail inputs'!$D$3:$D$284&amp;'Detail inputs'!$E$3:$E$284&amp;'Detail inputs'!$F$3:$F$284&amp;'Detail inputs'!$B$3:$B$284&amp;'Detail inputs'!$G$3:$G$284&amp;'Detail inputs'!$L$3:$L$284,0),MATCH(J$4,'Detail inputs'!$D$3:$L$3,0)),0)</f>
        <v>0.67</v>
      </c>
      <c r="K15" s="90">
        <f t="shared" ref="K15:K18" si="3">1-J15</f>
        <v>0.32999999999999996</v>
      </c>
      <c r="L15" s="88">
        <f>J15*N15</f>
        <v>1474</v>
      </c>
      <c r="M15" s="88">
        <f>N15-L15</f>
        <v>726</v>
      </c>
      <c r="N15" s="88">
        <f t="array" ref="N15">IFERROR(INDEX('Detail inputs'!$D$3:$L$284,MATCH(N$5&amp;N$6&amp;N$7&amp;$B15&amp;$A$2&amp;N$13,'Detail inputs'!$D$3:$D$284&amp;'Detail inputs'!$E$3:$E$284&amp;'Detail inputs'!$F$3:$F$284&amp;'Detail inputs'!$B$3:$B$284&amp;'Detail inputs'!$G$3:$G$284&amp;'Detail inputs'!$L$3:$L$284,0),MATCH(N$4,'Detail inputs'!$D$3:$L$3,0)),0)</f>
        <v>2200</v>
      </c>
      <c r="O15" s="88">
        <f>I15+N15</f>
        <v>7400</v>
      </c>
      <c r="P15" s="89"/>
      <c r="Q15" s="88">
        <v>20000</v>
      </c>
    </row>
    <row r="16" spans="1:17" ht="19.95" customHeight="1" x14ac:dyDescent="0.3">
      <c r="B16" s="87" t="s">
        <v>0</v>
      </c>
      <c r="C16" s="88">
        <f t="array" ref="C16">IFERROR(INDEX('Detail inputs'!$D$3:$L$284,MATCH(C$5&amp;C$6&amp;C$7&amp;$B16&amp;C$8&amp;C$13,'Detail inputs'!$D$3:$D$284&amp;'Detail inputs'!$E$3:$E$284&amp;'Detail inputs'!$F$3:$F$284&amp;'Detail inputs'!$B$3:$B$284&amp;'Detail inputs'!$G$3:$G$284&amp;'Detail inputs'!$L$3:$L$284,0),MATCH(C$4,'Detail inputs'!$D$3:$L$3,0)),E16)</f>
        <v>4600</v>
      </c>
      <c r="D16" s="88">
        <f>E16-C16</f>
        <v>0</v>
      </c>
      <c r="E16" s="88">
        <f t="array" ref="E16">IFERROR(INDEX('Detail inputs'!$D$3:$L$284,MATCH(E$5&amp;E$6&amp;E$7&amp;$B16&amp;E$8&amp;E$13,'Detail inputs'!$D$3:$D$284&amp;'Detail inputs'!$E$3:$E$284&amp;'Detail inputs'!$F$3:$F$284&amp;'Detail inputs'!$B$3:$B$284&amp;'Detail inputs'!$G$3:$G$284&amp;'Detail inputs'!$L$3:$L$284,0),MATCH(E$4,'Detail inputs'!$D$3:$L$3,0)),0)</f>
        <v>4600</v>
      </c>
      <c r="F16" s="89"/>
      <c r="G16" s="88">
        <f t="array" ref="G16">IFERROR(INDEX('Detail inputs'!$D$3:$L$284,MATCH(G$5&amp;G$6&amp;G$7&amp;$B16&amp;G$8&amp;G$13,'Detail inputs'!$D$3:$D$284&amp;'Detail inputs'!$E$3:$E$284&amp;'Detail inputs'!$F$3:$F$284&amp;'Detail inputs'!$B$3:$B$284&amp;'Detail inputs'!$G$3:$G$284&amp;'Detail inputs'!$L$3:$L$284,0),MATCH(G$4,'Detail inputs'!$D$3:$L$3,0)),I16)</f>
        <v>4400</v>
      </c>
      <c r="H16" s="88">
        <f>I16-G16</f>
        <v>0</v>
      </c>
      <c r="I16" s="88">
        <f t="array" ref="I16">IFERROR(INDEX('Detail inputs'!$D$3:$L$284,MATCH(I$5&amp;I$6&amp;I$7&amp;$B16&amp;I$8&amp;I$13,'Detail inputs'!$D$3:$D$284&amp;'Detail inputs'!$E$3:$E$284&amp;'Detail inputs'!$F$3:$F$284&amp;'Detail inputs'!$B$3:$B$284&amp;'Detail inputs'!$G$3:$G$284&amp;'Detail inputs'!$L$3:$L$284,0),MATCH(I$4,'Detail inputs'!$D$3:$L$3,0)),0)</f>
        <v>4400</v>
      </c>
      <c r="J16" s="90">
        <f t="array" ref="J16">IFERROR(INDEX('Detail inputs'!$D$3:$L$284,MATCH(J$5&amp;J$6&amp;J$7&amp;$B16&amp;J$8&amp;J$13,'Detail inputs'!$D$3:$D$284&amp;'Detail inputs'!$E$3:$E$284&amp;'Detail inputs'!$F$3:$F$284&amp;'Detail inputs'!$B$3:$B$284&amp;'Detail inputs'!$G$3:$G$284&amp;'Detail inputs'!$L$3:$L$284,0),MATCH(J$4,'Detail inputs'!$D$3:$L$3,0)),0)</f>
        <v>0.28999999999999998</v>
      </c>
      <c r="K16" s="90">
        <f t="shared" si="3"/>
        <v>0.71</v>
      </c>
      <c r="L16" s="88">
        <f>J16*N16</f>
        <v>551</v>
      </c>
      <c r="M16" s="88">
        <f>N16-L16</f>
        <v>1349</v>
      </c>
      <c r="N16" s="88">
        <f t="array" ref="N16">IFERROR(INDEX('Detail inputs'!$D$3:$L$284,MATCH(N$5&amp;N$6&amp;N$7&amp;$B16&amp;$A$2&amp;N$13,'Detail inputs'!$D$3:$D$284&amp;'Detail inputs'!$E$3:$E$284&amp;'Detail inputs'!$F$3:$F$284&amp;'Detail inputs'!$B$3:$B$284&amp;'Detail inputs'!$G$3:$G$284&amp;'Detail inputs'!$L$3:$L$284,0),MATCH(N$4,'Detail inputs'!$D$3:$L$3,0)),0)</f>
        <v>1900</v>
      </c>
      <c r="O16" s="88">
        <f>I16+N16</f>
        <v>6300</v>
      </c>
      <c r="P16" s="89"/>
      <c r="Q16" s="88">
        <v>20000</v>
      </c>
    </row>
    <row r="17" spans="2:17" ht="19.95" customHeight="1" x14ac:dyDescent="0.3">
      <c r="B17" s="87" t="s">
        <v>3</v>
      </c>
      <c r="C17" s="88">
        <f t="array" ref="C17">IFERROR(INDEX('Detail inputs'!$D$3:$L$284,MATCH(C$5&amp;C$6&amp;C$7&amp;$B17&amp;C$8&amp;C$13,'Detail inputs'!$D$3:$D$284&amp;'Detail inputs'!$E$3:$E$284&amp;'Detail inputs'!$F$3:$F$284&amp;'Detail inputs'!$B$3:$B$284&amp;'Detail inputs'!$G$3:$G$284&amp;'Detail inputs'!$L$3:$L$284,0),MATCH(C$4,'Detail inputs'!$D$3:$L$3,0)),E17)</f>
        <v>4600</v>
      </c>
      <c r="D17" s="88">
        <f>E17-C17</f>
        <v>0</v>
      </c>
      <c r="E17" s="88">
        <f t="array" ref="E17">IFERROR(INDEX('Detail inputs'!$D$3:$L$284,MATCH(E$5&amp;E$6&amp;E$7&amp;$B17&amp;E$8&amp;E$13,'Detail inputs'!$D$3:$D$284&amp;'Detail inputs'!$E$3:$E$284&amp;'Detail inputs'!$F$3:$F$284&amp;'Detail inputs'!$B$3:$B$284&amp;'Detail inputs'!$G$3:$G$284&amp;'Detail inputs'!$L$3:$L$284,0),MATCH(E$4,'Detail inputs'!$D$3:$L$3,0)),0)</f>
        <v>4600</v>
      </c>
      <c r="F17" s="89"/>
      <c r="G17" s="88">
        <f t="array" ref="G17">IFERROR(INDEX('Detail inputs'!$D$3:$L$284,MATCH(G$5&amp;G$6&amp;G$7&amp;$B17&amp;G$8&amp;G$13,'Detail inputs'!$D$3:$D$284&amp;'Detail inputs'!$E$3:$E$284&amp;'Detail inputs'!$F$3:$F$284&amp;'Detail inputs'!$B$3:$B$284&amp;'Detail inputs'!$G$3:$G$284&amp;'Detail inputs'!$L$3:$L$284,0),MATCH(G$4,'Detail inputs'!$D$3:$L$3,0)),I17)</f>
        <v>4600</v>
      </c>
      <c r="H17" s="88">
        <f>I17-G17</f>
        <v>0</v>
      </c>
      <c r="I17" s="88">
        <f t="array" ref="I17">IFERROR(INDEX('Detail inputs'!$D$3:$L$284,MATCH(I$5&amp;I$6&amp;I$7&amp;$B17&amp;I$8&amp;I$13,'Detail inputs'!$D$3:$D$284&amp;'Detail inputs'!$E$3:$E$284&amp;'Detail inputs'!$F$3:$F$284&amp;'Detail inputs'!$B$3:$B$284&amp;'Detail inputs'!$G$3:$G$284&amp;'Detail inputs'!$L$3:$L$284,0),MATCH(I$4,'Detail inputs'!$D$3:$L$3,0)),0)</f>
        <v>4600</v>
      </c>
      <c r="J17" s="90">
        <f t="array" ref="J17">IFERROR(INDEX('Detail inputs'!$D$3:$L$284,MATCH(J$5&amp;J$6&amp;J$7&amp;$B17&amp;J$8&amp;J$13,'Detail inputs'!$D$3:$D$284&amp;'Detail inputs'!$E$3:$E$284&amp;'Detail inputs'!$F$3:$F$284&amp;'Detail inputs'!$B$3:$B$284&amp;'Detail inputs'!$G$3:$G$284&amp;'Detail inputs'!$L$3:$L$284,0),MATCH(J$4,'Detail inputs'!$D$3:$L$3,0)),0)</f>
        <v>0.77</v>
      </c>
      <c r="K17" s="90">
        <f t="shared" si="3"/>
        <v>0.22999999999999998</v>
      </c>
      <c r="L17" s="88">
        <f>J17*N17</f>
        <v>1540</v>
      </c>
      <c r="M17" s="88">
        <f>N17-L17</f>
        <v>460</v>
      </c>
      <c r="N17" s="88">
        <f t="array" ref="N17">IFERROR(INDEX('Detail inputs'!$D$3:$L$284,MATCH(N$5&amp;N$6&amp;N$7&amp;$B17&amp;$A$2&amp;N$13,'Detail inputs'!$D$3:$D$284&amp;'Detail inputs'!$E$3:$E$284&amp;'Detail inputs'!$F$3:$F$284&amp;'Detail inputs'!$B$3:$B$284&amp;'Detail inputs'!$G$3:$G$284&amp;'Detail inputs'!$L$3:$L$284,0),MATCH(N$4,'Detail inputs'!$D$3:$L$3,0)),0)</f>
        <v>2000</v>
      </c>
      <c r="O17" s="88">
        <f>I17+N17</f>
        <v>6600</v>
      </c>
      <c r="P17" s="89"/>
      <c r="Q17" s="88">
        <v>20000</v>
      </c>
    </row>
    <row r="18" spans="2:17" ht="19.95" customHeight="1" x14ac:dyDescent="0.3">
      <c r="B18" s="87" t="s">
        <v>5</v>
      </c>
      <c r="C18" s="88">
        <f t="array" ref="C18">IFERROR(INDEX('Detail inputs'!$D$3:$L$284,MATCH(C$5&amp;C$6&amp;C$7&amp;$B18&amp;C$8&amp;C$13,'Detail inputs'!$D$3:$D$284&amp;'Detail inputs'!$E$3:$E$284&amp;'Detail inputs'!$F$3:$F$284&amp;'Detail inputs'!$B$3:$B$284&amp;'Detail inputs'!$G$3:$G$284&amp;'Detail inputs'!$L$3:$L$284,0),MATCH(C$4,'Detail inputs'!$D$3:$L$3,0)),E18)</f>
        <v>4000</v>
      </c>
      <c r="D18" s="88">
        <f>E18-C18</f>
        <v>0</v>
      </c>
      <c r="E18" s="88">
        <f t="array" ref="E18">IFERROR(INDEX('Detail inputs'!$D$3:$L$284,MATCH(E$5&amp;E$6&amp;E$7&amp;$B18&amp;E$8&amp;E$13,'Detail inputs'!$D$3:$D$284&amp;'Detail inputs'!$E$3:$E$284&amp;'Detail inputs'!$F$3:$F$284&amp;'Detail inputs'!$B$3:$B$284&amp;'Detail inputs'!$G$3:$G$284&amp;'Detail inputs'!$L$3:$L$284,0),MATCH(E$4,'Detail inputs'!$D$3:$L$3,0)),0)</f>
        <v>4000</v>
      </c>
      <c r="F18" s="89"/>
      <c r="G18" s="88">
        <f t="array" ref="G18">IFERROR(INDEX('Detail inputs'!$D$3:$L$284,MATCH(G$5&amp;G$6&amp;G$7&amp;$B18&amp;G$8&amp;G$13,'Detail inputs'!$D$3:$D$284&amp;'Detail inputs'!$E$3:$E$284&amp;'Detail inputs'!$F$3:$F$284&amp;'Detail inputs'!$B$3:$B$284&amp;'Detail inputs'!$G$3:$G$284&amp;'Detail inputs'!$L$3:$L$284,0),MATCH(G$4,'Detail inputs'!$D$3:$L$3,0)),I18)</f>
        <v>4000</v>
      </c>
      <c r="H18" s="88">
        <f>I18-G18</f>
        <v>200</v>
      </c>
      <c r="I18" s="88">
        <f t="array" ref="I18">IFERROR(INDEX('Detail inputs'!$D$3:$L$284,MATCH(I$5&amp;I$6&amp;I$7&amp;$B18&amp;I$8&amp;I$13,'Detail inputs'!$D$3:$D$284&amp;'Detail inputs'!$E$3:$E$284&amp;'Detail inputs'!$F$3:$F$284&amp;'Detail inputs'!$B$3:$B$284&amp;'Detail inputs'!$G$3:$G$284&amp;'Detail inputs'!$L$3:$L$284,0),MATCH(I$4,'Detail inputs'!$D$3:$L$3,0)),0)</f>
        <v>4200</v>
      </c>
      <c r="J18" s="90">
        <f t="array" ref="J18">IFERROR(INDEX('Detail inputs'!$D$3:$L$284,MATCH(J$5&amp;J$6&amp;J$7&amp;$B18&amp;J$8&amp;J$13,'Detail inputs'!$D$3:$D$284&amp;'Detail inputs'!$E$3:$E$284&amp;'Detail inputs'!$F$3:$F$284&amp;'Detail inputs'!$B$3:$B$284&amp;'Detail inputs'!$G$3:$G$284&amp;'Detail inputs'!$L$3:$L$284,0),MATCH(J$4,'Detail inputs'!$D$3:$L$3,0)),0)</f>
        <v>1</v>
      </c>
      <c r="K18" s="90">
        <f t="shared" si="3"/>
        <v>0</v>
      </c>
      <c r="L18" s="88">
        <f>J18*N18</f>
        <v>1800</v>
      </c>
      <c r="M18" s="88">
        <f>N18-L18</f>
        <v>0</v>
      </c>
      <c r="N18" s="88">
        <f t="array" ref="N18">IFERROR(INDEX('Detail inputs'!$D$3:$L$284,MATCH(N$5&amp;N$6&amp;N$7&amp;$B18&amp;$A$2&amp;N$13,'Detail inputs'!$D$3:$D$284&amp;'Detail inputs'!$E$3:$E$284&amp;'Detail inputs'!$F$3:$F$284&amp;'Detail inputs'!$B$3:$B$284&amp;'Detail inputs'!$G$3:$G$284&amp;'Detail inputs'!$L$3:$L$284,0),MATCH(N$4,'Detail inputs'!$D$3:$L$3,0)),0)</f>
        <v>1800</v>
      </c>
      <c r="O18" s="88">
        <f>I18+N18</f>
        <v>6000</v>
      </c>
      <c r="P18" s="89"/>
      <c r="Q18" s="88">
        <v>20000</v>
      </c>
    </row>
    <row r="19" spans="2:17" x14ac:dyDescent="0.3">
      <c r="C19" s="21"/>
      <c r="D19" s="21"/>
      <c r="E19" s="21"/>
      <c r="F19" s="21"/>
      <c r="G19" s="21"/>
      <c r="H19" s="21"/>
      <c r="I19" s="21"/>
      <c r="J19" s="21"/>
      <c r="K19" s="21"/>
      <c r="L19" s="21"/>
      <c r="M19" s="21"/>
      <c r="N19" s="21"/>
      <c r="O19" s="21"/>
      <c r="P19" s="21"/>
      <c r="Q19" s="21"/>
    </row>
    <row r="20" spans="2:17" hidden="1" x14ac:dyDescent="0.3">
      <c r="C20" s="21"/>
      <c r="D20" s="21"/>
      <c r="E20" s="21"/>
      <c r="F20" s="21"/>
      <c r="G20" s="21"/>
      <c r="H20" s="21"/>
      <c r="I20" s="21"/>
      <c r="J20" s="21"/>
      <c r="K20" s="21"/>
      <c r="L20" s="21"/>
      <c r="M20" s="21"/>
      <c r="N20" s="21"/>
      <c r="O20" s="21"/>
      <c r="P20" s="21"/>
      <c r="Q20" s="21"/>
    </row>
    <row r="21" spans="2:17" hidden="1" x14ac:dyDescent="0.3">
      <c r="C21" s="21"/>
      <c r="D21" s="21"/>
      <c r="E21" s="21"/>
      <c r="F21" s="21"/>
      <c r="G21" s="21"/>
      <c r="H21" s="21"/>
      <c r="I21" s="21"/>
      <c r="J21" s="21"/>
      <c r="K21" s="21"/>
      <c r="L21" s="21"/>
      <c r="M21" s="21"/>
      <c r="N21" s="21"/>
      <c r="O21" s="21"/>
      <c r="P21" s="21"/>
      <c r="Q21" s="21"/>
    </row>
    <row r="22" spans="2:17" hidden="1" x14ac:dyDescent="0.3">
      <c r="C22" s="21"/>
      <c r="D22" s="21"/>
      <c r="E22" s="21"/>
      <c r="F22" s="21"/>
      <c r="G22" s="21"/>
      <c r="H22" s="21"/>
      <c r="I22" s="21"/>
      <c r="J22" s="21"/>
      <c r="K22" s="21"/>
      <c r="L22" s="21"/>
      <c r="M22" s="21"/>
      <c r="N22" s="21"/>
      <c r="O22" s="21"/>
      <c r="P22" s="21"/>
      <c r="Q22" s="21"/>
    </row>
    <row r="23" spans="2:17" hidden="1" x14ac:dyDescent="0.3">
      <c r="C23" s="21"/>
      <c r="D23" s="21"/>
      <c r="E23" s="21"/>
      <c r="F23" s="21"/>
      <c r="G23" s="21"/>
      <c r="H23" s="21"/>
      <c r="I23" s="21"/>
      <c r="J23" s="21"/>
      <c r="K23" s="21"/>
      <c r="L23" s="21"/>
      <c r="M23" s="21"/>
      <c r="N23" s="21"/>
      <c r="O23" s="21"/>
      <c r="P23" s="21"/>
      <c r="Q23" s="21"/>
    </row>
    <row r="24" spans="2:17" hidden="1" x14ac:dyDescent="0.3">
      <c r="C24" s="21"/>
      <c r="D24" s="21"/>
      <c r="E24" s="21"/>
      <c r="F24" s="21"/>
      <c r="G24" s="21"/>
      <c r="H24" s="21"/>
      <c r="I24" s="21"/>
      <c r="J24" s="21"/>
      <c r="K24" s="21"/>
      <c r="L24" s="21"/>
      <c r="M24" s="21"/>
      <c r="N24" s="21"/>
      <c r="O24" s="21"/>
      <c r="P24" s="21"/>
      <c r="Q24" s="21"/>
    </row>
    <row r="25" spans="2:17" hidden="1" x14ac:dyDescent="0.3">
      <c r="C25" s="21"/>
      <c r="D25" s="21"/>
      <c r="E25" s="21"/>
      <c r="F25" s="21"/>
      <c r="G25" s="21"/>
      <c r="H25" s="21"/>
      <c r="I25" s="21"/>
      <c r="J25" s="21"/>
      <c r="K25" s="21"/>
      <c r="L25" s="21"/>
      <c r="M25" s="21"/>
      <c r="N25" s="21"/>
      <c r="O25" s="21"/>
      <c r="P25" s="21"/>
      <c r="Q25" s="21"/>
    </row>
    <row r="26" spans="2:17" hidden="1" x14ac:dyDescent="0.3">
      <c r="C26" s="21"/>
      <c r="D26" s="21"/>
      <c r="E26" s="21"/>
      <c r="F26" s="21"/>
      <c r="G26" s="21"/>
      <c r="H26" s="21"/>
      <c r="I26" s="21"/>
      <c r="J26" s="21"/>
      <c r="K26" s="21"/>
      <c r="L26" s="21"/>
      <c r="M26" s="21"/>
      <c r="N26" s="21"/>
      <c r="O26" s="21"/>
      <c r="P26" s="21"/>
      <c r="Q26" s="21"/>
    </row>
    <row r="27" spans="2:17" hidden="1" x14ac:dyDescent="0.3">
      <c r="C27" s="21"/>
      <c r="D27" s="21"/>
      <c r="E27" s="21"/>
      <c r="F27" s="21"/>
      <c r="G27" s="21"/>
      <c r="H27" s="21"/>
      <c r="I27" s="21"/>
      <c r="J27" s="21"/>
      <c r="K27" s="21"/>
      <c r="L27" s="21"/>
      <c r="M27" s="21"/>
      <c r="N27" s="21"/>
      <c r="O27" s="21"/>
      <c r="P27" s="21"/>
      <c r="Q27" s="21"/>
    </row>
    <row r="28" spans="2:17" hidden="1" x14ac:dyDescent="0.3">
      <c r="C28" s="21"/>
      <c r="D28" s="21"/>
      <c r="E28" s="21"/>
      <c r="F28" s="21"/>
      <c r="G28" s="21"/>
      <c r="H28" s="21"/>
      <c r="I28" s="21"/>
      <c r="J28" s="21"/>
      <c r="K28" s="21"/>
      <c r="L28" s="21"/>
      <c r="M28" s="21"/>
      <c r="N28" s="21"/>
      <c r="O28" s="21"/>
      <c r="P28" s="21"/>
      <c r="Q28" s="21"/>
    </row>
    <row r="29" spans="2:17" hidden="1" x14ac:dyDescent="0.3">
      <c r="C29" s="21"/>
      <c r="D29" s="21"/>
      <c r="E29" s="21"/>
      <c r="F29" s="21"/>
      <c r="G29" s="21"/>
      <c r="H29" s="21"/>
      <c r="I29" s="21"/>
      <c r="J29" s="21"/>
      <c r="K29" s="21"/>
      <c r="L29" s="21"/>
      <c r="M29" s="21"/>
      <c r="N29" s="21"/>
      <c r="O29" s="21"/>
      <c r="P29" s="21"/>
      <c r="Q29" s="21"/>
    </row>
    <row r="30" spans="2:17" hidden="1" x14ac:dyDescent="0.3">
      <c r="C30" s="21"/>
      <c r="D30" s="21"/>
      <c r="E30" s="21"/>
      <c r="F30" s="21"/>
      <c r="G30" s="21"/>
      <c r="H30" s="21"/>
      <c r="I30" s="21"/>
      <c r="J30" s="21"/>
      <c r="K30" s="21"/>
      <c r="L30" s="21"/>
      <c r="M30" s="21"/>
      <c r="N30" s="21"/>
      <c r="O30" s="21"/>
      <c r="P30" s="21"/>
      <c r="Q30" s="21"/>
    </row>
    <row r="31" spans="2:17" hidden="1" x14ac:dyDescent="0.3">
      <c r="C31" s="21"/>
      <c r="D31" s="21"/>
      <c r="E31" s="21"/>
      <c r="F31" s="21"/>
      <c r="G31" s="21"/>
      <c r="H31" s="21"/>
      <c r="I31" s="21"/>
      <c r="J31" s="21"/>
      <c r="K31" s="21"/>
      <c r="L31" s="21"/>
      <c r="M31" s="21"/>
      <c r="N31" s="21"/>
      <c r="O31" s="21"/>
      <c r="P31" s="21"/>
      <c r="Q31" s="21"/>
    </row>
    <row r="32" spans="2:17" hidden="1" x14ac:dyDescent="0.3">
      <c r="C32" s="21"/>
      <c r="D32" s="21"/>
      <c r="E32" s="21"/>
      <c r="F32" s="21"/>
      <c r="G32" s="21"/>
      <c r="H32" s="21"/>
      <c r="I32" s="21"/>
      <c r="J32" s="21"/>
      <c r="K32" s="21"/>
      <c r="L32" s="21"/>
      <c r="M32" s="21"/>
      <c r="N32" s="21"/>
      <c r="O32" s="21"/>
      <c r="P32" s="21"/>
      <c r="Q32" s="21"/>
    </row>
    <row r="33" spans="3:17" hidden="1" x14ac:dyDescent="0.3">
      <c r="C33" s="21"/>
      <c r="D33" s="21"/>
      <c r="E33" s="21"/>
      <c r="F33" s="21"/>
      <c r="G33" s="21"/>
      <c r="H33" s="21"/>
      <c r="I33" s="21"/>
      <c r="J33" s="21"/>
      <c r="K33" s="21"/>
      <c r="L33" s="21"/>
      <c r="M33" s="21"/>
      <c r="N33" s="21"/>
      <c r="O33" s="21"/>
      <c r="P33" s="21"/>
      <c r="Q33" s="21"/>
    </row>
    <row r="34" spans="3:17" hidden="1" x14ac:dyDescent="0.3">
      <c r="C34" s="21"/>
      <c r="D34" s="21"/>
      <c r="E34" s="21"/>
      <c r="F34" s="21"/>
      <c r="G34" s="21"/>
      <c r="H34" s="21"/>
      <c r="I34" s="21"/>
      <c r="J34" s="21"/>
      <c r="K34" s="21"/>
      <c r="L34" s="21"/>
      <c r="M34" s="21"/>
      <c r="N34" s="21"/>
      <c r="O34" s="21"/>
      <c r="P34" s="21"/>
      <c r="Q34" s="21"/>
    </row>
    <row r="35" spans="3:17" hidden="1" x14ac:dyDescent="0.3">
      <c r="C35" s="21"/>
      <c r="D35" s="21"/>
      <c r="E35" s="21"/>
      <c r="F35" s="21"/>
      <c r="G35" s="21"/>
      <c r="H35" s="21"/>
      <c r="I35" s="21"/>
      <c r="J35" s="21"/>
      <c r="K35" s="21"/>
      <c r="L35" s="21"/>
      <c r="M35" s="21"/>
      <c r="N35" s="21"/>
      <c r="O35" s="21"/>
      <c r="P35" s="21"/>
      <c r="Q35" s="21"/>
    </row>
    <row r="36" spans="3:17" hidden="1" x14ac:dyDescent="0.3">
      <c r="C36" s="21"/>
      <c r="D36" s="21"/>
      <c r="E36" s="21"/>
      <c r="F36" s="21"/>
      <c r="G36" s="21"/>
      <c r="H36" s="21"/>
      <c r="I36" s="21"/>
      <c r="J36" s="21"/>
      <c r="K36" s="21"/>
      <c r="L36" s="21"/>
      <c r="M36" s="21"/>
      <c r="N36" s="21"/>
      <c r="O36" s="21"/>
      <c r="P36" s="21"/>
      <c r="Q36" s="21"/>
    </row>
    <row r="37" spans="3:17" hidden="1" x14ac:dyDescent="0.3">
      <c r="C37" s="21"/>
      <c r="D37" s="21"/>
      <c r="E37" s="21"/>
      <c r="F37" s="21"/>
      <c r="G37" s="21"/>
      <c r="H37" s="21"/>
      <c r="I37" s="21"/>
      <c r="J37" s="21"/>
      <c r="K37" s="21"/>
      <c r="L37" s="21"/>
      <c r="M37" s="21"/>
      <c r="N37" s="21"/>
      <c r="O37" s="21"/>
      <c r="P37" s="21"/>
      <c r="Q37" s="21"/>
    </row>
    <row r="38" spans="3:17" hidden="1" x14ac:dyDescent="0.3">
      <c r="C38" s="21"/>
      <c r="D38" s="21"/>
      <c r="E38" s="21"/>
      <c r="F38" s="21"/>
      <c r="G38" s="21"/>
      <c r="H38" s="21"/>
      <c r="I38" s="21"/>
      <c r="J38" s="21"/>
      <c r="K38" s="21"/>
      <c r="L38" s="21"/>
      <c r="M38" s="21"/>
      <c r="N38" s="21"/>
      <c r="O38" s="21"/>
      <c r="P38" s="21"/>
      <c r="Q38" s="21"/>
    </row>
  </sheetData>
  <sheetProtection algorithmName="SHA-256" hashValue="JidxeNLp01b7/5xu3xqwH41vsUjLp4Kd//RLgCcsfF4=" saltValue="4P+SKrtkXRwCKTyWiQJzXw==" spinCount="100000" sheet="1" objects="1" scenarios="1"/>
  <mergeCells count="11">
    <mergeCell ref="A1:B1"/>
    <mergeCell ref="C9:Q9"/>
    <mergeCell ref="B10:B13"/>
    <mergeCell ref="C11:E11"/>
    <mergeCell ref="G11:O11"/>
    <mergeCell ref="C12:E12"/>
    <mergeCell ref="G12:I12"/>
    <mergeCell ref="O12:O13"/>
    <mergeCell ref="J12:N12"/>
    <mergeCell ref="C10:E10"/>
    <mergeCell ref="G10:O10"/>
  </mergeCells>
  <conditionalFormatting sqref="B14:Q18">
    <cfRule type="expression" dxfId="0" priority="1">
      <formula>MOD(ROW(),2)=0</formula>
    </cfRule>
  </conditionalFormatting>
  <hyperlinks>
    <hyperlink ref="A1" location="Index!A1" display="&lt;&lt;Back to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Cover</vt:lpstr>
      <vt:lpstr>Index</vt:lpstr>
      <vt:lpstr>OVERVIEW -&gt;</vt:lpstr>
      <vt:lpstr>Structure</vt:lpstr>
      <vt:lpstr>Summary</vt:lpstr>
      <vt:lpstr>CHARTS -&gt;</vt:lpstr>
      <vt:lpstr>Res wo CL</vt:lpstr>
      <vt:lpstr>Res w CL</vt:lpstr>
      <vt:lpstr>SB wo CL</vt:lpstr>
      <vt:lpstr>DMO INDEX -&gt;</vt:lpstr>
      <vt:lpstr>Ausgrid</vt:lpstr>
      <vt:lpstr>Endeavour</vt:lpstr>
      <vt:lpstr>Essential</vt:lpstr>
      <vt:lpstr>Energex</vt:lpstr>
      <vt:lpstr>SAPN</vt:lpstr>
      <vt:lpstr>COST CALCS -&gt;</vt:lpstr>
      <vt:lpstr>Network cost</vt:lpstr>
      <vt:lpstr>Wholesale cost</vt:lpstr>
      <vt:lpstr>Environmental cost</vt:lpstr>
      <vt:lpstr>INPUTS -&gt;</vt:lpstr>
      <vt:lpstr>Key inputs</vt:lpstr>
      <vt:lpstr>Detail inputs</vt:lpstr>
      <vt:lpstr>Usage</vt:lpstr>
      <vt:lpstr>CPI</vt:lpstr>
      <vt:lpstr>Days</vt:lpstr>
      <vt:lpstr>FY</vt:lpstr>
      <vt:lpstr>GST</vt:lpstr>
      <vt:lpstr>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2016-12-13T23:55:07Z</dcterms:created>
  <dcterms:modified xsi:type="dcterms:W3CDTF">2020-02-18T02:08:37Z</dcterms:modified>
</cp:coreProperties>
</file>