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CESS" sheetId="2" r:id="rId1"/>
  </sheets>
  <calcPr calcId="145621"/>
</workbook>
</file>

<file path=xl/calcChain.xml><?xml version="1.0" encoding="utf-8"?>
<calcChain xmlns="http://schemas.openxmlformats.org/spreadsheetml/2006/main">
  <c r="H38" i="2" l="1"/>
  <c r="L51" i="2"/>
  <c r="K51" i="2"/>
  <c r="J51" i="2"/>
  <c r="I51" i="2"/>
  <c r="H51" i="2"/>
  <c r="H43" i="2"/>
  <c r="G51" i="2" l="1"/>
  <c r="H21" i="2"/>
  <c r="J36" i="2"/>
  <c r="I36" i="2"/>
  <c r="K36" i="2"/>
  <c r="L36" i="2"/>
  <c r="H36" i="2"/>
  <c r="I54" i="2"/>
  <c r="K54" i="2"/>
  <c r="L54" i="2"/>
  <c r="H54" i="2"/>
  <c r="I14" i="2"/>
  <c r="J14" i="2"/>
  <c r="K14" i="2"/>
  <c r="L19" i="2" s="1"/>
  <c r="L14" i="2"/>
  <c r="H14" i="2"/>
  <c r="I16" i="2" s="1"/>
  <c r="L18" i="2" l="1"/>
  <c r="K18" i="2"/>
  <c r="K17" i="2"/>
  <c r="L17" i="2"/>
  <c r="J17" i="2"/>
  <c r="I21" i="2"/>
  <c r="J16" i="2"/>
  <c r="K16" i="2"/>
  <c r="L16" i="2"/>
  <c r="J54" i="2"/>
  <c r="L23" i="2" l="1"/>
  <c r="K23" i="2"/>
  <c r="J23" i="2"/>
  <c r="I23" i="2"/>
  <c r="H23" i="2"/>
  <c r="L22" i="2"/>
  <c r="K22" i="2"/>
  <c r="J22" i="2"/>
  <c r="I22" i="2"/>
  <c r="H22" i="2"/>
  <c r="H24" i="2" s="1"/>
  <c r="H44" i="2"/>
  <c r="H45" i="2" s="1"/>
  <c r="H61" i="2" s="1"/>
  <c r="H25" i="2" l="1"/>
  <c r="H39" i="2"/>
  <c r="I35" i="2" s="1"/>
  <c r="I43" i="2" l="1"/>
  <c r="I38" i="2"/>
  <c r="I44" i="2" s="1"/>
  <c r="I45" i="2" l="1"/>
  <c r="I61" i="2" s="1"/>
  <c r="K21" i="2" l="1"/>
  <c r="L21" i="2"/>
  <c r="J21" i="2"/>
  <c r="I25" i="2"/>
  <c r="L24" i="2"/>
  <c r="K24" i="2"/>
  <c r="J24" i="2"/>
  <c r="I24" i="2"/>
  <c r="L25" i="2" l="1"/>
  <c r="J25" i="2"/>
  <c r="G28" i="2"/>
  <c r="I39" i="2"/>
  <c r="J35" i="2" s="1"/>
  <c r="J38" i="2" s="1"/>
  <c r="K25" i="2"/>
  <c r="G29" i="2" l="1"/>
  <c r="H62" i="2"/>
  <c r="J44" i="2"/>
  <c r="J43" i="2"/>
  <c r="G30" i="2"/>
  <c r="G31" i="2" s="1"/>
  <c r="P31" i="2" s="1"/>
  <c r="P52" i="2" s="1"/>
  <c r="J39" i="2" l="1"/>
  <c r="K35" i="2" s="1"/>
  <c r="J45" i="2"/>
  <c r="J61" i="2" s="1"/>
  <c r="O31" i="2"/>
  <c r="O52" i="2" s="1"/>
  <c r="Q31" i="2"/>
  <c r="Q52" i="2" s="1"/>
  <c r="N31" i="2"/>
  <c r="N52" i="2" s="1"/>
  <c r="M31" i="2"/>
  <c r="M52" i="2" s="1"/>
  <c r="G52" i="2" l="1"/>
  <c r="H63" i="2" s="1"/>
  <c r="K43" i="2"/>
  <c r="K38" i="2"/>
  <c r="K44" i="2" s="1"/>
  <c r="K45" i="2" l="1"/>
  <c r="K61" i="2" s="1"/>
  <c r="K39" i="2"/>
  <c r="L35" i="2" s="1"/>
  <c r="L38" i="2" s="1"/>
  <c r="L44" i="2" s="1"/>
  <c r="L43" i="2" l="1"/>
  <c r="L45" i="2" s="1"/>
  <c r="L61" i="2" s="1"/>
  <c r="L39" i="2"/>
  <c r="M35" i="2" s="1"/>
  <c r="M37" i="2" s="1"/>
  <c r="M38" i="2" l="1"/>
  <c r="M44" i="2" s="1"/>
  <c r="M43" i="2"/>
  <c r="M46" i="2" l="1"/>
  <c r="M39" i="2"/>
  <c r="N35" i="2" s="1"/>
  <c r="M53" i="2" l="1"/>
  <c r="M54" i="2" s="1"/>
  <c r="N38" i="2"/>
  <c r="N37" i="2" s="1"/>
  <c r="N43" i="2"/>
  <c r="N39" i="2" l="1"/>
  <c r="O35" i="2" s="1"/>
  <c r="N44" i="2"/>
  <c r="N46" i="2" s="1"/>
  <c r="N53" i="2" l="1"/>
  <c r="N54" i="2" s="1"/>
  <c r="O43" i="2"/>
  <c r="O38" i="2"/>
  <c r="O37" i="2" s="1"/>
  <c r="O44" i="2" l="1"/>
  <c r="O46" i="2" s="1"/>
  <c r="O39" i="2"/>
  <c r="P35" i="2" s="1"/>
  <c r="O53" i="2" l="1"/>
  <c r="O54" i="2" s="1"/>
  <c r="P43" i="2"/>
  <c r="P38" i="2"/>
  <c r="P37" i="2" l="1"/>
  <c r="P44" i="2" s="1"/>
  <c r="P46" i="2" s="1"/>
  <c r="P53" i="2" l="1"/>
  <c r="P54" i="2" s="1"/>
  <c r="P39" i="2"/>
  <c r="Q35" i="2" s="1"/>
  <c r="Q38" i="2" s="1"/>
  <c r="Q37" i="2" s="1"/>
  <c r="Q43" i="2" l="1"/>
  <c r="Q39" i="2"/>
  <c r="R35" i="2" s="1"/>
  <c r="Q44" i="2"/>
  <c r="Q46" i="2" l="1"/>
  <c r="R38" i="2"/>
  <c r="R37" i="2" s="1"/>
  <c r="R44" i="2" s="1"/>
  <c r="R43" i="2"/>
  <c r="Q53" i="2" l="1"/>
  <c r="Q54" i="2" s="1"/>
  <c r="R46" i="2"/>
  <c r="R53" i="2" s="1"/>
  <c r="R54" i="2" s="1"/>
  <c r="R39" i="2"/>
  <c r="S35" i="2" s="1"/>
  <c r="S43" i="2" l="1"/>
  <c r="S38" i="2"/>
  <c r="S37" i="2" s="1"/>
  <c r="S39" i="2" s="1"/>
  <c r="T35" i="2" s="1"/>
  <c r="T43" i="2" s="1"/>
  <c r="T38" i="2" l="1"/>
  <c r="T37" i="2" s="1"/>
  <c r="T39" i="2" s="1"/>
  <c r="U35" i="2" s="1"/>
  <c r="S44" i="2"/>
  <c r="S46" i="2" s="1"/>
  <c r="S53" i="2" s="1"/>
  <c r="S54" i="2" s="1"/>
  <c r="T44" i="2" l="1"/>
  <c r="T46" i="2" s="1"/>
  <c r="T53" i="2" s="1"/>
  <c r="T54" i="2" s="1"/>
  <c r="U38" i="2"/>
  <c r="U37" i="2" s="1"/>
  <c r="U43" i="2"/>
  <c r="U39" i="2" l="1"/>
  <c r="V35" i="2" s="1"/>
  <c r="U44" i="2"/>
  <c r="U46" i="2" s="1"/>
  <c r="U53" i="2" s="1"/>
  <c r="U54" i="2" s="1"/>
  <c r="V38" i="2" l="1"/>
  <c r="V37" i="2" s="1"/>
  <c r="V43" i="2"/>
  <c r="V44" i="2" l="1"/>
  <c r="V46" i="2" s="1"/>
  <c r="V53" i="2" s="1"/>
  <c r="V54" i="2" s="1"/>
  <c r="V39" i="2"/>
  <c r="W35" i="2" s="1"/>
  <c r="W43" i="2" l="1"/>
  <c r="W38" i="2"/>
  <c r="W37" i="2" s="1"/>
  <c r="W39" i="2" s="1"/>
  <c r="X35" i="2" s="1"/>
  <c r="W44" i="2" l="1"/>
  <c r="W46" i="2" s="1"/>
  <c r="W53" i="2" s="1"/>
  <c r="W54" i="2" s="1"/>
  <c r="X38" i="2"/>
  <c r="X37" i="2" s="1"/>
  <c r="X43" i="2"/>
  <c r="X44" i="2" l="1"/>
  <c r="X46" i="2" s="1"/>
  <c r="X53" i="2" s="1"/>
  <c r="X54" i="2" s="1"/>
  <c r="X39" i="2"/>
  <c r="Y35" i="2" s="1"/>
  <c r="Y43" i="2" l="1"/>
  <c r="Y38" i="2"/>
  <c r="Y37" i="2" s="1"/>
  <c r="Y44" i="2" l="1"/>
  <c r="Y46" i="2" s="1"/>
  <c r="Y53" i="2" s="1"/>
  <c r="Y54" i="2" s="1"/>
  <c r="Y39" i="2"/>
  <c r="Z35" i="2" s="1"/>
  <c r="Z38" i="2" l="1"/>
  <c r="Z37" i="2" s="1"/>
  <c r="Z43" i="2"/>
  <c r="Z44" i="2" l="1"/>
  <c r="Z46" i="2" s="1"/>
  <c r="Z53" i="2" s="1"/>
  <c r="Z54" i="2" s="1"/>
  <c r="Z39" i="2"/>
  <c r="AA35" i="2" s="1"/>
  <c r="AA38" i="2" l="1"/>
  <c r="AA37" i="2" s="1"/>
  <c r="AA39" i="2" s="1"/>
  <c r="AB35" i="2" s="1"/>
  <c r="AA43" i="2"/>
  <c r="AA44" i="2" l="1"/>
  <c r="AA46" i="2" s="1"/>
  <c r="AA53" i="2" s="1"/>
  <c r="AA54" i="2" s="1"/>
  <c r="AB38" i="2"/>
  <c r="AB37" i="2" s="1"/>
  <c r="AB43" i="2"/>
  <c r="AB44" i="2" l="1"/>
  <c r="AB46" i="2" s="1"/>
  <c r="AB53" i="2" s="1"/>
  <c r="AB54" i="2" s="1"/>
  <c r="AB39" i="2"/>
  <c r="AC35" i="2" s="1"/>
  <c r="AC43" i="2" l="1"/>
  <c r="AC38" i="2"/>
  <c r="AC37" i="2" s="1"/>
  <c r="AC44" i="2" l="1"/>
  <c r="AC46" i="2" s="1"/>
  <c r="AC53" i="2" s="1"/>
  <c r="AC54" i="2" s="1"/>
  <c r="AC39" i="2"/>
  <c r="AD35" i="2" s="1"/>
  <c r="AD43" i="2" l="1"/>
  <c r="AD38" i="2"/>
  <c r="AD37" i="2" s="1"/>
  <c r="AD44" i="2" l="1"/>
  <c r="AD46" i="2" s="1"/>
  <c r="AD53" i="2" s="1"/>
  <c r="AD54" i="2" s="1"/>
  <c r="AD39" i="2"/>
  <c r="AE35" i="2" s="1"/>
  <c r="AE38" i="2" l="1"/>
  <c r="AE37" i="2" s="1"/>
  <c r="AE43" i="2"/>
  <c r="AE44" i="2" l="1"/>
  <c r="AE46" i="2" s="1"/>
  <c r="AE53" i="2" s="1"/>
  <c r="AE54" i="2" s="1"/>
  <c r="AE39" i="2"/>
  <c r="AF35" i="2" s="1"/>
  <c r="AF38" i="2" l="1"/>
  <c r="AF37" i="2" s="1"/>
  <c r="AF43" i="2"/>
  <c r="AF44" i="2" l="1"/>
  <c r="AF46" i="2" s="1"/>
  <c r="AF53" i="2" s="1"/>
  <c r="AF54" i="2" s="1"/>
  <c r="AF39" i="2"/>
  <c r="AG35" i="2" s="1"/>
  <c r="AG38" i="2" l="1"/>
  <c r="AG37" i="2" s="1"/>
  <c r="AG43" i="2"/>
  <c r="AG44" i="2" l="1"/>
  <c r="AG46" i="2" s="1"/>
  <c r="AG53" i="2" s="1"/>
  <c r="AG54" i="2" s="1"/>
  <c r="AG39" i="2"/>
  <c r="AH35" i="2" s="1"/>
  <c r="AH38" i="2" l="1"/>
  <c r="AH37" i="2" s="1"/>
  <c r="AH43" i="2"/>
  <c r="AH44" i="2" l="1"/>
  <c r="AH46" i="2" s="1"/>
  <c r="AH53" i="2" s="1"/>
  <c r="AH54" i="2" s="1"/>
  <c r="AH39" i="2"/>
  <c r="AI35" i="2" s="1"/>
  <c r="AI38" i="2" l="1"/>
  <c r="AI37" i="2" s="1"/>
  <c r="AI43" i="2"/>
  <c r="AI44" i="2" l="1"/>
  <c r="AI46" i="2" s="1"/>
  <c r="AI53" i="2" s="1"/>
  <c r="AI54" i="2" s="1"/>
  <c r="AI39" i="2"/>
  <c r="AJ35" i="2" s="1"/>
  <c r="AJ38" i="2" l="1"/>
  <c r="AJ37" i="2" s="1"/>
  <c r="AJ43" i="2"/>
  <c r="AJ44" i="2" l="1"/>
  <c r="AJ46" i="2" s="1"/>
  <c r="AJ53" i="2" s="1"/>
  <c r="AJ54" i="2" s="1"/>
  <c r="AJ39" i="2"/>
  <c r="AK35" i="2" s="1"/>
  <c r="AK38" i="2" l="1"/>
  <c r="AK37" i="2" s="1"/>
  <c r="AK43" i="2"/>
  <c r="AK44" i="2" l="1"/>
  <c r="AK46" i="2" s="1"/>
  <c r="AK53" i="2" s="1"/>
  <c r="AK54" i="2" s="1"/>
  <c r="AK39" i="2"/>
  <c r="AL35" i="2" s="1"/>
  <c r="AL43" i="2" l="1"/>
  <c r="AL38" i="2"/>
  <c r="AL37" i="2" s="1"/>
  <c r="AL44" i="2" l="1"/>
  <c r="AL46" i="2" s="1"/>
  <c r="AL53" i="2" s="1"/>
  <c r="AL54" i="2" s="1"/>
  <c r="AL39" i="2"/>
  <c r="AM35" i="2" s="1"/>
  <c r="AM38" i="2" l="1"/>
  <c r="AM37" i="2" s="1"/>
  <c r="AM43" i="2"/>
  <c r="AM44" i="2" l="1"/>
  <c r="AM46" i="2" s="1"/>
  <c r="AM53" i="2" s="1"/>
  <c r="AM54" i="2" s="1"/>
  <c r="AM39" i="2"/>
  <c r="AN35" i="2" s="1"/>
  <c r="AN38" i="2" l="1"/>
  <c r="AN37" i="2" s="1"/>
  <c r="AN43" i="2"/>
  <c r="AN44" i="2" l="1"/>
  <c r="AN46" i="2" s="1"/>
  <c r="AN53" i="2" s="1"/>
  <c r="AN54" i="2" s="1"/>
  <c r="AN39" i="2"/>
  <c r="AO35" i="2" s="1"/>
  <c r="AO38" i="2" l="1"/>
  <c r="AO37" i="2" s="1"/>
  <c r="AO43" i="2"/>
  <c r="AO44" i="2" l="1"/>
  <c r="AO46" i="2" s="1"/>
  <c r="AO53" i="2" s="1"/>
  <c r="AO54" i="2" s="1"/>
  <c r="AO39" i="2"/>
  <c r="AP35" i="2" s="1"/>
  <c r="AP38" i="2" l="1"/>
  <c r="AP37" i="2" s="1"/>
  <c r="AP43" i="2"/>
  <c r="AP39" i="2" l="1"/>
  <c r="AQ35" i="2" s="1"/>
  <c r="AP44" i="2"/>
  <c r="AP46" i="2" s="1"/>
  <c r="AP53" i="2" s="1"/>
  <c r="AP54" i="2" s="1"/>
  <c r="AQ43" i="2" l="1"/>
  <c r="AQ38" i="2"/>
  <c r="AQ37" i="2" l="1"/>
  <c r="AQ44" i="2" s="1"/>
  <c r="AQ46" i="2" s="1"/>
  <c r="AQ53" i="2" s="1"/>
  <c r="AQ54" i="2" s="1"/>
  <c r="AQ39" i="2" l="1"/>
  <c r="AR35" i="2" s="1"/>
  <c r="AR43" i="2" l="1"/>
  <c r="AR38" i="2"/>
  <c r="AR37" i="2" s="1"/>
  <c r="AR44" i="2" l="1"/>
  <c r="AR46" i="2" s="1"/>
  <c r="AR53" i="2" s="1"/>
  <c r="AR54" i="2" s="1"/>
  <c r="AR39" i="2"/>
  <c r="AS35" i="2" s="1"/>
  <c r="AS38" i="2" l="1"/>
  <c r="AS37" i="2" s="1"/>
  <c r="AS43" i="2"/>
  <c r="AS44" i="2" l="1"/>
  <c r="AS46" i="2" s="1"/>
  <c r="AS53" i="2" s="1"/>
  <c r="AS54" i="2" s="1"/>
  <c r="AS39" i="2"/>
  <c r="AT35" i="2" s="1"/>
  <c r="AT38" i="2" l="1"/>
  <c r="AT37" i="2" s="1"/>
  <c r="AT43" i="2"/>
  <c r="AT44" i="2" l="1"/>
  <c r="AT46" i="2" s="1"/>
  <c r="AT53" i="2" s="1"/>
  <c r="AT54" i="2" s="1"/>
  <c r="AT39" i="2"/>
  <c r="AU35" i="2" s="1"/>
  <c r="AU38" i="2" l="1"/>
  <c r="AU37" i="2" s="1"/>
  <c r="AU43" i="2"/>
  <c r="AU44" i="2" l="1"/>
  <c r="AU46" i="2" s="1"/>
  <c r="AU53" i="2" s="1"/>
  <c r="AU54" i="2" s="1"/>
  <c r="AU39" i="2"/>
  <c r="AV35" i="2" s="1"/>
  <c r="AV38" i="2" l="1"/>
  <c r="AV37" i="2" s="1"/>
  <c r="AV43" i="2"/>
  <c r="AV44" i="2" l="1"/>
  <c r="AV46" i="2" s="1"/>
  <c r="AV53" i="2" s="1"/>
  <c r="AV54" i="2" s="1"/>
  <c r="AV39" i="2"/>
  <c r="AW35" i="2" s="1"/>
  <c r="AW38" i="2" l="1"/>
  <c r="AW37" i="2" s="1"/>
  <c r="AW44" i="2" s="1"/>
  <c r="AW43" i="2"/>
  <c r="AW46" i="2" l="1"/>
  <c r="AW53" i="2" s="1"/>
  <c r="AW54" i="2" s="1"/>
  <c r="AW39" i="2"/>
  <c r="AX35" i="2" s="1"/>
  <c r="AX43" i="2" l="1"/>
  <c r="AX38" i="2"/>
  <c r="AX37" i="2" s="1"/>
  <c r="AX44" i="2" l="1"/>
  <c r="AX46" i="2" s="1"/>
  <c r="AX53" i="2" s="1"/>
  <c r="AX54" i="2" s="1"/>
  <c r="AX39" i="2"/>
  <c r="AY35" i="2" s="1"/>
  <c r="AY38" i="2" l="1"/>
  <c r="AY37" i="2" s="1"/>
  <c r="AY43" i="2"/>
  <c r="AY44" i="2" l="1"/>
  <c r="AY46" i="2" s="1"/>
  <c r="AY53" i="2" s="1"/>
  <c r="AY54" i="2" s="1"/>
  <c r="AY39" i="2"/>
  <c r="AZ35" i="2" s="1"/>
  <c r="AZ43" i="2" l="1"/>
  <c r="AZ38" i="2"/>
  <c r="AZ37" i="2" s="1"/>
  <c r="AZ44" i="2" l="1"/>
  <c r="AZ46" i="2" s="1"/>
  <c r="AZ53" i="2" s="1"/>
  <c r="AZ54" i="2" s="1"/>
  <c r="AZ39" i="2"/>
  <c r="BA35" i="2" s="1"/>
  <c r="BA38" i="2" l="1"/>
  <c r="BA37" i="2" s="1"/>
  <c r="BA43" i="2"/>
  <c r="BA44" i="2" l="1"/>
  <c r="BA46" i="2" s="1"/>
  <c r="BA53" i="2" s="1"/>
  <c r="BA39" i="2"/>
  <c r="BB35" i="2" s="1"/>
  <c r="BB38" i="2" l="1"/>
  <c r="BB37" i="2" s="1"/>
  <c r="BB44" i="2" s="1"/>
  <c r="BB43" i="2"/>
  <c r="BA54" i="2"/>
  <c r="BB46" i="2" l="1"/>
  <c r="BB53" i="2" s="1"/>
  <c r="BB39" i="2"/>
  <c r="BC35" i="2" s="1"/>
  <c r="BB54" i="2" l="1"/>
  <c r="BC38" i="2"/>
  <c r="BC37" i="2" s="1"/>
  <c r="BC43" i="2"/>
  <c r="BC44" i="2" l="1"/>
  <c r="BC46" i="2" s="1"/>
  <c r="BC53" i="2" s="1"/>
  <c r="BC39" i="2"/>
  <c r="BD35" i="2" s="1"/>
  <c r="BC54" i="2" l="1"/>
  <c r="BD38" i="2"/>
  <c r="BD37" i="2" s="1"/>
  <c r="BD44" i="2" s="1"/>
  <c r="BD43" i="2"/>
  <c r="BD39" i="2" l="1"/>
  <c r="BE35" i="2" s="1"/>
  <c r="BD46" i="2"/>
  <c r="BD53" i="2" s="1"/>
  <c r="BD54" i="2" l="1"/>
  <c r="BE43" i="2"/>
  <c r="BE38" i="2"/>
  <c r="BE37" i="2" s="1"/>
  <c r="BE44" i="2" s="1"/>
  <c r="BE39" i="2"/>
  <c r="BF35" i="2" s="1"/>
  <c r="BE46" i="2" l="1"/>
  <c r="BE53" i="2" s="1"/>
  <c r="BF43" i="2"/>
  <c r="BF38" i="2"/>
  <c r="BF37" i="2" s="1"/>
  <c r="BF44" i="2" s="1"/>
  <c r="BE54" i="2" l="1"/>
  <c r="BF39" i="2"/>
  <c r="BG35" i="2" s="1"/>
  <c r="BG43" i="2" s="1"/>
  <c r="BF46" i="2"/>
  <c r="BF53" i="2" s="1"/>
  <c r="BF54" i="2" s="1"/>
  <c r="BG38" i="2" l="1"/>
  <c r="BG37" i="2" s="1"/>
  <c r="BG44" i="2" s="1"/>
  <c r="BG46" i="2" s="1"/>
  <c r="BG53" i="2" s="1"/>
  <c r="BG54" i="2" l="1"/>
  <c r="BG39" i="2"/>
  <c r="BH35" i="2" s="1"/>
  <c r="BH43" i="2" l="1"/>
  <c r="BH38" i="2"/>
  <c r="BH37" i="2" s="1"/>
  <c r="BH44" i="2" s="1"/>
  <c r="BH39" i="2" l="1"/>
  <c r="BI35" i="2" s="1"/>
  <c r="BI38" i="2" s="1"/>
  <c r="BI37" i="2" s="1"/>
  <c r="BI44" i="2" s="1"/>
  <c r="BI43" i="2"/>
  <c r="BI46" i="2" s="1"/>
  <c r="BI53" i="2" s="1"/>
  <c r="BI54" i="2" s="1"/>
  <c r="BH46" i="2"/>
  <c r="BH53" i="2" s="1"/>
  <c r="BH54" i="2" s="1"/>
  <c r="BI39" i="2" l="1"/>
  <c r="BJ35" i="2" s="1"/>
  <c r="BJ43" i="2" s="1"/>
  <c r="BJ38" i="2" l="1"/>
  <c r="BJ37" i="2" s="1"/>
  <c r="BJ44" i="2" s="1"/>
  <c r="BJ46" i="2" s="1"/>
  <c r="BJ39" i="2" l="1"/>
  <c r="BJ53" i="2"/>
  <c r="BJ54" i="2" s="1"/>
  <c r="G54" i="2" s="1"/>
  <c r="H60" i="2"/>
  <c r="G55" i="2" l="1"/>
  <c r="H65" i="2" s="1"/>
  <c r="H64" i="2"/>
  <c r="G53" i="2"/>
</calcChain>
</file>

<file path=xl/sharedStrings.xml><?xml version="1.0" encoding="utf-8"?>
<sst xmlns="http://schemas.openxmlformats.org/spreadsheetml/2006/main" count="85" uniqueCount="50">
  <si>
    <t>CESS</t>
  </si>
  <si>
    <t>Regulatory WACC</t>
  </si>
  <si>
    <t>Year 2 benefit</t>
  </si>
  <si>
    <t>Year 3 benefit</t>
  </si>
  <si>
    <t>Year 4 benefit</t>
  </si>
  <si>
    <t>Year 5 benefit</t>
  </si>
  <si>
    <t>Total financing benefit</t>
  </si>
  <si>
    <t>Discount factor (middle of year)</t>
  </si>
  <si>
    <t>Discount factor (end of year)</t>
  </si>
  <si>
    <t>NPV underspend</t>
  </si>
  <si>
    <t>NPV financing benefit</t>
  </si>
  <si>
    <t>CESS sharing ratio</t>
  </si>
  <si>
    <t>CESS benefit for 2021-25 period</t>
  </si>
  <si>
    <t>Opening RAB</t>
  </si>
  <si>
    <t>Net Capex</t>
  </si>
  <si>
    <t>Straight-line depreciation</t>
  </si>
  <si>
    <t>Closing RAB</t>
  </si>
  <si>
    <t>Return on Capital</t>
  </si>
  <si>
    <t>Net cash flow</t>
  </si>
  <si>
    <t>Inputs</t>
  </si>
  <si>
    <t>Years</t>
  </si>
  <si>
    <t>% Nominal</t>
  </si>
  <si>
    <t>Unit</t>
  </si>
  <si>
    <t>%</t>
  </si>
  <si>
    <t>Num</t>
  </si>
  <si>
    <t>$ nominal</t>
  </si>
  <si>
    <t>Regulatory year</t>
  </si>
  <si>
    <t>Inflation on opening RAB</t>
  </si>
  <si>
    <t>Net capex underspend</t>
  </si>
  <si>
    <t>Regulatory depreciation</t>
  </si>
  <si>
    <t>Foregone revenue</t>
  </si>
  <si>
    <t>Cash flow</t>
  </si>
  <si>
    <t>CESS payment</t>
  </si>
  <si>
    <t>Incremental revenue allowance</t>
  </si>
  <si>
    <t>NSP share</t>
  </si>
  <si>
    <t>Less financing benefit</t>
  </si>
  <si>
    <t>Net capex underspend (mid-year)</t>
  </si>
  <si>
    <t>Inflation forecast</t>
  </si>
  <si>
    <t>Standard life</t>
  </si>
  <si>
    <t>NPV 2020</t>
  </si>
  <si>
    <t>Net capex underspend (year-end)</t>
  </si>
  <si>
    <t>CESS calculation</t>
  </si>
  <si>
    <t>Year 1 benefit</t>
  </si>
  <si>
    <t>Checks</t>
  </si>
  <si>
    <t>CESS benefit equals revenue on unspent capex</t>
  </si>
  <si>
    <t>RAB for unspent net capex</t>
  </si>
  <si>
    <t>Revenue for unspent net capex</t>
  </si>
  <si>
    <t>Revenue received for unspent net capex</t>
  </si>
  <si>
    <t>NPV of revenue equals unspent net capex</t>
  </si>
  <si>
    <t xml:space="preserve">NSP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</si>
</sst>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E398D"/>
        <bgColor indexed="64"/>
      </patternFill>
    </fill>
    <fill>
      <patternFill patternType="solid">
        <fgColor rgb="FF6E89E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2" fontId="0" fillId="0" borderId="0" xfId="0" applyNumberFormat="1"/>
    <xf numFmtId="0" fontId="3" fillId="0" borderId="0" xfId="0" applyFont="1"/>
    <xf numFmtId="164" fontId="0" fillId="0" borderId="0" xfId="1" applyNumberFormat="1" applyFont="1"/>
    <xf numFmtId="164" fontId="0" fillId="3" borderId="0" xfId="1" applyNumberFormat="1" applyFont="1" applyFill="1"/>
    <xf numFmtId="0" fontId="6" fillId="2" borderId="0" xfId="0" applyFont="1" applyFill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164" fontId="0" fillId="0" borderId="0" xfId="0" applyNumberFormat="1" applyFill="1"/>
    <xf numFmtId="0" fontId="2" fillId="4" borderId="0" xfId="0" applyFont="1" applyFill="1"/>
    <xf numFmtId="0" fontId="4" fillId="4" borderId="0" xfId="0" applyFont="1" applyFill="1"/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5" borderId="0" xfId="0" applyFill="1"/>
    <xf numFmtId="0" fontId="2" fillId="5" borderId="0" xfId="0" applyFont="1" applyFill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4" fontId="6" fillId="2" borderId="0" xfId="1" applyNumberFormat="1" applyFont="1" applyFill="1"/>
    <xf numFmtId="10" fontId="6" fillId="2" borderId="0" xfId="0" applyNumberFormat="1" applyFont="1" applyFill="1"/>
    <xf numFmtId="8" fontId="0" fillId="0" borderId="0" xfId="0" applyNumberFormat="1"/>
    <xf numFmtId="43" fontId="0" fillId="0" borderId="0" xfId="0" applyNumberFormat="1"/>
    <xf numFmtId="6" fontId="7" fillId="0" borderId="0" xfId="0" quotePrefix="1" applyNumberFormat="1" applyFont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5" xfId="0" applyNumberFormat="1" applyBorder="1"/>
    <xf numFmtId="164" fontId="0" fillId="0" borderId="0" xfId="1" applyNumberFormat="1" applyFont="1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7" fillId="0" borderId="0" xfId="1" applyNumberFormat="1" applyFont="1" applyAlignment="1">
      <alignment horizontal="center"/>
    </xf>
    <xf numFmtId="164" fontId="1" fillId="0" borderId="0" xfId="1" applyNumberFormat="1" applyFont="1" applyFill="1"/>
    <xf numFmtId="164" fontId="0" fillId="0" borderId="0" xfId="0" applyNumberFormat="1" applyFont="1"/>
    <xf numFmtId="164" fontId="0" fillId="0" borderId="5" xfId="0" applyNumberFormat="1" applyFont="1" applyBorder="1"/>
    <xf numFmtId="0" fontId="8" fillId="0" borderId="0" xfId="0" applyFont="1"/>
    <xf numFmtId="10" fontId="0" fillId="0" borderId="0" xfId="2" applyNumberFormat="1" applyFont="1" applyBorder="1"/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0" fillId="6" borderId="0" xfId="0" applyFill="1"/>
    <xf numFmtId="0" fontId="4" fillId="6" borderId="0" xfId="0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E89E0"/>
      <color rgb="FF5DFC24"/>
      <color rgb="FF6AE937"/>
      <color rgb="FF1E398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71435</xdr:colOff>
      <xdr:row>19</xdr:row>
      <xdr:rowOff>119062</xdr:rowOff>
    </xdr:from>
    <xdr:to>
      <xdr:col>12</xdr:col>
      <xdr:colOff>309559</xdr:colOff>
      <xdr:row>21</xdr:row>
      <xdr:rowOff>59530</xdr:rowOff>
    </xdr:to>
    <xdr:sp macro="" textlink="">
      <xdr:nvSpPr>
        <xdr:cNvPr id="2" name="Oval 1"/>
        <xdr:cNvSpPr/>
      </xdr:nvSpPr>
      <xdr:spPr>
        <a:xfrm>
          <a:off x="5881685" y="3810000"/>
          <a:ext cx="4643437" cy="321468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119063</xdr:colOff>
      <xdr:row>43</xdr:row>
      <xdr:rowOff>130969</xdr:rowOff>
    </xdr:from>
    <xdr:to>
      <xdr:col>12</xdr:col>
      <xdr:colOff>357187</xdr:colOff>
      <xdr:row>45</xdr:row>
      <xdr:rowOff>71437</xdr:rowOff>
    </xdr:to>
    <xdr:sp macro="" textlink="">
      <xdr:nvSpPr>
        <xdr:cNvPr id="4" name="Oval 3"/>
        <xdr:cNvSpPr/>
      </xdr:nvSpPr>
      <xdr:spPr>
        <a:xfrm>
          <a:off x="5929313" y="8393907"/>
          <a:ext cx="4643437" cy="321468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309559</xdr:colOff>
      <xdr:row>20</xdr:row>
      <xdr:rowOff>89296</xdr:rowOff>
    </xdr:from>
    <xdr:to>
      <xdr:col>14</xdr:col>
      <xdr:colOff>833439</xdr:colOff>
      <xdr:row>25</xdr:row>
      <xdr:rowOff>59530</xdr:rowOff>
    </xdr:to>
    <xdr:cxnSp macro="">
      <xdr:nvCxnSpPr>
        <xdr:cNvPr id="6" name="Straight Arrow Connector 5"/>
        <xdr:cNvCxnSpPr>
          <a:stCxn id="15" idx="0"/>
          <a:endCxn id="2" idx="6"/>
        </xdr:cNvCxnSpPr>
      </xdr:nvCxnSpPr>
      <xdr:spPr>
        <a:xfrm flipH="1" flipV="1">
          <a:off x="10525122" y="3970734"/>
          <a:ext cx="2286005" cy="922734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357187</xdr:colOff>
      <xdr:row>27</xdr:row>
      <xdr:rowOff>115316</xdr:rowOff>
    </xdr:from>
    <xdr:to>
      <xdr:col>14</xdr:col>
      <xdr:colOff>833439</xdr:colOff>
      <xdr:row>44</xdr:row>
      <xdr:rowOff>101203</xdr:rowOff>
    </xdr:to>
    <xdr:cxnSp macro="">
      <xdr:nvCxnSpPr>
        <xdr:cNvPr id="11" name="Straight Arrow Connector 10"/>
        <xdr:cNvCxnSpPr>
          <a:stCxn id="15" idx="2"/>
          <a:endCxn id="4" idx="6"/>
        </xdr:cNvCxnSpPr>
      </xdr:nvCxnSpPr>
      <xdr:spPr>
        <a:xfrm flipH="1">
          <a:off x="10572750" y="5330254"/>
          <a:ext cx="2238377" cy="3224387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476252</xdr:colOff>
      <xdr:row>25</xdr:row>
      <xdr:rowOff>59530</xdr:rowOff>
    </xdr:from>
    <xdr:ext cx="2476499" cy="436786"/>
    <xdr:sp macro="" textlink="">
      <xdr:nvSpPr>
        <xdr:cNvPr id="15" name="TextBox 14"/>
        <xdr:cNvSpPr txBox="1"/>
      </xdr:nvSpPr>
      <xdr:spPr>
        <a:xfrm>
          <a:off x="11572877" y="4893468"/>
          <a:ext cx="2476499" cy="436786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1100">
              <a:solidFill>
                <a:srgbClr val="C00000"/>
              </a:solidFill>
            </a:rPr>
            <a:t>Benefit in CESS calculation should equal benefit as calculated in the PTRM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J67"/>
  <sheetViews>
    <sheetView showGridLines="0" tabSelected="1" zoomScale="80" zoomScaleNormal="80" workbookViewId="0">
      <selection activeCell="Q19" sqref="Q19"/>
    </sheetView>
  </sheetViews>
  <sheetFormatPr defaultColWidth="9.140625" defaultRowHeight="15" x14ac:dyDescent="0.25"/>
  <cols>
    <col min="1" max="2" width="3.140625" customWidth="1"/>
    <col min="3" max="3" width="41.140625" bestFit="1" customWidth="1"/>
    <col min="4" max="5" width="4.85546875" customWidth="1"/>
    <col min="6" max="6" width="16.85546875" customWidth="1"/>
    <col min="7" max="62" width="13.28515625" customWidth="1"/>
    <col min="63" max="16384" width="9.140625" style="44"/>
  </cols>
  <sheetData>
    <row r="1" spans="1:62" s="45" customFormat="1" ht="21" x14ac:dyDescent="0.35">
      <c r="A1" s="41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</row>
    <row r="3" spans="1:62" s="43" customFormat="1" x14ac:dyDescent="0.25">
      <c r="A3" s="12"/>
      <c r="B3" s="12"/>
      <c r="C3" s="11" t="s">
        <v>19</v>
      </c>
      <c r="D3" s="12"/>
      <c r="E3" s="12"/>
      <c r="F3" s="39" t="s">
        <v>22</v>
      </c>
      <c r="G3" s="12"/>
      <c r="H3" s="12">
        <v>2016</v>
      </c>
      <c r="I3" s="12">
        <v>2017</v>
      </c>
      <c r="J3" s="12">
        <v>2018</v>
      </c>
      <c r="K3" s="12">
        <v>2019</v>
      </c>
      <c r="L3" s="12">
        <v>2020</v>
      </c>
      <c r="M3" s="12">
        <v>2021</v>
      </c>
      <c r="N3" s="12">
        <v>2022</v>
      </c>
      <c r="O3" s="12">
        <v>2023</v>
      </c>
      <c r="P3" s="12">
        <v>2024</v>
      </c>
      <c r="Q3" s="12">
        <v>2025</v>
      </c>
      <c r="R3" s="12">
        <v>2026</v>
      </c>
      <c r="S3" s="12">
        <v>2027</v>
      </c>
      <c r="T3" s="12">
        <v>2028</v>
      </c>
      <c r="U3" s="12">
        <v>2029</v>
      </c>
      <c r="V3" s="12">
        <v>2030</v>
      </c>
      <c r="W3" s="12">
        <v>2031</v>
      </c>
      <c r="X3" s="12">
        <v>2032</v>
      </c>
      <c r="Y3" s="12">
        <v>2033</v>
      </c>
      <c r="Z3" s="12">
        <v>2034</v>
      </c>
      <c r="AA3" s="12">
        <v>2035</v>
      </c>
      <c r="AB3" s="12">
        <v>2036</v>
      </c>
      <c r="AC3" s="12">
        <v>2037</v>
      </c>
      <c r="AD3" s="12">
        <v>2038</v>
      </c>
      <c r="AE3" s="12">
        <v>2039</v>
      </c>
      <c r="AF3" s="12">
        <v>2040</v>
      </c>
      <c r="AG3" s="12">
        <v>2041</v>
      </c>
      <c r="AH3" s="12">
        <v>2042</v>
      </c>
      <c r="AI3" s="12">
        <v>2043</v>
      </c>
      <c r="AJ3" s="12">
        <v>2044</v>
      </c>
      <c r="AK3" s="12">
        <v>2045</v>
      </c>
      <c r="AL3" s="12">
        <v>2046</v>
      </c>
      <c r="AM3" s="12">
        <v>2047</v>
      </c>
      <c r="AN3" s="12">
        <v>2048</v>
      </c>
      <c r="AO3" s="12">
        <v>2049</v>
      </c>
      <c r="AP3" s="12">
        <v>2050</v>
      </c>
      <c r="AQ3" s="12">
        <v>2051</v>
      </c>
      <c r="AR3" s="12">
        <v>2052</v>
      </c>
      <c r="AS3" s="12">
        <v>2053</v>
      </c>
      <c r="AT3" s="12">
        <v>2054</v>
      </c>
      <c r="AU3" s="12">
        <v>2055</v>
      </c>
      <c r="AV3" s="12">
        <v>2056</v>
      </c>
      <c r="AW3" s="12">
        <v>2057</v>
      </c>
      <c r="AX3" s="12">
        <v>2058</v>
      </c>
      <c r="AY3" s="12">
        <v>2059</v>
      </c>
      <c r="AZ3" s="12">
        <v>2060</v>
      </c>
      <c r="BA3" s="12">
        <v>2061</v>
      </c>
      <c r="BB3" s="12">
        <v>2062</v>
      </c>
      <c r="BC3" s="12">
        <v>2063</v>
      </c>
      <c r="BD3" s="12">
        <v>2064</v>
      </c>
      <c r="BE3" s="12">
        <v>2065</v>
      </c>
      <c r="BF3" s="12">
        <v>2066</v>
      </c>
      <c r="BG3" s="12">
        <v>2067</v>
      </c>
      <c r="BH3" s="12">
        <v>2068</v>
      </c>
      <c r="BI3" s="12">
        <v>2069</v>
      </c>
      <c r="BJ3" s="12">
        <v>2070</v>
      </c>
    </row>
    <row r="4" spans="1:62" s="43" customFormat="1" x14ac:dyDescent="0.25">
      <c r="A4" s="14"/>
      <c r="B4" s="14"/>
      <c r="C4" s="13"/>
      <c r="D4" s="14"/>
      <c r="E4" s="14"/>
      <c r="F4" s="19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62" x14ac:dyDescent="0.25">
      <c r="C5" t="s">
        <v>38</v>
      </c>
      <c r="F5" s="18" t="s">
        <v>20</v>
      </c>
      <c r="G5" s="5">
        <v>50</v>
      </c>
    </row>
    <row r="6" spans="1:62" x14ac:dyDescent="0.25">
      <c r="C6" t="s">
        <v>1</v>
      </c>
      <c r="F6" s="18" t="s">
        <v>21</v>
      </c>
      <c r="G6" s="21">
        <v>6.1100000000000002E-2</v>
      </c>
    </row>
    <row r="7" spans="1:62" x14ac:dyDescent="0.25">
      <c r="C7" t="s">
        <v>37</v>
      </c>
      <c r="F7" s="18"/>
      <c r="G7" s="21">
        <v>2.3199999999999998E-2</v>
      </c>
    </row>
    <row r="8" spans="1:62" x14ac:dyDescent="0.25">
      <c r="C8" t="s">
        <v>11</v>
      </c>
      <c r="F8" s="18" t="s">
        <v>23</v>
      </c>
      <c r="G8" s="21">
        <v>0.3</v>
      </c>
    </row>
    <row r="9" spans="1:62" x14ac:dyDescent="0.25">
      <c r="C9" t="s">
        <v>36</v>
      </c>
      <c r="F9" s="18" t="s">
        <v>25</v>
      </c>
      <c r="H9" s="20">
        <v>1000000</v>
      </c>
      <c r="I9" s="20"/>
      <c r="J9" s="20"/>
      <c r="K9" s="20"/>
      <c r="L9" s="20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</row>
    <row r="11" spans="1:62" x14ac:dyDescent="0.25">
      <c r="A11" s="16"/>
      <c r="B11" s="16"/>
      <c r="C11" s="17" t="s">
        <v>0</v>
      </c>
      <c r="D11" s="16"/>
      <c r="E11" s="16"/>
      <c r="F11" s="40" t="s">
        <v>22</v>
      </c>
      <c r="G11" s="16"/>
      <c r="H11" s="17">
        <v>2016</v>
      </c>
      <c r="I11" s="17">
        <v>2017</v>
      </c>
      <c r="J11" s="17">
        <v>2018</v>
      </c>
      <c r="K11" s="17">
        <v>2019</v>
      </c>
      <c r="L11" s="17">
        <v>2020</v>
      </c>
      <c r="M11" s="17">
        <v>2021</v>
      </c>
      <c r="N11" s="17">
        <v>2022</v>
      </c>
      <c r="O11" s="17">
        <v>2023</v>
      </c>
      <c r="P11" s="17">
        <v>2024</v>
      </c>
      <c r="Q11" s="17">
        <v>2025</v>
      </c>
      <c r="R11" s="17">
        <v>2026</v>
      </c>
      <c r="S11" s="17">
        <v>2027</v>
      </c>
      <c r="T11" s="17">
        <v>2028</v>
      </c>
      <c r="U11" s="17">
        <v>2029</v>
      </c>
      <c r="V11" s="17">
        <v>2030</v>
      </c>
      <c r="W11" s="17">
        <v>2031</v>
      </c>
      <c r="X11" s="17">
        <v>2032</v>
      </c>
      <c r="Y11" s="17">
        <v>2033</v>
      </c>
      <c r="Z11" s="17">
        <v>2034</v>
      </c>
      <c r="AA11" s="17">
        <v>2035</v>
      </c>
      <c r="AB11" s="17">
        <v>2036</v>
      </c>
      <c r="AC11" s="17">
        <v>2037</v>
      </c>
      <c r="AD11" s="17">
        <v>2038</v>
      </c>
      <c r="AE11" s="17">
        <v>2039</v>
      </c>
      <c r="AF11" s="17">
        <v>2040</v>
      </c>
      <c r="AG11" s="17">
        <v>2041</v>
      </c>
      <c r="AH11" s="17">
        <v>2042</v>
      </c>
      <c r="AI11" s="17">
        <v>2043</v>
      </c>
      <c r="AJ11" s="17">
        <v>2044</v>
      </c>
      <c r="AK11" s="17">
        <v>2045</v>
      </c>
      <c r="AL11" s="17">
        <v>2046</v>
      </c>
      <c r="AM11" s="17">
        <v>2047</v>
      </c>
      <c r="AN11" s="17">
        <v>2048</v>
      </c>
      <c r="AO11" s="17">
        <v>2049</v>
      </c>
      <c r="AP11" s="17">
        <v>2050</v>
      </c>
      <c r="AQ11" s="17">
        <v>2051</v>
      </c>
      <c r="AR11" s="17">
        <v>2052</v>
      </c>
      <c r="AS11" s="17">
        <v>2053</v>
      </c>
      <c r="AT11" s="17">
        <v>2054</v>
      </c>
      <c r="AU11" s="17">
        <v>2055</v>
      </c>
      <c r="AV11" s="17">
        <v>2056</v>
      </c>
      <c r="AW11" s="17">
        <v>2057</v>
      </c>
      <c r="AX11" s="17">
        <v>2058</v>
      </c>
      <c r="AY11" s="17">
        <v>2059</v>
      </c>
      <c r="AZ11" s="17">
        <v>2060</v>
      </c>
      <c r="BA11" s="17">
        <v>2061</v>
      </c>
      <c r="BB11" s="17">
        <v>2062</v>
      </c>
      <c r="BC11" s="17">
        <v>2063</v>
      </c>
      <c r="BD11" s="17">
        <v>2064</v>
      </c>
      <c r="BE11" s="17">
        <v>2065</v>
      </c>
      <c r="BF11" s="17">
        <v>2066</v>
      </c>
      <c r="BG11" s="17">
        <v>2067</v>
      </c>
      <c r="BH11" s="17">
        <v>2068</v>
      </c>
      <c r="BI11" s="17">
        <v>2069</v>
      </c>
      <c r="BJ11" s="17">
        <v>2070</v>
      </c>
    </row>
    <row r="12" spans="1:62" x14ac:dyDescent="0.25">
      <c r="A12" s="15"/>
      <c r="B12" s="15"/>
      <c r="C12" s="13"/>
      <c r="D12" s="15"/>
      <c r="E12" s="15"/>
      <c r="F12" s="15"/>
      <c r="G12" s="15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</row>
    <row r="13" spans="1:62" x14ac:dyDescent="0.25">
      <c r="C13" t="s">
        <v>26</v>
      </c>
      <c r="F13" s="18" t="s">
        <v>24</v>
      </c>
      <c r="H13" s="34">
        <v>1</v>
      </c>
      <c r="I13" s="34">
        <v>2</v>
      </c>
      <c r="J13" s="34">
        <v>3</v>
      </c>
      <c r="K13" s="34">
        <v>4</v>
      </c>
      <c r="L13" s="34">
        <v>5</v>
      </c>
    </row>
    <row r="14" spans="1:62" x14ac:dyDescent="0.25">
      <c r="C14" t="s">
        <v>28</v>
      </c>
      <c r="F14" s="18" t="s">
        <v>25</v>
      </c>
      <c r="H14" s="3">
        <f>H9</f>
        <v>1000000</v>
      </c>
      <c r="I14" s="3">
        <f>I9</f>
        <v>0</v>
      </c>
      <c r="J14" s="3">
        <f>J9</f>
        <v>0</v>
      </c>
      <c r="K14" s="3">
        <f>K9</f>
        <v>0</v>
      </c>
      <c r="L14" s="3">
        <f>L9</f>
        <v>0</v>
      </c>
      <c r="M14" s="23"/>
    </row>
    <row r="15" spans="1:62" x14ac:dyDescent="0.25">
      <c r="F15" s="18"/>
      <c r="H15" s="3"/>
      <c r="I15" s="3"/>
      <c r="J15" s="3"/>
      <c r="K15" s="3"/>
      <c r="L15" s="3"/>
    </row>
    <row r="16" spans="1:62" x14ac:dyDescent="0.25">
      <c r="C16" t="s">
        <v>42</v>
      </c>
      <c r="F16" s="18" t="s">
        <v>25</v>
      </c>
      <c r="H16" s="4">
        <v>0</v>
      </c>
      <c r="I16" s="35">
        <f>$H$14*(1+$G$6)^0.5*($G$6-$G$7)*(1+$G$7)^(I$13-2)</f>
        <v>39040.679438247491</v>
      </c>
      <c r="J16" s="35">
        <f>$H$14*(1+$G$6)^0.5*($G$6-$G$7)*(1+$G$7)^(J$13-2)</f>
        <v>39946.423201214835</v>
      </c>
      <c r="K16" s="35">
        <f>$H$14*(1+$G$6)^0.5*($G$6-$G$7)*(1+$G$7)^(K$13-2)</f>
        <v>40873.180219483023</v>
      </c>
      <c r="L16" s="35">
        <f>$H$14*(1+$G$6)^0.5*($G$6-$G$7)*(1+$G$7)^(L$13-2)</f>
        <v>41821.438000575043</v>
      </c>
    </row>
    <row r="17" spans="3:17" x14ac:dyDescent="0.25">
      <c r="C17" t="s">
        <v>2</v>
      </c>
      <c r="F17" s="18" t="s">
        <v>25</v>
      </c>
      <c r="H17" s="4">
        <v>0</v>
      </c>
      <c r="I17" s="4">
        <v>0</v>
      </c>
      <c r="J17" s="35">
        <f>$I$14*(1+$G$6)^0.5*($G$6-$G$7)*(1+$G$7)^(J$13-3)</f>
        <v>0</v>
      </c>
      <c r="K17" s="35">
        <f>$I$14*(1+$G$6)^0.5*($G$6-$G$7)*(1+$G$7)^(K$13-3)</f>
        <v>0</v>
      </c>
      <c r="L17" s="35">
        <f>$I$14*(1+$G$6)^0.5*($G$6-$G$7)*(1+$G$7)^(L$13-3)</f>
        <v>0</v>
      </c>
    </row>
    <row r="18" spans="3:17" x14ac:dyDescent="0.25">
      <c r="C18" t="s">
        <v>3</v>
      </c>
      <c r="F18" s="18" t="s">
        <v>25</v>
      </c>
      <c r="H18" s="4">
        <v>0</v>
      </c>
      <c r="I18" s="4">
        <v>0</v>
      </c>
      <c r="J18" s="4">
        <v>0</v>
      </c>
      <c r="K18" s="35">
        <f>$J$14*(1+$G$6)^0.5*($G$6-$G$7)*(1+$G$7)^(K$13-4)</f>
        <v>0</v>
      </c>
      <c r="L18" s="35">
        <f>$J$14*(1+$G$6)^0.5*($G$6-$G$7)*(1+$G$7)^(L$13-4)</f>
        <v>0</v>
      </c>
    </row>
    <row r="19" spans="3:17" x14ac:dyDescent="0.25">
      <c r="C19" t="s">
        <v>4</v>
      </c>
      <c r="F19" s="18" t="s">
        <v>25</v>
      </c>
      <c r="H19" s="4">
        <v>0</v>
      </c>
      <c r="I19" s="4">
        <v>0</v>
      </c>
      <c r="J19" s="4">
        <v>0</v>
      </c>
      <c r="K19" s="4">
        <v>0</v>
      </c>
      <c r="L19" s="35">
        <f>$K$14*(1+$G$6)^0.5*($G$6-$G$7)*(1+$G$7)^(L$13-5)</f>
        <v>0</v>
      </c>
    </row>
    <row r="20" spans="3:17" x14ac:dyDescent="0.25">
      <c r="C20" t="s">
        <v>5</v>
      </c>
      <c r="F20" s="18" t="s">
        <v>25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3:17" x14ac:dyDescent="0.25">
      <c r="C21" t="s">
        <v>6</v>
      </c>
      <c r="F21" s="18" t="s">
        <v>25</v>
      </c>
      <c r="H21" s="7">
        <f>SUM(H16:H20)</f>
        <v>0</v>
      </c>
      <c r="I21" s="7">
        <f t="shared" ref="I21:L21" si="0">SUM(I16:I20)</f>
        <v>39040.679438247491</v>
      </c>
      <c r="J21" s="7">
        <f t="shared" si="0"/>
        <v>39946.423201214835</v>
      </c>
      <c r="K21" s="7">
        <f t="shared" si="0"/>
        <v>40873.180219483023</v>
      </c>
      <c r="L21" s="7">
        <f t="shared" si="0"/>
        <v>41821.438000575043</v>
      </c>
    </row>
    <row r="22" spans="3:17" x14ac:dyDescent="0.25">
      <c r="C22" t="s">
        <v>7</v>
      </c>
      <c r="F22" s="18" t="s">
        <v>25</v>
      </c>
      <c r="H22" s="1">
        <f>1/(1+$G$6)^(H13-5.5)</f>
        <v>1.3058804355368321</v>
      </c>
      <c r="I22" s="1">
        <f>1/(1+$G$6)^(I13-5.5)</f>
        <v>1.2306855485221302</v>
      </c>
      <c r="J22" s="1">
        <f>1/(1+$G$6)^(J13-5.5)</f>
        <v>1.159820515052427</v>
      </c>
      <c r="K22" s="1">
        <f>1/(1+$G$6)^(K13-5.5)</f>
        <v>1.0930360145626492</v>
      </c>
      <c r="L22" s="1">
        <f>1/(1+$G$6)^(L13-5.5)</f>
        <v>1.0300970828033638</v>
      </c>
    </row>
    <row r="23" spans="3:17" x14ac:dyDescent="0.25">
      <c r="C23" t="s">
        <v>8</v>
      </c>
      <c r="F23" s="18" t="s">
        <v>25</v>
      </c>
      <c r="H23" s="1">
        <f>1/(1+$G$6)^(H13-5)</f>
        <v>1.267725593380904</v>
      </c>
      <c r="I23" s="1">
        <f>1/(1+$G$6)^(I13-5)</f>
        <v>1.1947277291309999</v>
      </c>
      <c r="J23" s="1">
        <f>1/(1+$G$6)^(J13-5)</f>
        <v>1.1259332099999999</v>
      </c>
      <c r="K23" s="1">
        <f>1/(1+$G$6)^(K13-5)</f>
        <v>1.0610999999999999</v>
      </c>
      <c r="L23" s="1">
        <f>1/(1+$G$6)^(L13-5)</f>
        <v>1</v>
      </c>
    </row>
    <row r="24" spans="3:17" x14ac:dyDescent="0.25">
      <c r="C24" t="s">
        <v>9</v>
      </c>
      <c r="F24" s="18" t="s">
        <v>25</v>
      </c>
      <c r="H24" s="8">
        <f>H14*H22</f>
        <v>1305880.4355368321</v>
      </c>
      <c r="I24" s="8">
        <f>I14*I22</f>
        <v>0</v>
      </c>
      <c r="J24" s="8">
        <f>J14*J22</f>
        <v>0</v>
      </c>
      <c r="K24" s="8">
        <f>K14*K22</f>
        <v>0</v>
      </c>
      <c r="L24" s="8">
        <f>L14*L22</f>
        <v>0</v>
      </c>
    </row>
    <row r="25" spans="3:17" x14ac:dyDescent="0.25">
      <c r="C25" t="s">
        <v>10</v>
      </c>
      <c r="F25" s="18" t="s">
        <v>25</v>
      </c>
      <c r="H25" s="8">
        <f>H21*H23</f>
        <v>0</v>
      </c>
      <c r="I25" s="8">
        <f>I21*I23</f>
        <v>46642.982288988744</v>
      </c>
      <c r="J25" s="8">
        <f>J21*J23</f>
        <v>44977.004502962292</v>
      </c>
      <c r="K25" s="8">
        <f>K21*K23</f>
        <v>43370.531530893437</v>
      </c>
      <c r="L25" s="8">
        <f>L21*L23</f>
        <v>41821.438000575043</v>
      </c>
    </row>
    <row r="26" spans="3:17" x14ac:dyDescent="0.25">
      <c r="F26" s="18"/>
    </row>
    <row r="27" spans="3:17" x14ac:dyDescent="0.25">
      <c r="F27" s="18"/>
      <c r="G27" s="9" t="s">
        <v>39</v>
      </c>
    </row>
    <row r="28" spans="3:17" x14ac:dyDescent="0.25">
      <c r="C28" t="s">
        <v>28</v>
      </c>
      <c r="F28" s="24"/>
      <c r="G28" s="25">
        <f>SUM(H24:L24)</f>
        <v>1305880.4355368321</v>
      </c>
    </row>
    <row r="29" spans="3:17" x14ac:dyDescent="0.25">
      <c r="C29" t="s">
        <v>34</v>
      </c>
      <c r="F29" s="24"/>
      <c r="G29" s="26">
        <f>G28*G8</f>
        <v>391764.13066104962</v>
      </c>
    </row>
    <row r="30" spans="3:17" x14ac:dyDescent="0.25">
      <c r="C30" t="s">
        <v>35</v>
      </c>
      <c r="F30" s="24"/>
      <c r="G30" s="26">
        <f>SUM(H25:L25)</f>
        <v>176811.95632341952</v>
      </c>
    </row>
    <row r="31" spans="3:17" x14ac:dyDescent="0.25">
      <c r="C31" t="s">
        <v>12</v>
      </c>
      <c r="F31" s="18" t="s">
        <v>25</v>
      </c>
      <c r="G31" s="31">
        <f>G29-G30</f>
        <v>214952.1743376301</v>
      </c>
      <c r="M31" s="32">
        <f>-PMT($G$6,5,$G$31)</f>
        <v>51181.668258230588</v>
      </c>
      <c r="N31" s="32">
        <f>-PMT($G$6,5,$G$31)</f>
        <v>51181.668258230588</v>
      </c>
      <c r="O31" s="32">
        <f>-PMT($G$6,5,$G$31)</f>
        <v>51181.668258230588</v>
      </c>
      <c r="P31" s="32">
        <f>-PMT($G$6,5,$G$31)</f>
        <v>51181.668258230588</v>
      </c>
      <c r="Q31" s="32">
        <f>-PMT($G$6,5,$G$31)</f>
        <v>51181.668258230588</v>
      </c>
    </row>
    <row r="32" spans="3:17" x14ac:dyDescent="0.25">
      <c r="L32" s="22"/>
    </row>
    <row r="33" spans="1:62" x14ac:dyDescent="0.25">
      <c r="A33" s="16"/>
      <c r="B33" s="16"/>
      <c r="C33" s="17" t="s">
        <v>45</v>
      </c>
      <c r="D33" s="16"/>
      <c r="E33" s="16"/>
      <c r="F33" s="40" t="s">
        <v>22</v>
      </c>
      <c r="G33" s="16"/>
      <c r="H33" s="17">
        <v>2016</v>
      </c>
      <c r="I33" s="17">
        <v>2017</v>
      </c>
      <c r="J33" s="17">
        <v>2018</v>
      </c>
      <c r="K33" s="17">
        <v>2019</v>
      </c>
      <c r="L33" s="17">
        <v>2020</v>
      </c>
      <c r="M33" s="17">
        <v>2021</v>
      </c>
      <c r="N33" s="17">
        <v>2022</v>
      </c>
      <c r="O33" s="17">
        <v>2023</v>
      </c>
      <c r="P33" s="17">
        <v>2024</v>
      </c>
      <c r="Q33" s="17">
        <v>2025</v>
      </c>
      <c r="R33" s="17">
        <v>2026</v>
      </c>
      <c r="S33" s="17">
        <v>2027</v>
      </c>
      <c r="T33" s="17">
        <v>2028</v>
      </c>
      <c r="U33" s="17">
        <v>2029</v>
      </c>
      <c r="V33" s="17">
        <v>2030</v>
      </c>
      <c r="W33" s="17">
        <v>2031</v>
      </c>
      <c r="X33" s="17">
        <v>2032</v>
      </c>
      <c r="Y33" s="17">
        <v>2033</v>
      </c>
      <c r="Z33" s="17">
        <v>2034</v>
      </c>
      <c r="AA33" s="17">
        <v>2035</v>
      </c>
      <c r="AB33" s="17">
        <v>2036</v>
      </c>
      <c r="AC33" s="17">
        <v>2037</v>
      </c>
      <c r="AD33" s="17">
        <v>2038</v>
      </c>
      <c r="AE33" s="17">
        <v>2039</v>
      </c>
      <c r="AF33" s="17">
        <v>2040</v>
      </c>
      <c r="AG33" s="17">
        <v>2041</v>
      </c>
      <c r="AH33" s="17">
        <v>2042</v>
      </c>
      <c r="AI33" s="17">
        <v>2043</v>
      </c>
      <c r="AJ33" s="17">
        <v>2044</v>
      </c>
      <c r="AK33" s="17">
        <v>2045</v>
      </c>
      <c r="AL33" s="17">
        <v>2046</v>
      </c>
      <c r="AM33" s="17">
        <v>2047</v>
      </c>
      <c r="AN33" s="17">
        <v>2048</v>
      </c>
      <c r="AO33" s="17">
        <v>2049</v>
      </c>
      <c r="AP33" s="17">
        <v>2050</v>
      </c>
      <c r="AQ33" s="17">
        <v>2051</v>
      </c>
      <c r="AR33" s="17">
        <v>2052</v>
      </c>
      <c r="AS33" s="17">
        <v>2053</v>
      </c>
      <c r="AT33" s="17">
        <v>2054</v>
      </c>
      <c r="AU33" s="17">
        <v>2055</v>
      </c>
      <c r="AV33" s="17">
        <v>2056</v>
      </c>
      <c r="AW33" s="17">
        <v>2057</v>
      </c>
      <c r="AX33" s="17">
        <v>2058</v>
      </c>
      <c r="AY33" s="17">
        <v>2059</v>
      </c>
      <c r="AZ33" s="17">
        <v>2060</v>
      </c>
      <c r="BA33" s="17">
        <v>2061</v>
      </c>
      <c r="BB33" s="17">
        <v>2062</v>
      </c>
      <c r="BC33" s="17">
        <v>2063</v>
      </c>
      <c r="BD33" s="17">
        <v>2064</v>
      </c>
      <c r="BE33" s="17">
        <v>2065</v>
      </c>
      <c r="BF33" s="17">
        <v>2066</v>
      </c>
      <c r="BG33" s="17">
        <v>2067</v>
      </c>
      <c r="BH33" s="17">
        <v>2068</v>
      </c>
      <c r="BI33" s="17">
        <v>2069</v>
      </c>
      <c r="BJ33" s="17">
        <v>2070</v>
      </c>
    </row>
    <row r="34" spans="1:62" x14ac:dyDescent="0.25">
      <c r="C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62" x14ac:dyDescent="0.25">
      <c r="C35" t="s">
        <v>13</v>
      </c>
      <c r="F35" s="18" t="s">
        <v>25</v>
      </c>
      <c r="H35" s="4">
        <v>0</v>
      </c>
      <c r="I35" s="6">
        <f t="shared" ref="I35:AK35" si="1">H39</f>
        <v>1030097.0828033638</v>
      </c>
      <c r="J35" s="6">
        <f t="shared" si="1"/>
        <v>1053995.3351244018</v>
      </c>
      <c r="K35" s="6">
        <f t="shared" si="1"/>
        <v>1078448.0268992879</v>
      </c>
      <c r="L35" s="6">
        <f t="shared" si="1"/>
        <v>1103468.0211233515</v>
      </c>
      <c r="M35" s="6">
        <f t="shared" si="1"/>
        <v>1129068.4792134133</v>
      </c>
      <c r="N35" s="6">
        <f t="shared" si="1"/>
        <v>1132157.6105725414</v>
      </c>
      <c r="O35" s="6">
        <f t="shared" si="1"/>
        <v>1134782.367808481</v>
      </c>
      <c r="P35" s="6">
        <f t="shared" si="1"/>
        <v>1136919.5412678537</v>
      </c>
      <c r="Q35" s="6">
        <f t="shared" si="1"/>
        <v>1138545.0943140921</v>
      </c>
      <c r="R35" s="6">
        <f t="shared" si="1"/>
        <v>1139634.1374477837</v>
      </c>
      <c r="S35" s="6">
        <f t="shared" si="1"/>
        <v>1140160.9016713151</v>
      </c>
      <c r="T35" s="6">
        <f t="shared" si="1"/>
        <v>1140098.7110766785</v>
      </c>
      <c r="U35" s="6">
        <f t="shared" si="1"/>
        <v>1139419.9546347351</v>
      </c>
      <c r="V35" s="6">
        <f t="shared" si="1"/>
        <v>1138096.0571636357</v>
      </c>
      <c r="W35" s="6">
        <f t="shared" si="1"/>
        <v>1136097.4494534947</v>
      </c>
      <c r="X35" s="6">
        <f t="shared" si="1"/>
        <v>1133393.5375237954</v>
      </c>
      <c r="Y35" s="6">
        <f t="shared" si="1"/>
        <v>1129952.6709893642</v>
      </c>
      <c r="Z35" s="6">
        <f t="shared" si="1"/>
        <v>1125742.1105100985</v>
      </c>
      <c r="AA35" s="6">
        <f t="shared" si="1"/>
        <v>1120727.9942989617</v>
      </c>
      <c r="AB35" s="6">
        <f t="shared" si="1"/>
        <v>1114875.3036620673</v>
      </c>
      <c r="AC35" s="6">
        <f t="shared" si="1"/>
        <v>1108147.8275439693</v>
      </c>
      <c r="AD35" s="6">
        <f t="shared" si="1"/>
        <v>1100508.1260505484</v>
      </c>
      <c r="AE35" s="6">
        <f t="shared" si="1"/>
        <v>1091917.4929211356</v>
      </c>
      <c r="AF35" s="6">
        <f t="shared" si="1"/>
        <v>1082335.9169207527</v>
      </c>
      <c r="AG35" s="6">
        <f t="shared" si="1"/>
        <v>1071722.0421225622</v>
      </c>
      <c r="AH35" s="6">
        <f t="shared" si="1"/>
        <v>1060033.1270498121</v>
      </c>
      <c r="AI35" s="6">
        <f t="shared" si="1"/>
        <v>1047225.0026457343</v>
      </c>
      <c r="AJ35" s="6">
        <f t="shared" si="1"/>
        <v>1033252.029039004</v>
      </c>
      <c r="AK35" s="6">
        <f t="shared" si="1"/>
        <v>1018067.0510714974</v>
      </c>
      <c r="AL35" s="6">
        <f>AK39</f>
        <v>1001621.3525541885</v>
      </c>
      <c r="AM35" s="6">
        <f t="shared" ref="AM35:BA35" si="2">AL39</f>
        <v>983864.60921610764</v>
      </c>
      <c r="AN35" s="6">
        <f t="shared" si="2"/>
        <v>964744.8403103411</v>
      </c>
      <c r="AO35" s="6">
        <f t="shared" si="2"/>
        <v>944208.35884008254</v>
      </c>
      <c r="AP35" s="6">
        <f t="shared" si="2"/>
        <v>922199.72036675538</v>
      </c>
      <c r="AQ35" s="6">
        <f t="shared" si="2"/>
        <v>898661.67036120372</v>
      </c>
      <c r="AR35" s="6">
        <f t="shared" si="2"/>
        <v>873535.09005790425</v>
      </c>
      <c r="AS35" s="6">
        <f t="shared" si="2"/>
        <v>846758.94077107648</v>
      </c>
      <c r="AT35" s="6">
        <f t="shared" si="2"/>
        <v>818270.20663046709</v>
      </c>
      <c r="AU35" s="6">
        <f t="shared" si="2"/>
        <v>788003.83569345274</v>
      </c>
      <c r="AV35" s="6">
        <f t="shared" si="2"/>
        <v>755892.67938894418</v>
      </c>
      <c r="AW35" s="6">
        <f t="shared" si="2"/>
        <v>721867.43024738284</v>
      </c>
      <c r="AX35" s="6">
        <f t="shared" si="2"/>
        <v>685856.55786989874</v>
      </c>
      <c r="AY35" s="6">
        <f t="shared" si="2"/>
        <v>647786.24308844295</v>
      </c>
      <c r="AZ35" s="6">
        <f t="shared" si="2"/>
        <v>607580.31026741979</v>
      </c>
      <c r="BA35" s="6">
        <f t="shared" si="2"/>
        <v>565160.15769602114</v>
      </c>
      <c r="BB35" s="6">
        <f t="shared" ref="BB35" si="3">BA39</f>
        <v>520444.68601911137</v>
      </c>
      <c r="BC35" s="6">
        <f t="shared" ref="BC35" si="4">BB39</f>
        <v>473350.22465311468</v>
      </c>
      <c r="BD35" s="6">
        <f t="shared" ref="BD35" si="5">BC39</f>
        <v>423790.45613193279</v>
      </c>
      <c r="BE35" s="6">
        <f t="shared" ref="BE35" si="6">BD39</f>
        <v>371676.33832645079</v>
      </c>
      <c r="BF35" s="6">
        <f t="shared" ref="BF35" si="7">BE39</f>
        <v>316916.02447968593</v>
      </c>
      <c r="BG35" s="6">
        <f t="shared" ref="BG35" si="8">BF39</f>
        <v>259414.78099809034</v>
      </c>
      <c r="BH35" s="6">
        <f t="shared" ref="BH35" si="9">BG39</f>
        <v>199074.90293793275</v>
      </c>
      <c r="BI35" s="6">
        <f t="shared" ref="BI35" si="10">BH39</f>
        <v>135795.62712405945</v>
      </c>
      <c r="BJ35" s="6">
        <f t="shared" ref="BJ35" si="11">BI39</f>
        <v>69473.042836665103</v>
      </c>
    </row>
    <row r="36" spans="1:62" x14ac:dyDescent="0.25">
      <c r="C36" t="s">
        <v>14</v>
      </c>
      <c r="F36" s="18" t="s">
        <v>25</v>
      </c>
      <c r="H36" s="6">
        <f>H9*(1+$G$6)^0.5</f>
        <v>1030097.0828033638</v>
      </c>
      <c r="I36" s="6">
        <f>I9*(1+$G$6)^0.5</f>
        <v>0</v>
      </c>
      <c r="J36" s="6">
        <f>J9*(1+$G$6)^0.5</f>
        <v>0</v>
      </c>
      <c r="K36" s="6">
        <f>K9*(1+$G$6)^0.5</f>
        <v>0</v>
      </c>
      <c r="L36" s="6">
        <f>L9*(1+$G$6)^0.5</f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</row>
    <row r="37" spans="1:62" x14ac:dyDescent="0.25">
      <c r="C37" t="s">
        <v>15</v>
      </c>
      <c r="F37" s="18" t="s">
        <v>25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10">
        <f>-M35/G5*(1+G7)</f>
        <v>-23105.25735862329</v>
      </c>
      <c r="N37" s="10">
        <f>IF(N35+N38&gt;-M37,M37*(1+$G$7),-N35-N38)</f>
        <v>-23641.299329343354</v>
      </c>
      <c r="O37" s="10">
        <f t="shared" ref="O37:BA37" si="12">IF(O35+O38&gt;-N37,N37*(1+$G$7),-O35-O38)</f>
        <v>-24189.777473784121</v>
      </c>
      <c r="P37" s="10">
        <f t="shared" si="12"/>
        <v>-24750.980311175914</v>
      </c>
      <c r="Q37" s="10">
        <f t="shared" si="12"/>
        <v>-25325.203054395199</v>
      </c>
      <c r="R37" s="10">
        <f t="shared" si="12"/>
        <v>-25912.747765257169</v>
      </c>
      <c r="S37" s="10">
        <f t="shared" si="12"/>
        <v>-26513.923513411137</v>
      </c>
      <c r="T37" s="10">
        <f t="shared" si="12"/>
        <v>-27129.046538922277</v>
      </c>
      <c r="U37" s="10">
        <f t="shared" si="12"/>
        <v>-27758.440418625276</v>
      </c>
      <c r="V37" s="10">
        <f t="shared" si="12"/>
        <v>-28402.436236337384</v>
      </c>
      <c r="W37" s="10">
        <f t="shared" si="12"/>
        <v>-29061.372757020414</v>
      </c>
      <c r="X37" s="10">
        <f t="shared" si="12"/>
        <v>-29735.59660498329</v>
      </c>
      <c r="Y37" s="10">
        <f t="shared" si="12"/>
        <v>-30425.462446218906</v>
      </c>
      <c r="Z37" s="10">
        <f t="shared" si="12"/>
        <v>-31131.333174971187</v>
      </c>
      <c r="AA37" s="10">
        <f t="shared" si="12"/>
        <v>-31853.580104630521</v>
      </c>
      <c r="AB37" s="10">
        <f t="shared" si="12"/>
        <v>-32592.583163057952</v>
      </c>
      <c r="AC37" s="10">
        <f t="shared" si="12"/>
        <v>-33348.731092440903</v>
      </c>
      <c r="AD37" s="10">
        <f t="shared" si="12"/>
        <v>-34122.421653785539</v>
      </c>
      <c r="AE37" s="10">
        <f t="shared" si="12"/>
        <v>-34914.061836153371</v>
      </c>
      <c r="AF37" s="10">
        <f t="shared" si="12"/>
        <v>-35724.068070752131</v>
      </c>
      <c r="AG37" s="10">
        <f t="shared" si="12"/>
        <v>-36552.866449993584</v>
      </c>
      <c r="AH37" s="10">
        <f t="shared" si="12"/>
        <v>-37400.892951633439</v>
      </c>
      <c r="AI37" s="10">
        <f t="shared" si="12"/>
        <v>-38268.593668111338</v>
      </c>
      <c r="AJ37" s="10">
        <f t="shared" si="12"/>
        <v>-39156.425041211529</v>
      </c>
      <c r="AK37" s="10">
        <f t="shared" si="12"/>
        <v>-40064.854102167643</v>
      </c>
      <c r="AL37" s="10">
        <f t="shared" si="12"/>
        <v>-40994.358717337935</v>
      </c>
      <c r="AM37" s="10">
        <f t="shared" si="12"/>
        <v>-41945.427839580181</v>
      </c>
      <c r="AN37" s="10">
        <f t="shared" si="12"/>
        <v>-42918.561765458449</v>
      </c>
      <c r="AO37" s="10">
        <f t="shared" si="12"/>
        <v>-43914.272398417088</v>
      </c>
      <c r="AP37" s="10">
        <f t="shared" si="12"/>
        <v>-44933.083518060368</v>
      </c>
      <c r="AQ37" s="10">
        <f t="shared" si="12"/>
        <v>-45975.53105567937</v>
      </c>
      <c r="AR37" s="10">
        <f t="shared" si="12"/>
        <v>-47042.163376171135</v>
      </c>
      <c r="AS37" s="10">
        <f t="shared" si="12"/>
        <v>-48133.541566498308</v>
      </c>
      <c r="AT37" s="10">
        <f t="shared" si="12"/>
        <v>-49250.239730841073</v>
      </c>
      <c r="AU37" s="10">
        <f t="shared" si="12"/>
        <v>-50392.84529259659</v>
      </c>
      <c r="AV37" s="10">
        <f t="shared" si="12"/>
        <v>-51561.959303384836</v>
      </c>
      <c r="AW37" s="10">
        <f t="shared" si="12"/>
        <v>-52758.19675922337</v>
      </c>
      <c r="AX37" s="10">
        <f t="shared" si="12"/>
        <v>-53982.186924037356</v>
      </c>
      <c r="AY37" s="10">
        <f t="shared" si="12"/>
        <v>-55234.573660675029</v>
      </c>
      <c r="AZ37" s="10">
        <f t="shared" si="12"/>
        <v>-56516.015769602694</v>
      </c>
      <c r="BA37" s="10">
        <f t="shared" si="12"/>
        <v>-57827.187335457485</v>
      </c>
      <c r="BB37" s="10">
        <f t="shared" ref="BB37" si="13">IF(BB35+BB38&gt;-BA37,BA37*(1+$G$7),-BB35-BB38)</f>
        <v>-59168.778081640106</v>
      </c>
      <c r="BC37" s="10">
        <f t="shared" ref="BC37" si="14">IF(BC35+BC38&gt;-BB37,BB37*(1+$G$7),-BC35-BC38)</f>
        <v>-60541.493733134164</v>
      </c>
      <c r="BD37" s="10">
        <f t="shared" ref="BD37" si="15">IF(BD35+BD38&gt;-BC37,BC37*(1+$G$7),-BD35-BD38)</f>
        <v>-61946.056387742887</v>
      </c>
      <c r="BE37" s="10">
        <f t="shared" ref="BE37" si="16">IF(BE35+BE38&gt;-BD37,BD37*(1+$G$7),-BE35-BE38)</f>
        <v>-63383.204895938528</v>
      </c>
      <c r="BF37" s="10">
        <f t="shared" ref="BF37" si="17">IF(BF35+BF38&gt;-BE37,BE37*(1+$G$7),-BF35-BF38)</f>
        <v>-64853.695249524309</v>
      </c>
      <c r="BG37" s="10">
        <f t="shared" ref="BG37" si="18">IF(BG35+BG38&gt;-BF37,BF37*(1+$G$7),-BG35-BG38)</f>
        <v>-66358.300979313281</v>
      </c>
      <c r="BH37" s="10">
        <f t="shared" ref="BH37" si="19">IF(BH35+BH38&gt;-BG37,BG37*(1+$G$7),-BH35-BH38)</f>
        <v>-67897.813562033349</v>
      </c>
      <c r="BI37" s="10">
        <f t="shared" ref="BI37" si="20">IF(BI35+BI38&gt;-BH37,BH37*(1+$G$7),-BI35-BI38)</f>
        <v>-69473.042836672525</v>
      </c>
      <c r="BJ37" s="10">
        <f t="shared" ref="BJ37" si="21">IF(BJ35+BJ38&gt;-BI37,BI37*(1+$G$7),-BJ35-BJ38)</f>
        <v>-71084.817430483337</v>
      </c>
    </row>
    <row r="38" spans="1:62" x14ac:dyDescent="0.25">
      <c r="C38" t="s">
        <v>27</v>
      </c>
      <c r="F38" s="18" t="s">
        <v>25</v>
      </c>
      <c r="H38" s="6">
        <f>H35*$G$7</f>
        <v>0</v>
      </c>
      <c r="I38" s="6">
        <f t="shared" ref="I38:BA38" si="22">I35*$G$7</f>
        <v>23898.252321038039</v>
      </c>
      <c r="J38" s="6">
        <f t="shared" si="22"/>
        <v>24452.69177488612</v>
      </c>
      <c r="K38" s="6">
        <f t="shared" si="22"/>
        <v>25019.994224063477</v>
      </c>
      <c r="L38" s="6">
        <f t="shared" si="22"/>
        <v>25600.458090061755</v>
      </c>
      <c r="M38" s="6">
        <f t="shared" si="22"/>
        <v>26194.388717751186</v>
      </c>
      <c r="N38" s="6">
        <f t="shared" si="22"/>
        <v>26266.056565282957</v>
      </c>
      <c r="O38" s="6">
        <f t="shared" si="22"/>
        <v>26326.950933156757</v>
      </c>
      <c r="P38" s="6">
        <f t="shared" si="22"/>
        <v>26376.533357414202</v>
      </c>
      <c r="Q38" s="6">
        <f t="shared" si="22"/>
        <v>26414.246188086934</v>
      </c>
      <c r="R38" s="6">
        <f t="shared" si="22"/>
        <v>26439.511988788581</v>
      </c>
      <c r="S38" s="6">
        <f t="shared" si="22"/>
        <v>26451.732918774509</v>
      </c>
      <c r="T38" s="6">
        <f t="shared" si="22"/>
        <v>26450.290096978937</v>
      </c>
      <c r="U38" s="6">
        <f t="shared" si="22"/>
        <v>26434.542947525853</v>
      </c>
      <c r="V38" s="6">
        <f t="shared" si="22"/>
        <v>26403.828526196347</v>
      </c>
      <c r="W38" s="6">
        <f t="shared" si="22"/>
        <v>26357.460827321076</v>
      </c>
      <c r="X38" s="6">
        <f t="shared" si="22"/>
        <v>26294.73007055205</v>
      </c>
      <c r="Y38" s="6">
        <f t="shared" si="22"/>
        <v>26214.901966953246</v>
      </c>
      <c r="Z38" s="6">
        <f t="shared" si="22"/>
        <v>26117.216963834282</v>
      </c>
      <c r="AA38" s="6">
        <f t="shared" si="22"/>
        <v>26000.889467735909</v>
      </c>
      <c r="AB38" s="6">
        <f t="shared" si="22"/>
        <v>25865.107044959957</v>
      </c>
      <c r="AC38" s="6">
        <f t="shared" si="22"/>
        <v>25709.029599020087</v>
      </c>
      <c r="AD38" s="6">
        <f t="shared" si="22"/>
        <v>25531.788524372721</v>
      </c>
      <c r="AE38" s="6">
        <f t="shared" si="22"/>
        <v>25332.485835770345</v>
      </c>
      <c r="AF38" s="6">
        <f t="shared" si="22"/>
        <v>25110.193272561461</v>
      </c>
      <c r="AG38" s="6">
        <f t="shared" si="22"/>
        <v>24863.95137724344</v>
      </c>
      <c r="AH38" s="6">
        <f t="shared" si="22"/>
        <v>24592.768547555639</v>
      </c>
      <c r="AI38" s="6">
        <f t="shared" si="22"/>
        <v>24295.620061381036</v>
      </c>
      <c r="AJ38" s="6">
        <f t="shared" si="22"/>
        <v>23971.44707370489</v>
      </c>
      <c r="AK38" s="6">
        <f t="shared" si="22"/>
        <v>23619.155584858738</v>
      </c>
      <c r="AL38" s="6">
        <f t="shared" si="22"/>
        <v>23237.615379257171</v>
      </c>
      <c r="AM38" s="6">
        <f t="shared" si="22"/>
        <v>22825.658933813695</v>
      </c>
      <c r="AN38" s="6">
        <f t="shared" si="22"/>
        <v>22382.08029519991</v>
      </c>
      <c r="AO38" s="6">
        <f t="shared" si="22"/>
        <v>21905.633925089915</v>
      </c>
      <c r="AP38" s="6">
        <f t="shared" si="22"/>
        <v>21395.033512508722</v>
      </c>
      <c r="AQ38" s="6">
        <f t="shared" si="22"/>
        <v>20848.950752379926</v>
      </c>
      <c r="AR38" s="6">
        <f t="shared" si="22"/>
        <v>20266.014089343378</v>
      </c>
      <c r="AS38" s="6">
        <f t="shared" si="22"/>
        <v>19644.807425888972</v>
      </c>
      <c r="AT38" s="6">
        <f t="shared" si="22"/>
        <v>18983.868793826834</v>
      </c>
      <c r="AU38" s="6">
        <f t="shared" si="22"/>
        <v>18281.688988088103</v>
      </c>
      <c r="AV38" s="6">
        <f t="shared" si="22"/>
        <v>17536.710161823503</v>
      </c>
      <c r="AW38" s="6">
        <f t="shared" si="22"/>
        <v>16747.324381739279</v>
      </c>
      <c r="AX38" s="6">
        <f t="shared" si="22"/>
        <v>15911.872142581649</v>
      </c>
      <c r="AY38" s="6">
        <f t="shared" si="22"/>
        <v>15028.640839651875</v>
      </c>
      <c r="AZ38" s="6">
        <f t="shared" si="22"/>
        <v>14095.863198204139</v>
      </c>
      <c r="BA38" s="6">
        <f t="shared" si="22"/>
        <v>13111.71565854769</v>
      </c>
      <c r="BB38" s="6">
        <f t="shared" ref="BB38:BJ38" si="23">BB35*$G$7</f>
        <v>12074.316715643383</v>
      </c>
      <c r="BC38" s="6">
        <f t="shared" si="23"/>
        <v>10981.72521195226</v>
      </c>
      <c r="BD38" s="6">
        <f t="shared" si="23"/>
        <v>9831.9385822608401</v>
      </c>
      <c r="BE38" s="6">
        <f t="shared" si="23"/>
        <v>8622.8910491736569</v>
      </c>
      <c r="BF38" s="6">
        <f t="shared" si="23"/>
        <v>7352.4517679287128</v>
      </c>
      <c r="BG38" s="6">
        <f t="shared" si="23"/>
        <v>6018.4229191556951</v>
      </c>
      <c r="BH38" s="6">
        <f t="shared" si="23"/>
        <v>4618.5377481600399</v>
      </c>
      <c r="BI38" s="6">
        <f t="shared" si="23"/>
        <v>3150.4585492781789</v>
      </c>
      <c r="BJ38" s="6">
        <f t="shared" si="23"/>
        <v>1611.7745938106302</v>
      </c>
    </row>
    <row r="39" spans="1:62" x14ac:dyDescent="0.25">
      <c r="C39" t="s">
        <v>16</v>
      </c>
      <c r="F39" s="18" t="s">
        <v>25</v>
      </c>
      <c r="H39" s="8">
        <f>SUM(H35:H38)</f>
        <v>1030097.0828033638</v>
      </c>
      <c r="I39" s="8">
        <f t="shared" ref="I39:AL39" si="24">SUM(I35:I38)</f>
        <v>1053995.3351244018</v>
      </c>
      <c r="J39" s="8">
        <f t="shared" si="24"/>
        <v>1078448.0268992879</v>
      </c>
      <c r="K39" s="8">
        <f t="shared" si="24"/>
        <v>1103468.0211233515</v>
      </c>
      <c r="L39" s="8">
        <f t="shared" si="24"/>
        <v>1129068.4792134133</v>
      </c>
      <c r="M39" s="8">
        <f t="shared" si="24"/>
        <v>1132157.6105725414</v>
      </c>
      <c r="N39" s="8">
        <f t="shared" si="24"/>
        <v>1134782.367808481</v>
      </c>
      <c r="O39" s="8">
        <f t="shared" si="24"/>
        <v>1136919.5412678537</v>
      </c>
      <c r="P39" s="8">
        <f t="shared" si="24"/>
        <v>1138545.0943140921</v>
      </c>
      <c r="Q39" s="8">
        <f t="shared" si="24"/>
        <v>1139634.1374477837</v>
      </c>
      <c r="R39" s="8">
        <f t="shared" si="24"/>
        <v>1140160.9016713151</v>
      </c>
      <c r="S39" s="8">
        <f t="shared" si="24"/>
        <v>1140098.7110766785</v>
      </c>
      <c r="T39" s="8">
        <f t="shared" si="24"/>
        <v>1139419.9546347351</v>
      </c>
      <c r="U39" s="8">
        <f t="shared" si="24"/>
        <v>1138096.0571636357</v>
      </c>
      <c r="V39" s="8">
        <f t="shared" si="24"/>
        <v>1136097.4494534947</v>
      </c>
      <c r="W39" s="8">
        <f t="shared" si="24"/>
        <v>1133393.5375237954</v>
      </c>
      <c r="X39" s="8">
        <f t="shared" si="24"/>
        <v>1129952.6709893642</v>
      </c>
      <c r="Y39" s="8">
        <f t="shared" si="24"/>
        <v>1125742.1105100985</v>
      </c>
      <c r="Z39" s="8">
        <f t="shared" si="24"/>
        <v>1120727.9942989617</v>
      </c>
      <c r="AA39" s="8">
        <f t="shared" si="24"/>
        <v>1114875.3036620673</v>
      </c>
      <c r="AB39" s="8">
        <f t="shared" si="24"/>
        <v>1108147.8275439693</v>
      </c>
      <c r="AC39" s="8">
        <f t="shared" si="24"/>
        <v>1100508.1260505484</v>
      </c>
      <c r="AD39" s="8">
        <f t="shared" si="24"/>
        <v>1091917.4929211356</v>
      </c>
      <c r="AE39" s="8">
        <f t="shared" si="24"/>
        <v>1082335.9169207527</v>
      </c>
      <c r="AF39" s="8">
        <f t="shared" si="24"/>
        <v>1071722.0421225622</v>
      </c>
      <c r="AG39" s="8">
        <f t="shared" si="24"/>
        <v>1060033.1270498121</v>
      </c>
      <c r="AH39" s="8">
        <f t="shared" si="24"/>
        <v>1047225.0026457343</v>
      </c>
      <c r="AI39" s="8">
        <f t="shared" si="24"/>
        <v>1033252.029039004</v>
      </c>
      <c r="AJ39" s="8">
        <f t="shared" si="24"/>
        <v>1018067.0510714974</v>
      </c>
      <c r="AK39" s="8">
        <f t="shared" si="24"/>
        <v>1001621.3525541885</v>
      </c>
      <c r="AL39" s="8">
        <f t="shared" si="24"/>
        <v>983864.60921610764</v>
      </c>
      <c r="AM39" s="8">
        <f t="shared" ref="AM39:BA39" si="25">SUM(AM35:AM38)</f>
        <v>964744.8403103411</v>
      </c>
      <c r="AN39" s="8">
        <f t="shared" si="25"/>
        <v>944208.35884008254</v>
      </c>
      <c r="AO39" s="8">
        <f t="shared" si="25"/>
        <v>922199.72036675538</v>
      </c>
      <c r="AP39" s="8">
        <f t="shared" si="25"/>
        <v>898661.67036120372</v>
      </c>
      <c r="AQ39" s="8">
        <f t="shared" si="25"/>
        <v>873535.09005790425</v>
      </c>
      <c r="AR39" s="8">
        <f t="shared" si="25"/>
        <v>846758.94077107648</v>
      </c>
      <c r="AS39" s="8">
        <f t="shared" si="25"/>
        <v>818270.20663046709</v>
      </c>
      <c r="AT39" s="8">
        <f t="shared" si="25"/>
        <v>788003.83569345274</v>
      </c>
      <c r="AU39" s="8">
        <f t="shared" si="25"/>
        <v>755892.67938894418</v>
      </c>
      <c r="AV39" s="8">
        <f t="shared" si="25"/>
        <v>721867.43024738284</v>
      </c>
      <c r="AW39" s="8">
        <f t="shared" si="25"/>
        <v>685856.55786989874</v>
      </c>
      <c r="AX39" s="8">
        <f t="shared" si="25"/>
        <v>647786.24308844295</v>
      </c>
      <c r="AY39" s="8">
        <f t="shared" si="25"/>
        <v>607580.31026741979</v>
      </c>
      <c r="AZ39" s="8">
        <f t="shared" si="25"/>
        <v>565160.15769602114</v>
      </c>
      <c r="BA39" s="8">
        <f t="shared" si="25"/>
        <v>520444.68601911137</v>
      </c>
      <c r="BB39" s="8">
        <f t="shared" ref="BB39:BJ39" si="26">SUM(BB35:BB38)</f>
        <v>473350.22465311468</v>
      </c>
      <c r="BC39" s="8">
        <f t="shared" si="26"/>
        <v>423790.45613193279</v>
      </c>
      <c r="BD39" s="8">
        <f t="shared" si="26"/>
        <v>371676.33832645079</v>
      </c>
      <c r="BE39" s="8">
        <f t="shared" si="26"/>
        <v>316916.02447968593</v>
      </c>
      <c r="BF39" s="8">
        <f t="shared" si="26"/>
        <v>259414.78099809034</v>
      </c>
      <c r="BG39" s="8">
        <f t="shared" si="26"/>
        <v>199074.90293793275</v>
      </c>
      <c r="BH39" s="8">
        <f t="shared" si="26"/>
        <v>135795.62712405945</v>
      </c>
      <c r="BI39" s="8">
        <f t="shared" si="26"/>
        <v>69473.042836665103</v>
      </c>
      <c r="BJ39" s="8">
        <f t="shared" si="26"/>
        <v>-7.6040578278480098E-9</v>
      </c>
    </row>
    <row r="40" spans="1:62" x14ac:dyDescent="0.25">
      <c r="F40" s="18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62" x14ac:dyDescent="0.25">
      <c r="A41" s="16"/>
      <c r="B41" s="16"/>
      <c r="C41" s="17" t="s">
        <v>46</v>
      </c>
      <c r="D41" s="16"/>
      <c r="E41" s="16"/>
      <c r="F41" s="40" t="s">
        <v>22</v>
      </c>
      <c r="G41" s="16"/>
      <c r="H41" s="17">
        <v>2016</v>
      </c>
      <c r="I41" s="17">
        <v>2017</v>
      </c>
      <c r="J41" s="17">
        <v>2018</v>
      </c>
      <c r="K41" s="17">
        <v>2019</v>
      </c>
      <c r="L41" s="17">
        <v>2020</v>
      </c>
      <c r="M41" s="17">
        <v>2021</v>
      </c>
      <c r="N41" s="17">
        <v>2022</v>
      </c>
      <c r="O41" s="17">
        <v>2023</v>
      </c>
      <c r="P41" s="17">
        <v>2024</v>
      </c>
      <c r="Q41" s="17">
        <v>2025</v>
      </c>
      <c r="R41" s="17">
        <v>2026</v>
      </c>
      <c r="S41" s="17">
        <v>2027</v>
      </c>
      <c r="T41" s="17">
        <v>2028</v>
      </c>
      <c r="U41" s="17">
        <v>2029</v>
      </c>
      <c r="V41" s="17">
        <v>2030</v>
      </c>
      <c r="W41" s="17">
        <v>2031</v>
      </c>
      <c r="X41" s="17">
        <v>2032</v>
      </c>
      <c r="Y41" s="17">
        <v>2033</v>
      </c>
      <c r="Z41" s="17">
        <v>2034</v>
      </c>
      <c r="AA41" s="17">
        <v>2035</v>
      </c>
      <c r="AB41" s="17">
        <v>2036</v>
      </c>
      <c r="AC41" s="17">
        <v>2037</v>
      </c>
      <c r="AD41" s="17">
        <v>2038</v>
      </c>
      <c r="AE41" s="17">
        <v>2039</v>
      </c>
      <c r="AF41" s="17">
        <v>2040</v>
      </c>
      <c r="AG41" s="17">
        <v>2041</v>
      </c>
      <c r="AH41" s="17">
        <v>2042</v>
      </c>
      <c r="AI41" s="17">
        <v>2043</v>
      </c>
      <c r="AJ41" s="17">
        <v>2044</v>
      </c>
      <c r="AK41" s="17">
        <v>2045</v>
      </c>
      <c r="AL41" s="17">
        <v>2046</v>
      </c>
      <c r="AM41" s="17">
        <v>2047</v>
      </c>
      <c r="AN41" s="17">
        <v>2048</v>
      </c>
      <c r="AO41" s="17">
        <v>2049</v>
      </c>
      <c r="AP41" s="17">
        <v>2050</v>
      </c>
      <c r="AQ41" s="17">
        <v>2051</v>
      </c>
      <c r="AR41" s="17">
        <v>2052</v>
      </c>
      <c r="AS41" s="17">
        <v>2053</v>
      </c>
      <c r="AT41" s="17">
        <v>2054</v>
      </c>
      <c r="AU41" s="17">
        <v>2055</v>
      </c>
      <c r="AV41" s="17">
        <v>2056</v>
      </c>
      <c r="AW41" s="17">
        <v>2057</v>
      </c>
      <c r="AX41" s="17">
        <v>2058</v>
      </c>
      <c r="AY41" s="17">
        <v>2059</v>
      </c>
      <c r="AZ41" s="17">
        <v>2060</v>
      </c>
      <c r="BA41" s="17">
        <v>2061</v>
      </c>
      <c r="BB41" s="17">
        <v>2062</v>
      </c>
      <c r="BC41" s="17">
        <v>2063</v>
      </c>
      <c r="BD41" s="17">
        <v>2064</v>
      </c>
      <c r="BE41" s="17">
        <v>2065</v>
      </c>
      <c r="BF41" s="17">
        <v>2066</v>
      </c>
      <c r="BG41" s="17">
        <v>2067</v>
      </c>
      <c r="BH41" s="17">
        <v>2068</v>
      </c>
      <c r="BI41" s="17">
        <v>2069</v>
      </c>
      <c r="BJ41" s="17">
        <v>2070</v>
      </c>
    </row>
    <row r="42" spans="1:62" x14ac:dyDescent="0.25">
      <c r="A42" s="15"/>
      <c r="B42" s="15"/>
      <c r="C42" s="13"/>
      <c r="D42" s="15"/>
      <c r="E42" s="15"/>
      <c r="F42" s="53"/>
      <c r="G42" s="15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</row>
    <row r="43" spans="1:62" x14ac:dyDescent="0.25">
      <c r="C43" t="s">
        <v>17</v>
      </c>
      <c r="F43" s="18" t="s">
        <v>25</v>
      </c>
      <c r="H43" s="35">
        <f>H35*$G$6</f>
        <v>0</v>
      </c>
      <c r="I43" s="35">
        <f t="shared" ref="I43:BA43" si="27">I35*$G$6</f>
        <v>62938.93175928553</v>
      </c>
      <c r="J43" s="35">
        <f t="shared" si="27"/>
        <v>64399.114976100951</v>
      </c>
      <c r="K43" s="35">
        <f t="shared" si="27"/>
        <v>65893.174443546493</v>
      </c>
      <c r="L43" s="35">
        <f t="shared" si="27"/>
        <v>67421.896090636787</v>
      </c>
      <c r="M43" s="6">
        <f t="shared" si="27"/>
        <v>68986.084079939552</v>
      </c>
      <c r="N43" s="6">
        <f t="shared" si="27"/>
        <v>69174.83000598228</v>
      </c>
      <c r="O43" s="6">
        <f t="shared" si="27"/>
        <v>69335.202673098189</v>
      </c>
      <c r="P43" s="6">
        <f t="shared" si="27"/>
        <v>69465.783971465862</v>
      </c>
      <c r="Q43" s="6">
        <f t="shared" si="27"/>
        <v>69565.105262591023</v>
      </c>
      <c r="R43" s="6">
        <f t="shared" si="27"/>
        <v>69631.645798059588</v>
      </c>
      <c r="S43" s="6">
        <f t="shared" si="27"/>
        <v>69663.831092117354</v>
      </c>
      <c r="T43" s="6">
        <f t="shared" si="27"/>
        <v>69660.03124678506</v>
      </c>
      <c r="U43" s="6">
        <f t="shared" si="27"/>
        <v>69618.559228182319</v>
      </c>
      <c r="V43" s="6">
        <f t="shared" si="27"/>
        <v>69537.669092698139</v>
      </c>
      <c r="W43" s="6">
        <f t="shared" si="27"/>
        <v>69415.554161608525</v>
      </c>
      <c r="X43" s="6">
        <f t="shared" si="27"/>
        <v>69250.345142703896</v>
      </c>
      <c r="Y43" s="6">
        <f t="shared" si="27"/>
        <v>69040.108197450158</v>
      </c>
      <c r="Z43" s="6">
        <f t="shared" si="27"/>
        <v>68782.842952167019</v>
      </c>
      <c r="AA43" s="6">
        <f t="shared" si="27"/>
        <v>68476.480451666561</v>
      </c>
      <c r="AB43" s="6">
        <f t="shared" si="27"/>
        <v>68118.88105375231</v>
      </c>
      <c r="AC43" s="6">
        <f t="shared" si="27"/>
        <v>67707.832262936528</v>
      </c>
      <c r="AD43" s="6">
        <f t="shared" si="27"/>
        <v>67241.046501688514</v>
      </c>
      <c r="AE43" s="6">
        <f t="shared" si="27"/>
        <v>66716.158817481395</v>
      </c>
      <c r="AF43" s="6">
        <f t="shared" si="27"/>
        <v>66130.724523857993</v>
      </c>
      <c r="AG43" s="6">
        <f t="shared" si="27"/>
        <v>65482.216773688553</v>
      </c>
      <c r="AH43" s="6">
        <f t="shared" si="27"/>
        <v>64768.02406274352</v>
      </c>
      <c r="AI43" s="6">
        <f t="shared" si="27"/>
        <v>63985.447661654369</v>
      </c>
      <c r="AJ43" s="6">
        <f t="shared" si="27"/>
        <v>63131.698974283143</v>
      </c>
      <c r="AK43" s="6">
        <f t="shared" si="27"/>
        <v>62203.896820468493</v>
      </c>
      <c r="AL43" s="6">
        <f t="shared" si="27"/>
        <v>61199.064641060919</v>
      </c>
      <c r="AM43" s="6">
        <f t="shared" si="27"/>
        <v>60114.127623104177</v>
      </c>
      <c r="AN43" s="6">
        <f t="shared" si="27"/>
        <v>58945.909742961841</v>
      </c>
      <c r="AO43" s="6">
        <f t="shared" si="27"/>
        <v>57691.130725129042</v>
      </c>
      <c r="AP43" s="6">
        <f t="shared" si="27"/>
        <v>56346.402914408754</v>
      </c>
      <c r="AQ43" s="6">
        <f t="shared" si="27"/>
        <v>54908.228059069552</v>
      </c>
      <c r="AR43" s="6">
        <f t="shared" si="27"/>
        <v>53372.994002537947</v>
      </c>
      <c r="AS43" s="6">
        <f t="shared" si="27"/>
        <v>51736.971281112776</v>
      </c>
      <c r="AT43" s="6">
        <f t="shared" si="27"/>
        <v>49996.309625121539</v>
      </c>
      <c r="AU43" s="6">
        <f t="shared" si="27"/>
        <v>48147.034360869962</v>
      </c>
      <c r="AV43" s="6">
        <f t="shared" si="27"/>
        <v>46185.042710664493</v>
      </c>
      <c r="AW43" s="6">
        <f t="shared" si="27"/>
        <v>44106.099988115093</v>
      </c>
      <c r="AX43" s="6">
        <f t="shared" si="27"/>
        <v>41905.835685850812</v>
      </c>
      <c r="AY43" s="6">
        <f t="shared" si="27"/>
        <v>39579.739452703863</v>
      </c>
      <c r="AZ43" s="6">
        <f t="shared" si="27"/>
        <v>37123.15695733935</v>
      </c>
      <c r="BA43" s="6">
        <f t="shared" si="27"/>
        <v>34531.285635226894</v>
      </c>
      <c r="BB43" s="6">
        <f t="shared" ref="BB43:BJ43" si="28">BB35*$G$6</f>
        <v>31799.170315767704</v>
      </c>
      <c r="BC43" s="6">
        <f t="shared" si="28"/>
        <v>28921.698726305309</v>
      </c>
      <c r="BD43" s="6">
        <f t="shared" si="28"/>
        <v>25893.596869661094</v>
      </c>
      <c r="BE43" s="6">
        <f t="shared" si="28"/>
        <v>22709.424271746142</v>
      </c>
      <c r="BF43" s="6">
        <f t="shared" si="28"/>
        <v>19363.569095708812</v>
      </c>
      <c r="BG43" s="6">
        <f t="shared" si="28"/>
        <v>15850.243118983321</v>
      </c>
      <c r="BH43" s="6">
        <f t="shared" si="28"/>
        <v>12163.476569507691</v>
      </c>
      <c r="BI43" s="6">
        <f t="shared" si="28"/>
        <v>8297.1128172800327</v>
      </c>
      <c r="BJ43" s="6">
        <f t="shared" si="28"/>
        <v>4244.8029173202376</v>
      </c>
    </row>
    <row r="44" spans="1:62" x14ac:dyDescent="0.25">
      <c r="C44" t="s">
        <v>29</v>
      </c>
      <c r="F44" s="18" t="s">
        <v>25</v>
      </c>
      <c r="H44" s="36">
        <f t="shared" ref="H44:L44" si="29">-H37-H38</f>
        <v>0</v>
      </c>
      <c r="I44" s="36">
        <f t="shared" si="29"/>
        <v>-23898.252321038039</v>
      </c>
      <c r="J44" s="36">
        <f t="shared" si="29"/>
        <v>-24452.69177488612</v>
      </c>
      <c r="K44" s="36">
        <f t="shared" si="29"/>
        <v>-25019.994224063477</v>
      </c>
      <c r="L44" s="36">
        <f t="shared" si="29"/>
        <v>-25600.458090061755</v>
      </c>
      <c r="M44" s="27">
        <f>-M37-M38</f>
        <v>-3089.1313591278958</v>
      </c>
      <c r="N44" s="27">
        <f t="shared" ref="N44:BA44" si="30">-N37-N38</f>
        <v>-2624.7572359396036</v>
      </c>
      <c r="O44" s="27">
        <f t="shared" si="30"/>
        <v>-2137.173459372636</v>
      </c>
      <c r="P44" s="27">
        <f t="shared" si="30"/>
        <v>-1625.5530462382885</v>
      </c>
      <c r="Q44" s="27">
        <f t="shared" si="30"/>
        <v>-1089.0431336917354</v>
      </c>
      <c r="R44" s="27">
        <f t="shared" si="30"/>
        <v>-526.76422353141243</v>
      </c>
      <c r="S44" s="27">
        <f t="shared" si="30"/>
        <v>62.190594636627793</v>
      </c>
      <c r="T44" s="27">
        <f t="shared" si="30"/>
        <v>678.75644194334018</v>
      </c>
      <c r="U44" s="27">
        <f t="shared" si="30"/>
        <v>1323.8974710994225</v>
      </c>
      <c r="V44" s="27">
        <f t="shared" si="30"/>
        <v>1998.6077101410374</v>
      </c>
      <c r="W44" s="27">
        <f t="shared" si="30"/>
        <v>2703.9119296993376</v>
      </c>
      <c r="X44" s="27">
        <f t="shared" si="30"/>
        <v>3440.8665344312394</v>
      </c>
      <c r="Y44" s="27">
        <f t="shared" si="30"/>
        <v>4210.5604792656595</v>
      </c>
      <c r="Z44" s="27">
        <f t="shared" si="30"/>
        <v>5014.1162111369049</v>
      </c>
      <c r="AA44" s="27">
        <f t="shared" si="30"/>
        <v>5852.6906368946111</v>
      </c>
      <c r="AB44" s="27">
        <f t="shared" si="30"/>
        <v>6727.4761180979949</v>
      </c>
      <c r="AC44" s="27">
        <f t="shared" si="30"/>
        <v>7639.7014934208164</v>
      </c>
      <c r="AD44" s="27">
        <f t="shared" si="30"/>
        <v>8590.6331294128177</v>
      </c>
      <c r="AE44" s="27">
        <f t="shared" si="30"/>
        <v>9581.5760003830255</v>
      </c>
      <c r="AF44" s="27">
        <f t="shared" si="30"/>
        <v>10613.874798190671</v>
      </c>
      <c r="AG44" s="27">
        <f t="shared" si="30"/>
        <v>11688.915072750144</v>
      </c>
      <c r="AH44" s="27">
        <f t="shared" si="30"/>
        <v>12808.1244040778</v>
      </c>
      <c r="AI44" s="27">
        <f t="shared" si="30"/>
        <v>13972.973606730302</v>
      </c>
      <c r="AJ44" s="27">
        <f t="shared" si="30"/>
        <v>15184.977967506638</v>
      </c>
      <c r="AK44" s="27">
        <f t="shared" si="30"/>
        <v>16445.698517308905</v>
      </c>
      <c r="AL44" s="27">
        <f t="shared" si="30"/>
        <v>17756.743338080763</v>
      </c>
      <c r="AM44" s="27">
        <f t="shared" si="30"/>
        <v>19119.768905766487</v>
      </c>
      <c r="AN44" s="27">
        <f t="shared" si="30"/>
        <v>20536.481470258539</v>
      </c>
      <c r="AO44" s="27">
        <f t="shared" si="30"/>
        <v>22008.638473327173</v>
      </c>
      <c r="AP44" s="27">
        <f t="shared" si="30"/>
        <v>23538.050005551646</v>
      </c>
      <c r="AQ44" s="27">
        <f t="shared" si="30"/>
        <v>25126.580303299444</v>
      </c>
      <c r="AR44" s="27">
        <f t="shared" si="30"/>
        <v>26776.149286827756</v>
      </c>
      <c r="AS44" s="27">
        <f t="shared" si="30"/>
        <v>28488.734140609336</v>
      </c>
      <c r="AT44" s="27">
        <f t="shared" si="30"/>
        <v>30266.370937014239</v>
      </c>
      <c r="AU44" s="27">
        <f t="shared" si="30"/>
        <v>32111.156304508488</v>
      </c>
      <c r="AV44" s="27">
        <f t="shared" si="30"/>
        <v>34025.249141561333</v>
      </c>
      <c r="AW44" s="27">
        <f t="shared" si="30"/>
        <v>36010.872377484091</v>
      </c>
      <c r="AX44" s="27">
        <f t="shared" si="30"/>
        <v>38070.314781455709</v>
      </c>
      <c r="AY44" s="27">
        <f t="shared" si="30"/>
        <v>40205.932821023154</v>
      </c>
      <c r="AZ44" s="27">
        <f t="shared" si="30"/>
        <v>42420.152571398554</v>
      </c>
      <c r="BA44" s="27">
        <f t="shared" si="30"/>
        <v>44715.471676909794</v>
      </c>
      <c r="BB44" s="27">
        <f t="shared" ref="BB44:BJ44" si="31">-BB37-BB38</f>
        <v>47094.461365996722</v>
      </c>
      <c r="BC44" s="27">
        <f t="shared" si="31"/>
        <v>49559.768521181904</v>
      </c>
      <c r="BD44" s="27">
        <f t="shared" si="31"/>
        <v>52114.117805482048</v>
      </c>
      <c r="BE44" s="27">
        <f t="shared" si="31"/>
        <v>54760.313846764868</v>
      </c>
      <c r="BF44" s="27">
        <f t="shared" si="31"/>
        <v>57501.243481595593</v>
      </c>
      <c r="BG44" s="27">
        <f t="shared" si="31"/>
        <v>60339.878060157585</v>
      </c>
      <c r="BH44" s="27">
        <f t="shared" si="31"/>
        <v>63279.275813873312</v>
      </c>
      <c r="BI44" s="27">
        <f t="shared" si="31"/>
        <v>66322.584287394347</v>
      </c>
      <c r="BJ44" s="27">
        <f t="shared" si="31"/>
        <v>69473.042836672714</v>
      </c>
    </row>
    <row r="45" spans="1:62" x14ac:dyDescent="0.25">
      <c r="C45" t="s">
        <v>47</v>
      </c>
      <c r="F45" s="18" t="s">
        <v>25</v>
      </c>
      <c r="H45" s="35">
        <f t="shared" ref="H45:L45" si="32">SUM(H43:H44)</f>
        <v>0</v>
      </c>
      <c r="I45" s="35">
        <f t="shared" si="32"/>
        <v>39040.679438247491</v>
      </c>
      <c r="J45" s="35">
        <f t="shared" si="32"/>
        <v>39946.423201214828</v>
      </c>
      <c r="K45" s="35">
        <f t="shared" si="32"/>
        <v>40873.180219483016</v>
      </c>
      <c r="L45" s="35">
        <f t="shared" si="32"/>
        <v>41821.438000575028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</row>
    <row r="46" spans="1:62" x14ac:dyDescent="0.25">
      <c r="C46" t="s">
        <v>30</v>
      </c>
      <c r="F46" s="18" t="s">
        <v>25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6">
        <f t="shared" ref="M46:BA46" si="33">SUM(M43:M44)</f>
        <v>65896.952720811649</v>
      </c>
      <c r="N46" s="6">
        <f t="shared" si="33"/>
        <v>66550.07277004268</v>
      </c>
      <c r="O46" s="6">
        <f t="shared" si="33"/>
        <v>67198.02921372556</v>
      </c>
      <c r="P46" s="6">
        <f t="shared" si="33"/>
        <v>67840.230925227574</v>
      </c>
      <c r="Q46" s="6">
        <f t="shared" si="33"/>
        <v>68476.062128899284</v>
      </c>
      <c r="R46" s="6">
        <f t="shared" si="33"/>
        <v>69104.881574528175</v>
      </c>
      <c r="S46" s="6">
        <f t="shared" si="33"/>
        <v>69726.021686753986</v>
      </c>
      <c r="T46" s="6">
        <f t="shared" si="33"/>
        <v>70338.787688728393</v>
      </c>
      <c r="U46" s="6">
        <f t="shared" si="33"/>
        <v>70942.456699281742</v>
      </c>
      <c r="V46" s="6">
        <f t="shared" si="33"/>
        <v>71536.276802839173</v>
      </c>
      <c r="W46" s="6">
        <f t="shared" si="33"/>
        <v>72119.46609130787</v>
      </c>
      <c r="X46" s="6">
        <f t="shared" si="33"/>
        <v>72691.211677135143</v>
      </c>
      <c r="Y46" s="6">
        <f t="shared" si="33"/>
        <v>73250.66867671581</v>
      </c>
      <c r="Z46" s="6">
        <f t="shared" si="33"/>
        <v>73796.959163303924</v>
      </c>
      <c r="AA46" s="6">
        <f t="shared" si="33"/>
        <v>74329.171088561168</v>
      </c>
      <c r="AB46" s="6">
        <f t="shared" si="33"/>
        <v>74846.357171850308</v>
      </c>
      <c r="AC46" s="6">
        <f t="shared" si="33"/>
        <v>75347.533756357341</v>
      </c>
      <c r="AD46" s="6">
        <f t="shared" si="33"/>
        <v>75831.679631101331</v>
      </c>
      <c r="AE46" s="6">
        <f t="shared" si="33"/>
        <v>76297.734817864417</v>
      </c>
      <c r="AF46" s="6">
        <f t="shared" si="33"/>
        <v>76744.599322048656</v>
      </c>
      <c r="AG46" s="6">
        <f t="shared" si="33"/>
        <v>77171.1318464387</v>
      </c>
      <c r="AH46" s="6">
        <f t="shared" si="33"/>
        <v>77576.148466821323</v>
      </c>
      <c r="AI46" s="6">
        <f t="shared" si="33"/>
        <v>77958.421268384671</v>
      </c>
      <c r="AJ46" s="6">
        <f t="shared" si="33"/>
        <v>78316.676941789774</v>
      </c>
      <c r="AK46" s="6">
        <f t="shared" si="33"/>
        <v>78649.595337777399</v>
      </c>
      <c r="AL46" s="6">
        <f t="shared" si="33"/>
        <v>78955.807979141682</v>
      </c>
      <c r="AM46" s="6">
        <f t="shared" si="33"/>
        <v>79233.896528870668</v>
      </c>
      <c r="AN46" s="6">
        <f t="shared" si="33"/>
        <v>79482.391213220384</v>
      </c>
      <c r="AO46" s="6">
        <f t="shared" si="33"/>
        <v>79699.769198456212</v>
      </c>
      <c r="AP46" s="6">
        <f t="shared" si="33"/>
        <v>79884.4529199604</v>
      </c>
      <c r="AQ46" s="6">
        <f t="shared" si="33"/>
        <v>80034.808362368989</v>
      </c>
      <c r="AR46" s="6">
        <f t="shared" si="33"/>
        <v>80149.143289365704</v>
      </c>
      <c r="AS46" s="6">
        <f t="shared" si="33"/>
        <v>80225.705421722116</v>
      </c>
      <c r="AT46" s="6">
        <f t="shared" si="33"/>
        <v>80262.680562135778</v>
      </c>
      <c r="AU46" s="6">
        <f t="shared" si="33"/>
        <v>80258.190665378454</v>
      </c>
      <c r="AV46" s="6">
        <f t="shared" si="33"/>
        <v>80210.291852225826</v>
      </c>
      <c r="AW46" s="6">
        <f t="shared" si="33"/>
        <v>80116.972365599184</v>
      </c>
      <c r="AX46" s="6">
        <f t="shared" si="33"/>
        <v>79976.150467306521</v>
      </c>
      <c r="AY46" s="6">
        <f t="shared" si="33"/>
        <v>79785.672273727017</v>
      </c>
      <c r="AZ46" s="6">
        <f t="shared" si="33"/>
        <v>79543.309528737911</v>
      </c>
      <c r="BA46" s="6">
        <f t="shared" si="33"/>
        <v>79246.757312136688</v>
      </c>
      <c r="BB46" s="6">
        <f t="shared" ref="BB46:BJ46" si="34">SUM(BB43:BB44)</f>
        <v>78893.631681764426</v>
      </c>
      <c r="BC46" s="6">
        <f t="shared" si="34"/>
        <v>78481.46724748722</v>
      </c>
      <c r="BD46" s="6">
        <f t="shared" si="34"/>
        <v>78007.714675143143</v>
      </c>
      <c r="BE46" s="6">
        <f t="shared" si="34"/>
        <v>77469.738118511013</v>
      </c>
      <c r="BF46" s="6">
        <f t="shared" si="34"/>
        <v>76864.812577304401</v>
      </c>
      <c r="BG46" s="6">
        <f t="shared" si="34"/>
        <v>76190.1211791409</v>
      </c>
      <c r="BH46" s="6">
        <f t="shared" si="34"/>
        <v>75442.752383380997</v>
      </c>
      <c r="BI46" s="6">
        <f t="shared" si="34"/>
        <v>74619.697104674386</v>
      </c>
      <c r="BJ46" s="6">
        <f t="shared" si="34"/>
        <v>73717.845753992951</v>
      </c>
    </row>
    <row r="47" spans="1:62" x14ac:dyDescent="0.25"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s="43" customFormat="1" x14ac:dyDescent="0.25">
      <c r="A48" s="12"/>
      <c r="B48" s="12"/>
      <c r="C48" s="11" t="s">
        <v>31</v>
      </c>
      <c r="D48" s="12"/>
      <c r="E48" s="12"/>
      <c r="F48" s="39" t="s">
        <v>22</v>
      </c>
      <c r="G48" s="12"/>
      <c r="H48" s="12">
        <v>2016</v>
      </c>
      <c r="I48" s="12">
        <v>2017</v>
      </c>
      <c r="J48" s="12">
        <v>2018</v>
      </c>
      <c r="K48" s="12">
        <v>2019</v>
      </c>
      <c r="L48" s="12">
        <v>2020</v>
      </c>
      <c r="M48" s="12">
        <v>2021</v>
      </c>
      <c r="N48" s="12">
        <v>2022</v>
      </c>
      <c r="O48" s="12">
        <v>2023</v>
      </c>
      <c r="P48" s="12">
        <v>2024</v>
      </c>
      <c r="Q48" s="12">
        <v>2025</v>
      </c>
      <c r="R48" s="12">
        <v>2026</v>
      </c>
      <c r="S48" s="12">
        <v>2027</v>
      </c>
      <c r="T48" s="12">
        <v>2028</v>
      </c>
      <c r="U48" s="12">
        <v>2029</v>
      </c>
      <c r="V48" s="12">
        <v>2030</v>
      </c>
      <c r="W48" s="12">
        <v>2031</v>
      </c>
      <c r="X48" s="12">
        <v>2032</v>
      </c>
      <c r="Y48" s="12">
        <v>2033</v>
      </c>
      <c r="Z48" s="12">
        <v>2034</v>
      </c>
      <c r="AA48" s="12">
        <v>2035</v>
      </c>
      <c r="AB48" s="12">
        <v>2036</v>
      </c>
      <c r="AC48" s="12">
        <v>2037</v>
      </c>
      <c r="AD48" s="12">
        <v>2038</v>
      </c>
      <c r="AE48" s="12">
        <v>2039</v>
      </c>
      <c r="AF48" s="12">
        <v>2040</v>
      </c>
      <c r="AG48" s="12">
        <v>2041</v>
      </c>
      <c r="AH48" s="12">
        <v>2042</v>
      </c>
      <c r="AI48" s="12">
        <v>2043</v>
      </c>
      <c r="AJ48" s="12">
        <v>2044</v>
      </c>
      <c r="AK48" s="12">
        <v>2045</v>
      </c>
      <c r="AL48" s="12">
        <v>2046</v>
      </c>
      <c r="AM48" s="12">
        <v>2047</v>
      </c>
      <c r="AN48" s="12">
        <v>2048</v>
      </c>
      <c r="AO48" s="12">
        <v>2049</v>
      </c>
      <c r="AP48" s="12">
        <v>2050</v>
      </c>
      <c r="AQ48" s="12">
        <v>2051</v>
      </c>
      <c r="AR48" s="12">
        <v>2052</v>
      </c>
      <c r="AS48" s="12">
        <v>2053</v>
      </c>
      <c r="AT48" s="12">
        <v>2054</v>
      </c>
      <c r="AU48" s="12">
        <v>2055</v>
      </c>
      <c r="AV48" s="12">
        <v>2056</v>
      </c>
      <c r="AW48" s="12">
        <v>2057</v>
      </c>
      <c r="AX48" s="12">
        <v>2058</v>
      </c>
      <c r="AY48" s="12">
        <v>2059</v>
      </c>
      <c r="AZ48" s="12">
        <v>2060</v>
      </c>
      <c r="BA48" s="12">
        <v>2061</v>
      </c>
      <c r="BB48" s="12">
        <v>2062</v>
      </c>
      <c r="BC48" s="12">
        <v>2063</v>
      </c>
      <c r="BD48" s="12">
        <v>2064</v>
      </c>
      <c r="BE48" s="12">
        <v>2065</v>
      </c>
      <c r="BF48" s="12">
        <v>2066</v>
      </c>
      <c r="BG48" s="12">
        <v>2067</v>
      </c>
      <c r="BH48" s="12">
        <v>2068</v>
      </c>
      <c r="BI48" s="12">
        <v>2069</v>
      </c>
      <c r="BJ48" s="12">
        <v>2070</v>
      </c>
    </row>
    <row r="49" spans="1:62" s="43" customFormat="1" x14ac:dyDescent="0.25">
      <c r="A49" s="14"/>
      <c r="B49" s="14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</row>
    <row r="50" spans="1:62" s="43" customFormat="1" x14ac:dyDescent="0.25">
      <c r="A50" s="14"/>
      <c r="B50" s="14"/>
      <c r="C50" s="13"/>
      <c r="D50" s="14"/>
      <c r="E50" s="14"/>
      <c r="F50" s="14"/>
      <c r="G50" s="30" t="s">
        <v>39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</row>
    <row r="51" spans="1:62" x14ac:dyDescent="0.25">
      <c r="C51" t="s">
        <v>40</v>
      </c>
      <c r="F51" s="33" t="s">
        <v>25</v>
      </c>
      <c r="G51" s="25">
        <f>NPV($G$6,H51:BJ51)*(1+$G$6)^5</f>
        <v>1305880.4355368328</v>
      </c>
      <c r="H51" s="28">
        <f>H9*(1+$G$6)^0.5</f>
        <v>1030097.0828033638</v>
      </c>
      <c r="I51" s="28">
        <f>I9*(1+$G$6)^0.5</f>
        <v>0</v>
      </c>
      <c r="J51" s="28">
        <f>J9*(1+$G$6)^0.5</f>
        <v>0</v>
      </c>
      <c r="K51" s="28">
        <f>K9*(1+$G$6)^0.5</f>
        <v>0</v>
      </c>
      <c r="L51" s="28">
        <f>L9*(1+$G$6)^0.5</f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</row>
    <row r="52" spans="1:62" x14ac:dyDescent="0.25">
      <c r="C52" s="29" t="s">
        <v>32</v>
      </c>
      <c r="F52" s="33" t="s">
        <v>25</v>
      </c>
      <c r="G52" s="26">
        <f>NPV($G$6,H52:BJ52)*(1+$G$6)^5</f>
        <v>214952.17433763016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6">
        <f>M31</f>
        <v>51181.668258230588</v>
      </c>
      <c r="N52" s="6">
        <f>N31</f>
        <v>51181.668258230588</v>
      </c>
      <c r="O52" s="6">
        <f>O31</f>
        <v>51181.668258230588</v>
      </c>
      <c r="P52" s="6">
        <f>P31</f>
        <v>51181.668258230588</v>
      </c>
      <c r="Q52" s="6">
        <f>Q31</f>
        <v>51181.668258230588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</row>
    <row r="53" spans="1:62" x14ac:dyDescent="0.25">
      <c r="C53" s="29" t="s">
        <v>33</v>
      </c>
      <c r="F53" s="33" t="s">
        <v>25</v>
      </c>
      <c r="G53" s="26">
        <f>NPV($G$6,H53:BJ53)*(1+$G$6)^5</f>
        <v>-1129068.4792134149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6">
        <f t="shared" ref="M53:AR53" si="35">-M46</f>
        <v>-65896.952720811649</v>
      </c>
      <c r="N53" s="6">
        <f t="shared" si="35"/>
        <v>-66550.07277004268</v>
      </c>
      <c r="O53" s="6">
        <f t="shared" si="35"/>
        <v>-67198.02921372556</v>
      </c>
      <c r="P53" s="6">
        <f t="shared" si="35"/>
        <v>-67840.230925227574</v>
      </c>
      <c r="Q53" s="6">
        <f t="shared" si="35"/>
        <v>-68476.062128899284</v>
      </c>
      <c r="R53" s="6">
        <f t="shared" si="35"/>
        <v>-69104.881574528175</v>
      </c>
      <c r="S53" s="6">
        <f t="shared" si="35"/>
        <v>-69726.021686753986</v>
      </c>
      <c r="T53" s="6">
        <f t="shared" si="35"/>
        <v>-70338.787688728393</v>
      </c>
      <c r="U53" s="6">
        <f t="shared" si="35"/>
        <v>-70942.456699281742</v>
      </c>
      <c r="V53" s="6">
        <f t="shared" si="35"/>
        <v>-71536.276802839173</v>
      </c>
      <c r="W53" s="6">
        <f t="shared" si="35"/>
        <v>-72119.46609130787</v>
      </c>
      <c r="X53" s="6">
        <f t="shared" si="35"/>
        <v>-72691.211677135143</v>
      </c>
      <c r="Y53" s="6">
        <f t="shared" si="35"/>
        <v>-73250.66867671581</v>
      </c>
      <c r="Z53" s="6">
        <f t="shared" si="35"/>
        <v>-73796.959163303924</v>
      </c>
      <c r="AA53" s="6">
        <f t="shared" si="35"/>
        <v>-74329.171088561168</v>
      </c>
      <c r="AB53" s="6">
        <f t="shared" si="35"/>
        <v>-74846.357171850308</v>
      </c>
      <c r="AC53" s="6">
        <f t="shared" si="35"/>
        <v>-75347.533756357341</v>
      </c>
      <c r="AD53" s="6">
        <f t="shared" si="35"/>
        <v>-75831.679631101331</v>
      </c>
      <c r="AE53" s="6">
        <f t="shared" si="35"/>
        <v>-76297.734817864417</v>
      </c>
      <c r="AF53" s="6">
        <f t="shared" si="35"/>
        <v>-76744.599322048656</v>
      </c>
      <c r="AG53" s="6">
        <f t="shared" si="35"/>
        <v>-77171.1318464387</v>
      </c>
      <c r="AH53" s="6">
        <f t="shared" si="35"/>
        <v>-77576.148466821323</v>
      </c>
      <c r="AI53" s="6">
        <f t="shared" si="35"/>
        <v>-77958.421268384671</v>
      </c>
      <c r="AJ53" s="6">
        <f t="shared" si="35"/>
        <v>-78316.676941789774</v>
      </c>
      <c r="AK53" s="6">
        <f t="shared" si="35"/>
        <v>-78649.595337777399</v>
      </c>
      <c r="AL53" s="6">
        <f t="shared" si="35"/>
        <v>-78955.807979141682</v>
      </c>
      <c r="AM53" s="6">
        <f t="shared" si="35"/>
        <v>-79233.896528870668</v>
      </c>
      <c r="AN53" s="6">
        <f t="shared" si="35"/>
        <v>-79482.391213220384</v>
      </c>
      <c r="AO53" s="6">
        <f t="shared" si="35"/>
        <v>-79699.769198456212</v>
      </c>
      <c r="AP53" s="6">
        <f t="shared" si="35"/>
        <v>-79884.4529199604</v>
      </c>
      <c r="AQ53" s="6">
        <f t="shared" si="35"/>
        <v>-80034.808362368989</v>
      </c>
      <c r="AR53" s="6">
        <f t="shared" si="35"/>
        <v>-80149.143289365704</v>
      </c>
      <c r="AS53" s="6">
        <f t="shared" ref="AS53:BJ53" si="36">-AS46</f>
        <v>-80225.705421722116</v>
      </c>
      <c r="AT53" s="6">
        <f t="shared" si="36"/>
        <v>-80262.680562135778</v>
      </c>
      <c r="AU53" s="6">
        <f t="shared" si="36"/>
        <v>-80258.190665378454</v>
      </c>
      <c r="AV53" s="6">
        <f t="shared" si="36"/>
        <v>-80210.291852225826</v>
      </c>
      <c r="AW53" s="6">
        <f t="shared" si="36"/>
        <v>-80116.972365599184</v>
      </c>
      <c r="AX53" s="6">
        <f t="shared" si="36"/>
        <v>-79976.150467306521</v>
      </c>
      <c r="AY53" s="6">
        <f t="shared" si="36"/>
        <v>-79785.672273727017</v>
      </c>
      <c r="AZ53" s="6">
        <f t="shared" si="36"/>
        <v>-79543.309528737911</v>
      </c>
      <c r="BA53" s="6">
        <f t="shared" si="36"/>
        <v>-79246.757312136688</v>
      </c>
      <c r="BB53" s="6">
        <f t="shared" si="36"/>
        <v>-78893.631681764426</v>
      </c>
      <c r="BC53" s="6">
        <f t="shared" si="36"/>
        <v>-78481.46724748722</v>
      </c>
      <c r="BD53" s="6">
        <f t="shared" si="36"/>
        <v>-78007.714675143143</v>
      </c>
      <c r="BE53" s="6">
        <f t="shared" si="36"/>
        <v>-77469.738118511013</v>
      </c>
      <c r="BF53" s="6">
        <f t="shared" si="36"/>
        <v>-76864.812577304401</v>
      </c>
      <c r="BG53" s="6">
        <f t="shared" si="36"/>
        <v>-76190.1211791409</v>
      </c>
      <c r="BH53" s="6">
        <f t="shared" si="36"/>
        <v>-75442.752383380997</v>
      </c>
      <c r="BI53" s="6">
        <f t="shared" si="36"/>
        <v>-74619.697104674386</v>
      </c>
      <c r="BJ53" s="6">
        <f t="shared" si="36"/>
        <v>-73717.845753992951</v>
      </c>
    </row>
    <row r="54" spans="1:62" x14ac:dyDescent="0.25">
      <c r="C54" t="s">
        <v>18</v>
      </c>
      <c r="F54" s="33" t="s">
        <v>25</v>
      </c>
      <c r="G54" s="31">
        <f>NPV($G$6,H54:BJ54)*(1+$G$6)^5</f>
        <v>391764.13066104724</v>
      </c>
      <c r="H54" s="8">
        <f>SUM(H51:H53)</f>
        <v>1030097.0828033638</v>
      </c>
      <c r="I54" s="8">
        <f t="shared" ref="I54:BA54" si="37">SUM(I51:I53)</f>
        <v>0</v>
      </c>
      <c r="J54" s="8">
        <f t="shared" si="37"/>
        <v>0</v>
      </c>
      <c r="K54" s="8">
        <f t="shared" si="37"/>
        <v>0</v>
      </c>
      <c r="L54" s="8">
        <f t="shared" si="37"/>
        <v>0</v>
      </c>
      <c r="M54" s="8">
        <f t="shared" si="37"/>
        <v>-14715.284462581061</v>
      </c>
      <c r="N54" s="8">
        <f t="shared" si="37"/>
        <v>-15368.404511812092</v>
      </c>
      <c r="O54" s="8">
        <f t="shared" si="37"/>
        <v>-16016.360955494973</v>
      </c>
      <c r="P54" s="8">
        <f t="shared" si="37"/>
        <v>-16658.562666996986</v>
      </c>
      <c r="Q54" s="8">
        <f t="shared" si="37"/>
        <v>-17294.393870668697</v>
      </c>
      <c r="R54" s="8">
        <f t="shared" si="37"/>
        <v>-69104.881574528175</v>
      </c>
      <c r="S54" s="8">
        <f t="shared" si="37"/>
        <v>-69726.021686753986</v>
      </c>
      <c r="T54" s="8">
        <f t="shared" si="37"/>
        <v>-70338.787688728393</v>
      </c>
      <c r="U54" s="8">
        <f t="shared" si="37"/>
        <v>-70942.456699281742</v>
      </c>
      <c r="V54" s="8">
        <f t="shared" si="37"/>
        <v>-71536.276802839173</v>
      </c>
      <c r="W54" s="8">
        <f t="shared" si="37"/>
        <v>-72119.46609130787</v>
      </c>
      <c r="X54" s="8">
        <f t="shared" si="37"/>
        <v>-72691.211677135143</v>
      </c>
      <c r="Y54" s="8">
        <f t="shared" si="37"/>
        <v>-73250.66867671581</v>
      </c>
      <c r="Z54" s="8">
        <f t="shared" si="37"/>
        <v>-73796.959163303924</v>
      </c>
      <c r="AA54" s="8">
        <f t="shared" si="37"/>
        <v>-74329.171088561168</v>
      </c>
      <c r="AB54" s="8">
        <f t="shared" si="37"/>
        <v>-74846.357171850308</v>
      </c>
      <c r="AC54" s="8">
        <f t="shared" si="37"/>
        <v>-75347.533756357341</v>
      </c>
      <c r="AD54" s="8">
        <f t="shared" si="37"/>
        <v>-75831.679631101331</v>
      </c>
      <c r="AE54" s="8">
        <f t="shared" si="37"/>
        <v>-76297.734817864417</v>
      </c>
      <c r="AF54" s="8">
        <f t="shared" si="37"/>
        <v>-76744.599322048656</v>
      </c>
      <c r="AG54" s="8">
        <f t="shared" si="37"/>
        <v>-77171.1318464387</v>
      </c>
      <c r="AH54" s="8">
        <f t="shared" si="37"/>
        <v>-77576.148466821323</v>
      </c>
      <c r="AI54" s="8">
        <f t="shared" si="37"/>
        <v>-77958.421268384671</v>
      </c>
      <c r="AJ54" s="8">
        <f t="shared" si="37"/>
        <v>-78316.676941789774</v>
      </c>
      <c r="AK54" s="8">
        <f t="shared" si="37"/>
        <v>-78649.595337777399</v>
      </c>
      <c r="AL54" s="8">
        <f t="shared" si="37"/>
        <v>-78955.807979141682</v>
      </c>
      <c r="AM54" s="8">
        <f t="shared" si="37"/>
        <v>-79233.896528870668</v>
      </c>
      <c r="AN54" s="8">
        <f t="shared" si="37"/>
        <v>-79482.391213220384</v>
      </c>
      <c r="AO54" s="8">
        <f t="shared" si="37"/>
        <v>-79699.769198456212</v>
      </c>
      <c r="AP54" s="8">
        <f t="shared" si="37"/>
        <v>-79884.4529199604</v>
      </c>
      <c r="AQ54" s="8">
        <f t="shared" si="37"/>
        <v>-80034.808362368989</v>
      </c>
      <c r="AR54" s="8">
        <f t="shared" si="37"/>
        <v>-80149.143289365704</v>
      </c>
      <c r="AS54" s="8">
        <f t="shared" si="37"/>
        <v>-80225.705421722116</v>
      </c>
      <c r="AT54" s="8">
        <f t="shared" si="37"/>
        <v>-80262.680562135778</v>
      </c>
      <c r="AU54" s="8">
        <f t="shared" si="37"/>
        <v>-80258.190665378454</v>
      </c>
      <c r="AV54" s="8">
        <f t="shared" si="37"/>
        <v>-80210.291852225826</v>
      </c>
      <c r="AW54" s="8">
        <f t="shared" si="37"/>
        <v>-80116.972365599184</v>
      </c>
      <c r="AX54" s="8">
        <f t="shared" si="37"/>
        <v>-79976.150467306521</v>
      </c>
      <c r="AY54" s="8">
        <f t="shared" si="37"/>
        <v>-79785.672273727017</v>
      </c>
      <c r="AZ54" s="8">
        <f t="shared" si="37"/>
        <v>-79543.309528737911</v>
      </c>
      <c r="BA54" s="8">
        <f t="shared" si="37"/>
        <v>-79246.757312136688</v>
      </c>
      <c r="BB54" s="8">
        <f t="shared" ref="BB54:BJ54" si="38">SUM(BB51:BB53)</f>
        <v>-78893.631681764426</v>
      </c>
      <c r="BC54" s="8">
        <f t="shared" si="38"/>
        <v>-78481.46724748722</v>
      </c>
      <c r="BD54" s="8">
        <f t="shared" si="38"/>
        <v>-78007.714675143143</v>
      </c>
      <c r="BE54" s="8">
        <f t="shared" si="38"/>
        <v>-77469.738118511013</v>
      </c>
      <c r="BF54" s="8">
        <f t="shared" si="38"/>
        <v>-76864.812577304401</v>
      </c>
      <c r="BG54" s="8">
        <f t="shared" si="38"/>
        <v>-76190.1211791409</v>
      </c>
      <c r="BH54" s="8">
        <f t="shared" si="38"/>
        <v>-75442.752383380997</v>
      </c>
      <c r="BI54" s="8">
        <f t="shared" si="38"/>
        <v>-74619.697104674386</v>
      </c>
      <c r="BJ54" s="8">
        <f t="shared" si="38"/>
        <v>-73717.845753992951</v>
      </c>
    </row>
    <row r="55" spans="1:62" x14ac:dyDescent="0.25">
      <c r="C55" t="s">
        <v>34</v>
      </c>
      <c r="G55" s="38">
        <f>G54/G51</f>
        <v>0.29999999999999799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</row>
    <row r="57" spans="1:62" x14ac:dyDescent="0.25">
      <c r="A57" s="47"/>
      <c r="B57" s="47"/>
      <c r="C57" s="48" t="s">
        <v>43</v>
      </c>
      <c r="D57" s="47"/>
      <c r="E57" s="47"/>
      <c r="F57" s="47"/>
      <c r="G57" s="47"/>
      <c r="H57" s="48">
        <v>2016</v>
      </c>
      <c r="I57" s="48">
        <v>2017</v>
      </c>
      <c r="J57" s="48">
        <v>2018</v>
      </c>
      <c r="K57" s="48">
        <v>2019</v>
      </c>
      <c r="L57" s="48">
        <v>2020</v>
      </c>
      <c r="M57" s="48">
        <v>2021</v>
      </c>
      <c r="N57" s="48">
        <v>2022</v>
      </c>
      <c r="O57" s="48">
        <v>2023</v>
      </c>
      <c r="P57" s="48">
        <v>2024</v>
      </c>
      <c r="Q57" s="48">
        <v>2025</v>
      </c>
      <c r="R57" s="48">
        <v>2026</v>
      </c>
      <c r="S57" s="48">
        <v>2027</v>
      </c>
      <c r="T57" s="48">
        <v>2028</v>
      </c>
      <c r="U57" s="48">
        <v>2029</v>
      </c>
      <c r="V57" s="48">
        <v>2030</v>
      </c>
      <c r="W57" s="48">
        <v>2031</v>
      </c>
      <c r="X57" s="48">
        <v>2032</v>
      </c>
      <c r="Y57" s="48">
        <v>2033</v>
      </c>
      <c r="Z57" s="48">
        <v>2034</v>
      </c>
      <c r="AA57" s="48">
        <v>2035</v>
      </c>
      <c r="AB57" s="48">
        <v>2036</v>
      </c>
      <c r="AC57" s="48">
        <v>2037</v>
      </c>
      <c r="AD57" s="48">
        <v>2038</v>
      </c>
      <c r="AE57" s="48">
        <v>2039</v>
      </c>
      <c r="AF57" s="48">
        <v>2040</v>
      </c>
      <c r="AG57" s="48">
        <v>2041</v>
      </c>
      <c r="AH57" s="48">
        <v>2042</v>
      </c>
      <c r="AI57" s="48">
        <v>2043</v>
      </c>
      <c r="AJ57" s="48">
        <v>2044</v>
      </c>
      <c r="AK57" s="48">
        <v>2045</v>
      </c>
      <c r="AL57" s="48">
        <v>2046</v>
      </c>
      <c r="AM57" s="48">
        <v>2047</v>
      </c>
      <c r="AN57" s="48">
        <v>2048</v>
      </c>
      <c r="AO57" s="48">
        <v>2049</v>
      </c>
      <c r="AP57" s="48">
        <v>2050</v>
      </c>
      <c r="AQ57" s="48">
        <v>2051</v>
      </c>
      <c r="AR57" s="48">
        <v>2052</v>
      </c>
      <c r="AS57" s="48">
        <v>2053</v>
      </c>
      <c r="AT57" s="48">
        <v>2054</v>
      </c>
      <c r="AU57" s="48">
        <v>2055</v>
      </c>
      <c r="AV57" s="48">
        <v>2056</v>
      </c>
      <c r="AW57" s="48">
        <v>2057</v>
      </c>
      <c r="AX57" s="48">
        <v>2058</v>
      </c>
      <c r="AY57" s="48">
        <v>2059</v>
      </c>
      <c r="AZ57" s="48">
        <v>2060</v>
      </c>
      <c r="BA57" s="48">
        <v>2061</v>
      </c>
      <c r="BB57" s="48">
        <v>2062</v>
      </c>
      <c r="BC57" s="48">
        <v>2063</v>
      </c>
      <c r="BD57" s="48">
        <v>2064</v>
      </c>
      <c r="BE57" s="48">
        <v>2065</v>
      </c>
      <c r="BF57" s="48">
        <v>2066</v>
      </c>
      <c r="BG57" s="48">
        <v>2067</v>
      </c>
      <c r="BH57" s="48">
        <v>2068</v>
      </c>
      <c r="BI57" s="48">
        <v>2069</v>
      </c>
      <c r="BJ57" s="48">
        <v>2070</v>
      </c>
    </row>
    <row r="60" spans="1:62" s="54" customFormat="1" x14ac:dyDescent="0.25">
      <c r="A60" s="49"/>
      <c r="B60" s="49"/>
      <c r="C60" s="49" t="s">
        <v>48</v>
      </c>
      <c r="D60" s="49"/>
      <c r="E60" s="49"/>
      <c r="F60" s="49"/>
      <c r="G60" s="49"/>
      <c r="H60" s="52" t="str">
        <f>IF(ROUND(NPV(G6,H36:BJ36)-NPV(G6,H45:BJ45)-NPV(G6,H46:BJ46),3)=0,"ok","error")</f>
        <v>ok</v>
      </c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</row>
    <row r="61" spans="1:62" s="46" customFormat="1" x14ac:dyDescent="0.25">
      <c r="A61" s="37"/>
      <c r="B61" s="37"/>
      <c r="C61" s="50" t="s">
        <v>44</v>
      </c>
      <c r="D61" s="49"/>
      <c r="E61" s="49"/>
      <c r="F61" s="51"/>
      <c r="G61" s="49"/>
      <c r="H61" s="52" t="str">
        <f>IF(ROUND(H45-H21,3)=0,"ok","error")</f>
        <v>ok</v>
      </c>
      <c r="I61" s="52" t="str">
        <f>IF(ROUND(I45-I21,3)=0,"ok","error")</f>
        <v>ok</v>
      </c>
      <c r="J61" s="52" t="str">
        <f>IF(ROUND(J45-J21,3)=0,"ok","error")</f>
        <v>ok</v>
      </c>
      <c r="K61" s="52" t="str">
        <f>IF(ROUND(K45-K21,3)=0,"ok","error")</f>
        <v>ok</v>
      </c>
      <c r="L61" s="52" t="str">
        <f>IF(ROUND(L45-L21,3)=0,"ok","error")</f>
        <v>ok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</row>
    <row r="62" spans="1:62" s="46" customFormat="1" x14ac:dyDescent="0.25">
      <c r="A62" s="37"/>
      <c r="B62" s="37"/>
      <c r="C62" s="50" t="s">
        <v>28</v>
      </c>
      <c r="D62" s="49"/>
      <c r="E62" s="49"/>
      <c r="F62" s="51"/>
      <c r="G62" s="49"/>
      <c r="H62" s="52" t="str">
        <f>IF(ROUND(G51-G28,3)=0,"ok","error")</f>
        <v>ok</v>
      </c>
      <c r="I62" s="52"/>
      <c r="J62" s="52"/>
      <c r="K62" s="52"/>
      <c r="L62" s="52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</row>
    <row r="63" spans="1:62" s="46" customFormat="1" x14ac:dyDescent="0.25">
      <c r="A63" s="37"/>
      <c r="B63" s="37"/>
      <c r="C63" s="50" t="s">
        <v>32</v>
      </c>
      <c r="D63" s="49"/>
      <c r="E63" s="49"/>
      <c r="F63" s="51"/>
      <c r="G63" s="49"/>
      <c r="H63" s="52" t="str">
        <f>IF(ROUND(G52-G31,3)=0,"ok","error")</f>
        <v>ok</v>
      </c>
      <c r="I63" s="52"/>
      <c r="J63" s="52"/>
      <c r="K63" s="52"/>
      <c r="L63" s="52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</row>
    <row r="64" spans="1:62" s="46" customFormat="1" x14ac:dyDescent="0.25">
      <c r="A64" s="37"/>
      <c r="B64" s="37"/>
      <c r="C64" s="50" t="s">
        <v>18</v>
      </c>
      <c r="D64" s="49"/>
      <c r="E64" s="49"/>
      <c r="F64" s="51"/>
      <c r="G64" s="49"/>
      <c r="H64" s="52" t="str">
        <f>IF(ROUND(G54-G29,3)=0,"ok","error")</f>
        <v>ok</v>
      </c>
      <c r="I64" s="52"/>
      <c r="J64" s="52"/>
      <c r="K64" s="52"/>
      <c r="L64" s="52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</row>
    <row r="65" spans="1:62" x14ac:dyDescent="0.25">
      <c r="C65" s="49" t="s">
        <v>49</v>
      </c>
      <c r="D65" s="49"/>
      <c r="E65" s="49"/>
      <c r="F65" s="49"/>
      <c r="G65" s="49"/>
      <c r="H65" s="52" t="str">
        <f>IF(ROUND(G55-G8,3)=0,"ok","error")</f>
        <v>ok</v>
      </c>
      <c r="I65" s="49"/>
      <c r="J65" s="49"/>
      <c r="K65" s="49"/>
      <c r="L65" s="49"/>
    </row>
    <row r="67" spans="1:62" x14ac:dyDescent="0.25">
      <c r="A67" s="12"/>
      <c r="B67" s="12"/>
      <c r="C67" s="11"/>
      <c r="D67" s="12"/>
      <c r="E67" s="12"/>
      <c r="F67" s="3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CESS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Glasscock</dc:creator>
  <cp:lastModifiedBy>Pickering, Robyn</cp:lastModifiedBy>
  <dcterms:created xsi:type="dcterms:W3CDTF">2017-04-07T01:05:24Z</dcterms:created>
  <dcterms:modified xsi:type="dcterms:W3CDTF">2017-04-26T03:13:40Z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